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6.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8.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9.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0.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2.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4.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5.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6.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17.xml" ContentType="application/vnd.openxmlformats-officedocument.drawing+xml"/>
  <Override PartName="/xl/comments2.xml" ContentType="application/vnd.openxmlformats-officedocument.spreadsheetml.comments+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18.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19.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20.xml" ContentType="application/vnd.openxmlformats-officedocument.drawing+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drawings/drawing21.xml" ContentType="application/vnd.openxmlformats-officedocument.drawing+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drawings/drawing22.xml" ContentType="application/vnd.openxmlformats-officedocument.drawing+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drawings/drawing23.xml" ContentType="application/vnd.openxmlformats-officedocument.drawing+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drawings/drawing24.xml" ContentType="application/vnd.openxmlformats-officedocument.drawing+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drawings/drawing25.xml" ContentType="application/vnd.openxmlformats-officedocument.drawing+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drawings/drawing26.xml" ContentType="application/vnd.openxmlformats-officedocument.drawing+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7221\Desktop\"/>
    </mc:Choice>
  </mc:AlternateContent>
  <xr:revisionPtr revIDLastSave="0" documentId="13_ncr:1_{BB8EC544-113C-44CF-818A-7F661096C3C8}" xr6:coauthVersionLast="47" xr6:coauthVersionMax="47" xr10:uidLastSave="{00000000-0000-0000-0000-000000000000}"/>
  <bookViews>
    <workbookView xWindow="-98" yWindow="-98" windowWidth="19396" windowHeight="10395" xr2:uid="{0F6C45D7-D4AF-4F9E-A381-8373DF40803D}"/>
  </bookViews>
  <sheets>
    <sheet name="1.Cover" sheetId="7" r:id="rId1"/>
    <sheet name="2.Contents" sheetId="8" r:id="rId2"/>
    <sheet name="3. User Instructions" sheetId="18" r:id="rId3"/>
    <sheet name="4. Model Design &amp; Scenario Desc" sheetId="4" r:id="rId4"/>
    <sheet name="5. Dashboard Live" sheetId="26" r:id="rId5"/>
    <sheet name="5. Dashboard Total" sheetId="50" r:id="rId6"/>
    <sheet name="5. Dashboard Total Check" sheetId="56" state="hidden" r:id="rId7"/>
    <sheet name="5. Dashboard EC" sheetId="51" r:id="rId8"/>
    <sheet name="5. Dashboard FS" sheetId="52" r:id="rId9"/>
    <sheet name="5. Dashboard Gau" sheetId="53" r:id="rId10"/>
    <sheet name="5. Dashboard KZN" sheetId="54" r:id="rId11"/>
    <sheet name="5. Dashboard WC" sheetId="55" r:id="rId12"/>
    <sheet name="5a. Dashboard 2" sheetId="49" r:id="rId13"/>
    <sheet name="5a. Dashboard Total BC Report" sheetId="48" r:id="rId14"/>
    <sheet name="5a. Dashboard Total BC" sheetId="44" r:id="rId15"/>
    <sheet name="5b. Dashboard Total Sc 1" sheetId="45" r:id="rId16"/>
    <sheet name="5c. Dashboard Total Sc 2" sheetId="46" r:id="rId17"/>
    <sheet name="5d. Dashboard Total Sc 3" sheetId="47" r:id="rId18"/>
    <sheet name="6. Scenario Summary" sheetId="24" r:id="rId19"/>
    <sheet name="7. Scenario Detailed" sheetId="6" r:id="rId20"/>
    <sheet name="8. Forecast Results National" sheetId="5" r:id="rId21"/>
    <sheet name="9. Forecast Results" sheetId="16" r:id="rId22"/>
    <sheet name="9a. Forecast Results - Total" sheetId="34" r:id="rId23"/>
    <sheet name="9b. Forecast Results - EC" sheetId="35" r:id="rId24"/>
    <sheet name="9c. Forecast Results - FS" sheetId="36" r:id="rId25"/>
    <sheet name="9d. Forecast Results - Gau" sheetId="37" r:id="rId26"/>
    <sheet name="Sheet1" sheetId="28" state="hidden" r:id="rId27"/>
    <sheet name="9e. Forecast Results - KZN" sheetId="38" r:id="rId28"/>
    <sheet name="9f. Forecast Results - WC" sheetId="39" r:id="rId29"/>
    <sheet name="10. Inputs &amp; Calcs" sheetId="11" r:id="rId30"/>
    <sheet name="11. Table - Expenditure Review" sheetId="10" r:id="rId31"/>
    <sheet name="12. Inputs-Props &amp; Debtors 2016" sheetId="1" r:id="rId32"/>
    <sheet name="6a. Inputs &amp; Calcs - Province" sheetId="12" state="hidden" r:id="rId33"/>
    <sheet name="13. Logframe HS" sheetId="14" r:id="rId34"/>
    <sheet name="14. Permanent Info" sheetId="13" r:id="rId35"/>
    <sheet name="Spare" sheetId="25" state="hidden" r:id="rId36"/>
  </sheets>
  <externalReferences>
    <externalReference r:id="rId37"/>
  </externalReferences>
  <definedNames>
    <definedName name="_xlnm.Print_Area" localSheetId="29">'10. Inputs &amp; Calcs'!$A$2:$AD$905</definedName>
    <definedName name="_xlnm.Print_Area" localSheetId="30">'11. Table - Expenditure Review'!$B$2:$W$615</definedName>
    <definedName name="_xlnm.Print_Area" localSheetId="31">'12. Inputs-Props &amp; Debtors 2016'!$A$1:$L$113</definedName>
    <definedName name="_xlnm.Print_Area" localSheetId="34">'14. Permanent Info'!$A$1:$N$24</definedName>
    <definedName name="_xlnm.Print_Area" localSheetId="1">'2.Contents'!$A$1:$E$63</definedName>
    <definedName name="_xlnm.Print_Area" localSheetId="3">'4. Model Design &amp; Scenario Desc'!$B$1:$W$77</definedName>
    <definedName name="_xlnm.Print_Area" localSheetId="7">'5. Dashboard EC'!$A$1:$I$185</definedName>
    <definedName name="_xlnm.Print_Area" localSheetId="8">'5. Dashboard FS'!$A$1:$I$185</definedName>
    <definedName name="_xlnm.Print_Area" localSheetId="9">'5. Dashboard Gau'!$A$1:$I$185</definedName>
    <definedName name="_xlnm.Print_Area" localSheetId="10">'5. Dashboard KZN'!$A$1:$I$185</definedName>
    <definedName name="_xlnm.Print_Area" localSheetId="4">'5. Dashboard Live'!$A$1:$I$185</definedName>
    <definedName name="_xlnm.Print_Area" localSheetId="5">'5. Dashboard Total'!$A$1:$I$185</definedName>
    <definedName name="_xlnm.Print_Area" localSheetId="6">'5. Dashboard Total Check'!$A$1:$I$185</definedName>
    <definedName name="_xlnm.Print_Area" localSheetId="11">'5. Dashboard WC'!$A$1:$I$185</definedName>
    <definedName name="_xlnm.Print_Area" localSheetId="14">'5a. Dashboard Total BC'!$A$1:$V$72</definedName>
    <definedName name="_xlnm.Print_Area" localSheetId="13">'5a. Dashboard Total BC Report'!$A$1:$AD$72</definedName>
    <definedName name="_xlnm.Print_Area" localSheetId="15">'5b. Dashboard Total Sc 1'!$A$1:$V$72</definedName>
    <definedName name="_xlnm.Print_Area" localSheetId="16">'5c. Dashboard Total Sc 2'!$A$1:$V$72</definedName>
    <definedName name="_xlnm.Print_Area" localSheetId="17">'5d. Dashboard Total Sc 3'!$A$1:$V$72</definedName>
    <definedName name="_xlnm.Print_Area" localSheetId="18">'6. Scenario Summary'!$A$1:$P$92</definedName>
    <definedName name="_xlnm.Print_Area" localSheetId="19">'7. Scenario Detailed'!$A$2:$AM$63</definedName>
    <definedName name="_xlnm.Print_Area" localSheetId="20">'8. Forecast Results National'!$B$2:$AT$409</definedName>
    <definedName name="_xlnm.Print_Area" localSheetId="21">'9. Forecast Results'!$A$2:$AL$410</definedName>
    <definedName name="_xlnm.Print_Area" localSheetId="22">'9a. Forecast Results - Total'!$A$2:$AL$410</definedName>
    <definedName name="_xlnm.Print_Area" localSheetId="23">'9b. Forecast Results - EC'!$A$2:$AL$410</definedName>
    <definedName name="_xlnm.Print_Area" localSheetId="24">'9c. Forecast Results - FS'!$A$2:$AL$410</definedName>
    <definedName name="_xlnm.Print_Area" localSheetId="25">'9d. Forecast Results - Gau'!$A$2:$AL$410</definedName>
    <definedName name="_xlnm.Print_Area" localSheetId="27">'9e. Forecast Results - KZN'!$A$2:$AL$410</definedName>
    <definedName name="_xlnm.Print_Area" localSheetId="28">'9f. Forecast Results - WC'!$A$2:$AL$410</definedName>
    <definedName name="_xlnm.Print_Titles" localSheetId="29">'10. Inputs &amp; Calcs'!$A:$E,'10. Inputs &amp; Calcs'!$28:$30</definedName>
    <definedName name="_xlnm.Print_Titles" localSheetId="30">'11. Table - Expenditure Review'!$B:$E,'11. Table - Expenditure Review'!$4:$6</definedName>
    <definedName name="_xlnm.Print_Titles" localSheetId="31">'12. Inputs-Props &amp; Debtors 2016'!$84:$85</definedName>
    <definedName name="_xlnm.Print_Titles" localSheetId="33">'13. Logframe HS'!$3:$3</definedName>
    <definedName name="_xlnm.Print_Titles" localSheetId="32">'6a. Inputs &amp; Calcs - Province'!$6:$8</definedName>
    <definedName name="_xlnm.Print_Titles" localSheetId="19">'7. Scenario Detailed'!$A:$G</definedName>
    <definedName name="_xlnm.Print_Titles" localSheetId="20">'8. Forecast Results National'!$B:$E,'8. Forecast Results National'!$2:$9</definedName>
    <definedName name="_xlnm.Print_Titles" localSheetId="21">'9. Forecast Results'!$A:$E,'9. Forecast Results'!$3:$5</definedName>
    <definedName name="_xlnm.Print_Titles" localSheetId="22">'9a. Forecast Results - Total'!$A:$E,'9a. Forecast Results - Total'!$3:$5</definedName>
    <definedName name="_xlnm.Print_Titles" localSheetId="23">'9b. Forecast Results - EC'!$A:$E,'9b. Forecast Results - EC'!$3:$5</definedName>
    <definedName name="_xlnm.Print_Titles" localSheetId="24">'9c. Forecast Results - FS'!$A:$E,'9c. Forecast Results - FS'!$3:$5</definedName>
    <definedName name="_xlnm.Print_Titles" localSheetId="25">'9d. Forecast Results - Gau'!$A:$E,'9d. Forecast Results - Gau'!$3:$5</definedName>
    <definedName name="_xlnm.Print_Titles" localSheetId="27">'9e. Forecast Results - KZN'!$A:$E,'9e. Forecast Results - KZN'!$3:$5</definedName>
    <definedName name="_xlnm.Print_Titles" localSheetId="28">'9f. Forecast Results - WC'!$A:$E,'9f. Forecast Results - WC'!$3:$5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37" i="50" l="1"/>
  <c r="B236" i="50"/>
  <c r="B235" i="50"/>
  <c r="B234" i="50"/>
  <c r="B233" i="50"/>
  <c r="B232" i="50"/>
  <c r="B226" i="50"/>
  <c r="B225" i="50"/>
  <c r="B224" i="50"/>
  <c r="B223" i="50"/>
  <c r="B222" i="50"/>
  <c r="B221" i="50"/>
  <c r="B181" i="50"/>
  <c r="B180" i="50"/>
  <c r="B179" i="50"/>
  <c r="B178" i="50"/>
  <c r="B177" i="50"/>
  <c r="B176" i="50"/>
  <c r="B171" i="50"/>
  <c r="B170" i="50"/>
  <c r="B169" i="50"/>
  <c r="B168" i="50"/>
  <c r="B167" i="50"/>
  <c r="B166" i="50"/>
  <c r="AB136" i="50"/>
  <c r="AZ135" i="50"/>
  <c r="AY135" i="50"/>
  <c r="AX135" i="50"/>
  <c r="AW135" i="50"/>
  <c r="AV135" i="50"/>
  <c r="AU135" i="50"/>
  <c r="AT135" i="50"/>
  <c r="AS135" i="50"/>
  <c r="AR135" i="50"/>
  <c r="AQ135" i="50"/>
  <c r="AP135" i="50"/>
  <c r="AO135" i="50"/>
  <c r="AN135" i="50"/>
  <c r="AM135" i="50"/>
  <c r="AL135" i="50"/>
  <c r="AK135" i="50"/>
  <c r="AJ135" i="50"/>
  <c r="AI135" i="50"/>
  <c r="AH135" i="50"/>
  <c r="AG135" i="50"/>
  <c r="AF135" i="50"/>
  <c r="AE135" i="50"/>
  <c r="AD135" i="50"/>
  <c r="AC135" i="50"/>
  <c r="AB3" i="50"/>
  <c r="AB2" i="50"/>
  <c r="B237" i="55"/>
  <c r="B236" i="55"/>
  <c r="B235" i="55"/>
  <c r="B234" i="55"/>
  <c r="B233" i="55"/>
  <c r="B232" i="55"/>
  <c r="B226" i="55"/>
  <c r="B225" i="55"/>
  <c r="B224" i="55"/>
  <c r="B223" i="55"/>
  <c r="B222" i="55"/>
  <c r="B221" i="55"/>
  <c r="B181" i="55"/>
  <c r="B180" i="55"/>
  <c r="B179" i="55"/>
  <c r="B178" i="55"/>
  <c r="B177" i="55"/>
  <c r="B176" i="55"/>
  <c r="B171" i="55"/>
  <c r="B170" i="55"/>
  <c r="B169" i="55"/>
  <c r="B168" i="55"/>
  <c r="B167" i="55"/>
  <c r="B166" i="55"/>
  <c r="AB136" i="55"/>
  <c r="AZ135" i="55"/>
  <c r="AY135" i="55"/>
  <c r="AX135" i="55"/>
  <c r="AW135" i="55"/>
  <c r="AV135" i="55"/>
  <c r="AU135" i="55"/>
  <c r="AT135" i="55"/>
  <c r="AS135" i="55"/>
  <c r="AR135" i="55"/>
  <c r="AQ135" i="55"/>
  <c r="AP135" i="55"/>
  <c r="AO135" i="55"/>
  <c r="AN135" i="55"/>
  <c r="AM135" i="55"/>
  <c r="AL135" i="55"/>
  <c r="AK135" i="55"/>
  <c r="AJ135" i="55"/>
  <c r="AI135" i="55"/>
  <c r="AH135" i="55"/>
  <c r="AG135" i="55"/>
  <c r="AF135" i="55"/>
  <c r="AE135" i="55"/>
  <c r="AD135" i="55"/>
  <c r="AC135" i="55"/>
  <c r="AB3" i="55"/>
  <c r="AB2" i="55"/>
  <c r="B237" i="54"/>
  <c r="B236" i="54"/>
  <c r="B235" i="54"/>
  <c r="B234" i="54"/>
  <c r="B233" i="54"/>
  <c r="B232" i="54"/>
  <c r="B226" i="54"/>
  <c r="B225" i="54"/>
  <c r="B224" i="54"/>
  <c r="B223" i="54"/>
  <c r="B222" i="54"/>
  <c r="B221" i="54"/>
  <c r="B181" i="54"/>
  <c r="B180" i="54"/>
  <c r="B179" i="54"/>
  <c r="B178" i="54"/>
  <c r="B177" i="54"/>
  <c r="B176" i="54"/>
  <c r="B171" i="54"/>
  <c r="B170" i="54"/>
  <c r="B169" i="54"/>
  <c r="B168" i="54"/>
  <c r="B167" i="54"/>
  <c r="B166" i="54"/>
  <c r="AB136" i="54"/>
  <c r="AZ135" i="54"/>
  <c r="AY135" i="54"/>
  <c r="AX135" i="54"/>
  <c r="AW135" i="54"/>
  <c r="AV135" i="54"/>
  <c r="AU135" i="54"/>
  <c r="AT135" i="54"/>
  <c r="AS135" i="54"/>
  <c r="AR135" i="54"/>
  <c r="AQ135" i="54"/>
  <c r="AP135" i="54"/>
  <c r="AO135" i="54"/>
  <c r="AN135" i="54"/>
  <c r="AM135" i="54"/>
  <c r="AL135" i="54"/>
  <c r="AK135" i="54"/>
  <c r="AJ135" i="54"/>
  <c r="AI135" i="54"/>
  <c r="AH135" i="54"/>
  <c r="AG135" i="54"/>
  <c r="AF135" i="54"/>
  <c r="AE135" i="54"/>
  <c r="AD135" i="54"/>
  <c r="AC135" i="54"/>
  <c r="AB3" i="54"/>
  <c r="AB2" i="54"/>
  <c r="B237" i="53"/>
  <c r="B236" i="53"/>
  <c r="B235" i="53"/>
  <c r="B234" i="53"/>
  <c r="B233" i="53"/>
  <c r="B232" i="53"/>
  <c r="B226" i="53"/>
  <c r="B225" i="53"/>
  <c r="B224" i="53"/>
  <c r="B223" i="53"/>
  <c r="B222" i="53"/>
  <c r="B221" i="53"/>
  <c r="B181" i="53"/>
  <c r="B180" i="53"/>
  <c r="B179" i="53"/>
  <c r="B178" i="53"/>
  <c r="B177" i="53"/>
  <c r="B176" i="53"/>
  <c r="B171" i="53"/>
  <c r="B170" i="53"/>
  <c r="B169" i="53"/>
  <c r="B168" i="53"/>
  <c r="B167" i="53"/>
  <c r="B166" i="53"/>
  <c r="AB136" i="53"/>
  <c r="AZ135" i="53"/>
  <c r="AY135" i="53"/>
  <c r="AX135" i="53"/>
  <c r="AW135" i="53"/>
  <c r="AV135" i="53"/>
  <c r="AU135" i="53"/>
  <c r="AT135" i="53"/>
  <c r="AS135" i="53"/>
  <c r="AR135" i="53"/>
  <c r="AQ135" i="53"/>
  <c r="AP135" i="53"/>
  <c r="AO135" i="53"/>
  <c r="AN135" i="53"/>
  <c r="AM135" i="53"/>
  <c r="AL135" i="53"/>
  <c r="AK135" i="53"/>
  <c r="AJ135" i="53"/>
  <c r="AI135" i="53"/>
  <c r="AH135" i="53"/>
  <c r="AG135" i="53"/>
  <c r="AF135" i="53"/>
  <c r="AE135" i="53"/>
  <c r="AD135" i="53"/>
  <c r="AC135" i="53"/>
  <c r="AB3" i="53"/>
  <c r="AB2" i="53"/>
  <c r="B237" i="52"/>
  <c r="B236" i="52"/>
  <c r="B235" i="52"/>
  <c r="B234" i="52"/>
  <c r="B233" i="52"/>
  <c r="B232" i="52"/>
  <c r="B226" i="52"/>
  <c r="B225" i="52"/>
  <c r="B224" i="52"/>
  <c r="B223" i="52"/>
  <c r="B222" i="52"/>
  <c r="B221" i="52"/>
  <c r="B181" i="52"/>
  <c r="B180" i="52"/>
  <c r="B179" i="52"/>
  <c r="B178" i="52"/>
  <c r="B177" i="52"/>
  <c r="B176" i="52"/>
  <c r="B171" i="52"/>
  <c r="B170" i="52"/>
  <c r="B169" i="52"/>
  <c r="B168" i="52"/>
  <c r="B167" i="52"/>
  <c r="B166" i="52"/>
  <c r="AB136" i="52"/>
  <c r="AZ135" i="52"/>
  <c r="AY135" i="52"/>
  <c r="AX135" i="52"/>
  <c r="AW135" i="52"/>
  <c r="AV135" i="52"/>
  <c r="AU135" i="52"/>
  <c r="AT135" i="52"/>
  <c r="AS135" i="52"/>
  <c r="AR135" i="52"/>
  <c r="AQ135" i="52"/>
  <c r="AP135" i="52"/>
  <c r="AO135" i="52"/>
  <c r="AN135" i="52"/>
  <c r="AM135" i="52"/>
  <c r="AL135" i="52"/>
  <c r="AK135" i="52"/>
  <c r="AJ135" i="52"/>
  <c r="AI135" i="52"/>
  <c r="AH135" i="52"/>
  <c r="AG135" i="52"/>
  <c r="AF135" i="52"/>
  <c r="AE135" i="52"/>
  <c r="AD135" i="52"/>
  <c r="AC135" i="52"/>
  <c r="AB3" i="52"/>
  <c r="AB2" i="52"/>
  <c r="B237" i="51"/>
  <c r="B236" i="51"/>
  <c r="B235" i="51"/>
  <c r="B234" i="51"/>
  <c r="B233" i="51"/>
  <c r="B232" i="51"/>
  <c r="B226" i="51"/>
  <c r="B225" i="51"/>
  <c r="B224" i="51"/>
  <c r="B223" i="51"/>
  <c r="B222" i="51"/>
  <c r="B221" i="51"/>
  <c r="B181" i="51"/>
  <c r="B180" i="51"/>
  <c r="B179" i="51"/>
  <c r="B178" i="51"/>
  <c r="B177" i="51"/>
  <c r="B176" i="51"/>
  <c r="B171" i="51"/>
  <c r="B170" i="51"/>
  <c r="B169" i="51"/>
  <c r="B168" i="51"/>
  <c r="B167" i="51"/>
  <c r="B166" i="51"/>
  <c r="AB136" i="51"/>
  <c r="AZ135" i="51"/>
  <c r="AY135" i="51"/>
  <c r="AX135" i="51"/>
  <c r="AW135" i="51"/>
  <c r="AV135" i="51"/>
  <c r="AU135" i="51"/>
  <c r="AT135" i="51"/>
  <c r="AS135" i="51"/>
  <c r="AR135" i="51"/>
  <c r="AQ135" i="51"/>
  <c r="AP135" i="51"/>
  <c r="AO135" i="51"/>
  <c r="AN135" i="51"/>
  <c r="AM135" i="51"/>
  <c r="AL135" i="51"/>
  <c r="AK135" i="51"/>
  <c r="AJ135" i="51"/>
  <c r="AI135" i="51"/>
  <c r="AH135" i="51"/>
  <c r="AG135" i="51"/>
  <c r="AF135" i="51"/>
  <c r="AE135" i="51"/>
  <c r="AD135" i="51"/>
  <c r="AC135" i="51"/>
  <c r="AB3" i="51"/>
  <c r="AB2" i="51"/>
  <c r="K15" i="56"/>
  <c r="L29" i="56"/>
  <c r="K29" i="56"/>
  <c r="K28" i="56"/>
  <c r="K27" i="56"/>
  <c r="K26" i="56"/>
  <c r="J27" i="56"/>
  <c r="H31" i="56"/>
  <c r="M31" i="56" s="1"/>
  <c r="G31" i="56"/>
  <c r="L31" i="56" s="1"/>
  <c r="F31" i="56"/>
  <c r="K31" i="56" s="1"/>
  <c r="H30" i="56"/>
  <c r="M30" i="56" s="1"/>
  <c r="G30" i="56"/>
  <c r="L30" i="56" s="1"/>
  <c r="F30" i="56"/>
  <c r="K30" i="56" s="1"/>
  <c r="H29" i="56"/>
  <c r="M29" i="56" s="1"/>
  <c r="G29" i="56"/>
  <c r="F29" i="56"/>
  <c r="H28" i="56"/>
  <c r="M28" i="56" s="1"/>
  <c r="G28" i="56"/>
  <c r="L28" i="56" s="1"/>
  <c r="F28" i="56"/>
  <c r="H27" i="56"/>
  <c r="M27" i="56" s="1"/>
  <c r="G27" i="56"/>
  <c r="L27" i="56" s="1"/>
  <c r="F27" i="56"/>
  <c r="G26" i="56"/>
  <c r="L26" i="56" s="1"/>
  <c r="F26" i="56"/>
  <c r="G25" i="56"/>
  <c r="L25" i="56" s="1"/>
  <c r="F25" i="56"/>
  <c r="K25" i="56" s="1"/>
  <c r="E31" i="56"/>
  <c r="J31" i="56" s="1"/>
  <c r="E30" i="56"/>
  <c r="J30" i="56" s="1"/>
  <c r="E29" i="56"/>
  <c r="J29" i="56" s="1"/>
  <c r="E28" i="56"/>
  <c r="J28" i="56" s="1"/>
  <c r="E27" i="56"/>
  <c r="E26" i="56"/>
  <c r="J26" i="56" s="1"/>
  <c r="J25" i="56"/>
  <c r="E25" i="56"/>
  <c r="B237" i="56"/>
  <c r="B236" i="56"/>
  <c r="B235" i="56"/>
  <c r="B234" i="56"/>
  <c r="B233" i="56"/>
  <c r="B232" i="56"/>
  <c r="B226" i="56"/>
  <c r="B225" i="56"/>
  <c r="B224" i="56"/>
  <c r="B223" i="56"/>
  <c r="B222" i="56"/>
  <c r="B221" i="56"/>
  <c r="E211" i="56"/>
  <c r="E210" i="56"/>
  <c r="E209" i="56"/>
  <c r="E208" i="56"/>
  <c r="E207" i="56"/>
  <c r="E206" i="56"/>
  <c r="E205" i="56"/>
  <c r="E204" i="56"/>
  <c r="H203" i="56"/>
  <c r="G203" i="56"/>
  <c r="B181" i="56"/>
  <c r="B180" i="56"/>
  <c r="B179" i="56"/>
  <c r="B178" i="56"/>
  <c r="B177" i="56"/>
  <c r="B176" i="56"/>
  <c r="B171" i="56"/>
  <c r="B170" i="56"/>
  <c r="B169" i="56"/>
  <c r="B168" i="56"/>
  <c r="B167" i="56"/>
  <c r="B166" i="56"/>
  <c r="AB141" i="56"/>
  <c r="AB136" i="56"/>
  <c r="AZ135" i="56"/>
  <c r="AY135" i="56"/>
  <c r="AX135" i="56"/>
  <c r="AW135" i="56"/>
  <c r="AV135" i="56"/>
  <c r="AU135" i="56"/>
  <c r="AT135" i="56"/>
  <c r="AS135" i="56"/>
  <c r="AR135" i="56"/>
  <c r="AQ135" i="56"/>
  <c r="AP135" i="56"/>
  <c r="AO135" i="56"/>
  <c r="AN135" i="56"/>
  <c r="AM135" i="56"/>
  <c r="AL135" i="56"/>
  <c r="AK135" i="56"/>
  <c r="AJ135" i="56"/>
  <c r="AI135" i="56"/>
  <c r="AH135" i="56"/>
  <c r="AG135" i="56"/>
  <c r="AF135" i="56"/>
  <c r="AE135" i="56"/>
  <c r="AD135" i="56"/>
  <c r="AC135" i="56"/>
  <c r="AC40" i="56"/>
  <c r="AC39" i="56"/>
  <c r="AC38" i="56"/>
  <c r="B35" i="56"/>
  <c r="B34" i="56"/>
  <c r="B33" i="56"/>
  <c r="B31" i="56"/>
  <c r="B30" i="56"/>
  <c r="B28" i="56"/>
  <c r="B27" i="56"/>
  <c r="B26" i="56"/>
  <c r="B25" i="56"/>
  <c r="AA19" i="56"/>
  <c r="F175" i="56" s="1"/>
  <c r="AA18" i="56"/>
  <c r="AA17" i="56"/>
  <c r="AA16" i="56"/>
  <c r="AA15" i="56"/>
  <c r="H15" i="56"/>
  <c r="H24" i="56" s="1"/>
  <c r="G15" i="56"/>
  <c r="F15" i="56"/>
  <c r="F24" i="56" s="1"/>
  <c r="E15" i="56"/>
  <c r="C15" i="56"/>
  <c r="C24" i="56" s="1"/>
  <c r="D13" i="56"/>
  <c r="AB3" i="56"/>
  <c r="AB2" i="56"/>
  <c r="E24" i="56" l="1"/>
  <c r="J15" i="56"/>
  <c r="M15" i="56"/>
  <c r="L15" i="56"/>
  <c r="G24" i="56"/>
  <c r="K23" i="13" l="1"/>
  <c r="K22" i="13"/>
  <c r="K21" i="13"/>
  <c r="K20" i="13"/>
  <c r="K19" i="13"/>
  <c r="K18" i="13"/>
  <c r="K17" i="13"/>
  <c r="K16" i="13"/>
  <c r="L15" i="13"/>
  <c r="K15" i="13"/>
  <c r="L14" i="13"/>
  <c r="K14" i="13"/>
  <c r="L13" i="13"/>
  <c r="K13" i="13"/>
  <c r="R12" i="13"/>
  <c r="L12" i="13"/>
  <c r="K12" i="13"/>
  <c r="L11" i="13"/>
  <c r="K11" i="13"/>
  <c r="F11" i="13"/>
  <c r="L10" i="13"/>
  <c r="K10" i="13"/>
  <c r="M9" i="13"/>
  <c r="K9" i="13"/>
  <c r="K8" i="13"/>
  <c r="K7" i="13"/>
  <c r="F7" i="13"/>
  <c r="J6" i="13"/>
  <c r="C1" i="13"/>
  <c r="P45" i="14"/>
  <c r="P32" i="14"/>
  <c r="P31" i="14"/>
  <c r="P29" i="14"/>
  <c r="P27" i="14"/>
  <c r="P21" i="14"/>
  <c r="P18" i="14"/>
  <c r="P17" i="14"/>
  <c r="P14" i="14"/>
  <c r="P12" i="14"/>
  <c r="P8" i="14"/>
  <c r="P7" i="14"/>
  <c r="P4" i="14"/>
  <c r="B1" i="14"/>
  <c r="C235" i="12"/>
  <c r="C234" i="12"/>
  <c r="C233" i="12"/>
  <c r="C232" i="12"/>
  <c r="C231" i="12"/>
  <c r="C227" i="12"/>
  <c r="C226" i="12"/>
  <c r="C225" i="12"/>
  <c r="C224" i="12"/>
  <c r="C223" i="12"/>
  <c r="C219" i="12"/>
  <c r="C218" i="12"/>
  <c r="C217" i="12"/>
  <c r="C216" i="12"/>
  <c r="C215" i="12"/>
  <c r="C212" i="12"/>
  <c r="C211" i="12"/>
  <c r="C210" i="12"/>
  <c r="C209" i="12"/>
  <c r="C208" i="12"/>
  <c r="C204" i="12"/>
  <c r="C203" i="12"/>
  <c r="C202" i="12"/>
  <c r="C201" i="12"/>
  <c r="C200" i="12"/>
  <c r="C196" i="12"/>
  <c r="C195" i="12"/>
  <c r="C194" i="12"/>
  <c r="G193" i="12"/>
  <c r="C193" i="12"/>
  <c r="C192" i="12"/>
  <c r="G187" i="12"/>
  <c r="C187" i="12"/>
  <c r="G186" i="12"/>
  <c r="G195" i="12" s="1"/>
  <c r="C186" i="12"/>
  <c r="G185" i="12"/>
  <c r="C185" i="12"/>
  <c r="G184" i="12"/>
  <c r="C184" i="12"/>
  <c r="G183" i="12"/>
  <c r="G188" i="12" s="1"/>
  <c r="C183" i="12"/>
  <c r="G180" i="12"/>
  <c r="G179" i="12"/>
  <c r="G196" i="12" s="1"/>
  <c r="C179" i="12"/>
  <c r="G178" i="12"/>
  <c r="C178" i="12"/>
  <c r="G177" i="12"/>
  <c r="G194" i="12" s="1"/>
  <c r="C177" i="12"/>
  <c r="G176" i="12"/>
  <c r="C176" i="12"/>
  <c r="G175" i="12"/>
  <c r="G192" i="12" s="1"/>
  <c r="C175" i="12"/>
  <c r="C171" i="12"/>
  <c r="C170" i="12"/>
  <c r="C169" i="12"/>
  <c r="G168" i="12"/>
  <c r="C168" i="12"/>
  <c r="C167" i="12"/>
  <c r="C159" i="12"/>
  <c r="C158" i="12"/>
  <c r="C157" i="12"/>
  <c r="C156" i="12"/>
  <c r="C155" i="12"/>
  <c r="H151" i="12"/>
  <c r="C151" i="12"/>
  <c r="H150" i="12"/>
  <c r="C150" i="12"/>
  <c r="H149" i="12"/>
  <c r="C149" i="12"/>
  <c r="H148" i="12"/>
  <c r="C148" i="12"/>
  <c r="H147" i="12"/>
  <c r="C147" i="12"/>
  <c r="C143" i="12"/>
  <c r="C142" i="12"/>
  <c r="C141" i="12"/>
  <c r="C140" i="12"/>
  <c r="C139" i="12"/>
  <c r="C135" i="12"/>
  <c r="C134" i="12"/>
  <c r="C133" i="12"/>
  <c r="C132" i="12"/>
  <c r="C131" i="12"/>
  <c r="C128" i="12"/>
  <c r="C127" i="12"/>
  <c r="C126" i="12"/>
  <c r="C125" i="12"/>
  <c r="C124" i="12"/>
  <c r="C120" i="12"/>
  <c r="C119" i="12"/>
  <c r="C118" i="12"/>
  <c r="C117" i="12"/>
  <c r="C116" i="12"/>
  <c r="C111" i="12"/>
  <c r="C110" i="12"/>
  <c r="C109" i="12"/>
  <c r="C108" i="12"/>
  <c r="C107" i="12"/>
  <c r="C103" i="12"/>
  <c r="C102" i="12"/>
  <c r="C101" i="12"/>
  <c r="C100" i="12"/>
  <c r="C99" i="12"/>
  <c r="C94" i="12"/>
  <c r="C93" i="12"/>
  <c r="C92" i="12"/>
  <c r="C91" i="12"/>
  <c r="C90" i="12"/>
  <c r="R86" i="12"/>
  <c r="C85" i="12"/>
  <c r="C84" i="12"/>
  <c r="C83" i="12"/>
  <c r="C82" i="12"/>
  <c r="C81" i="12"/>
  <c r="G76" i="12"/>
  <c r="F76" i="12"/>
  <c r="E76" i="12"/>
  <c r="C76" i="12"/>
  <c r="G75" i="12"/>
  <c r="F75" i="12"/>
  <c r="E75" i="12"/>
  <c r="C75" i="12"/>
  <c r="G74" i="12"/>
  <c r="F74" i="12"/>
  <c r="E74" i="12"/>
  <c r="C74" i="12"/>
  <c r="G73" i="12"/>
  <c r="F73" i="12"/>
  <c r="E73" i="12"/>
  <c r="C73" i="12"/>
  <c r="G72" i="12"/>
  <c r="G77" i="12" s="1"/>
  <c r="F72" i="12"/>
  <c r="F77" i="12" s="1"/>
  <c r="E72" i="12"/>
  <c r="E77" i="12" s="1"/>
  <c r="C72" i="12"/>
  <c r="G68" i="12"/>
  <c r="G67" i="12"/>
  <c r="F67" i="12"/>
  <c r="E67" i="12"/>
  <c r="C67" i="12"/>
  <c r="G66" i="12"/>
  <c r="F66" i="12"/>
  <c r="E66" i="12"/>
  <c r="C66" i="12"/>
  <c r="G65" i="12"/>
  <c r="F65" i="12"/>
  <c r="E65" i="12"/>
  <c r="C65" i="12"/>
  <c r="G64" i="12"/>
  <c r="F64" i="12"/>
  <c r="E64" i="12"/>
  <c r="C64" i="12"/>
  <c r="G63" i="12"/>
  <c r="F63" i="12"/>
  <c r="F68" i="12" s="1"/>
  <c r="E63" i="12"/>
  <c r="C63" i="12"/>
  <c r="C60" i="12"/>
  <c r="C59" i="12"/>
  <c r="C58" i="12"/>
  <c r="C57" i="12"/>
  <c r="N56" i="12"/>
  <c r="C56" i="12"/>
  <c r="C51" i="12"/>
  <c r="C50" i="12"/>
  <c r="O49" i="12"/>
  <c r="K49" i="12"/>
  <c r="C49" i="12"/>
  <c r="C48" i="12"/>
  <c r="C47" i="12"/>
  <c r="C41" i="12"/>
  <c r="C40" i="12"/>
  <c r="C39" i="12"/>
  <c r="C38" i="12"/>
  <c r="C37" i="12"/>
  <c r="C32" i="12"/>
  <c r="C31" i="12"/>
  <c r="C30" i="12"/>
  <c r="C29" i="12"/>
  <c r="C28" i="12"/>
  <c r="G24" i="12"/>
  <c r="C24" i="12"/>
  <c r="G23" i="12"/>
  <c r="C23" i="12"/>
  <c r="G22" i="12"/>
  <c r="C22" i="12"/>
  <c r="G21" i="12"/>
  <c r="C21" i="12"/>
  <c r="G20" i="12"/>
  <c r="C20" i="12"/>
  <c r="G16" i="12"/>
  <c r="N15" i="12"/>
  <c r="J15" i="12"/>
  <c r="G15" i="12"/>
  <c r="F15" i="12"/>
  <c r="E15" i="12"/>
  <c r="C15" i="12"/>
  <c r="G14" i="12"/>
  <c r="F14" i="12"/>
  <c r="E14" i="12"/>
  <c r="C14" i="12"/>
  <c r="O13" i="12"/>
  <c r="N13" i="12"/>
  <c r="K13" i="12"/>
  <c r="J13" i="12"/>
  <c r="G13" i="12"/>
  <c r="F13" i="12"/>
  <c r="E13" i="12"/>
  <c r="C13" i="12"/>
  <c r="N12" i="12"/>
  <c r="G12" i="12"/>
  <c r="F12" i="12"/>
  <c r="E12" i="12"/>
  <c r="C12" i="12"/>
  <c r="O11" i="12"/>
  <c r="N11" i="12"/>
  <c r="K11" i="12"/>
  <c r="J11" i="12"/>
  <c r="G11" i="12"/>
  <c r="F11" i="12"/>
  <c r="E11" i="12"/>
  <c r="E16" i="12" s="1"/>
  <c r="C11" i="12"/>
  <c r="R9" i="12"/>
  <c r="K112" i="1"/>
  <c r="G219" i="12" s="1"/>
  <c r="H112" i="1"/>
  <c r="G216" i="12" s="1"/>
  <c r="H110" i="1"/>
  <c r="G110" i="1"/>
  <c r="F110" i="1"/>
  <c r="N109" i="1"/>
  <c r="F108" i="1"/>
  <c r="F107" i="1"/>
  <c r="F106" i="1"/>
  <c r="H105" i="1"/>
  <c r="G105" i="1"/>
  <c r="F105" i="1"/>
  <c r="F101" i="1"/>
  <c r="F100" i="1"/>
  <c r="F99" i="1"/>
  <c r="F97" i="1"/>
  <c r="F96" i="1"/>
  <c r="F95" i="1"/>
  <c r="F94" i="1"/>
  <c r="F93" i="1"/>
  <c r="G92" i="1"/>
  <c r="K91" i="1"/>
  <c r="G235" i="12" s="1"/>
  <c r="J91" i="1"/>
  <c r="G234" i="12" s="1"/>
  <c r="I91" i="1"/>
  <c r="H91" i="1"/>
  <c r="G232" i="12" s="1"/>
  <c r="G82" i="1"/>
  <c r="F82" i="1"/>
  <c r="E82" i="1"/>
  <c r="D82" i="1"/>
  <c r="H81" i="1"/>
  <c r="Q15" i="12" s="1"/>
  <c r="H80" i="1"/>
  <c r="H79" i="1"/>
  <c r="Q13" i="12" s="1"/>
  <c r="H78" i="1"/>
  <c r="H77" i="1"/>
  <c r="Q11" i="12" s="1"/>
  <c r="K68" i="1"/>
  <c r="J68" i="1"/>
  <c r="I68" i="1"/>
  <c r="G68" i="1"/>
  <c r="B68" i="1"/>
  <c r="K67" i="1"/>
  <c r="J67" i="1"/>
  <c r="I67" i="1"/>
  <c r="H67" i="1"/>
  <c r="G67" i="1"/>
  <c r="B67" i="1"/>
  <c r="K66" i="1"/>
  <c r="J66" i="1"/>
  <c r="I66" i="1"/>
  <c r="H66" i="1"/>
  <c r="G66" i="1"/>
  <c r="B66" i="1"/>
  <c r="K65" i="1"/>
  <c r="J65" i="1"/>
  <c r="I65" i="1"/>
  <c r="H65" i="1"/>
  <c r="G65" i="1"/>
  <c r="B65" i="1"/>
  <c r="K64" i="1"/>
  <c r="J64" i="1"/>
  <c r="I64" i="1"/>
  <c r="H64" i="1"/>
  <c r="G64" i="1"/>
  <c r="B64" i="1"/>
  <c r="K63" i="1"/>
  <c r="J63" i="1"/>
  <c r="I63" i="1"/>
  <c r="H63" i="1"/>
  <c r="G63" i="1"/>
  <c r="B63" i="1"/>
  <c r="K62" i="1"/>
  <c r="J62" i="1"/>
  <c r="I62" i="1"/>
  <c r="H62" i="1"/>
  <c r="G62" i="1"/>
  <c r="B62" i="1"/>
  <c r="K61" i="1"/>
  <c r="J61" i="1"/>
  <c r="I61" i="1"/>
  <c r="H61" i="1"/>
  <c r="G61" i="1"/>
  <c r="H59" i="1"/>
  <c r="H68" i="1" s="1"/>
  <c r="F59" i="1"/>
  <c r="F58" i="1"/>
  <c r="F57" i="1"/>
  <c r="F56" i="1"/>
  <c r="F55" i="1"/>
  <c r="F54" i="1"/>
  <c r="F53" i="1"/>
  <c r="F52" i="1"/>
  <c r="F51" i="1"/>
  <c r="K45" i="1"/>
  <c r="J45" i="1"/>
  <c r="I45" i="1"/>
  <c r="H45" i="1"/>
  <c r="G45" i="1"/>
  <c r="B45" i="1"/>
  <c r="K44" i="1"/>
  <c r="J44" i="1"/>
  <c r="I44" i="1"/>
  <c r="H44" i="1"/>
  <c r="G44" i="1"/>
  <c r="F44" i="1"/>
  <c r="B44" i="1"/>
  <c r="K43" i="1"/>
  <c r="J43" i="1"/>
  <c r="I43" i="1"/>
  <c r="H43" i="1"/>
  <c r="G43" i="1"/>
  <c r="B43" i="1"/>
  <c r="K42" i="1"/>
  <c r="J42" i="1"/>
  <c r="I42" i="1"/>
  <c r="H42" i="1"/>
  <c r="G42" i="1"/>
  <c r="B42" i="1"/>
  <c r="K41" i="1"/>
  <c r="J41" i="1"/>
  <c r="I41" i="1"/>
  <c r="H41" i="1"/>
  <c r="G41" i="1"/>
  <c r="B41" i="1"/>
  <c r="K40" i="1"/>
  <c r="J40" i="1"/>
  <c r="I40" i="1"/>
  <c r="H40" i="1"/>
  <c r="G40" i="1"/>
  <c r="B40" i="1"/>
  <c r="K39" i="1"/>
  <c r="J39" i="1"/>
  <c r="I39" i="1"/>
  <c r="H39" i="1"/>
  <c r="G39" i="1"/>
  <c r="B39" i="1"/>
  <c r="K38" i="1"/>
  <c r="M14" i="13" s="1"/>
  <c r="J38" i="1"/>
  <c r="I38" i="1"/>
  <c r="H38" i="1"/>
  <c r="G38" i="1"/>
  <c r="M10" i="13" s="1"/>
  <c r="F36" i="1"/>
  <c r="F35" i="1"/>
  <c r="F34" i="1"/>
  <c r="F33" i="1"/>
  <c r="F32" i="1"/>
  <c r="F31" i="1"/>
  <c r="F30" i="1"/>
  <c r="F29" i="1"/>
  <c r="F28" i="1"/>
  <c r="F20" i="1"/>
  <c r="K14" i="1"/>
  <c r="J14" i="1"/>
  <c r="I14" i="1"/>
  <c r="H14" i="1"/>
  <c r="P8" i="13" s="1"/>
  <c r="Q8" i="13" s="1"/>
  <c r="G14" i="1"/>
  <c r="F13" i="1"/>
  <c r="F12" i="1"/>
  <c r="F11" i="1"/>
  <c r="F10" i="1"/>
  <c r="C2" i="1"/>
  <c r="K954" i="10"/>
  <c r="I954" i="10"/>
  <c r="K941" i="10"/>
  <c r="J941" i="10"/>
  <c r="J954" i="10" s="1"/>
  <c r="I941" i="10"/>
  <c r="K937" i="10"/>
  <c r="K955" i="10" s="1"/>
  <c r="J937" i="10"/>
  <c r="J955" i="10" s="1"/>
  <c r="I937" i="10"/>
  <c r="I924" i="10"/>
  <c r="I923" i="10"/>
  <c r="K910" i="10"/>
  <c r="K923" i="10" s="1"/>
  <c r="J910" i="10"/>
  <c r="J923" i="10" s="1"/>
  <c r="I910" i="10"/>
  <c r="K906" i="10"/>
  <c r="J906" i="10"/>
  <c r="J924" i="10" s="1"/>
  <c r="I906" i="10"/>
  <c r="I887" i="10"/>
  <c r="K875" i="10"/>
  <c r="J875" i="10"/>
  <c r="I875" i="10"/>
  <c r="K874" i="10"/>
  <c r="K887" i="10" s="1"/>
  <c r="J874" i="10"/>
  <c r="I874" i="10"/>
  <c r="J870" i="10"/>
  <c r="I870" i="10"/>
  <c r="I888" i="10" s="1"/>
  <c r="K866" i="10"/>
  <c r="K870" i="10" s="1"/>
  <c r="J866" i="10"/>
  <c r="I866" i="10"/>
  <c r="J856" i="10"/>
  <c r="I856" i="10"/>
  <c r="K844" i="10"/>
  <c r="J844" i="10"/>
  <c r="I844" i="10"/>
  <c r="K843" i="10"/>
  <c r="K856" i="10" s="1"/>
  <c r="K857" i="10" s="1"/>
  <c r="J843" i="10"/>
  <c r="I843" i="10"/>
  <c r="K839" i="10"/>
  <c r="J839" i="10"/>
  <c r="J857" i="10" s="1"/>
  <c r="K835" i="10"/>
  <c r="J835" i="10"/>
  <c r="I835" i="10"/>
  <c r="I839" i="10" s="1"/>
  <c r="K824" i="10"/>
  <c r="J824" i="10"/>
  <c r="I824" i="10"/>
  <c r="K819" i="10"/>
  <c r="J815" i="10"/>
  <c r="J817" i="10" s="1"/>
  <c r="I815" i="10"/>
  <c r="I814" i="10" s="1"/>
  <c r="J814" i="10"/>
  <c r="J802" i="10"/>
  <c r="J801" i="10" s="1"/>
  <c r="I799" i="10"/>
  <c r="K796" i="10"/>
  <c r="J796" i="10"/>
  <c r="I796" i="10"/>
  <c r="I794" i="10"/>
  <c r="U769" i="10"/>
  <c r="W768" i="10"/>
  <c r="T768" i="10"/>
  <c r="S768" i="10"/>
  <c r="P768" i="10"/>
  <c r="O768" i="10"/>
  <c r="L768" i="10"/>
  <c r="K768" i="10"/>
  <c r="Z767" i="10"/>
  <c r="Y767" i="10"/>
  <c r="X767" i="10"/>
  <c r="Z766" i="10"/>
  <c r="Y766" i="10"/>
  <c r="X766" i="10"/>
  <c r="Z765" i="10"/>
  <c r="Y765" i="10"/>
  <c r="X765" i="10"/>
  <c r="Z764" i="10"/>
  <c r="Y764" i="10"/>
  <c r="X764" i="10"/>
  <c r="Z763" i="10"/>
  <c r="Y763" i="10"/>
  <c r="X763" i="10"/>
  <c r="Z762" i="10"/>
  <c r="Y762" i="10"/>
  <c r="X762" i="10"/>
  <c r="Z761" i="10"/>
  <c r="Y761" i="10"/>
  <c r="X761" i="10"/>
  <c r="Z760" i="10"/>
  <c r="Y760" i="10"/>
  <c r="X760" i="10"/>
  <c r="Z759" i="10"/>
  <c r="Y759" i="10"/>
  <c r="X759" i="10"/>
  <c r="Z758" i="10"/>
  <c r="Y758" i="10"/>
  <c r="X758" i="10"/>
  <c r="Z757" i="10"/>
  <c r="Y757" i="10"/>
  <c r="X757" i="10"/>
  <c r="Z756" i="10"/>
  <c r="W756" i="10"/>
  <c r="V756" i="10"/>
  <c r="V768" i="10" s="1"/>
  <c r="U756" i="10"/>
  <c r="U768" i="10" s="1"/>
  <c r="T756" i="10"/>
  <c r="S756" i="10"/>
  <c r="R756" i="10"/>
  <c r="R768" i="10" s="1"/>
  <c r="Q756" i="10"/>
  <c r="Q768" i="10" s="1"/>
  <c r="P756" i="10"/>
  <c r="O756" i="10"/>
  <c r="N756" i="10"/>
  <c r="N768" i="10" s="1"/>
  <c r="M756" i="10"/>
  <c r="M768" i="10" s="1"/>
  <c r="L756" i="10"/>
  <c r="K756" i="10"/>
  <c r="J756" i="10"/>
  <c r="Y756" i="10" s="1"/>
  <c r="I756" i="10"/>
  <c r="Y755" i="10"/>
  <c r="X755" i="10"/>
  <c r="K755" i="10"/>
  <c r="Z755" i="10" s="1"/>
  <c r="J755" i="10"/>
  <c r="I755" i="10"/>
  <c r="I768" i="10" s="1"/>
  <c r="Z754" i="10"/>
  <c r="Y754" i="10"/>
  <c r="X754" i="10"/>
  <c r="Y751" i="10"/>
  <c r="W751" i="10"/>
  <c r="V751" i="10"/>
  <c r="V769" i="10" s="1"/>
  <c r="U751" i="10"/>
  <c r="T751" i="10"/>
  <c r="T769" i="10" s="1"/>
  <c r="S751" i="10"/>
  <c r="R751" i="10"/>
  <c r="R769" i="10" s="1"/>
  <c r="Q751" i="10"/>
  <c r="Q769" i="10" s="1"/>
  <c r="P751" i="10"/>
  <c r="P769" i="10" s="1"/>
  <c r="O751" i="10"/>
  <c r="N751" i="10"/>
  <c r="N769" i="10" s="1"/>
  <c r="M751" i="10"/>
  <c r="M769" i="10" s="1"/>
  <c r="L751" i="10"/>
  <c r="L769" i="10" s="1"/>
  <c r="J751" i="10"/>
  <c r="J810" i="10" s="1"/>
  <c r="I751" i="10"/>
  <c r="X751" i="10" s="1"/>
  <c r="Z750" i="10"/>
  <c r="Y750" i="10"/>
  <c r="X750" i="10"/>
  <c r="Z749" i="10"/>
  <c r="Y749" i="10"/>
  <c r="X749" i="10"/>
  <c r="Z748" i="10"/>
  <c r="Y748" i="10"/>
  <c r="X748" i="10"/>
  <c r="Y747" i="10"/>
  <c r="X747" i="10"/>
  <c r="K747" i="10"/>
  <c r="K815" i="10" s="1"/>
  <c r="J747" i="10"/>
  <c r="J798" i="10" s="1"/>
  <c r="J797" i="10" s="1"/>
  <c r="I747" i="10"/>
  <c r="I802" i="10" s="1"/>
  <c r="I801" i="10" s="1"/>
  <c r="Z702" i="10"/>
  <c r="Y702" i="10"/>
  <c r="X702" i="10"/>
  <c r="Z701" i="10"/>
  <c r="Y701" i="10"/>
  <c r="X701" i="10"/>
  <c r="W700" i="10"/>
  <c r="V700" i="10"/>
  <c r="U700" i="10"/>
  <c r="T700" i="10"/>
  <c r="S700" i="10"/>
  <c r="R700" i="10"/>
  <c r="Q700" i="10"/>
  <c r="P700" i="10"/>
  <c r="O700" i="10"/>
  <c r="N700" i="10"/>
  <c r="M700" i="10"/>
  <c r="Y700" i="10" s="1"/>
  <c r="L700" i="10"/>
  <c r="X700" i="10" s="1"/>
  <c r="K700" i="10"/>
  <c r="Z700" i="10" s="1"/>
  <c r="J700" i="10"/>
  <c r="I700" i="10"/>
  <c r="H613" i="10"/>
  <c r="G613" i="10"/>
  <c r="F613" i="10"/>
  <c r="H612" i="10"/>
  <c r="G612" i="10"/>
  <c r="F612" i="10"/>
  <c r="H611" i="10"/>
  <c r="G611" i="10"/>
  <c r="F611" i="10"/>
  <c r="H610" i="10"/>
  <c r="G610" i="10"/>
  <c r="F610" i="10"/>
  <c r="H600" i="10"/>
  <c r="G600" i="10"/>
  <c r="F600" i="10"/>
  <c r="H599" i="10"/>
  <c r="G599" i="10"/>
  <c r="F599" i="10"/>
  <c r="W598" i="10"/>
  <c r="T598" i="10"/>
  <c r="Q598" i="10"/>
  <c r="N598" i="10"/>
  <c r="G598" i="10"/>
  <c r="F598" i="10"/>
  <c r="G597" i="10"/>
  <c r="F597" i="10"/>
  <c r="H594" i="10"/>
  <c r="G594" i="10"/>
  <c r="F594" i="10"/>
  <c r="H593" i="10"/>
  <c r="G593" i="10"/>
  <c r="F593" i="10"/>
  <c r="H592" i="10"/>
  <c r="G592" i="10"/>
  <c r="F592" i="10"/>
  <c r="R591" i="10"/>
  <c r="H588" i="10"/>
  <c r="G588" i="10"/>
  <c r="F588" i="10"/>
  <c r="H587" i="10"/>
  <c r="G587" i="10"/>
  <c r="F587" i="10"/>
  <c r="H586" i="10"/>
  <c r="G586" i="10"/>
  <c r="F586" i="10"/>
  <c r="H585" i="10"/>
  <c r="G585" i="10"/>
  <c r="F585" i="10"/>
  <c r="T582" i="10"/>
  <c r="V581" i="10"/>
  <c r="U581" i="10"/>
  <c r="S581" i="10"/>
  <c r="R581" i="10"/>
  <c r="P581" i="10"/>
  <c r="O581" i="10"/>
  <c r="N581" i="10"/>
  <c r="M581" i="10"/>
  <c r="L581" i="10"/>
  <c r="J581" i="10"/>
  <c r="I581" i="10"/>
  <c r="V580" i="10"/>
  <c r="U580" i="10"/>
  <c r="S580" i="10"/>
  <c r="R580" i="10"/>
  <c r="P580" i="10"/>
  <c r="O580" i="10"/>
  <c r="M580" i="10"/>
  <c r="L580" i="10"/>
  <c r="J580" i="10"/>
  <c r="I580" i="10"/>
  <c r="H577" i="10"/>
  <c r="G577" i="10"/>
  <c r="F577" i="10"/>
  <c r="H576" i="10"/>
  <c r="G576" i="10"/>
  <c r="G581" i="10" s="1"/>
  <c r="F576" i="10"/>
  <c r="F581" i="10" s="1"/>
  <c r="K575" i="10"/>
  <c r="K580" i="10" s="1"/>
  <c r="H575" i="10"/>
  <c r="G575" i="10"/>
  <c r="G580" i="10" s="1"/>
  <c r="F575" i="10"/>
  <c r="F580" i="10" s="1"/>
  <c r="W574" i="10"/>
  <c r="W582" i="10" s="1"/>
  <c r="V574" i="10"/>
  <c r="V582" i="10" s="1"/>
  <c r="U574" i="10"/>
  <c r="U582" i="10" s="1"/>
  <c r="T574" i="10"/>
  <c r="T581" i="10" s="1"/>
  <c r="S574" i="10"/>
  <c r="S582" i="10" s="1"/>
  <c r="R574" i="10"/>
  <c r="R582" i="10" s="1"/>
  <c r="Q574" i="10"/>
  <c r="Q581" i="10" s="1"/>
  <c r="P574" i="10"/>
  <c r="P582" i="10" s="1"/>
  <c r="O574" i="10"/>
  <c r="O582" i="10" s="1"/>
  <c r="N574" i="10"/>
  <c r="N582" i="10" s="1"/>
  <c r="M574" i="10"/>
  <c r="M582" i="10" s="1"/>
  <c r="L574" i="10"/>
  <c r="L582" i="10" s="1"/>
  <c r="K574" i="10"/>
  <c r="K582" i="10" s="1"/>
  <c r="J574" i="10"/>
  <c r="I574" i="10"/>
  <c r="F574" i="10" s="1"/>
  <c r="H574" i="10"/>
  <c r="H582" i="10" s="1"/>
  <c r="W567" i="10"/>
  <c r="T567" i="10"/>
  <c r="Q567" i="10"/>
  <c r="N567" i="10"/>
  <c r="K567" i="10"/>
  <c r="V565" i="10"/>
  <c r="U565" i="10"/>
  <c r="S565" i="10"/>
  <c r="R565" i="10"/>
  <c r="P565" i="10"/>
  <c r="O565" i="10"/>
  <c r="M565" i="10"/>
  <c r="L565" i="10"/>
  <c r="H562" i="10"/>
  <c r="G562" i="10"/>
  <c r="F562" i="10"/>
  <c r="W561" i="10"/>
  <c r="V561" i="10"/>
  <c r="T561" i="10"/>
  <c r="S561" i="10"/>
  <c r="Q561" i="10"/>
  <c r="P561" i="10"/>
  <c r="N561" i="10"/>
  <c r="M561" i="10"/>
  <c r="J561" i="10"/>
  <c r="W560" i="10"/>
  <c r="V560" i="10"/>
  <c r="U560" i="10"/>
  <c r="T560" i="10"/>
  <c r="S560" i="10"/>
  <c r="R560" i="10"/>
  <c r="Q560" i="10"/>
  <c r="P560" i="10"/>
  <c r="O560" i="10"/>
  <c r="N560" i="10"/>
  <c r="M560" i="10"/>
  <c r="L560" i="10"/>
  <c r="K560" i="10"/>
  <c r="J560" i="10"/>
  <c r="I560" i="10"/>
  <c r="W559" i="10"/>
  <c r="V559" i="10"/>
  <c r="U559" i="10"/>
  <c r="T559" i="10"/>
  <c r="S559" i="10"/>
  <c r="R559" i="10"/>
  <c r="Q559" i="10"/>
  <c r="P559" i="10"/>
  <c r="O559" i="10"/>
  <c r="N559" i="10"/>
  <c r="M559" i="10"/>
  <c r="L559" i="10"/>
  <c r="K559" i="10"/>
  <c r="J559" i="10"/>
  <c r="I559" i="10"/>
  <c r="V558" i="10"/>
  <c r="R558" i="10"/>
  <c r="N558" i="10"/>
  <c r="P557" i="10"/>
  <c r="L557" i="10"/>
  <c r="H552" i="10"/>
  <c r="H566" i="10" s="1"/>
  <c r="G552" i="10"/>
  <c r="F552" i="10"/>
  <c r="W549" i="10"/>
  <c r="V549" i="10"/>
  <c r="U549" i="10"/>
  <c r="T549" i="10"/>
  <c r="S549" i="10"/>
  <c r="R549" i="10"/>
  <c r="Q549" i="10"/>
  <c r="P549" i="10"/>
  <c r="O549" i="10"/>
  <c r="N549" i="10"/>
  <c r="M549" i="10"/>
  <c r="L549" i="10"/>
  <c r="K549" i="10"/>
  <c r="J549" i="10"/>
  <c r="I549" i="10"/>
  <c r="F549" i="10" s="1"/>
  <c r="W548" i="10"/>
  <c r="V548" i="10"/>
  <c r="U548" i="10"/>
  <c r="T548" i="10"/>
  <c r="S548" i="10"/>
  <c r="R548" i="10"/>
  <c r="Q548" i="10"/>
  <c r="P548" i="10"/>
  <c r="O548" i="10"/>
  <c r="N548" i="10"/>
  <c r="M548" i="10"/>
  <c r="L548" i="10"/>
  <c r="K548" i="10"/>
  <c r="H548" i="10" s="1"/>
  <c r="J548" i="10"/>
  <c r="I548" i="10"/>
  <c r="G548" i="10"/>
  <c r="W545" i="10"/>
  <c r="V545" i="10"/>
  <c r="U545" i="10"/>
  <c r="T545" i="10"/>
  <c r="S545" i="10"/>
  <c r="R545" i="10"/>
  <c r="Q545" i="10"/>
  <c r="P545" i="10"/>
  <c r="O545" i="10"/>
  <c r="N545" i="10"/>
  <c r="M545" i="10"/>
  <c r="L545" i="10"/>
  <c r="K545" i="10"/>
  <c r="H545" i="10" s="1"/>
  <c r="J545" i="10"/>
  <c r="I545" i="10"/>
  <c r="F545" i="10" s="1"/>
  <c r="W544" i="10"/>
  <c r="V544" i="10"/>
  <c r="U544" i="10"/>
  <c r="T544" i="10"/>
  <c r="S544" i="10"/>
  <c r="G544" i="10" s="1"/>
  <c r="R544" i="10"/>
  <c r="Q544" i="10"/>
  <c r="P544" i="10"/>
  <c r="O544" i="10"/>
  <c r="N544" i="10"/>
  <c r="M544" i="10"/>
  <c r="L544" i="10"/>
  <c r="K544" i="10"/>
  <c r="H544" i="10" s="1"/>
  <c r="J544" i="10"/>
  <c r="I544" i="10"/>
  <c r="I539" i="10"/>
  <c r="W538" i="10"/>
  <c r="V538" i="10"/>
  <c r="U538" i="10"/>
  <c r="T538" i="10"/>
  <c r="S538" i="10"/>
  <c r="R538" i="10"/>
  <c r="Q538" i="10"/>
  <c r="P538" i="10"/>
  <c r="O538" i="10"/>
  <c r="N538" i="10"/>
  <c r="M538" i="10"/>
  <c r="L538" i="10"/>
  <c r="F538" i="10" s="1"/>
  <c r="K538" i="10"/>
  <c r="H538" i="10" s="1"/>
  <c r="J538" i="10"/>
  <c r="I538" i="10"/>
  <c r="G538" i="10"/>
  <c r="W537" i="10"/>
  <c r="V537" i="10"/>
  <c r="U537" i="10"/>
  <c r="T537" i="10"/>
  <c r="S537" i="10"/>
  <c r="R537" i="10"/>
  <c r="Q537" i="10"/>
  <c r="P537" i="10"/>
  <c r="O537" i="10"/>
  <c r="N537" i="10"/>
  <c r="M537" i="10"/>
  <c r="L537" i="10"/>
  <c r="K537" i="10"/>
  <c r="H537" i="10" s="1"/>
  <c r="J537" i="10"/>
  <c r="I537" i="10"/>
  <c r="F537" i="10" s="1"/>
  <c r="W536" i="10"/>
  <c r="V536" i="10"/>
  <c r="U536" i="10"/>
  <c r="T536" i="10"/>
  <c r="S536" i="10"/>
  <c r="G536" i="10" s="1"/>
  <c r="R536" i="10"/>
  <c r="Q536" i="10"/>
  <c r="P536" i="10"/>
  <c r="O536" i="10"/>
  <c r="N536" i="10"/>
  <c r="M536" i="10"/>
  <c r="L536" i="10"/>
  <c r="K536" i="10"/>
  <c r="H536" i="10" s="1"/>
  <c r="J536" i="10"/>
  <c r="I536" i="10"/>
  <c r="U534" i="10"/>
  <c r="M534" i="10"/>
  <c r="L534" i="10"/>
  <c r="W533" i="10"/>
  <c r="V533" i="10"/>
  <c r="U533" i="10"/>
  <c r="T533" i="10"/>
  <c r="S533" i="10"/>
  <c r="R533" i="10"/>
  <c r="Q533" i="10"/>
  <c r="P533" i="10"/>
  <c r="O533" i="10"/>
  <c r="N533" i="10"/>
  <c r="M533" i="10"/>
  <c r="L533" i="10"/>
  <c r="K533" i="10"/>
  <c r="H533" i="10" s="1"/>
  <c r="J533" i="10"/>
  <c r="I533" i="10"/>
  <c r="G533" i="10"/>
  <c r="W532" i="10"/>
  <c r="V532" i="10"/>
  <c r="U532" i="10"/>
  <c r="T532" i="10"/>
  <c r="S532" i="10"/>
  <c r="R532" i="10"/>
  <c r="Q532" i="10"/>
  <c r="P532" i="10"/>
  <c r="O532" i="10"/>
  <c r="N532" i="10"/>
  <c r="M532" i="10"/>
  <c r="L532" i="10"/>
  <c r="K532" i="10"/>
  <c r="H532" i="10" s="1"/>
  <c r="J532" i="10"/>
  <c r="I532" i="10"/>
  <c r="F532" i="10" s="1"/>
  <c r="W531" i="10"/>
  <c r="V531" i="10"/>
  <c r="U531" i="10"/>
  <c r="T531" i="10"/>
  <c r="S531" i="10"/>
  <c r="G531" i="10" s="1"/>
  <c r="R531" i="10"/>
  <c r="Q531" i="10"/>
  <c r="P531" i="10"/>
  <c r="O531" i="10"/>
  <c r="N531" i="10"/>
  <c r="M531" i="10"/>
  <c r="L531" i="10"/>
  <c r="K531" i="10"/>
  <c r="H531" i="10" s="1"/>
  <c r="J531" i="10"/>
  <c r="I531" i="10"/>
  <c r="W530" i="10"/>
  <c r="V530" i="10"/>
  <c r="U530" i="10"/>
  <c r="T530" i="10"/>
  <c r="S530" i="10"/>
  <c r="R530" i="10"/>
  <c r="Q530" i="10"/>
  <c r="P530" i="10"/>
  <c r="O530" i="10"/>
  <c r="N530" i="10"/>
  <c r="M530" i="10"/>
  <c r="L530" i="10"/>
  <c r="K530" i="10"/>
  <c r="H530" i="10" s="1"/>
  <c r="J530" i="10"/>
  <c r="G530" i="10" s="1"/>
  <c r="I530" i="10"/>
  <c r="F530" i="10" s="1"/>
  <c r="W529" i="10"/>
  <c r="V529" i="10"/>
  <c r="U529" i="10"/>
  <c r="T529" i="10"/>
  <c r="S529" i="10"/>
  <c r="G529" i="10" s="1"/>
  <c r="R529" i="10"/>
  <c r="Q529" i="10"/>
  <c r="P529" i="10"/>
  <c r="O529" i="10"/>
  <c r="N529" i="10"/>
  <c r="M529" i="10"/>
  <c r="L529" i="10"/>
  <c r="K529" i="10"/>
  <c r="H529" i="10" s="1"/>
  <c r="J529" i="10"/>
  <c r="I529" i="10"/>
  <c r="F529" i="10" s="1"/>
  <c r="W528" i="10"/>
  <c r="V528" i="10"/>
  <c r="U528" i="10"/>
  <c r="T528" i="10"/>
  <c r="S528" i="10"/>
  <c r="R528" i="10"/>
  <c r="Q528" i="10"/>
  <c r="P528" i="10"/>
  <c r="O528" i="10"/>
  <c r="N528" i="10"/>
  <c r="M528" i="10"/>
  <c r="L528" i="10"/>
  <c r="K528" i="10"/>
  <c r="J528" i="10"/>
  <c r="G528" i="10" s="1"/>
  <c r="I528" i="10"/>
  <c r="F528" i="10" s="1"/>
  <c r="W527" i="10"/>
  <c r="V527" i="10"/>
  <c r="U527" i="10"/>
  <c r="T527" i="10"/>
  <c r="S527" i="10"/>
  <c r="R527" i="10"/>
  <c r="Q527" i="10"/>
  <c r="P527" i="10"/>
  <c r="O527" i="10"/>
  <c r="N527" i="10"/>
  <c r="M527" i="10"/>
  <c r="L527" i="10"/>
  <c r="K527" i="10"/>
  <c r="H527" i="10" s="1"/>
  <c r="J527" i="10"/>
  <c r="I527" i="10"/>
  <c r="F527" i="10" s="1"/>
  <c r="G527" i="10"/>
  <c r="W526" i="10"/>
  <c r="V526" i="10"/>
  <c r="U526" i="10"/>
  <c r="T526" i="10"/>
  <c r="S526" i="10"/>
  <c r="R526" i="10"/>
  <c r="Q526" i="10"/>
  <c r="P526" i="10"/>
  <c r="O526" i="10"/>
  <c r="N526" i="10"/>
  <c r="M526" i="10"/>
  <c r="L526" i="10"/>
  <c r="K526" i="10"/>
  <c r="J526" i="10"/>
  <c r="I526" i="10"/>
  <c r="F526" i="10" s="1"/>
  <c r="W525" i="10"/>
  <c r="V525" i="10"/>
  <c r="U525" i="10"/>
  <c r="T525" i="10"/>
  <c r="S525" i="10"/>
  <c r="R525" i="10"/>
  <c r="Q525" i="10"/>
  <c r="P525" i="10"/>
  <c r="O525" i="10"/>
  <c r="O540" i="10" s="1"/>
  <c r="O564" i="10" s="1"/>
  <c r="N525" i="10"/>
  <c r="M525" i="10"/>
  <c r="L525" i="10"/>
  <c r="K525" i="10"/>
  <c r="H525" i="10" s="1"/>
  <c r="J525" i="10"/>
  <c r="I525" i="10"/>
  <c r="G525" i="10"/>
  <c r="W524" i="10"/>
  <c r="V524" i="10"/>
  <c r="U524" i="10"/>
  <c r="U540" i="10" s="1"/>
  <c r="U564" i="10" s="1"/>
  <c r="T524" i="10"/>
  <c r="S524" i="10"/>
  <c r="R524" i="10"/>
  <c r="Q524" i="10"/>
  <c r="P524" i="10"/>
  <c r="O524" i="10"/>
  <c r="N524" i="10"/>
  <c r="M524" i="10"/>
  <c r="L524" i="10"/>
  <c r="K524" i="10"/>
  <c r="H524" i="10" s="1"/>
  <c r="J524" i="10"/>
  <c r="I524" i="10"/>
  <c r="W520" i="10"/>
  <c r="T520" i="10"/>
  <c r="S520" i="10"/>
  <c r="R520" i="10"/>
  <c r="Q520" i="10"/>
  <c r="P520" i="10"/>
  <c r="O520" i="10"/>
  <c r="N520" i="10"/>
  <c r="M520" i="10"/>
  <c r="L520" i="10"/>
  <c r="K520" i="10"/>
  <c r="H520" i="10" s="1"/>
  <c r="J520" i="10"/>
  <c r="I520" i="10"/>
  <c r="V519" i="10"/>
  <c r="V557" i="10" s="1"/>
  <c r="U519" i="10"/>
  <c r="U557" i="10" s="1"/>
  <c r="S519" i="10"/>
  <c r="S557" i="10" s="1"/>
  <c r="R519" i="10"/>
  <c r="R557" i="10" s="1"/>
  <c r="P519" i="10"/>
  <c r="O519" i="10"/>
  <c r="O557" i="10" s="1"/>
  <c r="N519" i="10"/>
  <c r="N557" i="10" s="1"/>
  <c r="M519" i="10"/>
  <c r="M557" i="10" s="1"/>
  <c r="L519" i="10"/>
  <c r="F519" i="10" s="1"/>
  <c r="F557" i="10" s="1"/>
  <c r="K519" i="10"/>
  <c r="J519" i="10"/>
  <c r="J557" i="10" s="1"/>
  <c r="I519" i="10"/>
  <c r="I557" i="10" s="1"/>
  <c r="G519" i="10"/>
  <c r="G557" i="10" s="1"/>
  <c r="W518" i="10"/>
  <c r="V518" i="10"/>
  <c r="U518" i="10"/>
  <c r="T518" i="10"/>
  <c r="S518" i="10"/>
  <c r="R518" i="10"/>
  <c r="Q518" i="10"/>
  <c r="P518" i="10"/>
  <c r="O518" i="10"/>
  <c r="N518" i="10"/>
  <c r="M518" i="10"/>
  <c r="L518" i="10"/>
  <c r="K518" i="10"/>
  <c r="H518" i="10" s="1"/>
  <c r="J518" i="10"/>
  <c r="I518" i="10"/>
  <c r="F518" i="10" s="1"/>
  <c r="W517" i="10"/>
  <c r="W558" i="10" s="1"/>
  <c r="V517" i="10"/>
  <c r="U517" i="10"/>
  <c r="U558" i="10" s="1"/>
  <c r="S517" i="10"/>
  <c r="S558" i="10" s="1"/>
  <c r="R517" i="10"/>
  <c r="R521" i="10" s="1"/>
  <c r="P517" i="10"/>
  <c r="P558" i="10" s="1"/>
  <c r="O517" i="10"/>
  <c r="O558" i="10" s="1"/>
  <c r="M517" i="10"/>
  <c r="M558" i="10" s="1"/>
  <c r="L517" i="10"/>
  <c r="L558" i="10" s="1"/>
  <c r="W510" i="10"/>
  <c r="T510" i="10"/>
  <c r="Q510" i="10"/>
  <c r="N510" i="10"/>
  <c r="K510" i="10"/>
  <c r="H509" i="10"/>
  <c r="V508" i="10"/>
  <c r="U508" i="10"/>
  <c r="S508" i="10"/>
  <c r="R508" i="10"/>
  <c r="P508" i="10"/>
  <c r="O508" i="10"/>
  <c r="M508" i="10"/>
  <c r="L508" i="10"/>
  <c r="K508" i="10"/>
  <c r="J508" i="10"/>
  <c r="I508" i="10"/>
  <c r="J507" i="10"/>
  <c r="H505" i="10"/>
  <c r="G505" i="10"/>
  <c r="F505" i="10"/>
  <c r="W504" i="10"/>
  <c r="V504" i="10"/>
  <c r="T504" i="10"/>
  <c r="S504" i="10"/>
  <c r="Q504" i="10"/>
  <c r="P504" i="10"/>
  <c r="N504" i="10"/>
  <c r="M504" i="10"/>
  <c r="J504" i="10"/>
  <c r="W503" i="10"/>
  <c r="V503" i="10"/>
  <c r="U503" i="10"/>
  <c r="T503" i="10"/>
  <c r="S503" i="10"/>
  <c r="R503" i="10"/>
  <c r="Q503" i="10"/>
  <c r="P503" i="10"/>
  <c r="O503" i="10"/>
  <c r="N503" i="10"/>
  <c r="M503" i="10"/>
  <c r="L503" i="10"/>
  <c r="K503" i="10"/>
  <c r="J503" i="10"/>
  <c r="I503" i="10"/>
  <c r="W502" i="10"/>
  <c r="V502" i="10"/>
  <c r="U502" i="10"/>
  <c r="T502" i="10"/>
  <c r="S502" i="10"/>
  <c r="R502" i="10"/>
  <c r="Q502" i="10"/>
  <c r="P502" i="10"/>
  <c r="O502" i="10"/>
  <c r="N502" i="10"/>
  <c r="M502" i="10"/>
  <c r="L502" i="10"/>
  <c r="K502" i="10"/>
  <c r="J502" i="10"/>
  <c r="I502" i="10"/>
  <c r="W501" i="10"/>
  <c r="V501" i="10"/>
  <c r="U501" i="10"/>
  <c r="T501" i="10"/>
  <c r="S501" i="10"/>
  <c r="R501" i="10"/>
  <c r="Q501" i="10"/>
  <c r="P501" i="10"/>
  <c r="O501" i="10"/>
  <c r="N501" i="10"/>
  <c r="M501" i="10"/>
  <c r="L501" i="10"/>
  <c r="K501" i="10"/>
  <c r="J501" i="10"/>
  <c r="I501" i="10"/>
  <c r="W500" i="10"/>
  <c r="V500" i="10"/>
  <c r="U500" i="10"/>
  <c r="T500" i="10"/>
  <c r="S500" i="10"/>
  <c r="R500" i="10"/>
  <c r="Q500" i="10"/>
  <c r="P500" i="10"/>
  <c r="O500" i="10"/>
  <c r="N500" i="10"/>
  <c r="M500" i="10"/>
  <c r="L500" i="10"/>
  <c r="K500" i="10"/>
  <c r="J500" i="10"/>
  <c r="I500" i="10"/>
  <c r="H500" i="10"/>
  <c r="H495" i="10"/>
  <c r="H510" i="10" s="1"/>
  <c r="G495" i="10"/>
  <c r="F495" i="10"/>
  <c r="H492" i="10"/>
  <c r="G492" i="10"/>
  <c r="F492" i="10"/>
  <c r="H491" i="10"/>
  <c r="G491" i="10"/>
  <c r="F491" i="10"/>
  <c r="H488" i="10"/>
  <c r="G488" i="10"/>
  <c r="F488" i="10"/>
  <c r="H487" i="10"/>
  <c r="G487" i="10"/>
  <c r="F487" i="10"/>
  <c r="V484" i="10"/>
  <c r="V510" i="10" s="1"/>
  <c r="S484" i="10"/>
  <c r="S510" i="10" s="1"/>
  <c r="R484" i="10"/>
  <c r="R510" i="10" s="1"/>
  <c r="O484" i="10"/>
  <c r="O510" i="10" s="1"/>
  <c r="N484" i="10"/>
  <c r="K484" i="10"/>
  <c r="J484" i="10"/>
  <c r="J510" i="10" s="1"/>
  <c r="W483" i="10"/>
  <c r="W507" i="10" s="1"/>
  <c r="V483" i="10"/>
  <c r="V507" i="10" s="1"/>
  <c r="U483" i="10"/>
  <c r="U507" i="10" s="1"/>
  <c r="T483" i="10"/>
  <c r="T507" i="10" s="1"/>
  <c r="S483" i="10"/>
  <c r="S507" i="10" s="1"/>
  <c r="R483" i="10"/>
  <c r="R507" i="10" s="1"/>
  <c r="Q483" i="10"/>
  <c r="P483" i="10"/>
  <c r="P507" i="10" s="1"/>
  <c r="O483" i="10"/>
  <c r="O507" i="10" s="1"/>
  <c r="N483" i="10"/>
  <c r="N507" i="10" s="1"/>
  <c r="M483" i="10"/>
  <c r="M507" i="10" s="1"/>
  <c r="L483" i="10"/>
  <c r="L507" i="10" s="1"/>
  <c r="K483" i="10"/>
  <c r="K507" i="10" s="1"/>
  <c r="J483" i="10"/>
  <c r="I483" i="10"/>
  <c r="H482" i="10"/>
  <c r="G482" i="10"/>
  <c r="F482" i="10"/>
  <c r="H481" i="10"/>
  <c r="G481" i="10"/>
  <c r="F481" i="10"/>
  <c r="H480" i="10"/>
  <c r="G480" i="10"/>
  <c r="F480" i="10"/>
  <c r="H479" i="10"/>
  <c r="G479" i="10"/>
  <c r="F479" i="10"/>
  <c r="H477" i="10"/>
  <c r="G477" i="10"/>
  <c r="F477" i="10"/>
  <c r="H476" i="10"/>
  <c r="G476" i="10"/>
  <c r="F476" i="10"/>
  <c r="H475" i="10"/>
  <c r="G475" i="10"/>
  <c r="F475" i="10"/>
  <c r="H474" i="10"/>
  <c r="G474" i="10"/>
  <c r="F474" i="10"/>
  <c r="H473" i="10"/>
  <c r="G473" i="10"/>
  <c r="F473" i="10"/>
  <c r="H472" i="10"/>
  <c r="G472" i="10"/>
  <c r="F472" i="10"/>
  <c r="H471" i="10"/>
  <c r="G471" i="10"/>
  <c r="F471" i="10"/>
  <c r="H470" i="10"/>
  <c r="G470" i="10"/>
  <c r="F470" i="10"/>
  <c r="H469" i="10"/>
  <c r="G469" i="10"/>
  <c r="F469" i="10"/>
  <c r="H468" i="10"/>
  <c r="G468" i="10"/>
  <c r="F468" i="10"/>
  <c r="H467" i="10"/>
  <c r="G467" i="10"/>
  <c r="F467" i="10"/>
  <c r="W464" i="10"/>
  <c r="V464" i="10"/>
  <c r="V506" i="10" s="1"/>
  <c r="U464" i="10"/>
  <c r="U506" i="10" s="1"/>
  <c r="T464" i="10"/>
  <c r="S464" i="10"/>
  <c r="S506" i="10" s="1"/>
  <c r="R464" i="10"/>
  <c r="R506" i="10" s="1"/>
  <c r="Q464" i="10"/>
  <c r="Q506" i="10" s="1"/>
  <c r="P464" i="10"/>
  <c r="O464" i="10"/>
  <c r="O506" i="10" s="1"/>
  <c r="N464" i="10"/>
  <c r="N506" i="10" s="1"/>
  <c r="M464" i="10"/>
  <c r="M506" i="10" s="1"/>
  <c r="L464" i="10"/>
  <c r="L484" i="10" s="1"/>
  <c r="L510" i="10" s="1"/>
  <c r="K464" i="10"/>
  <c r="K506" i="10" s="1"/>
  <c r="J464" i="10"/>
  <c r="I464" i="10"/>
  <c r="H464" i="10"/>
  <c r="H463" i="10"/>
  <c r="G463" i="10"/>
  <c r="F463" i="10"/>
  <c r="H462" i="10"/>
  <c r="G462" i="10"/>
  <c r="G500" i="10" s="1"/>
  <c r="F462" i="10"/>
  <c r="H461" i="10"/>
  <c r="G461" i="10"/>
  <c r="F461" i="10"/>
  <c r="H460" i="10"/>
  <c r="H501" i="10" s="1"/>
  <c r="G460" i="10"/>
  <c r="F460" i="10"/>
  <c r="F501" i="10" s="1"/>
  <c r="W453" i="10"/>
  <c r="T453" i="10"/>
  <c r="Q453" i="10"/>
  <c r="N453" i="10"/>
  <c r="K453" i="10"/>
  <c r="H452" i="10"/>
  <c r="V451" i="10"/>
  <c r="U451" i="10"/>
  <c r="S451" i="10"/>
  <c r="R451" i="10"/>
  <c r="P451" i="10"/>
  <c r="O451" i="10"/>
  <c r="M451" i="10"/>
  <c r="L451" i="10"/>
  <c r="K451" i="10"/>
  <c r="J451" i="10"/>
  <c r="I451" i="10"/>
  <c r="S450" i="10"/>
  <c r="M449" i="10"/>
  <c r="I449" i="10"/>
  <c r="H448" i="10"/>
  <c r="G448" i="10"/>
  <c r="F448" i="10"/>
  <c r="W447" i="10"/>
  <c r="V447" i="10"/>
  <c r="T447" i="10"/>
  <c r="S447" i="10"/>
  <c r="Q447" i="10"/>
  <c r="P447" i="10"/>
  <c r="N447" i="10"/>
  <c r="M447" i="10"/>
  <c r="J447" i="10"/>
  <c r="W446" i="10"/>
  <c r="V446" i="10"/>
  <c r="U446" i="10"/>
  <c r="T446" i="10"/>
  <c r="S446" i="10"/>
  <c r="R446" i="10"/>
  <c r="Q446" i="10"/>
  <c r="P446" i="10"/>
  <c r="O446" i="10"/>
  <c r="N446" i="10"/>
  <c r="M446" i="10"/>
  <c r="L446" i="10"/>
  <c r="K446" i="10"/>
  <c r="J446" i="10"/>
  <c r="I446" i="10"/>
  <c r="W445" i="10"/>
  <c r="V445" i="10"/>
  <c r="U445" i="10"/>
  <c r="T445" i="10"/>
  <c r="S445" i="10"/>
  <c r="R445" i="10"/>
  <c r="Q445" i="10"/>
  <c r="P445" i="10"/>
  <c r="O445" i="10"/>
  <c r="N445" i="10"/>
  <c r="M445" i="10"/>
  <c r="L445" i="10"/>
  <c r="K445" i="10"/>
  <c r="J445" i="10"/>
  <c r="I445" i="10"/>
  <c r="W444" i="10"/>
  <c r="V444" i="10"/>
  <c r="U444" i="10"/>
  <c r="T444" i="10"/>
  <c r="S444" i="10"/>
  <c r="R444" i="10"/>
  <c r="Q444" i="10"/>
  <c r="P444" i="10"/>
  <c r="O444" i="10"/>
  <c r="N444" i="10"/>
  <c r="M444" i="10"/>
  <c r="L444" i="10"/>
  <c r="K444" i="10"/>
  <c r="J444" i="10"/>
  <c r="I444" i="10"/>
  <c r="F444" i="10"/>
  <c r="W443" i="10"/>
  <c r="V443" i="10"/>
  <c r="U443" i="10"/>
  <c r="T443" i="10"/>
  <c r="S443" i="10"/>
  <c r="R443" i="10"/>
  <c r="Q443" i="10"/>
  <c r="P443" i="10"/>
  <c r="O443" i="10"/>
  <c r="N443" i="10"/>
  <c r="M443" i="10"/>
  <c r="L443" i="10"/>
  <c r="K443" i="10"/>
  <c r="J443" i="10"/>
  <c r="I443" i="10"/>
  <c r="H443" i="10"/>
  <c r="H438" i="10"/>
  <c r="H453" i="10" s="1"/>
  <c r="G438" i="10"/>
  <c r="F438" i="10"/>
  <c r="H435" i="10"/>
  <c r="G435" i="10"/>
  <c r="F435" i="10"/>
  <c r="H434" i="10"/>
  <c r="G434" i="10"/>
  <c r="F434" i="10"/>
  <c r="H431" i="10"/>
  <c r="G431" i="10"/>
  <c r="F431" i="10"/>
  <c r="H430" i="10"/>
  <c r="G430" i="10"/>
  <c r="G443" i="10" s="1"/>
  <c r="F430" i="10"/>
  <c r="M427" i="10"/>
  <c r="M453" i="10" s="1"/>
  <c r="L427" i="10"/>
  <c r="L453" i="10" s="1"/>
  <c r="I427" i="10"/>
  <c r="W426" i="10"/>
  <c r="W450" i="10" s="1"/>
  <c r="V426" i="10"/>
  <c r="V450" i="10" s="1"/>
  <c r="S426" i="10"/>
  <c r="R426" i="10"/>
  <c r="R450" i="10" s="1"/>
  <c r="O426" i="10"/>
  <c r="N426" i="10"/>
  <c r="N450" i="10" s="1"/>
  <c r="M426" i="10"/>
  <c r="M450" i="10" s="1"/>
  <c r="L426" i="10"/>
  <c r="L450" i="10" s="1"/>
  <c r="K426" i="10"/>
  <c r="J426" i="10"/>
  <c r="J450" i="10" s="1"/>
  <c r="I426" i="10"/>
  <c r="I450" i="10" s="1"/>
  <c r="H425" i="10"/>
  <c r="G425" i="10"/>
  <c r="F425" i="10"/>
  <c r="H424" i="10"/>
  <c r="G424" i="10"/>
  <c r="F424" i="10"/>
  <c r="H423" i="10"/>
  <c r="G423" i="10"/>
  <c r="F423" i="10"/>
  <c r="H422" i="10"/>
  <c r="G422" i="10"/>
  <c r="F422" i="10"/>
  <c r="W420" i="10"/>
  <c r="V420" i="10"/>
  <c r="U420" i="10"/>
  <c r="T420" i="10"/>
  <c r="T426" i="10" s="1"/>
  <c r="S420" i="10"/>
  <c r="R420" i="10"/>
  <c r="Q420" i="10"/>
  <c r="P420" i="10"/>
  <c r="P426" i="10" s="1"/>
  <c r="O420" i="10"/>
  <c r="G420" i="10"/>
  <c r="H419" i="10"/>
  <c r="G419" i="10"/>
  <c r="F419" i="10"/>
  <c r="H418" i="10"/>
  <c r="G418" i="10"/>
  <c r="F418" i="10"/>
  <c r="H417" i="10"/>
  <c r="G417" i="10"/>
  <c r="F417" i="10"/>
  <c r="H416" i="10"/>
  <c r="G416" i="10"/>
  <c r="F416" i="10"/>
  <c r="H415" i="10"/>
  <c r="G415" i="10"/>
  <c r="F415" i="10"/>
  <c r="H414" i="10"/>
  <c r="G414" i="10"/>
  <c r="F414" i="10"/>
  <c r="H413" i="10"/>
  <c r="G413" i="10"/>
  <c r="F413" i="10"/>
  <c r="H412" i="10"/>
  <c r="G412" i="10"/>
  <c r="F412" i="10"/>
  <c r="H411" i="10"/>
  <c r="G411" i="10"/>
  <c r="F411" i="10"/>
  <c r="H410" i="10"/>
  <c r="G410" i="10"/>
  <c r="F410" i="10"/>
  <c r="W407" i="10"/>
  <c r="V407" i="10"/>
  <c r="V449" i="10" s="1"/>
  <c r="U407" i="10"/>
  <c r="T407" i="10"/>
  <c r="T449" i="10" s="1"/>
  <c r="S407" i="10"/>
  <c r="R407" i="10"/>
  <c r="R449" i="10" s="1"/>
  <c r="Q407" i="10"/>
  <c r="P407" i="10"/>
  <c r="P449" i="10" s="1"/>
  <c r="O407" i="10"/>
  <c r="N407" i="10"/>
  <c r="N449" i="10" s="1"/>
  <c r="M407" i="10"/>
  <c r="L407" i="10"/>
  <c r="L449" i="10" s="1"/>
  <c r="K407" i="10"/>
  <c r="J407" i="10"/>
  <c r="J449" i="10" s="1"/>
  <c r="I407" i="10"/>
  <c r="H406" i="10"/>
  <c r="G406" i="10"/>
  <c r="F406" i="10"/>
  <c r="H405" i="10"/>
  <c r="G405" i="10"/>
  <c r="F405" i="10"/>
  <c r="F443" i="10" s="1"/>
  <c r="H404" i="10"/>
  <c r="G404" i="10"/>
  <c r="F404" i="10"/>
  <c r="H403" i="10"/>
  <c r="H444" i="10" s="1"/>
  <c r="G403" i="10"/>
  <c r="G444" i="10" s="1"/>
  <c r="F403" i="10"/>
  <c r="W396" i="10"/>
  <c r="T396" i="10"/>
  <c r="Q396" i="10"/>
  <c r="N396" i="10"/>
  <c r="K396" i="10"/>
  <c r="H395" i="10"/>
  <c r="V394" i="10"/>
  <c r="U394" i="10"/>
  <c r="T394" i="10"/>
  <c r="S394" i="10"/>
  <c r="R394" i="10"/>
  <c r="P394" i="10"/>
  <c r="O394" i="10"/>
  <c r="M394" i="10"/>
  <c r="L394" i="10"/>
  <c r="K394" i="10"/>
  <c r="J394" i="10"/>
  <c r="I394" i="10"/>
  <c r="V392" i="10"/>
  <c r="U392" i="10"/>
  <c r="R392" i="10"/>
  <c r="Q392" i="10"/>
  <c r="N392" i="10"/>
  <c r="M392" i="10"/>
  <c r="J392" i="10"/>
  <c r="I392" i="10"/>
  <c r="H391" i="10"/>
  <c r="G391" i="10"/>
  <c r="F391" i="10"/>
  <c r="W390" i="10"/>
  <c r="V390" i="10"/>
  <c r="T390" i="10"/>
  <c r="S390" i="10"/>
  <c r="Q390" i="10"/>
  <c r="P390" i="10"/>
  <c r="N390" i="10"/>
  <c r="M390" i="10"/>
  <c r="K390" i="10"/>
  <c r="J390" i="10"/>
  <c r="W389" i="10"/>
  <c r="V389" i="10"/>
  <c r="U389" i="10"/>
  <c r="T389" i="10"/>
  <c r="S389" i="10"/>
  <c r="R389" i="10"/>
  <c r="Q389" i="10"/>
  <c r="P389" i="10"/>
  <c r="O389" i="10"/>
  <c r="N389" i="10"/>
  <c r="M389" i="10"/>
  <c r="L389" i="10"/>
  <c r="K389" i="10"/>
  <c r="J389" i="10"/>
  <c r="I389" i="10"/>
  <c r="W388" i="10"/>
  <c r="V388" i="10"/>
  <c r="U388" i="10"/>
  <c r="T388" i="10"/>
  <c r="S388" i="10"/>
  <c r="R388" i="10"/>
  <c r="Q388" i="10"/>
  <c r="P388" i="10"/>
  <c r="O388" i="10"/>
  <c r="N388" i="10"/>
  <c r="M388" i="10"/>
  <c r="L388" i="10"/>
  <c r="K388" i="10"/>
  <c r="J388" i="10"/>
  <c r="I388" i="10"/>
  <c r="W387" i="10"/>
  <c r="V387" i="10"/>
  <c r="U387" i="10"/>
  <c r="T387" i="10"/>
  <c r="S387" i="10"/>
  <c r="R387" i="10"/>
  <c r="Q387" i="10"/>
  <c r="P387" i="10"/>
  <c r="O387" i="10"/>
  <c r="N387" i="10"/>
  <c r="M387" i="10"/>
  <c r="L387" i="10"/>
  <c r="K387" i="10"/>
  <c r="J387" i="10"/>
  <c r="I387" i="10"/>
  <c r="G387" i="10"/>
  <c r="F387" i="10"/>
  <c r="W386" i="10"/>
  <c r="V386" i="10"/>
  <c r="U386" i="10"/>
  <c r="T386" i="10"/>
  <c r="S386" i="10"/>
  <c r="R386" i="10"/>
  <c r="Q386" i="10"/>
  <c r="P386" i="10"/>
  <c r="O386" i="10"/>
  <c r="N386" i="10"/>
  <c r="M386" i="10"/>
  <c r="L386" i="10"/>
  <c r="K386" i="10"/>
  <c r="J386" i="10"/>
  <c r="I386" i="10"/>
  <c r="H381" i="10"/>
  <c r="H396" i="10" s="1"/>
  <c r="G381" i="10"/>
  <c r="F381" i="10"/>
  <c r="H378" i="10"/>
  <c r="G378" i="10"/>
  <c r="F378" i="10"/>
  <c r="H377" i="10"/>
  <c r="G377" i="10"/>
  <c r="F377" i="10"/>
  <c r="H373" i="10"/>
  <c r="G373" i="10"/>
  <c r="F373" i="10"/>
  <c r="H372" i="10"/>
  <c r="G372" i="10"/>
  <c r="F372" i="10"/>
  <c r="V370" i="10"/>
  <c r="V396" i="10" s="1"/>
  <c r="R370" i="10"/>
  <c r="R396" i="10" s="1"/>
  <c r="N370" i="10"/>
  <c r="J370" i="10"/>
  <c r="W368" i="10"/>
  <c r="W539" i="10" s="1"/>
  <c r="V368" i="10"/>
  <c r="V539" i="10" s="1"/>
  <c r="U368" i="10"/>
  <c r="U539" i="10" s="1"/>
  <c r="T368" i="10"/>
  <c r="S368" i="10"/>
  <c r="S539" i="10" s="1"/>
  <c r="R368" i="10"/>
  <c r="R539" i="10" s="1"/>
  <c r="Q368" i="10"/>
  <c r="Q539" i="10" s="1"/>
  <c r="P368" i="10"/>
  <c r="O368" i="10"/>
  <c r="O539" i="10" s="1"/>
  <c r="N368" i="10"/>
  <c r="N539" i="10" s="1"/>
  <c r="M368" i="10"/>
  <c r="M539" i="10" s="1"/>
  <c r="L368" i="10"/>
  <c r="K368" i="10"/>
  <c r="K539" i="10" s="1"/>
  <c r="J368" i="10"/>
  <c r="J539" i="10" s="1"/>
  <c r="I368" i="10"/>
  <c r="H368" i="10"/>
  <c r="H392" i="10" s="1"/>
  <c r="H367" i="10"/>
  <c r="G367" i="10"/>
  <c r="F367" i="10"/>
  <c r="H366" i="10"/>
  <c r="G366" i="10"/>
  <c r="F366" i="10"/>
  <c r="H365" i="10"/>
  <c r="G365" i="10"/>
  <c r="F365" i="10"/>
  <c r="H364" i="10"/>
  <c r="G364" i="10"/>
  <c r="F364" i="10"/>
  <c r="H363" i="10"/>
  <c r="G363" i="10"/>
  <c r="F363" i="10"/>
  <c r="H362" i="10"/>
  <c r="G362" i="10"/>
  <c r="F362" i="10"/>
  <c r="H361" i="10"/>
  <c r="G361" i="10"/>
  <c r="F361" i="10"/>
  <c r="H360" i="10"/>
  <c r="G360" i="10"/>
  <c r="F360" i="10"/>
  <c r="H359" i="10"/>
  <c r="G359" i="10"/>
  <c r="F359" i="10"/>
  <c r="H358" i="10"/>
  <c r="G358" i="10"/>
  <c r="F358" i="10"/>
  <c r="H357" i="10"/>
  <c r="G357" i="10"/>
  <c r="F357" i="10"/>
  <c r="H356" i="10"/>
  <c r="G356" i="10"/>
  <c r="F356" i="10"/>
  <c r="H355" i="10"/>
  <c r="G355" i="10"/>
  <c r="F355" i="10"/>
  <c r="H354" i="10"/>
  <c r="G354" i="10"/>
  <c r="F354" i="10"/>
  <c r="H353" i="10"/>
  <c r="G353" i="10"/>
  <c r="F353" i="10"/>
  <c r="F352" i="10"/>
  <c r="F351" i="10"/>
  <c r="W350" i="10"/>
  <c r="W370" i="10" s="1"/>
  <c r="V350" i="10"/>
  <c r="U350" i="10"/>
  <c r="T350" i="10"/>
  <c r="S350" i="10"/>
  <c r="S370" i="10" s="1"/>
  <c r="S396" i="10" s="1"/>
  <c r="R350" i="10"/>
  <c r="Q350" i="10"/>
  <c r="Q370" i="10" s="1"/>
  <c r="P350" i="10"/>
  <c r="O350" i="10"/>
  <c r="O370" i="10" s="1"/>
  <c r="O396" i="10" s="1"/>
  <c r="N350" i="10"/>
  <c r="M350" i="10"/>
  <c r="L350" i="10"/>
  <c r="K350" i="10"/>
  <c r="K370" i="10" s="1"/>
  <c r="J350" i="10"/>
  <c r="H350" i="10"/>
  <c r="H349" i="10"/>
  <c r="G349" i="10"/>
  <c r="F349" i="10"/>
  <c r="H348" i="10"/>
  <c r="G348" i="10"/>
  <c r="F348" i="10"/>
  <c r="H347" i="10"/>
  <c r="H386" i="10" s="1"/>
  <c r="G347" i="10"/>
  <c r="G386" i="10" s="1"/>
  <c r="F347" i="10"/>
  <c r="H346" i="10"/>
  <c r="H387" i="10" s="1"/>
  <c r="G346" i="10"/>
  <c r="F346" i="10"/>
  <c r="W339" i="10"/>
  <c r="V339" i="10"/>
  <c r="U339" i="10"/>
  <c r="T339" i="10"/>
  <c r="S339" i="10"/>
  <c r="R339" i="10"/>
  <c r="Q339" i="10"/>
  <c r="P339" i="10"/>
  <c r="O339" i="10"/>
  <c r="N339" i="10"/>
  <c r="M339" i="10"/>
  <c r="L339" i="10"/>
  <c r="K339" i="10"/>
  <c r="J339" i="10"/>
  <c r="I339" i="10"/>
  <c r="F339" i="10"/>
  <c r="V337" i="10"/>
  <c r="U337" i="10"/>
  <c r="S337" i="10"/>
  <c r="R337" i="10"/>
  <c r="P337" i="10"/>
  <c r="O337" i="10"/>
  <c r="M337" i="10"/>
  <c r="L337" i="10"/>
  <c r="K337" i="10"/>
  <c r="J337" i="10"/>
  <c r="I337" i="10"/>
  <c r="W335" i="10"/>
  <c r="V335" i="10"/>
  <c r="S335" i="10"/>
  <c r="R335" i="10"/>
  <c r="O335" i="10"/>
  <c r="N335" i="10"/>
  <c r="K335" i="10"/>
  <c r="J335" i="10"/>
  <c r="H334" i="10"/>
  <c r="G334" i="10"/>
  <c r="F334" i="10"/>
  <c r="W333" i="10"/>
  <c r="V333" i="10"/>
  <c r="T333" i="10"/>
  <c r="S333" i="10"/>
  <c r="Q333" i="10"/>
  <c r="P333" i="10"/>
  <c r="N333" i="10"/>
  <c r="M333" i="10"/>
  <c r="J333" i="10"/>
  <c r="G333" i="10"/>
  <c r="W332" i="10"/>
  <c r="V332" i="10"/>
  <c r="U332" i="10"/>
  <c r="T332" i="10"/>
  <c r="S332" i="10"/>
  <c r="R332" i="10"/>
  <c r="Q332" i="10"/>
  <c r="P332" i="10"/>
  <c r="O332" i="10"/>
  <c r="N332" i="10"/>
  <c r="M332" i="10"/>
  <c r="L332" i="10"/>
  <c r="K332" i="10"/>
  <c r="J332" i="10"/>
  <c r="I332" i="10"/>
  <c r="H332" i="10"/>
  <c r="W331" i="10"/>
  <c r="V331" i="10"/>
  <c r="U331" i="10"/>
  <c r="T331" i="10"/>
  <c r="S331" i="10"/>
  <c r="R331" i="10"/>
  <c r="Q331" i="10"/>
  <c r="P331" i="10"/>
  <c r="O331" i="10"/>
  <c r="N331" i="10"/>
  <c r="M331" i="10"/>
  <c r="L331" i="10"/>
  <c r="K331" i="10"/>
  <c r="J331" i="10"/>
  <c r="I331" i="10"/>
  <c r="W330" i="10"/>
  <c r="V330" i="10"/>
  <c r="U330" i="10"/>
  <c r="T330" i="10"/>
  <c r="S330" i="10"/>
  <c r="R330" i="10"/>
  <c r="Q330" i="10"/>
  <c r="P330" i="10"/>
  <c r="O330" i="10"/>
  <c r="N330" i="10"/>
  <c r="M330" i="10"/>
  <c r="L330" i="10"/>
  <c r="K330" i="10"/>
  <c r="J330" i="10"/>
  <c r="I330" i="10"/>
  <c r="W329" i="10"/>
  <c r="V329" i="10"/>
  <c r="U329" i="10"/>
  <c r="T329" i="10"/>
  <c r="S329" i="10"/>
  <c r="R329" i="10"/>
  <c r="Q329" i="10"/>
  <c r="P329" i="10"/>
  <c r="O329" i="10"/>
  <c r="N329" i="10"/>
  <c r="M329" i="10"/>
  <c r="L329" i="10"/>
  <c r="K329" i="10"/>
  <c r="J329" i="10"/>
  <c r="I329" i="10"/>
  <c r="H329" i="10"/>
  <c r="G329" i="10"/>
  <c r="F329" i="10"/>
  <c r="H324" i="10"/>
  <c r="H338" i="10" s="1"/>
  <c r="G324" i="10"/>
  <c r="G339" i="10" s="1"/>
  <c r="F324" i="10"/>
  <c r="H320" i="10"/>
  <c r="G320" i="10"/>
  <c r="F320" i="10"/>
  <c r="H319" i="10"/>
  <c r="G319" i="10"/>
  <c r="F319" i="10"/>
  <c r="H316" i="10"/>
  <c r="G316" i="10"/>
  <c r="F316" i="10"/>
  <c r="H315" i="10"/>
  <c r="G315" i="10"/>
  <c r="F315" i="10"/>
  <c r="W312" i="10"/>
  <c r="V312" i="10"/>
  <c r="S312" i="10"/>
  <c r="R312" i="10"/>
  <c r="O312" i="10"/>
  <c r="N312" i="10"/>
  <c r="K312" i="10"/>
  <c r="J312" i="10"/>
  <c r="W311" i="10"/>
  <c r="V311" i="10"/>
  <c r="U311" i="10"/>
  <c r="T311" i="10"/>
  <c r="S311" i="10"/>
  <c r="R311" i="10"/>
  <c r="Q311" i="10"/>
  <c r="H311" i="10" s="1"/>
  <c r="P311" i="10"/>
  <c r="O311" i="10"/>
  <c r="N311" i="10"/>
  <c r="M311" i="10"/>
  <c r="G311" i="10" s="1"/>
  <c r="L311" i="10"/>
  <c r="K311" i="10"/>
  <c r="J311" i="10"/>
  <c r="I311" i="10"/>
  <c r="F311" i="10" s="1"/>
  <c r="H310" i="10"/>
  <c r="G310" i="10"/>
  <c r="F310" i="10"/>
  <c r="H309" i="10"/>
  <c r="G309" i="10"/>
  <c r="F309" i="10"/>
  <c r="H308" i="10"/>
  <c r="G308" i="10"/>
  <c r="F308" i="10"/>
  <c r="H307" i="10"/>
  <c r="G307" i="10"/>
  <c r="F307" i="10"/>
  <c r="H305" i="10"/>
  <c r="G305" i="10"/>
  <c r="F305" i="10"/>
  <c r="H304" i="10"/>
  <c r="G304" i="10"/>
  <c r="F304" i="10"/>
  <c r="H303" i="10"/>
  <c r="G303" i="10"/>
  <c r="F303" i="10"/>
  <c r="H302" i="10"/>
  <c r="G302" i="10"/>
  <c r="F302" i="10"/>
  <c r="H301" i="10"/>
  <c r="G301" i="10"/>
  <c r="F301" i="10"/>
  <c r="H300" i="10"/>
  <c r="G300" i="10"/>
  <c r="F300" i="10"/>
  <c r="H299" i="10"/>
  <c r="G299" i="10"/>
  <c r="F299" i="10"/>
  <c r="H298" i="10"/>
  <c r="G298" i="10"/>
  <c r="F298" i="10"/>
  <c r="H297" i="10"/>
  <c r="G297" i="10"/>
  <c r="F297" i="10"/>
  <c r="H296" i="10"/>
  <c r="G296" i="10"/>
  <c r="F296" i="10"/>
  <c r="H295" i="10"/>
  <c r="G295" i="10"/>
  <c r="F295" i="10"/>
  <c r="W292" i="10"/>
  <c r="V292" i="10"/>
  <c r="U292" i="10"/>
  <c r="U335" i="10" s="1"/>
  <c r="T292" i="10"/>
  <c r="S292" i="10"/>
  <c r="R292" i="10"/>
  <c r="Q292" i="10"/>
  <c r="Q335" i="10" s="1"/>
  <c r="P292" i="10"/>
  <c r="O292" i="10"/>
  <c r="N292" i="10"/>
  <c r="M292" i="10"/>
  <c r="M335" i="10" s="1"/>
  <c r="L292" i="10"/>
  <c r="K292" i="10"/>
  <c r="J292" i="10"/>
  <c r="I292" i="10"/>
  <c r="I335" i="10" s="1"/>
  <c r="H292" i="10"/>
  <c r="H335" i="10" s="1"/>
  <c r="H291" i="10"/>
  <c r="G291" i="10"/>
  <c r="F291" i="10"/>
  <c r="H290" i="10"/>
  <c r="G290" i="10"/>
  <c r="F290" i="10"/>
  <c r="H289" i="10"/>
  <c r="G289" i="10"/>
  <c r="F289" i="10"/>
  <c r="H288" i="10"/>
  <c r="H330" i="10" s="1"/>
  <c r="G288" i="10"/>
  <c r="G330" i="10" s="1"/>
  <c r="F288" i="10"/>
  <c r="F330" i="10" s="1"/>
  <c r="W282" i="10"/>
  <c r="V282" i="10"/>
  <c r="T282" i="10"/>
  <c r="R282" i="10"/>
  <c r="Q282" i="10"/>
  <c r="N282" i="10"/>
  <c r="K282" i="10"/>
  <c r="V280" i="10"/>
  <c r="U280" i="10"/>
  <c r="S280" i="10"/>
  <c r="R280" i="10"/>
  <c r="P280" i="10"/>
  <c r="O280" i="10"/>
  <c r="M280" i="10"/>
  <c r="L280" i="10"/>
  <c r="K280" i="10"/>
  <c r="J280" i="10"/>
  <c r="I280" i="10"/>
  <c r="W279" i="10"/>
  <c r="V279" i="10"/>
  <c r="S279" i="10"/>
  <c r="R279" i="10"/>
  <c r="O279" i="10"/>
  <c r="K279" i="10"/>
  <c r="J279" i="10"/>
  <c r="M278" i="10"/>
  <c r="H277" i="10"/>
  <c r="G277" i="10"/>
  <c r="F277" i="10"/>
  <c r="W276" i="10"/>
  <c r="V276" i="10"/>
  <c r="T276" i="10"/>
  <c r="S276" i="10"/>
  <c r="Q276" i="10"/>
  <c r="P276" i="10"/>
  <c r="N276" i="10"/>
  <c r="M276" i="10"/>
  <c r="J276" i="10"/>
  <c r="W275" i="10"/>
  <c r="V275" i="10"/>
  <c r="U275" i="10"/>
  <c r="T275" i="10"/>
  <c r="S275" i="10"/>
  <c r="R275" i="10"/>
  <c r="Q275" i="10"/>
  <c r="P275" i="10"/>
  <c r="O275" i="10"/>
  <c r="N275" i="10"/>
  <c r="M275" i="10"/>
  <c r="L275" i="10"/>
  <c r="K275" i="10"/>
  <c r="J275" i="10"/>
  <c r="I275" i="10"/>
  <c r="W274" i="10"/>
  <c r="V274" i="10"/>
  <c r="U274" i="10"/>
  <c r="T274" i="10"/>
  <c r="S274" i="10"/>
  <c r="R274" i="10"/>
  <c r="Q274" i="10"/>
  <c r="P274" i="10"/>
  <c r="O274" i="10"/>
  <c r="N274" i="10"/>
  <c r="M274" i="10"/>
  <c r="L274" i="10"/>
  <c r="K274" i="10"/>
  <c r="J274" i="10"/>
  <c r="I274" i="10"/>
  <c r="K273" i="10"/>
  <c r="J273" i="10"/>
  <c r="I273" i="10"/>
  <c r="K272" i="10"/>
  <c r="J272" i="10"/>
  <c r="I272" i="10"/>
  <c r="H267" i="10"/>
  <c r="H281" i="10" s="1"/>
  <c r="G267" i="10"/>
  <c r="F267" i="10"/>
  <c r="H264" i="10"/>
  <c r="G264" i="10"/>
  <c r="F264" i="10"/>
  <c r="H263" i="10"/>
  <c r="G263" i="10"/>
  <c r="F263" i="10"/>
  <c r="H260" i="10"/>
  <c r="G260" i="10"/>
  <c r="F260" i="10"/>
  <c r="H259" i="10"/>
  <c r="G259" i="10"/>
  <c r="F259" i="10"/>
  <c r="W256" i="10"/>
  <c r="V256" i="10"/>
  <c r="S256" i="10"/>
  <c r="S282" i="10" s="1"/>
  <c r="R256" i="10"/>
  <c r="O256" i="10"/>
  <c r="O282" i="10" s="1"/>
  <c r="W255" i="10"/>
  <c r="V255" i="10"/>
  <c r="U255" i="10"/>
  <c r="U279" i="10" s="1"/>
  <c r="T255" i="10"/>
  <c r="T279" i="10" s="1"/>
  <c r="S255" i="10"/>
  <c r="R255" i="10"/>
  <c r="Q255" i="10"/>
  <c r="Q279" i="10" s="1"/>
  <c r="P255" i="10"/>
  <c r="P279" i="10" s="1"/>
  <c r="O255" i="10"/>
  <c r="M255" i="10"/>
  <c r="L255" i="10"/>
  <c r="L279" i="10" s="1"/>
  <c r="K255" i="10"/>
  <c r="J255" i="10"/>
  <c r="I255" i="10"/>
  <c r="H254" i="10"/>
  <c r="G254" i="10"/>
  <c r="F254" i="10"/>
  <c r="H253" i="10"/>
  <c r="G253" i="10"/>
  <c r="F253" i="10"/>
  <c r="H252" i="10"/>
  <c r="G252" i="10"/>
  <c r="F252" i="10"/>
  <c r="H251" i="10"/>
  <c r="G251" i="10"/>
  <c r="F251" i="10"/>
  <c r="N249" i="10"/>
  <c r="G249" i="10"/>
  <c r="F249" i="10"/>
  <c r="H248" i="10"/>
  <c r="G248" i="10"/>
  <c r="F248" i="10"/>
  <c r="H247" i="10"/>
  <c r="G247" i="10"/>
  <c r="F247" i="10"/>
  <c r="H246" i="10"/>
  <c r="G246" i="10"/>
  <c r="F246" i="10"/>
  <c r="H245" i="10"/>
  <c r="G245" i="10"/>
  <c r="F245" i="10"/>
  <c r="H244" i="10"/>
  <c r="G244" i="10"/>
  <c r="F244" i="10"/>
  <c r="H243" i="10"/>
  <c r="G243" i="10"/>
  <c r="F243" i="10"/>
  <c r="H242" i="10"/>
  <c r="G242" i="10"/>
  <c r="F242" i="10"/>
  <c r="H241" i="10"/>
  <c r="G241" i="10"/>
  <c r="F241" i="10"/>
  <c r="H240" i="10"/>
  <c r="G240" i="10"/>
  <c r="F240" i="10"/>
  <c r="H239" i="10"/>
  <c r="G239" i="10"/>
  <c r="F239" i="10"/>
  <c r="W236" i="10"/>
  <c r="W278" i="10" s="1"/>
  <c r="V236" i="10"/>
  <c r="V278" i="10" s="1"/>
  <c r="U236" i="10"/>
  <c r="T236" i="10"/>
  <c r="T278" i="10" s="1"/>
  <c r="S236" i="10"/>
  <c r="S278" i="10" s="1"/>
  <c r="R236" i="10"/>
  <c r="R278" i="10" s="1"/>
  <c r="Q236" i="10"/>
  <c r="P236" i="10"/>
  <c r="P278" i="10" s="1"/>
  <c r="O236" i="10"/>
  <c r="O278" i="10" s="1"/>
  <c r="N236" i="10"/>
  <c r="N278" i="10" s="1"/>
  <c r="M236" i="10"/>
  <c r="M256" i="10" s="1"/>
  <c r="M282" i="10" s="1"/>
  <c r="L236" i="10"/>
  <c r="L278" i="10" s="1"/>
  <c r="I236" i="10"/>
  <c r="H235" i="10"/>
  <c r="G235" i="10"/>
  <c r="F235" i="10"/>
  <c r="H234" i="10"/>
  <c r="G234" i="10"/>
  <c r="F234" i="10"/>
  <c r="H233" i="10"/>
  <c r="G233" i="10"/>
  <c r="F233" i="10"/>
  <c r="K232" i="10"/>
  <c r="K517" i="10" s="1"/>
  <c r="J232" i="10"/>
  <c r="J517" i="10" s="1"/>
  <c r="J521" i="10" s="1"/>
  <c r="I232" i="10"/>
  <c r="I517" i="10" s="1"/>
  <c r="H232" i="10"/>
  <c r="G232" i="10"/>
  <c r="F232" i="10"/>
  <c r="W225" i="10"/>
  <c r="V225" i="10"/>
  <c r="U225" i="10"/>
  <c r="T225" i="10"/>
  <c r="S225" i="10"/>
  <c r="R225" i="10"/>
  <c r="Q225" i="10"/>
  <c r="P225" i="10"/>
  <c r="O225" i="10"/>
  <c r="N225" i="10"/>
  <c r="M225" i="10"/>
  <c r="L225" i="10"/>
  <c r="K225" i="10"/>
  <c r="J225" i="10"/>
  <c r="I225" i="10"/>
  <c r="F225" i="10"/>
  <c r="T223" i="10"/>
  <c r="N222" i="10"/>
  <c r="H882" i="11" s="1"/>
  <c r="W221" i="10"/>
  <c r="V221" i="10"/>
  <c r="G876" i="11" s="1"/>
  <c r="U221" i="10"/>
  <c r="T221" i="10"/>
  <c r="S221" i="10"/>
  <c r="R221" i="10"/>
  <c r="Q221" i="10"/>
  <c r="P221" i="10"/>
  <c r="O221" i="10"/>
  <c r="N221" i="10"/>
  <c r="M221" i="10"/>
  <c r="L221" i="10"/>
  <c r="K221" i="10"/>
  <c r="J221" i="10"/>
  <c r="G872" i="11" s="1"/>
  <c r="I221" i="10"/>
  <c r="F221" i="10"/>
  <c r="W218" i="10"/>
  <c r="H849" i="11" s="1"/>
  <c r="V218" i="10"/>
  <c r="U218" i="10"/>
  <c r="S218" i="10"/>
  <c r="G848" i="11" s="1"/>
  <c r="R218" i="10"/>
  <c r="P218" i="10"/>
  <c r="O218" i="10"/>
  <c r="F847" i="11" s="1"/>
  <c r="M218" i="10"/>
  <c r="L218" i="10"/>
  <c r="K218" i="10"/>
  <c r="H845" i="11" s="1"/>
  <c r="J218" i="10"/>
  <c r="I218" i="10"/>
  <c r="G218" i="10"/>
  <c r="G850" i="11" s="1"/>
  <c r="Q217" i="10"/>
  <c r="H838" i="11" s="1"/>
  <c r="M217" i="10"/>
  <c r="H215" i="10"/>
  <c r="G215" i="10"/>
  <c r="F215" i="10"/>
  <c r="F823" i="11" s="1"/>
  <c r="W214" i="10"/>
  <c r="V214" i="10"/>
  <c r="T214" i="10"/>
  <c r="S214" i="10"/>
  <c r="Q214" i="10"/>
  <c r="P214" i="10"/>
  <c r="N214" i="10"/>
  <c r="M214" i="10"/>
  <c r="G810" i="11" s="1"/>
  <c r="J214" i="10"/>
  <c r="G214" i="10"/>
  <c r="G814" i="11" s="1"/>
  <c r="W211" i="10"/>
  <c r="W591" i="10" s="1"/>
  <c r="V211" i="10"/>
  <c r="U211" i="10"/>
  <c r="U591" i="10" s="1"/>
  <c r="T211" i="10"/>
  <c r="T591" i="10" s="1"/>
  <c r="S211" i="10"/>
  <c r="S591" i="10" s="1"/>
  <c r="R211" i="10"/>
  <c r="Q211" i="10"/>
  <c r="Q591" i="10" s="1"/>
  <c r="P211" i="10"/>
  <c r="P591" i="10" s="1"/>
  <c r="O211" i="10"/>
  <c r="O591" i="10" s="1"/>
  <c r="N211" i="10"/>
  <c r="N591" i="10" s="1"/>
  <c r="M211" i="10"/>
  <c r="M591" i="10" s="1"/>
  <c r="L211" i="10"/>
  <c r="L591" i="10" s="1"/>
  <c r="K211" i="10"/>
  <c r="K591" i="10" s="1"/>
  <c r="J211" i="10"/>
  <c r="I211" i="10"/>
  <c r="I591" i="10" s="1"/>
  <c r="F211" i="10"/>
  <c r="F591" i="10" s="1"/>
  <c r="W210" i="10"/>
  <c r="V210" i="10"/>
  <c r="U210" i="10"/>
  <c r="T210" i="10"/>
  <c r="H776" i="11" s="1"/>
  <c r="S210" i="10"/>
  <c r="R210" i="10"/>
  <c r="Q210" i="10"/>
  <c r="P210" i="10"/>
  <c r="G775" i="11" s="1"/>
  <c r="O210" i="10"/>
  <c r="N210" i="10"/>
  <c r="M210" i="10"/>
  <c r="L210" i="10"/>
  <c r="F774" i="11" s="1"/>
  <c r="K210" i="10"/>
  <c r="J210" i="10"/>
  <c r="I210" i="10"/>
  <c r="H210" i="10"/>
  <c r="H207" i="10"/>
  <c r="H225" i="10" s="1"/>
  <c r="G207" i="10"/>
  <c r="F207" i="10"/>
  <c r="F210" i="10" s="1"/>
  <c r="H206" i="10"/>
  <c r="H222" i="10" s="1"/>
  <c r="G206" i="10"/>
  <c r="F206" i="10"/>
  <c r="Q205" i="10"/>
  <c r="H205" i="10" s="1"/>
  <c r="G205" i="10"/>
  <c r="F205" i="10"/>
  <c r="H202" i="10"/>
  <c r="G202" i="10"/>
  <c r="F202" i="10"/>
  <c r="H201" i="10"/>
  <c r="G201" i="10"/>
  <c r="F201" i="10"/>
  <c r="H198" i="10"/>
  <c r="G198" i="10"/>
  <c r="F198" i="10"/>
  <c r="H197" i="10"/>
  <c r="G197" i="10"/>
  <c r="F197" i="10"/>
  <c r="U193" i="10"/>
  <c r="U217" i="10" s="1"/>
  <c r="F840" i="11" s="1"/>
  <c r="T193" i="10"/>
  <c r="T217" i="10" s="1"/>
  <c r="H839" i="11" s="1"/>
  <c r="Q193" i="10"/>
  <c r="P193" i="10"/>
  <c r="P217" i="10" s="1"/>
  <c r="G838" i="11" s="1"/>
  <c r="M193" i="10"/>
  <c r="L193" i="10"/>
  <c r="L217" i="10" s="1"/>
  <c r="F837" i="11" s="1"/>
  <c r="H192" i="10"/>
  <c r="G192" i="10"/>
  <c r="F192" i="10"/>
  <c r="H191" i="10"/>
  <c r="G191" i="10"/>
  <c r="F191" i="10"/>
  <c r="H190" i="10"/>
  <c r="G190" i="10"/>
  <c r="F190" i="10"/>
  <c r="H189" i="10"/>
  <c r="H195" i="10" s="1"/>
  <c r="G189" i="10"/>
  <c r="G195" i="10" s="1"/>
  <c r="F189" i="10"/>
  <c r="F195" i="10" s="1"/>
  <c r="W187" i="10"/>
  <c r="V187" i="10"/>
  <c r="V534" i="10" s="1"/>
  <c r="U187" i="10"/>
  <c r="T187" i="10"/>
  <c r="T534" i="10" s="1"/>
  <c r="S187" i="10"/>
  <c r="R187" i="10"/>
  <c r="R534" i="10" s="1"/>
  <c r="Q187" i="10"/>
  <c r="Q534" i="10" s="1"/>
  <c r="P187" i="10"/>
  <c r="P534" i="10" s="1"/>
  <c r="O187" i="10"/>
  <c r="N187" i="10"/>
  <c r="N193" i="10" s="1"/>
  <c r="N217" i="10" s="1"/>
  <c r="H837" i="11" s="1"/>
  <c r="K187" i="10"/>
  <c r="K534" i="10" s="1"/>
  <c r="J187" i="10"/>
  <c r="J534" i="10" s="1"/>
  <c r="I187" i="10"/>
  <c r="F187" i="10" s="1"/>
  <c r="H186" i="10"/>
  <c r="G186" i="10"/>
  <c r="F186" i="10"/>
  <c r="H185" i="10"/>
  <c r="G185" i="10"/>
  <c r="F185" i="10"/>
  <c r="H184" i="10"/>
  <c r="G184" i="10"/>
  <c r="F184" i="10"/>
  <c r="H183" i="10"/>
  <c r="G183" i="10"/>
  <c r="F183" i="10"/>
  <c r="H182" i="10"/>
  <c r="G182" i="10"/>
  <c r="F182" i="10"/>
  <c r="H181" i="10"/>
  <c r="G181" i="10"/>
  <c r="F181" i="10"/>
  <c r="H180" i="10"/>
  <c r="G180" i="10"/>
  <c r="F180" i="10"/>
  <c r="H179" i="10"/>
  <c r="G179" i="10"/>
  <c r="F179" i="10"/>
  <c r="H178" i="10"/>
  <c r="G178" i="10"/>
  <c r="F178" i="10"/>
  <c r="H177" i="10"/>
  <c r="G177" i="10"/>
  <c r="F177" i="10"/>
  <c r="U174" i="10"/>
  <c r="T174" i="10"/>
  <c r="T216" i="10" s="1"/>
  <c r="H830" i="11" s="1"/>
  <c r="S174" i="10"/>
  <c r="R174" i="10"/>
  <c r="P174" i="10"/>
  <c r="P216" i="10" s="1"/>
  <c r="G829" i="11" s="1"/>
  <c r="O174" i="10"/>
  <c r="M174" i="10"/>
  <c r="L174" i="10"/>
  <c r="L216" i="10" s="1"/>
  <c r="F828" i="11" s="1"/>
  <c r="K174" i="10"/>
  <c r="J174" i="10"/>
  <c r="I174" i="10"/>
  <c r="V173" i="10"/>
  <c r="U173" i="10"/>
  <c r="U520" i="10" s="1"/>
  <c r="H173" i="10"/>
  <c r="F173" i="10"/>
  <c r="W172" i="10"/>
  <c r="W519" i="10" s="1"/>
  <c r="W557" i="10" s="1"/>
  <c r="T172" i="10"/>
  <c r="T519" i="10" s="1"/>
  <c r="T557" i="10" s="1"/>
  <c r="Q172" i="10"/>
  <c r="Q519" i="10" s="1"/>
  <c r="Q557" i="10" s="1"/>
  <c r="H172" i="10"/>
  <c r="G172" i="10"/>
  <c r="F172" i="10"/>
  <c r="H171" i="10"/>
  <c r="G171" i="10"/>
  <c r="F171" i="10"/>
  <c r="W170" i="10"/>
  <c r="W174" i="10" s="1"/>
  <c r="T170" i="10"/>
  <c r="T517" i="10" s="1"/>
  <c r="Q170" i="10"/>
  <c r="N170" i="10"/>
  <c r="N517" i="10" s="1"/>
  <c r="N521" i="10" s="1"/>
  <c r="G170" i="10"/>
  <c r="F170" i="10"/>
  <c r="W160" i="10"/>
  <c r="N160" i="10"/>
  <c r="W159" i="10"/>
  <c r="T159" i="10"/>
  <c r="T160" i="10" s="1"/>
  <c r="Q159" i="10"/>
  <c r="Q160" i="10" s="1"/>
  <c r="N159" i="10"/>
  <c r="N149" i="10"/>
  <c r="G149" i="10"/>
  <c r="F149" i="10"/>
  <c r="V147" i="10"/>
  <c r="S147" i="10"/>
  <c r="P147" i="10"/>
  <c r="G147" i="10" s="1"/>
  <c r="N147" i="10"/>
  <c r="F147" i="10"/>
  <c r="V146" i="10"/>
  <c r="S146" i="10"/>
  <c r="P146" i="10"/>
  <c r="N146" i="10"/>
  <c r="G146" i="10"/>
  <c r="F146" i="10"/>
  <c r="V145" i="10"/>
  <c r="S145" i="10"/>
  <c r="P145" i="10"/>
  <c r="G145" i="10" s="1"/>
  <c r="N145" i="10"/>
  <c r="F145" i="10"/>
  <c r="N144" i="10"/>
  <c r="H144" i="10"/>
  <c r="G144" i="10"/>
  <c r="F144" i="10"/>
  <c r="H140" i="10"/>
  <c r="G140" i="10"/>
  <c r="G389" i="10" s="1"/>
  <c r="F140" i="10"/>
  <c r="H139" i="10"/>
  <c r="H389" i="10" s="1"/>
  <c r="G139" i="10"/>
  <c r="F139" i="10"/>
  <c r="K138" i="10"/>
  <c r="K157" i="10" s="1"/>
  <c r="G138" i="10"/>
  <c r="F138" i="10"/>
  <c r="K136" i="10"/>
  <c r="H136" i="10" s="1"/>
  <c r="G136" i="10"/>
  <c r="F136" i="10"/>
  <c r="H135" i="10"/>
  <c r="G135" i="10"/>
  <c r="F135" i="10"/>
  <c r="H134" i="10"/>
  <c r="G134" i="10"/>
  <c r="F134" i="10"/>
  <c r="H133" i="10"/>
  <c r="G133" i="10"/>
  <c r="F133" i="10"/>
  <c r="H132" i="10"/>
  <c r="G132" i="10"/>
  <c r="F132" i="10"/>
  <c r="V131" i="10"/>
  <c r="U131" i="10"/>
  <c r="S131" i="10"/>
  <c r="R131" i="10"/>
  <c r="P131" i="10"/>
  <c r="O131" i="10"/>
  <c r="M131" i="10"/>
  <c r="L131" i="10"/>
  <c r="K131" i="10"/>
  <c r="K144" i="10" s="1"/>
  <c r="J131" i="10"/>
  <c r="I131" i="10"/>
  <c r="H131" i="10"/>
  <c r="G131" i="10"/>
  <c r="W130" i="10"/>
  <c r="W222" i="10" s="1"/>
  <c r="H885" i="11" s="1"/>
  <c r="T130" i="10"/>
  <c r="T222" i="10" s="1"/>
  <c r="H884" i="11" s="1"/>
  <c r="Q130" i="10"/>
  <c r="Q222" i="10" s="1"/>
  <c r="H883" i="11" s="1"/>
  <c r="N130" i="10"/>
  <c r="K130" i="10"/>
  <c r="H130" i="10"/>
  <c r="G130" i="10"/>
  <c r="H504" i="10" s="1"/>
  <c r="F130" i="10"/>
  <c r="G390" i="10" s="1"/>
  <c r="W122" i="10"/>
  <c r="T122" i="10"/>
  <c r="N122" i="10"/>
  <c r="K122" i="10"/>
  <c r="E122" i="10"/>
  <c r="W121" i="10"/>
  <c r="T121" i="10"/>
  <c r="N121" i="10"/>
  <c r="K121" i="10"/>
  <c r="H121" i="10"/>
  <c r="E121" i="10"/>
  <c r="W120" i="10"/>
  <c r="T120" i="10"/>
  <c r="N120" i="10"/>
  <c r="K120" i="10"/>
  <c r="E120" i="10"/>
  <c r="W119" i="10"/>
  <c r="T119" i="10"/>
  <c r="N119" i="10"/>
  <c r="K119" i="10"/>
  <c r="E119" i="10"/>
  <c r="W118" i="10"/>
  <c r="T118" i="10"/>
  <c r="N118" i="10"/>
  <c r="K118" i="10"/>
  <c r="E118" i="10"/>
  <c r="W117" i="10"/>
  <c r="T117" i="10"/>
  <c r="N117" i="10"/>
  <c r="K117" i="10"/>
  <c r="H117" i="10"/>
  <c r="E117" i="10"/>
  <c r="W116" i="10"/>
  <c r="T116" i="10"/>
  <c r="N116" i="10"/>
  <c r="K116" i="10"/>
  <c r="E116" i="10"/>
  <c r="W115" i="10"/>
  <c r="T115" i="10"/>
  <c r="N115" i="10"/>
  <c r="K115" i="10"/>
  <c r="H113" i="10"/>
  <c r="H112" i="10"/>
  <c r="H111" i="10"/>
  <c r="H110" i="10"/>
  <c r="H119" i="10" s="1"/>
  <c r="H109" i="10"/>
  <c r="H108" i="10"/>
  <c r="H107" i="10"/>
  <c r="H106" i="10"/>
  <c r="H115" i="10" s="1"/>
  <c r="H105" i="10"/>
  <c r="G25" i="12" s="1"/>
  <c r="W104" i="10"/>
  <c r="G85" i="12" s="1"/>
  <c r="H103" i="12" s="1"/>
  <c r="T104" i="10"/>
  <c r="G84" i="12" s="1"/>
  <c r="H102" i="12" s="1"/>
  <c r="Q104" i="10"/>
  <c r="G83" i="12" s="1"/>
  <c r="H101" i="12" s="1"/>
  <c r="N104" i="10"/>
  <c r="G82" i="12" s="1"/>
  <c r="H100" i="12" s="1"/>
  <c r="K104" i="10"/>
  <c r="G81" i="12" s="1"/>
  <c r="H99" i="12" s="1"/>
  <c r="H104" i="10"/>
  <c r="G86" i="12" s="1"/>
  <c r="V101" i="10"/>
  <c r="V102" i="10" s="1"/>
  <c r="U101" i="10"/>
  <c r="U102" i="10" s="1"/>
  <c r="R101" i="10"/>
  <c r="R102" i="10" s="1"/>
  <c r="Q101" i="10"/>
  <c r="Q102" i="10" s="1"/>
  <c r="N101" i="10"/>
  <c r="N102" i="10" s="1"/>
  <c r="M101" i="10"/>
  <c r="M102" i="10" s="1"/>
  <c r="J101" i="10"/>
  <c r="I101" i="10"/>
  <c r="I102" i="10" s="1"/>
  <c r="W100" i="10"/>
  <c r="V100" i="10"/>
  <c r="U100" i="10"/>
  <c r="T100" i="10"/>
  <c r="S100" i="10"/>
  <c r="R100" i="10"/>
  <c r="Q100" i="10"/>
  <c r="P100" i="10"/>
  <c r="G100" i="10" s="1"/>
  <c r="O100" i="10"/>
  <c r="N100" i="10"/>
  <c r="M100" i="10"/>
  <c r="L100" i="10"/>
  <c r="F100" i="10" s="1"/>
  <c r="K100" i="10"/>
  <c r="J100" i="10"/>
  <c r="I100" i="10"/>
  <c r="H100" i="10"/>
  <c r="H99" i="10"/>
  <c r="G99" i="10"/>
  <c r="F99" i="10"/>
  <c r="H98" i="10"/>
  <c r="G98" i="10"/>
  <c r="F98" i="10"/>
  <c r="W96" i="10"/>
  <c r="W101" i="10" s="1"/>
  <c r="W102" i="10" s="1"/>
  <c r="V96" i="10"/>
  <c r="U96" i="10"/>
  <c r="T96" i="10"/>
  <c r="S96" i="10"/>
  <c r="S101" i="10" s="1"/>
  <c r="S102" i="10" s="1"/>
  <c r="R96" i="10"/>
  <c r="Q96" i="10"/>
  <c r="P96" i="10"/>
  <c r="O96" i="10"/>
  <c r="O101" i="10" s="1"/>
  <c r="O102" i="10" s="1"/>
  <c r="N96" i="10"/>
  <c r="M96" i="10"/>
  <c r="L96" i="10"/>
  <c r="K96" i="10"/>
  <c r="K101" i="10" s="1"/>
  <c r="J96" i="10"/>
  <c r="I96" i="10"/>
  <c r="H96" i="10"/>
  <c r="H95" i="10"/>
  <c r="G95" i="10"/>
  <c r="F95" i="10"/>
  <c r="H94" i="10"/>
  <c r="G94" i="10"/>
  <c r="F94" i="10"/>
  <c r="K91" i="10"/>
  <c r="W90" i="10"/>
  <c r="V90" i="10"/>
  <c r="U90" i="10"/>
  <c r="T90" i="10"/>
  <c r="S90" i="10"/>
  <c r="R90" i="10"/>
  <c r="Q90" i="10"/>
  <c r="P90" i="10"/>
  <c r="O90" i="10"/>
  <c r="N90" i="10"/>
  <c r="M90" i="10"/>
  <c r="L90" i="10"/>
  <c r="K90" i="10"/>
  <c r="J90" i="10"/>
  <c r="I90" i="10"/>
  <c r="H89" i="10"/>
  <c r="G89" i="10"/>
  <c r="F89" i="10"/>
  <c r="N86" i="10"/>
  <c r="H86" i="10" s="1"/>
  <c r="M86" i="10"/>
  <c r="L86" i="10"/>
  <c r="G86" i="10"/>
  <c r="F86" i="10"/>
  <c r="H85" i="10"/>
  <c r="G85" i="10"/>
  <c r="F85" i="10"/>
  <c r="H84" i="10"/>
  <c r="G84" i="10"/>
  <c r="F84" i="10"/>
  <c r="H83" i="10"/>
  <c r="G83" i="10"/>
  <c r="F83" i="10"/>
  <c r="H78" i="10"/>
  <c r="G78" i="10"/>
  <c r="F78" i="10"/>
  <c r="H77" i="10"/>
  <c r="G77" i="10"/>
  <c r="F77" i="10"/>
  <c r="W75" i="10"/>
  <c r="T75" i="10"/>
  <c r="Q75" i="10"/>
  <c r="N75" i="10"/>
  <c r="K75" i="10"/>
  <c r="H74" i="10"/>
  <c r="H221" i="10" s="1"/>
  <c r="G74" i="10"/>
  <c r="G221" i="10" s="1"/>
  <c r="F74" i="10"/>
  <c r="H73" i="10"/>
  <c r="G73" i="10"/>
  <c r="F73" i="10"/>
  <c r="H69" i="10"/>
  <c r="G69" i="10"/>
  <c r="F69" i="10"/>
  <c r="H68" i="10"/>
  <c r="G68" i="10"/>
  <c r="F68" i="10"/>
  <c r="W67" i="10"/>
  <c r="V67" i="10"/>
  <c r="U67" i="10"/>
  <c r="T67" i="10"/>
  <c r="S67" i="10"/>
  <c r="R67" i="10"/>
  <c r="Q67" i="10"/>
  <c r="H67" i="10" s="1"/>
  <c r="P67" i="10"/>
  <c r="O67" i="10"/>
  <c r="N67" i="10"/>
  <c r="M67" i="10"/>
  <c r="G67" i="10" s="1"/>
  <c r="L67" i="10"/>
  <c r="K67" i="10"/>
  <c r="J67" i="10"/>
  <c r="I67" i="10"/>
  <c r="F67" i="10" s="1"/>
  <c r="W64" i="10"/>
  <c r="W63" i="10" s="1"/>
  <c r="V64" i="10"/>
  <c r="V63" i="10" s="1"/>
  <c r="U64" i="10"/>
  <c r="T64" i="10"/>
  <c r="S64" i="10"/>
  <c r="S63" i="10" s="1"/>
  <c r="R64" i="10"/>
  <c r="R63" i="10" s="1"/>
  <c r="Q64" i="10"/>
  <c r="P64" i="10"/>
  <c r="O64" i="10"/>
  <c r="O63" i="10" s="1"/>
  <c r="N64" i="10"/>
  <c r="N63" i="10" s="1"/>
  <c r="M64" i="10"/>
  <c r="L64" i="10"/>
  <c r="K64" i="10"/>
  <c r="U63" i="10"/>
  <c r="T63" i="10"/>
  <c r="Q63" i="10"/>
  <c r="P63" i="10"/>
  <c r="M63" i="10"/>
  <c r="L63" i="10"/>
  <c r="H62" i="10"/>
  <c r="G62" i="10"/>
  <c r="F62" i="10"/>
  <c r="H61" i="10"/>
  <c r="G61" i="10"/>
  <c r="F61" i="10"/>
  <c r="H58" i="10"/>
  <c r="G58" i="10"/>
  <c r="F58" i="10"/>
  <c r="H56" i="10"/>
  <c r="G56" i="10"/>
  <c r="F56" i="10"/>
  <c r="W50" i="10"/>
  <c r="V50" i="10"/>
  <c r="V49" i="10" s="1"/>
  <c r="U50" i="10"/>
  <c r="T50" i="10"/>
  <c r="W597" i="10" s="1"/>
  <c r="S50" i="10"/>
  <c r="S49" i="10" s="1"/>
  <c r="R50" i="10"/>
  <c r="R49" i="10" s="1"/>
  <c r="Q50" i="10"/>
  <c r="P50" i="10"/>
  <c r="O50" i="10"/>
  <c r="O49" i="10" s="1"/>
  <c r="N50" i="10"/>
  <c r="N223" i="10" s="1"/>
  <c r="H891" i="11" s="1"/>
  <c r="M50" i="10"/>
  <c r="L50" i="10"/>
  <c r="K50" i="10"/>
  <c r="U49" i="10"/>
  <c r="T49" i="10"/>
  <c r="Q49" i="10"/>
  <c r="P49" i="10"/>
  <c r="M49" i="10"/>
  <c r="L49" i="10"/>
  <c r="H48" i="10"/>
  <c r="G48" i="10"/>
  <c r="F48" i="10"/>
  <c r="H47" i="10"/>
  <c r="G47" i="10"/>
  <c r="F47" i="10"/>
  <c r="H46" i="10"/>
  <c r="G46" i="10"/>
  <c r="F46" i="10"/>
  <c r="H45" i="10"/>
  <c r="G45" i="10"/>
  <c r="F45" i="10"/>
  <c r="H44" i="10"/>
  <c r="G44" i="10"/>
  <c r="F44" i="10"/>
  <c r="W41" i="10"/>
  <c r="V41" i="10"/>
  <c r="V40" i="10" s="1"/>
  <c r="U41" i="10"/>
  <c r="U40" i="10" s="1"/>
  <c r="T41" i="10"/>
  <c r="S41" i="10"/>
  <c r="R41" i="10"/>
  <c r="R40" i="10" s="1"/>
  <c r="Q41" i="10"/>
  <c r="Q40" i="10" s="1"/>
  <c r="P41" i="10"/>
  <c r="O41" i="10"/>
  <c r="N41" i="10"/>
  <c r="M41" i="10"/>
  <c r="M40" i="10" s="1"/>
  <c r="L41" i="10"/>
  <c r="K41" i="10"/>
  <c r="J41" i="10"/>
  <c r="I41" i="10"/>
  <c r="I40" i="10" s="1"/>
  <c r="F40" i="10" s="1"/>
  <c r="F41" i="10"/>
  <c r="W40" i="10"/>
  <c r="T40" i="10"/>
  <c r="S40" i="10"/>
  <c r="P40" i="10"/>
  <c r="O40" i="10"/>
  <c r="L40" i="10"/>
  <c r="K40" i="10"/>
  <c r="H39" i="10"/>
  <c r="G39" i="10"/>
  <c r="F39" i="10"/>
  <c r="H38" i="10"/>
  <c r="G38" i="10"/>
  <c r="F38" i="10"/>
  <c r="H37" i="10"/>
  <c r="G37" i="10"/>
  <c r="F37" i="10"/>
  <c r="W34" i="10"/>
  <c r="V34" i="10"/>
  <c r="U34" i="10"/>
  <c r="S34" i="10"/>
  <c r="R34" i="10"/>
  <c r="P34" i="10"/>
  <c r="O34" i="10"/>
  <c r="M34" i="10"/>
  <c r="L34" i="10"/>
  <c r="K34" i="10"/>
  <c r="G34" i="10"/>
  <c r="W33" i="10"/>
  <c r="T33" i="10"/>
  <c r="T565" i="10" s="1"/>
  <c r="Q33" i="10"/>
  <c r="N33" i="10"/>
  <c r="N394" i="10" s="1"/>
  <c r="G33" i="10"/>
  <c r="F33" i="10"/>
  <c r="J32" i="10"/>
  <c r="J64" i="10" s="1"/>
  <c r="J63" i="10" s="1"/>
  <c r="I32" i="10"/>
  <c r="I64" i="10" s="1"/>
  <c r="I63" i="10" s="1"/>
  <c r="H32" i="10"/>
  <c r="G32" i="10"/>
  <c r="F32" i="10"/>
  <c r="F34" i="10" s="1"/>
  <c r="H7" i="10"/>
  <c r="G7" i="10"/>
  <c r="F7" i="10"/>
  <c r="E4" i="10"/>
  <c r="U3" i="10"/>
  <c r="T3" i="10"/>
  <c r="Q3" i="10"/>
  <c r="P3" i="10"/>
  <c r="M3" i="10"/>
  <c r="L3" i="10"/>
  <c r="I3" i="10"/>
  <c r="H3" i="10"/>
  <c r="W2" i="10"/>
  <c r="W3" i="10" s="1"/>
  <c r="V2" i="10"/>
  <c r="V3" i="10" s="1"/>
  <c r="U2" i="10"/>
  <c r="T2" i="10"/>
  <c r="S2" i="10"/>
  <c r="S3" i="10" s="1"/>
  <c r="R2" i="10"/>
  <c r="R3" i="10" s="1"/>
  <c r="Q2" i="10"/>
  <c r="P2" i="10"/>
  <c r="O2" i="10"/>
  <c r="O3" i="10" s="1"/>
  <c r="N2" i="10"/>
  <c r="N3" i="10" s="1"/>
  <c r="M2" i="10"/>
  <c r="L2" i="10"/>
  <c r="K2" i="10"/>
  <c r="K3" i="10" s="1"/>
  <c r="J2" i="10"/>
  <c r="J3" i="10" s="1"/>
  <c r="I2" i="10"/>
  <c r="H2" i="10"/>
  <c r="G2" i="10"/>
  <c r="G3" i="10" s="1"/>
  <c r="F2" i="10"/>
  <c r="F3" i="10" s="1"/>
  <c r="G904" i="11"/>
  <c r="F904" i="11"/>
  <c r="G903" i="11"/>
  <c r="F903" i="11"/>
  <c r="D903" i="11"/>
  <c r="G902" i="11"/>
  <c r="F902" i="11"/>
  <c r="D902" i="11"/>
  <c r="G901" i="11"/>
  <c r="F901" i="11"/>
  <c r="D901" i="11"/>
  <c r="G900" i="11"/>
  <c r="F900" i="11"/>
  <c r="D900" i="11"/>
  <c r="G899" i="11"/>
  <c r="F899" i="11"/>
  <c r="D899" i="11"/>
  <c r="G898" i="11"/>
  <c r="F898" i="11"/>
  <c r="D898" i="11"/>
  <c r="C898" i="11"/>
  <c r="G895" i="11"/>
  <c r="F895" i="11"/>
  <c r="G894" i="11"/>
  <c r="F894" i="11"/>
  <c r="D894" i="11"/>
  <c r="H893" i="11"/>
  <c r="G893" i="11"/>
  <c r="F893" i="11"/>
  <c r="D893" i="11"/>
  <c r="G892" i="11"/>
  <c r="F892" i="11"/>
  <c r="D892" i="11"/>
  <c r="G891" i="11"/>
  <c r="F891" i="11"/>
  <c r="D891" i="11"/>
  <c r="G890" i="11"/>
  <c r="F890" i="11"/>
  <c r="D890" i="11"/>
  <c r="G889" i="11"/>
  <c r="F889" i="11"/>
  <c r="D889" i="11"/>
  <c r="C889" i="11"/>
  <c r="G886" i="11"/>
  <c r="F886" i="11"/>
  <c r="G885" i="11"/>
  <c r="F885" i="11"/>
  <c r="D885" i="11"/>
  <c r="G884" i="11"/>
  <c r="F884" i="11"/>
  <c r="D884" i="11"/>
  <c r="G883" i="11"/>
  <c r="F883" i="11"/>
  <c r="D883" i="11"/>
  <c r="G882" i="11"/>
  <c r="F882" i="11"/>
  <c r="D882" i="11"/>
  <c r="G881" i="11"/>
  <c r="F881" i="11"/>
  <c r="D881" i="11"/>
  <c r="G880" i="11"/>
  <c r="F880" i="11"/>
  <c r="D880" i="11"/>
  <c r="C880" i="11"/>
  <c r="H876" i="11"/>
  <c r="F876" i="11"/>
  <c r="D876" i="11"/>
  <c r="H875" i="11"/>
  <c r="G875" i="11"/>
  <c r="F875" i="11"/>
  <c r="D875" i="11"/>
  <c r="H874" i="11"/>
  <c r="G874" i="11"/>
  <c r="F874" i="11"/>
  <c r="D874" i="11"/>
  <c r="H873" i="11"/>
  <c r="G873" i="11"/>
  <c r="F873" i="11"/>
  <c r="D873" i="11"/>
  <c r="H872" i="11"/>
  <c r="F872" i="11"/>
  <c r="D872" i="11"/>
  <c r="D871" i="11"/>
  <c r="C871" i="11"/>
  <c r="D867" i="11"/>
  <c r="D866" i="11"/>
  <c r="D865" i="11"/>
  <c r="D864" i="11"/>
  <c r="D863" i="11"/>
  <c r="D862" i="11"/>
  <c r="C862" i="11"/>
  <c r="G859" i="11"/>
  <c r="F859" i="11"/>
  <c r="H858" i="11"/>
  <c r="G858" i="11"/>
  <c r="F858" i="11"/>
  <c r="D858" i="11"/>
  <c r="H857" i="11"/>
  <c r="G857" i="11"/>
  <c r="F857" i="11"/>
  <c r="D857" i="11"/>
  <c r="H856" i="11"/>
  <c r="G856" i="11"/>
  <c r="F856" i="11"/>
  <c r="D856" i="11"/>
  <c r="H855" i="11"/>
  <c r="G855" i="11"/>
  <c r="F855" i="11"/>
  <c r="D855" i="11"/>
  <c r="H854" i="11"/>
  <c r="G854" i="11"/>
  <c r="F854" i="11"/>
  <c r="D854" i="11"/>
  <c r="D853" i="11"/>
  <c r="C853" i="11"/>
  <c r="G849" i="11"/>
  <c r="F849" i="11"/>
  <c r="D849" i="11"/>
  <c r="F848" i="11"/>
  <c r="D848" i="11"/>
  <c r="G847" i="11"/>
  <c r="D847" i="11"/>
  <c r="G846" i="11"/>
  <c r="F846" i="11"/>
  <c r="D846" i="11"/>
  <c r="G845" i="11"/>
  <c r="F845" i="11"/>
  <c r="D845" i="11"/>
  <c r="D844" i="11"/>
  <c r="C844" i="11"/>
  <c r="D840" i="11"/>
  <c r="D839" i="11"/>
  <c r="D838" i="11"/>
  <c r="G837" i="11"/>
  <c r="D837" i="11"/>
  <c r="D836" i="11"/>
  <c r="D835" i="11"/>
  <c r="C835" i="11"/>
  <c r="D831" i="11"/>
  <c r="D830" i="11"/>
  <c r="D829" i="11"/>
  <c r="D828" i="11"/>
  <c r="D827" i="11"/>
  <c r="D826" i="11"/>
  <c r="C826" i="11"/>
  <c r="H823" i="11"/>
  <c r="G823" i="11"/>
  <c r="H822" i="11"/>
  <c r="G822" i="11"/>
  <c r="F822" i="11"/>
  <c r="D822" i="11"/>
  <c r="H821" i="11"/>
  <c r="G821" i="11"/>
  <c r="F821" i="11"/>
  <c r="D821" i="11"/>
  <c r="H820" i="11"/>
  <c r="G820" i="11"/>
  <c r="F820" i="11"/>
  <c r="D820" i="11"/>
  <c r="H819" i="11"/>
  <c r="G819" i="11"/>
  <c r="F819" i="11"/>
  <c r="D819" i="11"/>
  <c r="H818" i="11"/>
  <c r="G818" i="11"/>
  <c r="F818" i="11"/>
  <c r="D818" i="11"/>
  <c r="D817" i="11"/>
  <c r="C817" i="11"/>
  <c r="F814" i="11"/>
  <c r="H813" i="11"/>
  <c r="G813" i="11"/>
  <c r="F813" i="11"/>
  <c r="D813" i="11"/>
  <c r="H812" i="11"/>
  <c r="G812" i="11"/>
  <c r="F812" i="11"/>
  <c r="D812" i="11"/>
  <c r="H811" i="11"/>
  <c r="G811" i="11"/>
  <c r="F811" i="11"/>
  <c r="D811" i="11"/>
  <c r="H810" i="11"/>
  <c r="F810" i="11"/>
  <c r="D810" i="11"/>
  <c r="G809" i="11"/>
  <c r="F809" i="11"/>
  <c r="D809" i="11"/>
  <c r="D808" i="11"/>
  <c r="C808" i="11"/>
  <c r="H804" i="11"/>
  <c r="G804" i="11"/>
  <c r="F804" i="11"/>
  <c r="D804" i="11"/>
  <c r="H803" i="11"/>
  <c r="G803" i="11"/>
  <c r="F803" i="11"/>
  <c r="D803" i="11"/>
  <c r="H802" i="11"/>
  <c r="G802" i="11"/>
  <c r="F802" i="11"/>
  <c r="D802" i="11"/>
  <c r="H801" i="11"/>
  <c r="G801" i="11"/>
  <c r="F801" i="11"/>
  <c r="D801" i="11"/>
  <c r="H800" i="11"/>
  <c r="G800" i="11"/>
  <c r="F800" i="11"/>
  <c r="D800" i="11"/>
  <c r="D799" i="11"/>
  <c r="C799" i="11"/>
  <c r="H795" i="11"/>
  <c r="G795" i="11"/>
  <c r="F795" i="11"/>
  <c r="D795" i="11"/>
  <c r="H794" i="11"/>
  <c r="G794" i="11"/>
  <c r="F794" i="11"/>
  <c r="D794" i="11"/>
  <c r="H793" i="11"/>
  <c r="G793" i="11"/>
  <c r="F793" i="11"/>
  <c r="D793" i="11"/>
  <c r="H792" i="11"/>
  <c r="G792" i="11"/>
  <c r="F792" i="11"/>
  <c r="D792" i="11"/>
  <c r="H791" i="11"/>
  <c r="G791" i="11"/>
  <c r="F791" i="11"/>
  <c r="D791" i="11"/>
  <c r="D790" i="11"/>
  <c r="C790" i="11"/>
  <c r="H786" i="11"/>
  <c r="F786" i="11"/>
  <c r="D786" i="11"/>
  <c r="H785" i="11"/>
  <c r="G785" i="11"/>
  <c r="F785" i="11"/>
  <c r="D785" i="11"/>
  <c r="H784" i="11"/>
  <c r="G784" i="11"/>
  <c r="F784" i="11"/>
  <c r="D784" i="11"/>
  <c r="H783" i="11"/>
  <c r="G783" i="11"/>
  <c r="F783" i="11"/>
  <c r="D783" i="11"/>
  <c r="H782" i="11"/>
  <c r="F782" i="11"/>
  <c r="D782" i="11"/>
  <c r="F781" i="11"/>
  <c r="D781" i="11"/>
  <c r="C781" i="11"/>
  <c r="F778" i="11"/>
  <c r="H777" i="11"/>
  <c r="G777" i="11"/>
  <c r="F777" i="11"/>
  <c r="D777" i="11"/>
  <c r="G776" i="11"/>
  <c r="F776" i="11"/>
  <c r="D776" i="11"/>
  <c r="H775" i="11"/>
  <c r="F775" i="11"/>
  <c r="D775" i="11"/>
  <c r="H774" i="11"/>
  <c r="G774" i="11"/>
  <c r="D774" i="11"/>
  <c r="B774" i="11"/>
  <c r="B775" i="11" s="1"/>
  <c r="B776" i="11" s="1"/>
  <c r="B777" i="11" s="1"/>
  <c r="B778" i="11" s="1"/>
  <c r="B779" i="11" s="1"/>
  <c r="B780" i="11" s="1"/>
  <c r="B781" i="11" s="1"/>
  <c r="B782" i="11" s="1"/>
  <c r="B783" i="11" s="1"/>
  <c r="B784" i="11" s="1"/>
  <c r="B785" i="11" s="1"/>
  <c r="B786" i="11" s="1"/>
  <c r="B787" i="11" s="1"/>
  <c r="B788" i="11" s="1"/>
  <c r="B789" i="11" s="1"/>
  <c r="B790" i="11" s="1"/>
  <c r="B791" i="11" s="1"/>
  <c r="B792" i="11" s="1"/>
  <c r="B793" i="11" s="1"/>
  <c r="B794" i="11" s="1"/>
  <c r="B795" i="11" s="1"/>
  <c r="B796" i="11" s="1"/>
  <c r="B797" i="11" s="1"/>
  <c r="B798" i="11" s="1"/>
  <c r="B799" i="11" s="1"/>
  <c r="B800" i="11" s="1"/>
  <c r="B801" i="11" s="1"/>
  <c r="B802" i="11" s="1"/>
  <c r="B803" i="11" s="1"/>
  <c r="B804" i="11" s="1"/>
  <c r="B805" i="11" s="1"/>
  <c r="B806" i="11" s="1"/>
  <c r="B807" i="11" s="1"/>
  <c r="B808" i="11" s="1"/>
  <c r="B809" i="11" s="1"/>
  <c r="B810" i="11" s="1"/>
  <c r="B811" i="11" s="1"/>
  <c r="B812" i="11" s="1"/>
  <c r="B813" i="11" s="1"/>
  <c r="B814" i="11" s="1"/>
  <c r="B815" i="11" s="1"/>
  <c r="B816" i="11" s="1"/>
  <c r="B817" i="11" s="1"/>
  <c r="B818" i="11" s="1"/>
  <c r="B819" i="11" s="1"/>
  <c r="B820" i="11" s="1"/>
  <c r="B821" i="11" s="1"/>
  <c r="B822" i="11" s="1"/>
  <c r="B823" i="11" s="1"/>
  <c r="B824" i="11" s="1"/>
  <c r="B825" i="11" s="1"/>
  <c r="B826" i="11" s="1"/>
  <c r="B827" i="11" s="1"/>
  <c r="B828" i="11" s="1"/>
  <c r="B829" i="11" s="1"/>
  <c r="B830" i="11" s="1"/>
  <c r="B831" i="11" s="1"/>
  <c r="B832" i="11" s="1"/>
  <c r="B833" i="11" s="1"/>
  <c r="B834" i="11" s="1"/>
  <c r="B835" i="11" s="1"/>
  <c r="B836" i="11" s="1"/>
  <c r="B837" i="11" s="1"/>
  <c r="B838" i="11" s="1"/>
  <c r="B839" i="11" s="1"/>
  <c r="B840" i="11" s="1"/>
  <c r="B841" i="11" s="1"/>
  <c r="B842" i="11" s="1"/>
  <c r="B843" i="11" s="1"/>
  <c r="B844" i="11" s="1"/>
  <c r="B845" i="11" s="1"/>
  <c r="B846" i="11" s="1"/>
  <c r="B847" i="11" s="1"/>
  <c r="B848" i="11" s="1"/>
  <c r="B849" i="11" s="1"/>
  <c r="B850" i="11" s="1"/>
  <c r="B851" i="11" s="1"/>
  <c r="B852" i="11" s="1"/>
  <c r="B853" i="11" s="1"/>
  <c r="B854" i="11" s="1"/>
  <c r="B855" i="11" s="1"/>
  <c r="B856" i="11" s="1"/>
  <c r="B857" i="11" s="1"/>
  <c r="B858" i="11" s="1"/>
  <c r="B859" i="11" s="1"/>
  <c r="B860" i="11" s="1"/>
  <c r="B861" i="11" s="1"/>
  <c r="B862" i="11" s="1"/>
  <c r="B863" i="11" s="1"/>
  <c r="B864" i="11" s="1"/>
  <c r="B865" i="11" s="1"/>
  <c r="B866" i="11" s="1"/>
  <c r="B867" i="11" s="1"/>
  <c r="B868" i="11" s="1"/>
  <c r="B869" i="11" s="1"/>
  <c r="B870" i="11" s="1"/>
  <c r="B871" i="11" s="1"/>
  <c r="B872" i="11" s="1"/>
  <c r="B873" i="11" s="1"/>
  <c r="B874" i="11" s="1"/>
  <c r="B875" i="11" s="1"/>
  <c r="B876" i="11" s="1"/>
  <c r="B877" i="11" s="1"/>
  <c r="B878" i="11" s="1"/>
  <c r="B879" i="11" s="1"/>
  <c r="B880" i="11" s="1"/>
  <c r="B881" i="11" s="1"/>
  <c r="B882" i="11" s="1"/>
  <c r="B883" i="11" s="1"/>
  <c r="B884" i="11" s="1"/>
  <c r="B885" i="11" s="1"/>
  <c r="B886" i="11" s="1"/>
  <c r="B887" i="11" s="1"/>
  <c r="B888" i="11" s="1"/>
  <c r="B889" i="11" s="1"/>
  <c r="B890" i="11" s="1"/>
  <c r="B891" i="11" s="1"/>
  <c r="B892" i="11" s="1"/>
  <c r="B893" i="11" s="1"/>
  <c r="B894" i="11" s="1"/>
  <c r="B895" i="11" s="1"/>
  <c r="B896" i="11" s="1"/>
  <c r="B897" i="11" s="1"/>
  <c r="B898" i="11" s="1"/>
  <c r="B899" i="11" s="1"/>
  <c r="B900" i="11" s="1"/>
  <c r="B901" i="11" s="1"/>
  <c r="B902" i="11" s="1"/>
  <c r="B903" i="11" s="1"/>
  <c r="B904" i="11" s="1"/>
  <c r="H773" i="11"/>
  <c r="G773" i="11"/>
  <c r="F773" i="11"/>
  <c r="D773" i="11"/>
  <c r="F772" i="11"/>
  <c r="D772" i="11"/>
  <c r="C772" i="11"/>
  <c r="B772" i="11"/>
  <c r="B773" i="11" s="1"/>
  <c r="H771" i="11"/>
  <c r="G771" i="11"/>
  <c r="F771" i="11"/>
  <c r="D771" i="11"/>
  <c r="L767" i="11"/>
  <c r="H767" i="11"/>
  <c r="I767" i="11" s="1"/>
  <c r="J767" i="11" s="1"/>
  <c r="K767" i="11" s="1"/>
  <c r="G767" i="11"/>
  <c r="F767" i="11"/>
  <c r="D767" i="11"/>
  <c r="S766" i="11"/>
  <c r="T766" i="11" s="1"/>
  <c r="U766" i="11" s="1"/>
  <c r="V766" i="11" s="1"/>
  <c r="W766" i="11" s="1"/>
  <c r="X766" i="11" s="1"/>
  <c r="Y766" i="11" s="1"/>
  <c r="Z766" i="11" s="1"/>
  <c r="AA766" i="11" s="1"/>
  <c r="K766" i="11"/>
  <c r="L766" i="11" s="1"/>
  <c r="M766" i="11" s="1"/>
  <c r="N766" i="11" s="1"/>
  <c r="O766" i="11" s="1"/>
  <c r="P766" i="11" s="1"/>
  <c r="Q766" i="11" s="1"/>
  <c r="R766" i="11" s="1"/>
  <c r="H766" i="11"/>
  <c r="I766" i="11" s="1"/>
  <c r="J766" i="11" s="1"/>
  <c r="G766" i="11"/>
  <c r="F766" i="11"/>
  <c r="D766" i="11"/>
  <c r="J765" i="11"/>
  <c r="K765" i="11" s="1"/>
  <c r="L765" i="11" s="1"/>
  <c r="M765" i="11" s="1"/>
  <c r="N765" i="11" s="1"/>
  <c r="O765" i="11" s="1"/>
  <c r="P765" i="11" s="1"/>
  <c r="Q765" i="11" s="1"/>
  <c r="R765" i="11" s="1"/>
  <c r="S765" i="11" s="1"/>
  <c r="T765" i="11" s="1"/>
  <c r="U765" i="11" s="1"/>
  <c r="V765" i="11" s="1"/>
  <c r="W765" i="11" s="1"/>
  <c r="X765" i="11" s="1"/>
  <c r="Y765" i="11" s="1"/>
  <c r="Z765" i="11" s="1"/>
  <c r="I765" i="11"/>
  <c r="H765" i="11"/>
  <c r="G765" i="11"/>
  <c r="F765" i="11"/>
  <c r="D765" i="11"/>
  <c r="Z764" i="11"/>
  <c r="AA764" i="11" s="1"/>
  <c r="AB764" i="11" s="1"/>
  <c r="AC764" i="11" s="1"/>
  <c r="J764" i="11"/>
  <c r="K764" i="11" s="1"/>
  <c r="L764" i="11" s="1"/>
  <c r="M764" i="11" s="1"/>
  <c r="N764" i="11" s="1"/>
  <c r="O764" i="11" s="1"/>
  <c r="P764" i="11" s="1"/>
  <c r="Q764" i="11" s="1"/>
  <c r="R764" i="11" s="1"/>
  <c r="S764" i="11" s="1"/>
  <c r="T764" i="11" s="1"/>
  <c r="U764" i="11" s="1"/>
  <c r="V764" i="11" s="1"/>
  <c r="W764" i="11" s="1"/>
  <c r="X764" i="11" s="1"/>
  <c r="Y764" i="11" s="1"/>
  <c r="H764" i="11"/>
  <c r="I764" i="11" s="1"/>
  <c r="G764" i="11"/>
  <c r="F764" i="11"/>
  <c r="D764" i="11"/>
  <c r="B764" i="11"/>
  <c r="B765" i="11" s="1"/>
  <c r="B766" i="11" s="1"/>
  <c r="B767" i="11" s="1"/>
  <c r="B768" i="11" s="1"/>
  <c r="I763" i="11"/>
  <c r="H763" i="11"/>
  <c r="G763" i="11"/>
  <c r="G768" i="11" s="1"/>
  <c r="F763" i="11"/>
  <c r="D763" i="11"/>
  <c r="B763" i="11"/>
  <c r="D758" i="11"/>
  <c r="D757" i="11"/>
  <c r="D756" i="11"/>
  <c r="D755" i="11"/>
  <c r="B755" i="11"/>
  <c r="B756" i="11" s="1"/>
  <c r="B757" i="11" s="1"/>
  <c r="B758" i="11" s="1"/>
  <c r="B759" i="11" s="1"/>
  <c r="D754" i="11"/>
  <c r="B754" i="11"/>
  <c r="B753" i="11"/>
  <c r="D746" i="11"/>
  <c r="D745" i="11"/>
  <c r="D744" i="11"/>
  <c r="D743" i="11"/>
  <c r="D742" i="11"/>
  <c r="H739" i="11"/>
  <c r="G739" i="11"/>
  <c r="F739" i="11"/>
  <c r="H737" i="11"/>
  <c r="G737" i="11"/>
  <c r="F737" i="11"/>
  <c r="D737" i="11"/>
  <c r="H736" i="11"/>
  <c r="H738" i="11" s="1"/>
  <c r="G736" i="11"/>
  <c r="F736" i="11"/>
  <c r="D736" i="11"/>
  <c r="H735" i="11"/>
  <c r="G735" i="11"/>
  <c r="F735" i="11"/>
  <c r="D735" i="11"/>
  <c r="H734" i="11"/>
  <c r="G734" i="11"/>
  <c r="F734" i="11"/>
  <c r="D734" i="11"/>
  <c r="H733" i="11"/>
  <c r="G733" i="11"/>
  <c r="G738" i="11" s="1"/>
  <c r="F733" i="11"/>
  <c r="F738" i="11" s="1"/>
  <c r="D733" i="11"/>
  <c r="D728" i="11"/>
  <c r="D727" i="11"/>
  <c r="D726" i="11"/>
  <c r="D725" i="11"/>
  <c r="D724" i="11"/>
  <c r="F719" i="11"/>
  <c r="H717" i="11"/>
  <c r="G717" i="11"/>
  <c r="F717" i="11"/>
  <c r="D717" i="11"/>
  <c r="H716" i="11"/>
  <c r="G716" i="11"/>
  <c r="F716" i="11"/>
  <c r="N41" i="38" s="1"/>
  <c r="D716" i="11"/>
  <c r="H715" i="11"/>
  <c r="G715" i="11"/>
  <c r="F715" i="11"/>
  <c r="D715" i="11"/>
  <c r="H714" i="11"/>
  <c r="G714" i="11"/>
  <c r="F714" i="11"/>
  <c r="D714" i="11"/>
  <c r="H713" i="11"/>
  <c r="G713" i="11"/>
  <c r="G718" i="11" s="1"/>
  <c r="F713" i="11"/>
  <c r="D713" i="11"/>
  <c r="J709" i="11"/>
  <c r="I709" i="11"/>
  <c r="D708" i="11"/>
  <c r="D707" i="11"/>
  <c r="D706" i="11"/>
  <c r="D705" i="11"/>
  <c r="D704" i="11"/>
  <c r="D699" i="11"/>
  <c r="D698" i="11"/>
  <c r="D697" i="11"/>
  <c r="D696" i="11"/>
  <c r="D695" i="11"/>
  <c r="H690" i="11"/>
  <c r="G690" i="11"/>
  <c r="F690" i="11"/>
  <c r="D690" i="11"/>
  <c r="H689" i="11"/>
  <c r="G689" i="11"/>
  <c r="F689" i="11"/>
  <c r="D689" i="11"/>
  <c r="H688" i="11"/>
  <c r="G688" i="11"/>
  <c r="F688" i="11"/>
  <c r="D688" i="11"/>
  <c r="H687" i="11"/>
  <c r="G687" i="11"/>
  <c r="F687" i="11"/>
  <c r="D687" i="11"/>
  <c r="H686" i="11"/>
  <c r="H691" i="11" s="1"/>
  <c r="G686" i="11"/>
  <c r="F686" i="11"/>
  <c r="F691" i="11" s="1"/>
  <c r="D686" i="11"/>
  <c r="H683" i="11"/>
  <c r="G683" i="11"/>
  <c r="F683" i="11"/>
  <c r="F682" i="11"/>
  <c r="H681" i="11"/>
  <c r="G681" i="11"/>
  <c r="F681" i="11"/>
  <c r="D681" i="11"/>
  <c r="H680" i="11"/>
  <c r="G680" i="11"/>
  <c r="F680" i="11"/>
  <c r="D680" i="11"/>
  <c r="H679" i="11"/>
  <c r="G679" i="11"/>
  <c r="F679" i="11"/>
  <c r="D679" i="11"/>
  <c r="H678" i="11"/>
  <c r="G678" i="11"/>
  <c r="F678" i="11"/>
  <c r="D678" i="11"/>
  <c r="H677" i="11"/>
  <c r="H682" i="11" s="1"/>
  <c r="G677" i="11"/>
  <c r="F677" i="11"/>
  <c r="D677" i="11"/>
  <c r="H674" i="11"/>
  <c r="G674" i="11"/>
  <c r="F674" i="11"/>
  <c r="H672" i="11"/>
  <c r="G672" i="11"/>
  <c r="F672" i="11"/>
  <c r="D672" i="11"/>
  <c r="H671" i="11"/>
  <c r="G671" i="11"/>
  <c r="F671" i="11"/>
  <c r="D671" i="11"/>
  <c r="H670" i="11"/>
  <c r="G670" i="11"/>
  <c r="F670" i="11"/>
  <c r="D670" i="11"/>
  <c r="H669" i="11"/>
  <c r="G669" i="11"/>
  <c r="F669" i="11"/>
  <c r="D669" i="11"/>
  <c r="H668" i="11"/>
  <c r="G668" i="11"/>
  <c r="G673" i="11" s="1"/>
  <c r="F668" i="11"/>
  <c r="D668" i="11"/>
  <c r="H665" i="11"/>
  <c r="G665" i="11"/>
  <c r="F665" i="11"/>
  <c r="H664" i="11"/>
  <c r="H663" i="11"/>
  <c r="G663" i="11"/>
  <c r="F663" i="11"/>
  <c r="D663" i="11"/>
  <c r="H662" i="11"/>
  <c r="G662" i="11"/>
  <c r="F662" i="11"/>
  <c r="D662" i="11"/>
  <c r="H661" i="11"/>
  <c r="G661" i="11"/>
  <c r="F661" i="11"/>
  <c r="D661" i="11"/>
  <c r="H660" i="11"/>
  <c r="G660" i="11"/>
  <c r="F660" i="11"/>
  <c r="D660" i="11"/>
  <c r="H659" i="11"/>
  <c r="G659" i="11"/>
  <c r="G664" i="11" s="1"/>
  <c r="F659" i="11"/>
  <c r="F664" i="11" s="1"/>
  <c r="D659" i="11"/>
  <c r="H656" i="11"/>
  <c r="G656" i="11"/>
  <c r="F656" i="11"/>
  <c r="H654" i="11"/>
  <c r="G654" i="11"/>
  <c r="G655" i="11" s="1"/>
  <c r="F654" i="11"/>
  <c r="D654" i="11"/>
  <c r="H653" i="11"/>
  <c r="G653" i="11"/>
  <c r="F653" i="11"/>
  <c r="D653" i="11"/>
  <c r="H652" i="11"/>
  <c r="G652" i="11"/>
  <c r="F652" i="11"/>
  <c r="D652" i="11"/>
  <c r="H651" i="11"/>
  <c r="G651" i="11"/>
  <c r="F651" i="11"/>
  <c r="D651" i="11"/>
  <c r="H650" i="11"/>
  <c r="H655" i="11" s="1"/>
  <c r="G650" i="11"/>
  <c r="F650" i="11"/>
  <c r="F655" i="11" s="1"/>
  <c r="D650" i="11"/>
  <c r="D649" i="11"/>
  <c r="B648" i="11"/>
  <c r="B649" i="11" s="1"/>
  <c r="B650" i="11" s="1"/>
  <c r="B651" i="11" s="1"/>
  <c r="B652" i="11" s="1"/>
  <c r="B653" i="11" s="1"/>
  <c r="B654" i="11" s="1"/>
  <c r="B655" i="11" s="1"/>
  <c r="B656" i="11" s="1"/>
  <c r="B657" i="11" s="1"/>
  <c r="B658" i="11" s="1"/>
  <c r="B659" i="11" s="1"/>
  <c r="B660" i="11" s="1"/>
  <c r="B661" i="11" s="1"/>
  <c r="B662" i="11" s="1"/>
  <c r="B663" i="11" s="1"/>
  <c r="B664" i="11" s="1"/>
  <c r="B665" i="11" s="1"/>
  <c r="B666" i="11" s="1"/>
  <c r="B667" i="11" s="1"/>
  <c r="B647" i="11"/>
  <c r="G643" i="11"/>
  <c r="F643" i="11"/>
  <c r="G642" i="11"/>
  <c r="H641" i="11"/>
  <c r="G641" i="11"/>
  <c r="F641" i="11"/>
  <c r="D641" i="11"/>
  <c r="H640" i="11"/>
  <c r="G640" i="11"/>
  <c r="F640" i="11"/>
  <c r="D640" i="11"/>
  <c r="H639" i="11"/>
  <c r="G639" i="11"/>
  <c r="F639" i="11"/>
  <c r="D639" i="11"/>
  <c r="H638" i="11"/>
  <c r="G638" i="11"/>
  <c r="F638" i="11"/>
  <c r="D638" i="11"/>
  <c r="H637" i="11"/>
  <c r="H642" i="11" s="1"/>
  <c r="G637" i="11"/>
  <c r="F637" i="11"/>
  <c r="F642" i="11" s="1"/>
  <c r="D637" i="11"/>
  <c r="H632" i="11"/>
  <c r="D632" i="11"/>
  <c r="H631" i="11"/>
  <c r="D631" i="11"/>
  <c r="H630" i="11"/>
  <c r="D630" i="11"/>
  <c r="H629" i="11"/>
  <c r="D629" i="11"/>
  <c r="D628" i="11"/>
  <c r="D623" i="11"/>
  <c r="D622" i="11"/>
  <c r="D621" i="11"/>
  <c r="D620" i="11"/>
  <c r="D619" i="11"/>
  <c r="H614" i="11"/>
  <c r="D614" i="11"/>
  <c r="D613" i="11"/>
  <c r="D612" i="11"/>
  <c r="H611" i="11"/>
  <c r="D611" i="11"/>
  <c r="D610" i="11"/>
  <c r="D605" i="11"/>
  <c r="D604" i="11"/>
  <c r="D603" i="11"/>
  <c r="D602" i="11"/>
  <c r="D601" i="11"/>
  <c r="D596" i="11"/>
  <c r="D595" i="11"/>
  <c r="D594" i="11"/>
  <c r="D593" i="11"/>
  <c r="D592" i="11"/>
  <c r="H587" i="11"/>
  <c r="H596" i="11" s="1"/>
  <c r="D587" i="11"/>
  <c r="D586" i="11"/>
  <c r="D585" i="11"/>
  <c r="D584" i="11"/>
  <c r="H583" i="11"/>
  <c r="D583" i="11"/>
  <c r="H578" i="11"/>
  <c r="H569" i="11" s="1"/>
  <c r="I569" i="11" s="1"/>
  <c r="J569" i="11" s="1"/>
  <c r="K569" i="11" s="1"/>
  <c r="G578" i="11"/>
  <c r="F578" i="11"/>
  <c r="D578" i="11"/>
  <c r="H577" i="11"/>
  <c r="G577" i="11"/>
  <c r="F577" i="11"/>
  <c r="D577" i="11"/>
  <c r="H576" i="11"/>
  <c r="H567" i="11" s="1"/>
  <c r="I567" i="11" s="1"/>
  <c r="J567" i="11" s="1"/>
  <c r="K567" i="11" s="1"/>
  <c r="G576" i="11"/>
  <c r="F576" i="11"/>
  <c r="D576" i="11"/>
  <c r="H575" i="11"/>
  <c r="G575" i="11"/>
  <c r="F575" i="11"/>
  <c r="D575" i="11"/>
  <c r="H574" i="11"/>
  <c r="G574" i="11"/>
  <c r="G579" i="11" s="1"/>
  <c r="F574" i="11"/>
  <c r="F579" i="11" s="1"/>
  <c r="D574" i="11"/>
  <c r="D569" i="11"/>
  <c r="H568" i="11"/>
  <c r="I568" i="11" s="1"/>
  <c r="J568" i="11" s="1"/>
  <c r="K568" i="11" s="1"/>
  <c r="D568" i="11"/>
  <c r="D567" i="11"/>
  <c r="H566" i="11"/>
  <c r="I566" i="11" s="1"/>
  <c r="D566" i="11"/>
  <c r="D565" i="11"/>
  <c r="D560" i="11"/>
  <c r="D559" i="11"/>
  <c r="D558" i="11"/>
  <c r="D557" i="11"/>
  <c r="D556" i="11"/>
  <c r="H551" i="11"/>
  <c r="H560" i="11" s="1"/>
  <c r="D551" i="11"/>
  <c r="D550" i="11"/>
  <c r="D549" i="11"/>
  <c r="D548" i="11"/>
  <c r="H547" i="11"/>
  <c r="H556" i="11" s="1"/>
  <c r="D547" i="11"/>
  <c r="H542" i="11"/>
  <c r="G542" i="11"/>
  <c r="F542" i="11"/>
  <c r="D542" i="11"/>
  <c r="H541" i="11"/>
  <c r="H586" i="11" s="1"/>
  <c r="G541" i="11"/>
  <c r="F541" i="11"/>
  <c r="D541" i="11"/>
  <c r="H540" i="11"/>
  <c r="G540" i="11"/>
  <c r="F540" i="11"/>
  <c r="D540" i="11"/>
  <c r="H539" i="11"/>
  <c r="H584" i="11" s="1"/>
  <c r="G539" i="11"/>
  <c r="F539" i="11"/>
  <c r="D539" i="11"/>
  <c r="H538" i="11"/>
  <c r="H565" i="11" s="1"/>
  <c r="I565" i="11" s="1"/>
  <c r="J565" i="11" s="1"/>
  <c r="K565" i="11" s="1"/>
  <c r="G538" i="11"/>
  <c r="F538" i="11"/>
  <c r="F543" i="11" s="1"/>
  <c r="D538" i="11"/>
  <c r="K533" i="11"/>
  <c r="J533" i="11"/>
  <c r="D533" i="11"/>
  <c r="K532" i="11"/>
  <c r="J532" i="11"/>
  <c r="D532" i="11"/>
  <c r="K531" i="11"/>
  <c r="J531" i="11"/>
  <c r="D531" i="11"/>
  <c r="K530" i="11"/>
  <c r="J530" i="11"/>
  <c r="D530" i="11"/>
  <c r="K529" i="11"/>
  <c r="J529" i="11"/>
  <c r="D529" i="11"/>
  <c r="H524" i="11"/>
  <c r="D524" i="11"/>
  <c r="H523" i="11"/>
  <c r="H595" i="11" s="1"/>
  <c r="D523" i="11"/>
  <c r="B523" i="11"/>
  <c r="B524" i="11" s="1"/>
  <c r="B525" i="11" s="1"/>
  <c r="B526" i="11" s="1"/>
  <c r="B527" i="11" s="1"/>
  <c r="B528" i="11" s="1"/>
  <c r="B529" i="11" s="1"/>
  <c r="B530" i="11" s="1"/>
  <c r="B531" i="11" s="1"/>
  <c r="B532" i="11" s="1"/>
  <c r="B533" i="11" s="1"/>
  <c r="B534" i="11" s="1"/>
  <c r="B535" i="11" s="1"/>
  <c r="B536" i="11" s="1"/>
  <c r="B537" i="11" s="1"/>
  <c r="H522" i="11"/>
  <c r="D522" i="11"/>
  <c r="H521" i="11"/>
  <c r="D521" i="11"/>
  <c r="H520" i="11"/>
  <c r="D520" i="11"/>
  <c r="B517" i="11"/>
  <c r="B518" i="11" s="1"/>
  <c r="B519" i="11" s="1"/>
  <c r="B520" i="11" s="1"/>
  <c r="B521" i="11" s="1"/>
  <c r="B522" i="11" s="1"/>
  <c r="D512" i="11"/>
  <c r="D511" i="11"/>
  <c r="D510" i="11"/>
  <c r="D509" i="11"/>
  <c r="D508" i="11"/>
  <c r="I503" i="11"/>
  <c r="D503" i="11"/>
  <c r="I502" i="11"/>
  <c r="D502" i="11"/>
  <c r="I501" i="11"/>
  <c r="D501" i="11"/>
  <c r="I500" i="11"/>
  <c r="D500" i="11"/>
  <c r="I499" i="11"/>
  <c r="D499" i="11"/>
  <c r="AB494" i="11"/>
  <c r="AC494" i="11" s="1"/>
  <c r="L494" i="11"/>
  <c r="M494" i="11" s="1"/>
  <c r="N494" i="11" s="1"/>
  <c r="O494" i="11" s="1"/>
  <c r="P494" i="11" s="1"/>
  <c r="Q494" i="11" s="1"/>
  <c r="R494" i="11" s="1"/>
  <c r="S494" i="11" s="1"/>
  <c r="T494" i="11" s="1"/>
  <c r="U494" i="11" s="1"/>
  <c r="V494" i="11" s="1"/>
  <c r="W494" i="11" s="1"/>
  <c r="X494" i="11" s="1"/>
  <c r="Y494" i="11" s="1"/>
  <c r="Z494" i="11" s="1"/>
  <c r="AA494" i="11" s="1"/>
  <c r="J494" i="11"/>
  <c r="K494" i="11" s="1"/>
  <c r="D494" i="11"/>
  <c r="J493" i="11"/>
  <c r="K493" i="11" s="1"/>
  <c r="L493" i="11" s="1"/>
  <c r="M493" i="11" s="1"/>
  <c r="N493" i="11" s="1"/>
  <c r="O493" i="11" s="1"/>
  <c r="P493" i="11" s="1"/>
  <c r="Q493" i="11" s="1"/>
  <c r="R493" i="11" s="1"/>
  <c r="S493" i="11" s="1"/>
  <c r="T493" i="11" s="1"/>
  <c r="U493" i="11" s="1"/>
  <c r="V493" i="11" s="1"/>
  <c r="W493" i="11" s="1"/>
  <c r="X493" i="11" s="1"/>
  <c r="Y493" i="11" s="1"/>
  <c r="Z493" i="11" s="1"/>
  <c r="AA493" i="11" s="1"/>
  <c r="AB493" i="11" s="1"/>
  <c r="AC493" i="11" s="1"/>
  <c r="D493" i="11"/>
  <c r="L492" i="11"/>
  <c r="M492" i="11" s="1"/>
  <c r="N492" i="11" s="1"/>
  <c r="O492" i="11" s="1"/>
  <c r="P492" i="11" s="1"/>
  <c r="Q492" i="11" s="1"/>
  <c r="R492" i="11" s="1"/>
  <c r="S492" i="11" s="1"/>
  <c r="T492" i="11" s="1"/>
  <c r="U492" i="11" s="1"/>
  <c r="V492" i="11" s="1"/>
  <c r="W492" i="11" s="1"/>
  <c r="X492" i="11" s="1"/>
  <c r="Y492" i="11" s="1"/>
  <c r="Z492" i="11" s="1"/>
  <c r="AA492" i="11" s="1"/>
  <c r="AB492" i="11" s="1"/>
  <c r="AC492" i="11" s="1"/>
  <c r="J492" i="11"/>
  <c r="K492" i="11" s="1"/>
  <c r="D492" i="11"/>
  <c r="J491" i="11"/>
  <c r="K491" i="11" s="1"/>
  <c r="L491" i="11" s="1"/>
  <c r="M491" i="11" s="1"/>
  <c r="N491" i="11" s="1"/>
  <c r="O491" i="11" s="1"/>
  <c r="P491" i="11" s="1"/>
  <c r="Q491" i="11" s="1"/>
  <c r="R491" i="11" s="1"/>
  <c r="S491" i="11" s="1"/>
  <c r="T491" i="11" s="1"/>
  <c r="U491" i="11" s="1"/>
  <c r="V491" i="11" s="1"/>
  <c r="W491" i="11" s="1"/>
  <c r="X491" i="11" s="1"/>
  <c r="Y491" i="11" s="1"/>
  <c r="Z491" i="11" s="1"/>
  <c r="AA491" i="11" s="1"/>
  <c r="AB491" i="11" s="1"/>
  <c r="AC491" i="11" s="1"/>
  <c r="D491" i="11"/>
  <c r="AB490" i="11"/>
  <c r="AC490" i="11" s="1"/>
  <c r="L490" i="11"/>
  <c r="M490" i="11" s="1"/>
  <c r="N490" i="11" s="1"/>
  <c r="O490" i="11" s="1"/>
  <c r="P490" i="11" s="1"/>
  <c r="Q490" i="11" s="1"/>
  <c r="R490" i="11" s="1"/>
  <c r="S490" i="11" s="1"/>
  <c r="T490" i="11" s="1"/>
  <c r="U490" i="11" s="1"/>
  <c r="V490" i="11" s="1"/>
  <c r="W490" i="11" s="1"/>
  <c r="X490" i="11" s="1"/>
  <c r="Y490" i="11" s="1"/>
  <c r="Z490" i="11" s="1"/>
  <c r="AA490" i="11" s="1"/>
  <c r="J490" i="11"/>
  <c r="K490" i="11" s="1"/>
  <c r="D490" i="11"/>
  <c r="N485" i="11"/>
  <c r="O485" i="11" s="1"/>
  <c r="P485" i="11" s="1"/>
  <c r="Q485" i="11" s="1"/>
  <c r="R485" i="11" s="1"/>
  <c r="S485" i="11" s="1"/>
  <c r="T485" i="11" s="1"/>
  <c r="U485" i="11" s="1"/>
  <c r="V485" i="11" s="1"/>
  <c r="W485" i="11" s="1"/>
  <c r="X485" i="11" s="1"/>
  <c r="Y485" i="11" s="1"/>
  <c r="Z485" i="11" s="1"/>
  <c r="AA485" i="11" s="1"/>
  <c r="AB485" i="11" s="1"/>
  <c r="AC485" i="11" s="1"/>
  <c r="L485" i="11"/>
  <c r="M485" i="11" s="1"/>
  <c r="K485" i="11"/>
  <c r="D485" i="11"/>
  <c r="K484" i="11"/>
  <c r="L484" i="11" s="1"/>
  <c r="M484" i="11" s="1"/>
  <c r="N484" i="11" s="1"/>
  <c r="O484" i="11" s="1"/>
  <c r="P484" i="11" s="1"/>
  <c r="Q484" i="11" s="1"/>
  <c r="R484" i="11" s="1"/>
  <c r="S484" i="11" s="1"/>
  <c r="T484" i="11" s="1"/>
  <c r="U484" i="11" s="1"/>
  <c r="V484" i="11" s="1"/>
  <c r="W484" i="11" s="1"/>
  <c r="X484" i="11" s="1"/>
  <c r="Y484" i="11" s="1"/>
  <c r="Z484" i="11" s="1"/>
  <c r="AA484" i="11" s="1"/>
  <c r="AB484" i="11" s="1"/>
  <c r="AC484" i="11" s="1"/>
  <c r="D484" i="11"/>
  <c r="T483" i="11"/>
  <c r="U483" i="11" s="1"/>
  <c r="V483" i="11" s="1"/>
  <c r="W483" i="11" s="1"/>
  <c r="X483" i="11" s="1"/>
  <c r="Y483" i="11" s="1"/>
  <c r="Z483" i="11" s="1"/>
  <c r="AA483" i="11" s="1"/>
  <c r="AB483" i="11" s="1"/>
  <c r="AC483" i="11" s="1"/>
  <c r="L483" i="11"/>
  <c r="M483" i="11" s="1"/>
  <c r="N483" i="11" s="1"/>
  <c r="O483" i="11" s="1"/>
  <c r="P483" i="11" s="1"/>
  <c r="Q483" i="11" s="1"/>
  <c r="R483" i="11" s="1"/>
  <c r="S483" i="11" s="1"/>
  <c r="K483" i="11"/>
  <c r="D483" i="11"/>
  <c r="Q482" i="11"/>
  <c r="R482" i="11" s="1"/>
  <c r="S482" i="11" s="1"/>
  <c r="T482" i="11" s="1"/>
  <c r="U482" i="11" s="1"/>
  <c r="V482" i="11" s="1"/>
  <c r="W482" i="11" s="1"/>
  <c r="X482" i="11" s="1"/>
  <c r="Y482" i="11" s="1"/>
  <c r="Z482" i="11" s="1"/>
  <c r="AA482" i="11" s="1"/>
  <c r="AB482" i="11" s="1"/>
  <c r="AC482" i="11" s="1"/>
  <c r="K482" i="11"/>
  <c r="L482" i="11" s="1"/>
  <c r="M482" i="11" s="1"/>
  <c r="N482" i="11" s="1"/>
  <c r="O482" i="11" s="1"/>
  <c r="P482" i="11" s="1"/>
  <c r="D482" i="11"/>
  <c r="N481" i="11"/>
  <c r="O481" i="11" s="1"/>
  <c r="P481" i="11" s="1"/>
  <c r="Q481" i="11" s="1"/>
  <c r="R481" i="11" s="1"/>
  <c r="S481" i="11" s="1"/>
  <c r="T481" i="11" s="1"/>
  <c r="U481" i="11" s="1"/>
  <c r="V481" i="11" s="1"/>
  <c r="W481" i="11" s="1"/>
  <c r="X481" i="11" s="1"/>
  <c r="Y481" i="11" s="1"/>
  <c r="Z481" i="11" s="1"/>
  <c r="AA481" i="11" s="1"/>
  <c r="AB481" i="11" s="1"/>
  <c r="AC481" i="11" s="1"/>
  <c r="L481" i="11"/>
  <c r="M481" i="11" s="1"/>
  <c r="K481" i="11"/>
  <c r="D481" i="11"/>
  <c r="B478" i="11"/>
  <c r="B479" i="11" s="1"/>
  <c r="B480" i="11" s="1"/>
  <c r="D476" i="11"/>
  <c r="D475" i="11"/>
  <c r="D474" i="11"/>
  <c r="D473" i="11"/>
  <c r="D472" i="11"/>
  <c r="D467" i="11"/>
  <c r="D466" i="11"/>
  <c r="D465" i="11"/>
  <c r="D464" i="11"/>
  <c r="D463" i="11"/>
  <c r="B460" i="11"/>
  <c r="B461" i="11" s="1"/>
  <c r="B462" i="11" s="1"/>
  <c r="B463" i="11" s="1"/>
  <c r="B464" i="11" s="1"/>
  <c r="B465" i="11" s="1"/>
  <c r="B466" i="11" s="1"/>
  <c r="B467" i="11" s="1"/>
  <c r="B468" i="11" s="1"/>
  <c r="B469" i="11" s="1"/>
  <c r="B470" i="11" s="1"/>
  <c r="B471" i="11" s="1"/>
  <c r="B472" i="11" s="1"/>
  <c r="B473" i="11" s="1"/>
  <c r="B474" i="11" s="1"/>
  <c r="B475" i="11" s="1"/>
  <c r="B476" i="11" s="1"/>
  <c r="B477" i="11" s="1"/>
  <c r="D458" i="11"/>
  <c r="D457" i="11"/>
  <c r="D456" i="11"/>
  <c r="D455" i="11"/>
  <c r="D454" i="11"/>
  <c r="B453" i="11"/>
  <c r="B454" i="11" s="1"/>
  <c r="B455" i="11" s="1"/>
  <c r="B456" i="11" s="1"/>
  <c r="B457" i="11" s="1"/>
  <c r="B458" i="11" s="1"/>
  <c r="B459" i="11" s="1"/>
  <c r="B451" i="11"/>
  <c r="B452" i="11" s="1"/>
  <c r="B450" i="11"/>
  <c r="D445" i="11"/>
  <c r="D444" i="11"/>
  <c r="D443" i="11"/>
  <c r="G442" i="11"/>
  <c r="D442" i="11"/>
  <c r="D441" i="11"/>
  <c r="H437" i="11"/>
  <c r="G437" i="11"/>
  <c r="F437" i="11"/>
  <c r="H436" i="11"/>
  <c r="H445" i="11" s="1"/>
  <c r="G436" i="11"/>
  <c r="F436" i="11"/>
  <c r="D436" i="11"/>
  <c r="H435" i="11"/>
  <c r="G435" i="11"/>
  <c r="F435" i="11"/>
  <c r="D435" i="11"/>
  <c r="H434" i="11"/>
  <c r="G434" i="11"/>
  <c r="F434" i="11"/>
  <c r="D434" i="11"/>
  <c r="H433" i="11"/>
  <c r="G433" i="11"/>
  <c r="F433" i="11"/>
  <c r="D433" i="11"/>
  <c r="H432" i="11"/>
  <c r="G432" i="11"/>
  <c r="F432" i="11"/>
  <c r="D432" i="11"/>
  <c r="H428" i="11"/>
  <c r="H446" i="11" s="1"/>
  <c r="G428" i="11"/>
  <c r="G446" i="11" s="1"/>
  <c r="F428" i="11"/>
  <c r="F446" i="11" s="1"/>
  <c r="H427" i="11"/>
  <c r="G427" i="11"/>
  <c r="G445" i="11" s="1"/>
  <c r="F427" i="11"/>
  <c r="F445" i="11" s="1"/>
  <c r="D427" i="11"/>
  <c r="H426" i="11"/>
  <c r="H444" i="11" s="1"/>
  <c r="G426" i="11"/>
  <c r="G444" i="11" s="1"/>
  <c r="F426" i="11"/>
  <c r="F444" i="11" s="1"/>
  <c r="D426" i="11"/>
  <c r="H425" i="11"/>
  <c r="H443" i="11" s="1"/>
  <c r="G425" i="11"/>
  <c r="G443" i="11" s="1"/>
  <c r="F425" i="11"/>
  <c r="F443" i="11" s="1"/>
  <c r="D425" i="11"/>
  <c r="H424" i="11"/>
  <c r="H442" i="11" s="1"/>
  <c r="G424" i="11"/>
  <c r="F424" i="11"/>
  <c r="F442" i="11" s="1"/>
  <c r="D424" i="11"/>
  <c r="H423" i="11"/>
  <c r="H441" i="11" s="1"/>
  <c r="G423" i="11"/>
  <c r="G441" i="11" s="1"/>
  <c r="F423" i="11"/>
  <c r="F441" i="11" s="1"/>
  <c r="D423" i="11"/>
  <c r="H419" i="11"/>
  <c r="G419" i="11"/>
  <c r="F419" i="11"/>
  <c r="H418" i="11"/>
  <c r="G418" i="11"/>
  <c r="F418" i="11"/>
  <c r="I418" i="11" s="1"/>
  <c r="D418" i="11"/>
  <c r="H417" i="11"/>
  <c r="G417" i="11"/>
  <c r="F417" i="11"/>
  <c r="D417" i="11"/>
  <c r="H416" i="11"/>
  <c r="G416" i="11"/>
  <c r="F416" i="11"/>
  <c r="I416" i="11" s="1"/>
  <c r="D416" i="11"/>
  <c r="H415" i="11"/>
  <c r="G415" i="11"/>
  <c r="F415" i="11"/>
  <c r="D415" i="11"/>
  <c r="H414" i="11"/>
  <c r="G414" i="11"/>
  <c r="F414" i="11"/>
  <c r="I414" i="11" s="1"/>
  <c r="D414" i="11"/>
  <c r="D409" i="11"/>
  <c r="D408" i="11"/>
  <c r="D407" i="11"/>
  <c r="I406" i="11"/>
  <c r="D406" i="11"/>
  <c r="D405" i="11"/>
  <c r="D401" i="11"/>
  <c r="D400" i="11"/>
  <c r="D399" i="11"/>
  <c r="D398" i="11"/>
  <c r="H397" i="11"/>
  <c r="D397" i="11"/>
  <c r="D396" i="11"/>
  <c r="D392" i="11"/>
  <c r="D391" i="11"/>
  <c r="D390" i="11"/>
  <c r="D389" i="11"/>
  <c r="D388" i="11"/>
  <c r="D387" i="11"/>
  <c r="D383" i="11"/>
  <c r="AE382" i="11"/>
  <c r="D382" i="11"/>
  <c r="AE381" i="11"/>
  <c r="D381" i="11"/>
  <c r="AE380" i="11"/>
  <c r="D380" i="11"/>
  <c r="AE379" i="11"/>
  <c r="AE383" i="11" s="1"/>
  <c r="D379" i="11"/>
  <c r="AE378" i="11"/>
  <c r="D378" i="11"/>
  <c r="D374" i="11"/>
  <c r="D373" i="11"/>
  <c r="D372" i="11"/>
  <c r="D371" i="11"/>
  <c r="D370" i="11"/>
  <c r="D369" i="11"/>
  <c r="D365" i="11"/>
  <c r="D364" i="11"/>
  <c r="D363" i="11"/>
  <c r="D362" i="11"/>
  <c r="D361" i="11"/>
  <c r="D360" i="11"/>
  <c r="D356" i="11"/>
  <c r="D354" i="11"/>
  <c r="D351" i="11"/>
  <c r="D347" i="11"/>
  <c r="D342" i="11"/>
  <c r="D338" i="11"/>
  <c r="E337" i="11"/>
  <c r="D336" i="11"/>
  <c r="D333" i="11"/>
  <c r="D329" i="11"/>
  <c r="D324" i="11"/>
  <c r="D320" i="11"/>
  <c r="D318" i="11"/>
  <c r="D315" i="11"/>
  <c r="D311" i="11"/>
  <c r="D309" i="11"/>
  <c r="D306" i="11"/>
  <c r="AC302" i="11"/>
  <c r="AB302" i="11"/>
  <c r="AA302" i="11"/>
  <c r="Z302" i="11"/>
  <c r="Y302" i="11"/>
  <c r="X302" i="11"/>
  <c r="W302" i="11"/>
  <c r="V302" i="11"/>
  <c r="U302" i="11"/>
  <c r="T302" i="11"/>
  <c r="S302" i="11"/>
  <c r="R302" i="11"/>
  <c r="Q302" i="11"/>
  <c r="P302" i="11"/>
  <c r="O302" i="11"/>
  <c r="N302" i="11"/>
  <c r="M302" i="11"/>
  <c r="L302" i="11"/>
  <c r="K302" i="11"/>
  <c r="J302" i="11"/>
  <c r="I302" i="11"/>
  <c r="AD302" i="11" s="1"/>
  <c r="D302" i="11"/>
  <c r="AC301" i="11"/>
  <c r="AB301" i="11"/>
  <c r="AA301" i="11"/>
  <c r="Z301" i="11"/>
  <c r="Y301" i="11"/>
  <c r="X301" i="11"/>
  <c r="W301" i="11"/>
  <c r="V301" i="11"/>
  <c r="U301" i="11"/>
  <c r="T301" i="11"/>
  <c r="S301" i="11"/>
  <c r="R301" i="11"/>
  <c r="Q301" i="11"/>
  <c r="P301" i="11"/>
  <c r="O301" i="11"/>
  <c r="N301" i="11"/>
  <c r="M301" i="11"/>
  <c r="L301" i="11"/>
  <c r="K301" i="11"/>
  <c r="J301" i="11"/>
  <c r="I301" i="11"/>
  <c r="AD301" i="11" s="1"/>
  <c r="D301" i="11"/>
  <c r="AC300" i="11"/>
  <c r="AB300" i="11"/>
  <c r="AA300" i="11"/>
  <c r="Z300" i="11"/>
  <c r="Y300" i="11"/>
  <c r="X300" i="11"/>
  <c r="W300" i="11"/>
  <c r="V300" i="11"/>
  <c r="U300" i="11"/>
  <c r="T300" i="11"/>
  <c r="S300" i="11"/>
  <c r="R300" i="11"/>
  <c r="Q300" i="11"/>
  <c r="P300" i="11"/>
  <c r="O300" i="11"/>
  <c r="N300" i="11"/>
  <c r="M300" i="11"/>
  <c r="L300" i="11"/>
  <c r="K300" i="11"/>
  <c r="J300" i="11"/>
  <c r="I300" i="11"/>
  <c r="AD300" i="11" s="1"/>
  <c r="D300" i="11"/>
  <c r="AC299" i="11"/>
  <c r="AB299" i="11"/>
  <c r="AA299" i="11"/>
  <c r="Z299" i="11"/>
  <c r="Y299" i="11"/>
  <c r="X299" i="11"/>
  <c r="W299" i="11"/>
  <c r="V299" i="11"/>
  <c r="U299" i="11"/>
  <c r="T299" i="11"/>
  <c r="S299" i="11"/>
  <c r="R299" i="11"/>
  <c r="Q299" i="11"/>
  <c r="P299" i="11"/>
  <c r="O299" i="11"/>
  <c r="N299" i="11"/>
  <c r="M299" i="11"/>
  <c r="L299" i="11"/>
  <c r="K299" i="11"/>
  <c r="J299" i="11"/>
  <c r="I299" i="11"/>
  <c r="AD299" i="11" s="1"/>
  <c r="D299" i="11"/>
  <c r="AC298" i="11"/>
  <c r="AB298" i="11"/>
  <c r="AA298" i="11"/>
  <c r="Z298" i="11"/>
  <c r="Y298" i="11"/>
  <c r="X298" i="11"/>
  <c r="W298" i="11"/>
  <c r="V298" i="11"/>
  <c r="U298" i="11"/>
  <c r="T298" i="11"/>
  <c r="S298" i="11"/>
  <c r="R298" i="11"/>
  <c r="Q298" i="11"/>
  <c r="P298" i="11"/>
  <c r="O298" i="11"/>
  <c r="N298" i="11"/>
  <c r="M298" i="11"/>
  <c r="L298" i="11"/>
  <c r="K298" i="11"/>
  <c r="J298" i="11"/>
  <c r="I298" i="11"/>
  <c r="AD298" i="11" s="1"/>
  <c r="D298" i="11"/>
  <c r="AC297" i="11"/>
  <c r="AB297" i="11"/>
  <c r="AA297" i="11"/>
  <c r="Z297" i="11"/>
  <c r="Y297" i="11"/>
  <c r="X297" i="11"/>
  <c r="W297" i="11"/>
  <c r="V297" i="11"/>
  <c r="U297" i="11"/>
  <c r="T297" i="11"/>
  <c r="S297" i="11"/>
  <c r="R297" i="11"/>
  <c r="Q297" i="11"/>
  <c r="P297" i="11"/>
  <c r="O297" i="11"/>
  <c r="N297" i="11"/>
  <c r="M297" i="11"/>
  <c r="L297" i="11"/>
  <c r="K297" i="11"/>
  <c r="J297" i="11"/>
  <c r="I297" i="11"/>
  <c r="AD297" i="11" s="1"/>
  <c r="D297" i="11"/>
  <c r="D293" i="11"/>
  <c r="D292" i="11"/>
  <c r="D291" i="11"/>
  <c r="D290" i="11"/>
  <c r="D289" i="11"/>
  <c r="D288" i="11"/>
  <c r="D284" i="11"/>
  <c r="D283" i="11"/>
  <c r="D282" i="11"/>
  <c r="D281" i="11"/>
  <c r="D280" i="11"/>
  <c r="D279" i="11"/>
  <c r="D272" i="11"/>
  <c r="D355" i="11" s="1"/>
  <c r="D271" i="11"/>
  <c r="D345" i="11" s="1"/>
  <c r="D270" i="11"/>
  <c r="D344" i="11" s="1"/>
  <c r="E268" i="11"/>
  <c r="D263" i="11"/>
  <c r="D262" i="11"/>
  <c r="D261" i="11"/>
  <c r="D260" i="11"/>
  <c r="D259" i="11"/>
  <c r="D258" i="11"/>
  <c r="D257" i="11"/>
  <c r="D269" i="11" s="1"/>
  <c r="D254" i="11"/>
  <c r="D253" i="11"/>
  <c r="D252" i="11"/>
  <c r="D251" i="11"/>
  <c r="D250" i="11"/>
  <c r="D249" i="11"/>
  <c r="D245" i="11"/>
  <c r="D244" i="11"/>
  <c r="D243" i="11"/>
  <c r="D242" i="11"/>
  <c r="D241" i="11"/>
  <c r="D240" i="11"/>
  <c r="D236" i="11"/>
  <c r="D235" i="11"/>
  <c r="D234" i="11"/>
  <c r="D233" i="11"/>
  <c r="D232" i="11"/>
  <c r="D231" i="11"/>
  <c r="H227" i="11"/>
  <c r="D227" i="11"/>
  <c r="H226" i="11"/>
  <c r="I226" i="11" s="1"/>
  <c r="J226" i="11" s="1"/>
  <c r="K226" i="11" s="1"/>
  <c r="L226" i="11" s="1"/>
  <c r="M226" i="11" s="1"/>
  <c r="N226" i="11" s="1"/>
  <c r="O226" i="11" s="1"/>
  <c r="P226" i="11" s="1"/>
  <c r="Q226" i="11" s="1"/>
  <c r="R226" i="11" s="1"/>
  <c r="S226" i="11" s="1"/>
  <c r="T226" i="11" s="1"/>
  <c r="U226" i="11" s="1"/>
  <c r="V226" i="11" s="1"/>
  <c r="W226" i="11" s="1"/>
  <c r="X226" i="11" s="1"/>
  <c r="Y226" i="11" s="1"/>
  <c r="Z226" i="11" s="1"/>
  <c r="AA226" i="11" s="1"/>
  <c r="AB226" i="11" s="1"/>
  <c r="AC226" i="11" s="1"/>
  <c r="D226" i="11"/>
  <c r="H225" i="11"/>
  <c r="I225" i="11" s="1"/>
  <c r="J225" i="11" s="1"/>
  <c r="K225" i="11" s="1"/>
  <c r="L225" i="11" s="1"/>
  <c r="M225" i="11" s="1"/>
  <c r="N225" i="11" s="1"/>
  <c r="O225" i="11" s="1"/>
  <c r="P225" i="11" s="1"/>
  <c r="Q225" i="11" s="1"/>
  <c r="R225" i="11" s="1"/>
  <c r="S225" i="11" s="1"/>
  <c r="T225" i="11" s="1"/>
  <c r="U225" i="11" s="1"/>
  <c r="V225" i="11" s="1"/>
  <c r="W225" i="11" s="1"/>
  <c r="X225" i="11" s="1"/>
  <c r="Y225" i="11" s="1"/>
  <c r="Z225" i="11" s="1"/>
  <c r="AA225" i="11" s="1"/>
  <c r="AB225" i="11" s="1"/>
  <c r="AC225" i="11" s="1"/>
  <c r="D225" i="11"/>
  <c r="V224" i="11"/>
  <c r="W224" i="11" s="1"/>
  <c r="X224" i="11" s="1"/>
  <c r="Y224" i="11" s="1"/>
  <c r="Z224" i="11" s="1"/>
  <c r="AA224" i="11" s="1"/>
  <c r="AB224" i="11" s="1"/>
  <c r="AC224" i="11" s="1"/>
  <c r="H224" i="11"/>
  <c r="I224" i="11" s="1"/>
  <c r="J224" i="11" s="1"/>
  <c r="K224" i="11" s="1"/>
  <c r="L224" i="11" s="1"/>
  <c r="M224" i="11" s="1"/>
  <c r="N224" i="11" s="1"/>
  <c r="O224" i="11" s="1"/>
  <c r="P224" i="11" s="1"/>
  <c r="Q224" i="11" s="1"/>
  <c r="R224" i="11" s="1"/>
  <c r="S224" i="11" s="1"/>
  <c r="T224" i="11" s="1"/>
  <c r="U224" i="11" s="1"/>
  <c r="D224" i="11"/>
  <c r="H223" i="11"/>
  <c r="I223" i="11" s="1"/>
  <c r="J223" i="11" s="1"/>
  <c r="K223" i="11" s="1"/>
  <c r="L223" i="11" s="1"/>
  <c r="M223" i="11" s="1"/>
  <c r="N223" i="11" s="1"/>
  <c r="O223" i="11" s="1"/>
  <c r="P223" i="11" s="1"/>
  <c r="Q223" i="11" s="1"/>
  <c r="R223" i="11" s="1"/>
  <c r="S223" i="11" s="1"/>
  <c r="T223" i="11" s="1"/>
  <c r="U223" i="11" s="1"/>
  <c r="V223" i="11" s="1"/>
  <c r="W223" i="11" s="1"/>
  <c r="X223" i="11" s="1"/>
  <c r="Y223" i="11" s="1"/>
  <c r="Z223" i="11" s="1"/>
  <c r="AA223" i="11" s="1"/>
  <c r="AB223" i="11" s="1"/>
  <c r="AC223" i="11" s="1"/>
  <c r="D223" i="11"/>
  <c r="H222" i="11"/>
  <c r="I222" i="11" s="1"/>
  <c r="J222" i="11" s="1"/>
  <c r="K222" i="11" s="1"/>
  <c r="L222" i="11" s="1"/>
  <c r="M222" i="11" s="1"/>
  <c r="N222" i="11" s="1"/>
  <c r="O222" i="11" s="1"/>
  <c r="P222" i="11" s="1"/>
  <c r="Q222" i="11" s="1"/>
  <c r="R222" i="11" s="1"/>
  <c r="S222" i="11" s="1"/>
  <c r="T222" i="11" s="1"/>
  <c r="U222" i="11" s="1"/>
  <c r="V222" i="11" s="1"/>
  <c r="W222" i="11" s="1"/>
  <c r="X222" i="11" s="1"/>
  <c r="Y222" i="11" s="1"/>
  <c r="Z222" i="11" s="1"/>
  <c r="AA222" i="11" s="1"/>
  <c r="AB222" i="11" s="1"/>
  <c r="AC222" i="11" s="1"/>
  <c r="D222" i="11"/>
  <c r="D218" i="11"/>
  <c r="D217" i="11"/>
  <c r="D216" i="11"/>
  <c r="D215" i="11"/>
  <c r="D214" i="11"/>
  <c r="D213" i="11"/>
  <c r="D209" i="11"/>
  <c r="D208" i="11"/>
  <c r="I208" i="11" s="1"/>
  <c r="I207" i="11"/>
  <c r="D207" i="11"/>
  <c r="D206" i="11"/>
  <c r="I205" i="11"/>
  <c r="D205" i="11"/>
  <c r="D204" i="11"/>
  <c r="I204" i="11" s="1"/>
  <c r="D200" i="11"/>
  <c r="D199" i="11"/>
  <c r="D198" i="11"/>
  <c r="D197" i="11"/>
  <c r="D196" i="11"/>
  <c r="D195" i="11"/>
  <c r="E186" i="11"/>
  <c r="E178" i="11"/>
  <c r="H177" i="11"/>
  <c r="H175" i="11"/>
  <c r="D175" i="11"/>
  <c r="H174" i="11"/>
  <c r="I409" i="11" s="1"/>
  <c r="D174" i="11"/>
  <c r="H173" i="11"/>
  <c r="I408" i="11" s="1"/>
  <c r="D173" i="11"/>
  <c r="H172" i="11"/>
  <c r="I407" i="11" s="1"/>
  <c r="D172" i="11"/>
  <c r="H171" i="11"/>
  <c r="D171" i="11"/>
  <c r="H170" i="11"/>
  <c r="I405" i="11" s="1"/>
  <c r="D170" i="11"/>
  <c r="D166" i="11"/>
  <c r="H165" i="11"/>
  <c r="G165" i="11"/>
  <c r="F165" i="11"/>
  <c r="D165" i="11"/>
  <c r="H164" i="11"/>
  <c r="H166" i="11" s="1"/>
  <c r="G164" i="11"/>
  <c r="F164" i="11"/>
  <c r="D164" i="11"/>
  <c r="H163" i="11"/>
  <c r="G163" i="11"/>
  <c r="F163" i="11"/>
  <c r="D163" i="11"/>
  <c r="H162" i="11"/>
  <c r="G162" i="11"/>
  <c r="F162" i="11"/>
  <c r="F166" i="11" s="1"/>
  <c r="D162" i="11"/>
  <c r="H161" i="11"/>
  <c r="G161" i="11"/>
  <c r="G166" i="11" s="1"/>
  <c r="F161" i="11"/>
  <c r="D161" i="11"/>
  <c r="D157" i="11"/>
  <c r="D156" i="11"/>
  <c r="D155" i="11"/>
  <c r="D154" i="11"/>
  <c r="D153" i="11"/>
  <c r="D152" i="11"/>
  <c r="D148" i="11"/>
  <c r="H147" i="11"/>
  <c r="G147" i="11"/>
  <c r="F147" i="11"/>
  <c r="D147" i="11"/>
  <c r="H146" i="11"/>
  <c r="H148" i="11" s="1"/>
  <c r="G146" i="11"/>
  <c r="F146" i="11"/>
  <c r="D146" i="11"/>
  <c r="H145" i="11"/>
  <c r="G145" i="11"/>
  <c r="F145" i="11"/>
  <c r="D145" i="11"/>
  <c r="H144" i="11"/>
  <c r="G144" i="11"/>
  <c r="F144" i="11"/>
  <c r="F148" i="11" s="1"/>
  <c r="D144" i="11"/>
  <c r="H143" i="11"/>
  <c r="G143" i="11"/>
  <c r="F143" i="11"/>
  <c r="D143" i="11"/>
  <c r="D139" i="11"/>
  <c r="I138" i="11"/>
  <c r="D138" i="11"/>
  <c r="I137" i="11"/>
  <c r="D137" i="11"/>
  <c r="D136" i="11"/>
  <c r="I135" i="11"/>
  <c r="D135" i="11"/>
  <c r="I134" i="11"/>
  <c r="D134" i="11"/>
  <c r="D129" i="11"/>
  <c r="D128" i="11"/>
  <c r="D127" i="11"/>
  <c r="D126" i="11"/>
  <c r="D125" i="11"/>
  <c r="D124" i="11"/>
  <c r="D120" i="11"/>
  <c r="D119" i="11"/>
  <c r="D118" i="11"/>
  <c r="D117" i="11"/>
  <c r="D116" i="11"/>
  <c r="D115" i="11"/>
  <c r="D111" i="11"/>
  <c r="D110" i="11"/>
  <c r="D109" i="11"/>
  <c r="D108" i="11"/>
  <c r="D107" i="11"/>
  <c r="D106" i="11"/>
  <c r="D102" i="11"/>
  <c r="K101" i="11"/>
  <c r="J101" i="11"/>
  <c r="I101" i="11"/>
  <c r="D101" i="11"/>
  <c r="K100" i="11"/>
  <c r="J100" i="11"/>
  <c r="I100" i="11"/>
  <c r="D100" i="11"/>
  <c r="K99" i="11"/>
  <c r="J99" i="11"/>
  <c r="I99" i="11"/>
  <c r="D99" i="11"/>
  <c r="K98" i="11"/>
  <c r="J98" i="11"/>
  <c r="I98" i="11"/>
  <c r="D98" i="11"/>
  <c r="K97" i="11"/>
  <c r="J97" i="11"/>
  <c r="I97" i="11"/>
  <c r="D97" i="11"/>
  <c r="H92" i="11"/>
  <c r="D92" i="11"/>
  <c r="H91" i="11"/>
  <c r="D91" i="11"/>
  <c r="D90" i="11"/>
  <c r="H90" i="11" s="1"/>
  <c r="H89" i="11"/>
  <c r="D89" i="11"/>
  <c r="H88" i="11"/>
  <c r="D88" i="11"/>
  <c r="H87" i="11"/>
  <c r="D87" i="11"/>
  <c r="H83" i="11"/>
  <c r="D83" i="11"/>
  <c r="H82" i="11"/>
  <c r="H400" i="11" s="1"/>
  <c r="D82" i="11"/>
  <c r="H81" i="11"/>
  <c r="H399" i="11" s="1"/>
  <c r="D81" i="11"/>
  <c r="H80" i="11"/>
  <c r="H398" i="11" s="1"/>
  <c r="D80" i="11"/>
  <c r="H79" i="11"/>
  <c r="D79" i="11"/>
  <c r="H78" i="11"/>
  <c r="H396" i="11" s="1"/>
  <c r="D78" i="11"/>
  <c r="D74" i="11"/>
  <c r="D73" i="11"/>
  <c r="D72" i="11"/>
  <c r="D71" i="11"/>
  <c r="D70" i="11"/>
  <c r="D69" i="11"/>
  <c r="K65" i="11"/>
  <c r="J65" i="11"/>
  <c r="I65" i="11"/>
  <c r="F65" i="11"/>
  <c r="D65" i="11"/>
  <c r="H64" i="11"/>
  <c r="G64" i="11"/>
  <c r="F64" i="11"/>
  <c r="D64" i="11"/>
  <c r="H63" i="11"/>
  <c r="G63" i="11"/>
  <c r="F63" i="11"/>
  <c r="D63" i="11"/>
  <c r="H62" i="11"/>
  <c r="G62" i="11"/>
  <c r="F62" i="11"/>
  <c r="D62" i="11"/>
  <c r="H61" i="11"/>
  <c r="H65" i="11" s="1"/>
  <c r="G61" i="11"/>
  <c r="F61" i="11"/>
  <c r="D61" i="11"/>
  <c r="H60" i="11"/>
  <c r="G60" i="11"/>
  <c r="G65" i="11" s="1"/>
  <c r="F60" i="11"/>
  <c r="D60" i="11"/>
  <c r="H56" i="11"/>
  <c r="D56" i="11"/>
  <c r="H55" i="11"/>
  <c r="G55" i="11"/>
  <c r="F55" i="11"/>
  <c r="D55" i="11"/>
  <c r="H54" i="11"/>
  <c r="G54" i="11"/>
  <c r="F54" i="11"/>
  <c r="D54" i="11"/>
  <c r="H53" i="11"/>
  <c r="G53" i="11"/>
  <c r="F53" i="11"/>
  <c r="D53" i="11"/>
  <c r="H52" i="11"/>
  <c r="G52" i="11"/>
  <c r="G56" i="11" s="1"/>
  <c r="F52" i="11"/>
  <c r="F56" i="11" s="1"/>
  <c r="D52" i="11"/>
  <c r="H51" i="11"/>
  <c r="G51" i="11"/>
  <c r="F51" i="11"/>
  <c r="D51" i="11"/>
  <c r="D47" i="11"/>
  <c r="D46" i="11"/>
  <c r="D45" i="11"/>
  <c r="D44" i="11"/>
  <c r="D43" i="11"/>
  <c r="D42" i="11"/>
  <c r="C41" i="11"/>
  <c r="C50" i="11" s="1"/>
  <c r="D38" i="11"/>
  <c r="E353" i="11" s="1"/>
  <c r="D37" i="11"/>
  <c r="E344" i="11" s="1"/>
  <c r="J346" i="11" s="1"/>
  <c r="D36" i="11"/>
  <c r="E335" i="11" s="1"/>
  <c r="D35" i="11"/>
  <c r="E326" i="11" s="1"/>
  <c r="D34" i="11"/>
  <c r="E317" i="11" s="1"/>
  <c r="E319" i="11" s="1"/>
  <c r="D33" i="11"/>
  <c r="E308" i="11" s="1"/>
  <c r="B32" i="11"/>
  <c r="B33" i="11" s="1"/>
  <c r="B34" i="11" s="1"/>
  <c r="B35" i="11" s="1"/>
  <c r="B36" i="11" s="1"/>
  <c r="B37" i="11" s="1"/>
  <c r="B38" i="11" s="1"/>
  <c r="B39" i="11" s="1"/>
  <c r="B40" i="11" s="1"/>
  <c r="B41" i="11" s="1"/>
  <c r="B42" i="11" s="1"/>
  <c r="B43" i="11" s="1"/>
  <c r="B44" i="11" s="1"/>
  <c r="B45" i="11" s="1"/>
  <c r="B46" i="11" s="1"/>
  <c r="B47" i="11" s="1"/>
  <c r="B48" i="11" s="1"/>
  <c r="B49" i="11" s="1"/>
  <c r="B50" i="11" s="1"/>
  <c r="B31" i="11"/>
  <c r="B30" i="11"/>
  <c r="B29" i="11"/>
  <c r="E18" i="11"/>
  <c r="D18" i="11"/>
  <c r="L17" i="11"/>
  <c r="F17" i="11"/>
  <c r="E17" i="11"/>
  <c r="D17" i="11"/>
  <c r="L16" i="11"/>
  <c r="F16" i="11"/>
  <c r="E16" i="11"/>
  <c r="D16" i="11"/>
  <c r="L15" i="11"/>
  <c r="F15" i="11"/>
  <c r="E15" i="11"/>
  <c r="C37" i="39" s="1"/>
  <c r="D15" i="11"/>
  <c r="L14" i="11"/>
  <c r="F14" i="11"/>
  <c r="E14" i="11"/>
  <c r="D14" i="11"/>
  <c r="E13" i="11"/>
  <c r="D2" i="11"/>
  <c r="AK387" i="39"/>
  <c r="AJ387" i="39"/>
  <c r="AG387" i="39"/>
  <c r="AF387" i="39"/>
  <c r="AC387" i="39"/>
  <c r="AB387" i="39"/>
  <c r="Y387" i="39"/>
  <c r="X387" i="39"/>
  <c r="U387" i="39"/>
  <c r="T387" i="39"/>
  <c r="Q387" i="39"/>
  <c r="P387" i="39"/>
  <c r="AK363" i="39"/>
  <c r="AJ363" i="39"/>
  <c r="AG363" i="39"/>
  <c r="AF363" i="39"/>
  <c r="AC363" i="39"/>
  <c r="AB363" i="39"/>
  <c r="Y363" i="39"/>
  <c r="X363" i="39"/>
  <c r="U363" i="39"/>
  <c r="T363" i="39"/>
  <c r="Q363" i="39"/>
  <c r="P363" i="39"/>
  <c r="AK339" i="39"/>
  <c r="AJ339" i="39"/>
  <c r="AG339" i="39"/>
  <c r="AF339" i="39"/>
  <c r="AC339" i="39"/>
  <c r="AB339" i="39"/>
  <c r="Y339" i="39"/>
  <c r="X339" i="39"/>
  <c r="U339" i="39"/>
  <c r="T339" i="39"/>
  <c r="Q339" i="39"/>
  <c r="P339" i="39"/>
  <c r="AK316" i="39"/>
  <c r="AJ316" i="39"/>
  <c r="AG316" i="39"/>
  <c r="AF316" i="39"/>
  <c r="AC316" i="39"/>
  <c r="AB316" i="39"/>
  <c r="Y316" i="39"/>
  <c r="X316" i="39"/>
  <c r="U316" i="39"/>
  <c r="T316" i="39"/>
  <c r="Q316" i="39"/>
  <c r="P316" i="39"/>
  <c r="AK293" i="39"/>
  <c r="AJ293" i="39"/>
  <c r="AG293" i="39"/>
  <c r="AF293" i="39"/>
  <c r="AC293" i="39"/>
  <c r="AB293" i="39"/>
  <c r="Y293" i="39"/>
  <c r="X293" i="39"/>
  <c r="U293" i="39"/>
  <c r="T293" i="39"/>
  <c r="Q293" i="39"/>
  <c r="P293" i="39"/>
  <c r="AK269" i="39"/>
  <c r="AJ269" i="39"/>
  <c r="AG269" i="39"/>
  <c r="AF269" i="39"/>
  <c r="AC269" i="39"/>
  <c r="AB269" i="39"/>
  <c r="Y269" i="39"/>
  <c r="X269" i="39"/>
  <c r="U269" i="39"/>
  <c r="T269" i="39"/>
  <c r="Q269" i="39"/>
  <c r="P269" i="39"/>
  <c r="AK243" i="39"/>
  <c r="AJ243" i="39"/>
  <c r="AG243" i="39"/>
  <c r="AF243" i="39"/>
  <c r="AC243" i="39"/>
  <c r="AB243" i="39"/>
  <c r="Y243" i="39"/>
  <c r="X243" i="39"/>
  <c r="U243" i="39"/>
  <c r="T243" i="39"/>
  <c r="Q243" i="39"/>
  <c r="P243" i="39"/>
  <c r="AK219" i="39"/>
  <c r="AJ219" i="39"/>
  <c r="AG219" i="39"/>
  <c r="AF219" i="39"/>
  <c r="AC219" i="39"/>
  <c r="AB219" i="39"/>
  <c r="Y219" i="39"/>
  <c r="X219" i="39"/>
  <c r="U219" i="39"/>
  <c r="T219" i="39"/>
  <c r="Q219" i="39"/>
  <c r="P219" i="39"/>
  <c r="AK195" i="39"/>
  <c r="AJ195" i="39"/>
  <c r="AG195" i="39"/>
  <c r="AF195" i="39"/>
  <c r="AC195" i="39"/>
  <c r="AB195" i="39"/>
  <c r="Y195" i="39"/>
  <c r="X195" i="39"/>
  <c r="U195" i="39"/>
  <c r="T195" i="39"/>
  <c r="Q195" i="39"/>
  <c r="P195" i="39"/>
  <c r="E173" i="39"/>
  <c r="E172" i="39"/>
  <c r="AK170" i="39"/>
  <c r="AJ170" i="39"/>
  <c r="AI170" i="39"/>
  <c r="AH170" i="39"/>
  <c r="AH387" i="39" s="1"/>
  <c r="AG170" i="39"/>
  <c r="AF170" i="39"/>
  <c r="AE170" i="39"/>
  <c r="AD170" i="39"/>
  <c r="AD387" i="39" s="1"/>
  <c r="AC170" i="39"/>
  <c r="AB170" i="39"/>
  <c r="AA170" i="39"/>
  <c r="Z170" i="39"/>
  <c r="Z387" i="39" s="1"/>
  <c r="Y170" i="39"/>
  <c r="X170" i="39"/>
  <c r="W170" i="39"/>
  <c r="V170" i="39"/>
  <c r="V387" i="39" s="1"/>
  <c r="U170" i="39"/>
  <c r="T170" i="39"/>
  <c r="S170" i="39"/>
  <c r="R170" i="39"/>
  <c r="R387" i="39" s="1"/>
  <c r="Q170" i="39"/>
  <c r="P170" i="39"/>
  <c r="O170" i="39"/>
  <c r="N170" i="39"/>
  <c r="N387" i="39" s="1"/>
  <c r="O148" i="39"/>
  <c r="N148" i="39"/>
  <c r="E148" i="39"/>
  <c r="O147" i="39"/>
  <c r="N147" i="39"/>
  <c r="E147" i="39"/>
  <c r="AK146" i="39"/>
  <c r="AJ146" i="39"/>
  <c r="AI146" i="39"/>
  <c r="AH146" i="39"/>
  <c r="AG146" i="39"/>
  <c r="AF146" i="39"/>
  <c r="AE146" i="39"/>
  <c r="AD146" i="39"/>
  <c r="AC146" i="39"/>
  <c r="AB146" i="39"/>
  <c r="AA146" i="39"/>
  <c r="Z146" i="39"/>
  <c r="Y146" i="39"/>
  <c r="X146" i="39"/>
  <c r="W146" i="39"/>
  <c r="V146" i="39"/>
  <c r="U146" i="39"/>
  <c r="T146" i="39"/>
  <c r="S146" i="39"/>
  <c r="R146" i="39"/>
  <c r="Q146" i="39"/>
  <c r="P146" i="39"/>
  <c r="O146" i="39"/>
  <c r="N146" i="39"/>
  <c r="O145" i="39"/>
  <c r="N145" i="39"/>
  <c r="E145" i="39"/>
  <c r="S138" i="39"/>
  <c r="R138" i="39"/>
  <c r="Q138" i="39"/>
  <c r="P138" i="39"/>
  <c r="O138" i="39"/>
  <c r="N138" i="39"/>
  <c r="D138" i="39"/>
  <c r="D133" i="39"/>
  <c r="P132" i="39"/>
  <c r="O132" i="39"/>
  <c r="N132" i="39"/>
  <c r="D132" i="39"/>
  <c r="O129" i="39"/>
  <c r="D129" i="39"/>
  <c r="O128" i="39"/>
  <c r="D128" i="39"/>
  <c r="P127" i="39"/>
  <c r="O127" i="39"/>
  <c r="N127" i="39"/>
  <c r="D127" i="39"/>
  <c r="AL118" i="39"/>
  <c r="D118" i="39"/>
  <c r="E388" i="39" s="1"/>
  <c r="C118" i="39"/>
  <c r="AL117" i="39"/>
  <c r="D117" i="39"/>
  <c r="E364" i="39" s="1"/>
  <c r="C117" i="39"/>
  <c r="O116" i="39"/>
  <c r="D116" i="39"/>
  <c r="C116" i="39"/>
  <c r="P115" i="39"/>
  <c r="P340" i="39" s="1"/>
  <c r="D115" i="39"/>
  <c r="E340" i="39" s="1"/>
  <c r="C115" i="39"/>
  <c r="D114" i="39"/>
  <c r="C114" i="39"/>
  <c r="D113" i="39"/>
  <c r="E317" i="39" s="1"/>
  <c r="C113" i="39"/>
  <c r="AL112" i="39"/>
  <c r="P112" i="39"/>
  <c r="P294" i="39" s="1"/>
  <c r="D112" i="39"/>
  <c r="E294" i="39" s="1"/>
  <c r="C112" i="39"/>
  <c r="D111" i="39"/>
  <c r="E270" i="39" s="1"/>
  <c r="C111" i="39"/>
  <c r="D110" i="39"/>
  <c r="E244" i="39" s="1"/>
  <c r="C110" i="39"/>
  <c r="O109" i="39"/>
  <c r="D109" i="39"/>
  <c r="C109" i="39"/>
  <c r="P108" i="39"/>
  <c r="D108" i="39"/>
  <c r="C108" i="39"/>
  <c r="D107" i="39"/>
  <c r="C107" i="39"/>
  <c r="D106" i="39"/>
  <c r="C106" i="39"/>
  <c r="O105" i="39"/>
  <c r="O220" i="39" s="1"/>
  <c r="D105" i="39"/>
  <c r="E220" i="39" s="1"/>
  <c r="C105" i="39"/>
  <c r="P104" i="39"/>
  <c r="P196" i="39" s="1"/>
  <c r="D104" i="39"/>
  <c r="E196" i="39" s="1"/>
  <c r="C104" i="39"/>
  <c r="D103" i="39"/>
  <c r="C103" i="39"/>
  <c r="P100" i="39"/>
  <c r="D95" i="39"/>
  <c r="P89" i="39"/>
  <c r="P86" i="39"/>
  <c r="T71" i="39"/>
  <c r="S71" i="39"/>
  <c r="R71" i="39"/>
  <c r="Q71" i="39"/>
  <c r="P71" i="39"/>
  <c r="O71" i="39"/>
  <c r="N71" i="39"/>
  <c r="P67" i="39"/>
  <c r="P72" i="39" s="1"/>
  <c r="O67" i="39"/>
  <c r="N67" i="39"/>
  <c r="N72" i="39" s="1"/>
  <c r="J67" i="39"/>
  <c r="D67" i="39"/>
  <c r="AL66" i="39"/>
  <c r="J59" i="39"/>
  <c r="J54" i="39"/>
  <c r="AN53" i="39"/>
  <c r="P53" i="39"/>
  <c r="N53" i="39"/>
  <c r="AP21" i="39" s="1"/>
  <c r="AC4" i="55" s="1"/>
  <c r="AK52" i="39"/>
  <c r="AJ52" i="39"/>
  <c r="AI52" i="39"/>
  <c r="AH52" i="39"/>
  <c r="AG52" i="39"/>
  <c r="AF52" i="39"/>
  <c r="AE52" i="39"/>
  <c r="AD52" i="39"/>
  <c r="AC52" i="39"/>
  <c r="AB52" i="39"/>
  <c r="AA52" i="39"/>
  <c r="Z52" i="39"/>
  <c r="Y52" i="39"/>
  <c r="X52" i="39"/>
  <c r="W52" i="39"/>
  <c r="E226" i="55" s="1"/>
  <c r="V52" i="39"/>
  <c r="E225" i="55" s="1"/>
  <c r="U52" i="39"/>
  <c r="E224" i="55" s="1"/>
  <c r="T52" i="39"/>
  <c r="E223" i="55" s="1"/>
  <c r="S52" i="39"/>
  <c r="E222" i="55" s="1"/>
  <c r="R52" i="39"/>
  <c r="E221" i="55" s="1"/>
  <c r="Q52" i="39"/>
  <c r="P52" i="39"/>
  <c r="O52" i="39"/>
  <c r="N52" i="39"/>
  <c r="L52" i="39"/>
  <c r="D48" i="39"/>
  <c r="AB138" i="55" s="1"/>
  <c r="D47" i="39"/>
  <c r="AB137" i="55" s="1"/>
  <c r="D46" i="39"/>
  <c r="AL45" i="39"/>
  <c r="I45" i="39" s="1"/>
  <c r="K45" i="39" s="1"/>
  <c r="P45" i="39"/>
  <c r="O45" i="39"/>
  <c r="N45" i="39"/>
  <c r="L45" i="39"/>
  <c r="D45" i="39"/>
  <c r="AL44" i="39"/>
  <c r="I44" i="39" s="1"/>
  <c r="K44" i="39" s="1"/>
  <c r="P44" i="39"/>
  <c r="O44" i="39"/>
  <c r="N44" i="39"/>
  <c r="L44" i="39"/>
  <c r="D44" i="39"/>
  <c r="P43" i="39"/>
  <c r="D43" i="39"/>
  <c r="B142" i="55" s="1"/>
  <c r="AL42" i="39"/>
  <c r="I42" i="39" s="1"/>
  <c r="K42" i="39" s="1"/>
  <c r="P42" i="39"/>
  <c r="O42" i="39"/>
  <c r="N42" i="39"/>
  <c r="L42" i="39"/>
  <c r="D42" i="39"/>
  <c r="P41" i="39"/>
  <c r="O41" i="39"/>
  <c r="N41" i="39"/>
  <c r="L41" i="39"/>
  <c r="D41" i="39"/>
  <c r="AL40" i="39"/>
  <c r="I40" i="39" s="1"/>
  <c r="K40" i="39" s="1"/>
  <c r="P40" i="39"/>
  <c r="O40" i="39"/>
  <c r="N40" i="39"/>
  <c r="L40" i="39"/>
  <c r="D40" i="39"/>
  <c r="AL39" i="39"/>
  <c r="I39" i="39" s="1"/>
  <c r="K39" i="39" s="1"/>
  <c r="P39" i="39"/>
  <c r="O39" i="39"/>
  <c r="N39" i="39"/>
  <c r="L39" i="39"/>
  <c r="D39" i="39"/>
  <c r="AL38" i="39"/>
  <c r="I38" i="39" s="1"/>
  <c r="K38" i="39" s="1"/>
  <c r="P38" i="39"/>
  <c r="O38" i="39"/>
  <c r="N38" i="39"/>
  <c r="L38" i="39"/>
  <c r="D38" i="39"/>
  <c r="L37" i="39"/>
  <c r="D37" i="39"/>
  <c r="P36" i="39"/>
  <c r="O36" i="39"/>
  <c r="N36" i="39"/>
  <c r="D36" i="39"/>
  <c r="B141" i="55" s="1"/>
  <c r="P35" i="39"/>
  <c r="N35" i="39"/>
  <c r="L35" i="39"/>
  <c r="D35" i="39"/>
  <c r="P34" i="39"/>
  <c r="O34" i="39"/>
  <c r="N34" i="39"/>
  <c r="L34" i="39"/>
  <c r="D34" i="39"/>
  <c r="N33" i="39"/>
  <c r="D33" i="39"/>
  <c r="B140" i="55" s="1"/>
  <c r="P32" i="39"/>
  <c r="O32" i="39"/>
  <c r="N32" i="39"/>
  <c r="L32" i="39"/>
  <c r="D32" i="39"/>
  <c r="B139" i="55" s="1"/>
  <c r="P31" i="39"/>
  <c r="O31" i="39"/>
  <c r="N31" i="39"/>
  <c r="D31" i="39"/>
  <c r="B138" i="55" s="1"/>
  <c r="AK27" i="39"/>
  <c r="AJ27" i="39"/>
  <c r="AI27" i="39"/>
  <c r="AH27" i="39"/>
  <c r="AG27" i="39"/>
  <c r="AF27" i="39"/>
  <c r="AE27" i="39"/>
  <c r="AD27" i="39"/>
  <c r="AC27" i="39"/>
  <c r="AB27" i="39"/>
  <c r="AA27" i="39"/>
  <c r="Z27" i="39"/>
  <c r="Y27" i="39"/>
  <c r="X27" i="39"/>
  <c r="W27" i="39"/>
  <c r="V27" i="39"/>
  <c r="U27" i="39"/>
  <c r="T27" i="39"/>
  <c r="S27" i="39"/>
  <c r="R27" i="39"/>
  <c r="Q27" i="39"/>
  <c r="AL27" i="39" s="1"/>
  <c r="I27" i="39" s="1"/>
  <c r="K27" i="39" s="1"/>
  <c r="P27" i="39"/>
  <c r="L27" i="39"/>
  <c r="D27" i="39"/>
  <c r="P25" i="39"/>
  <c r="D25" i="39"/>
  <c r="P23" i="39"/>
  <c r="P90" i="39" s="1"/>
  <c r="O23" i="39"/>
  <c r="N23" i="39"/>
  <c r="D23" i="39"/>
  <c r="AR21" i="39"/>
  <c r="AE4" i="55" s="1"/>
  <c r="AO21" i="39"/>
  <c r="AB4" i="55" s="1"/>
  <c r="P21" i="39"/>
  <c r="P20" i="39" s="1"/>
  <c r="BM19" i="39"/>
  <c r="AZ2" i="55" s="1"/>
  <c r="BL19" i="39"/>
  <c r="AY2" i="55" s="1"/>
  <c r="BK19" i="39"/>
  <c r="AX2" i="55" s="1"/>
  <c r="BJ19" i="39"/>
  <c r="AW2" i="55" s="1"/>
  <c r="BI19" i="39"/>
  <c r="AV2" i="55" s="1"/>
  <c r="BH19" i="39"/>
  <c r="AU2" i="55" s="1"/>
  <c r="BG19" i="39"/>
  <c r="AT2" i="55" s="1"/>
  <c r="BF19" i="39"/>
  <c r="AS2" i="55" s="1"/>
  <c r="BE19" i="39"/>
  <c r="AR2" i="55" s="1"/>
  <c r="BD19" i="39"/>
  <c r="AQ2" i="55" s="1"/>
  <c r="BC19" i="39"/>
  <c r="AP2" i="55" s="1"/>
  <c r="BB19" i="39"/>
  <c r="AO2" i="55" s="1"/>
  <c r="BA19" i="39"/>
  <c r="AN2" i="55" s="1"/>
  <c r="AZ19" i="39"/>
  <c r="AM2" i="55" s="1"/>
  <c r="AY19" i="39"/>
  <c r="AL2" i="55" s="1"/>
  <c r="AX19" i="39"/>
  <c r="AK2" i="55" s="1"/>
  <c r="AW19" i="39"/>
  <c r="AJ2" i="55" s="1"/>
  <c r="AV19" i="39"/>
  <c r="AI2" i="55" s="1"/>
  <c r="AU19" i="39"/>
  <c r="AH2" i="55" s="1"/>
  <c r="AT19" i="39"/>
  <c r="AG2" i="55" s="1"/>
  <c r="AS19" i="39"/>
  <c r="AF2" i="55" s="1"/>
  <c r="AR19" i="39"/>
  <c r="AE2" i="55" s="1"/>
  <c r="AQ19" i="39"/>
  <c r="AD2" i="55" s="1"/>
  <c r="AP19" i="39"/>
  <c r="AC2" i="55" s="1"/>
  <c r="P19" i="39"/>
  <c r="P80" i="39" s="1"/>
  <c r="O19" i="39"/>
  <c r="N19" i="39"/>
  <c r="D19" i="39"/>
  <c r="P12" i="39"/>
  <c r="E11" i="39"/>
  <c r="P6" i="39"/>
  <c r="N6" i="39"/>
  <c r="E4" i="39"/>
  <c r="D3" i="39"/>
  <c r="D2" i="39"/>
  <c r="AK1" i="39"/>
  <c r="AJ1" i="39"/>
  <c r="Y1" i="39"/>
  <c r="X1" i="39"/>
  <c r="W1" i="39"/>
  <c r="V1" i="39"/>
  <c r="U1" i="39"/>
  <c r="T1" i="39"/>
  <c r="S1" i="39"/>
  <c r="R1" i="39"/>
  <c r="Q1" i="39"/>
  <c r="P1" i="39"/>
  <c r="O1" i="39"/>
  <c r="O118" i="39" s="1"/>
  <c r="O388" i="39" s="1"/>
  <c r="N1" i="39"/>
  <c r="N113" i="39" s="1"/>
  <c r="N317" i="39" s="1"/>
  <c r="AK387" i="38"/>
  <c r="AH387" i="38"/>
  <c r="AG387" i="38"/>
  <c r="AD387" i="38"/>
  <c r="AC387" i="38"/>
  <c r="Z387" i="38"/>
  <c r="Y387" i="38"/>
  <c r="V387" i="38"/>
  <c r="U387" i="38"/>
  <c r="R387" i="38"/>
  <c r="Q387" i="38"/>
  <c r="N387" i="38"/>
  <c r="E364" i="38"/>
  <c r="AK363" i="38"/>
  <c r="AH363" i="38"/>
  <c r="AG363" i="38"/>
  <c r="AD363" i="38"/>
  <c r="AC363" i="38"/>
  <c r="Z363" i="38"/>
  <c r="Y363" i="38"/>
  <c r="V363" i="38"/>
  <c r="U363" i="38"/>
  <c r="R363" i="38"/>
  <c r="Q363" i="38"/>
  <c r="N363" i="38"/>
  <c r="AK339" i="38"/>
  <c r="AH339" i="38"/>
  <c r="AG339" i="38"/>
  <c r="AD339" i="38"/>
  <c r="AC339" i="38"/>
  <c r="Z339" i="38"/>
  <c r="Y339" i="38"/>
  <c r="V339" i="38"/>
  <c r="U339" i="38"/>
  <c r="R339" i="38"/>
  <c r="Q339" i="38"/>
  <c r="N339" i="38"/>
  <c r="E317" i="38"/>
  <c r="AK316" i="38"/>
  <c r="AH316" i="38"/>
  <c r="AG316" i="38"/>
  <c r="AD316" i="38"/>
  <c r="AC316" i="38"/>
  <c r="Z316" i="38"/>
  <c r="Y316" i="38"/>
  <c r="V316" i="38"/>
  <c r="U316" i="38"/>
  <c r="R316" i="38"/>
  <c r="Q316" i="38"/>
  <c r="N316" i="38"/>
  <c r="AK293" i="38"/>
  <c r="AH293" i="38"/>
  <c r="AG293" i="38"/>
  <c r="AD293" i="38"/>
  <c r="AC293" i="38"/>
  <c r="Z293" i="38"/>
  <c r="Y293" i="38"/>
  <c r="V293" i="38"/>
  <c r="U293" i="38"/>
  <c r="R293" i="38"/>
  <c r="Q293" i="38"/>
  <c r="N293" i="38"/>
  <c r="AK269" i="38"/>
  <c r="AH269" i="38"/>
  <c r="AG269" i="38"/>
  <c r="AD269" i="38"/>
  <c r="AC269" i="38"/>
  <c r="Z269" i="38"/>
  <c r="Y269" i="38"/>
  <c r="V269" i="38"/>
  <c r="U269" i="38"/>
  <c r="R269" i="38"/>
  <c r="Q269" i="38"/>
  <c r="N269" i="38"/>
  <c r="E244" i="38"/>
  <c r="AK243" i="38"/>
  <c r="AH243" i="38"/>
  <c r="AG243" i="38"/>
  <c r="AD243" i="38"/>
  <c r="AC243" i="38"/>
  <c r="Z243" i="38"/>
  <c r="Y243" i="38"/>
  <c r="V243" i="38"/>
  <c r="U243" i="38"/>
  <c r="R243" i="38"/>
  <c r="Q243" i="38"/>
  <c r="N243" i="38"/>
  <c r="E220" i="38"/>
  <c r="AK219" i="38"/>
  <c r="AH219" i="38"/>
  <c r="AG219" i="38"/>
  <c r="AD219" i="38"/>
  <c r="AC219" i="38"/>
  <c r="Z219" i="38"/>
  <c r="Y219" i="38"/>
  <c r="V219" i="38"/>
  <c r="U219" i="38"/>
  <c r="R219" i="38"/>
  <c r="Q219" i="38"/>
  <c r="N219" i="38"/>
  <c r="AK195" i="38"/>
  <c r="AH195" i="38"/>
  <c r="AG195" i="38"/>
  <c r="AD195" i="38"/>
  <c r="AC195" i="38"/>
  <c r="Z195" i="38"/>
  <c r="Y195" i="38"/>
  <c r="V195" i="38"/>
  <c r="U195" i="38"/>
  <c r="R195" i="38"/>
  <c r="Q195" i="38"/>
  <c r="N195" i="38"/>
  <c r="E173" i="38"/>
  <c r="E172" i="38"/>
  <c r="AK170" i="38"/>
  <c r="AJ170" i="38"/>
  <c r="AI170" i="38"/>
  <c r="AI387" i="38" s="1"/>
  <c r="AH170" i="38"/>
  <c r="AG170" i="38"/>
  <c r="AF170" i="38"/>
  <c r="AE170" i="38"/>
  <c r="AE387" i="38" s="1"/>
  <c r="AD170" i="38"/>
  <c r="AC170" i="38"/>
  <c r="AB170" i="38"/>
  <c r="AA170" i="38"/>
  <c r="AA387" i="38" s="1"/>
  <c r="Z170" i="38"/>
  <c r="Y170" i="38"/>
  <c r="X170" i="38"/>
  <c r="W170" i="38"/>
  <c r="W387" i="38" s="1"/>
  <c r="V170" i="38"/>
  <c r="U170" i="38"/>
  <c r="T170" i="38"/>
  <c r="S170" i="38"/>
  <c r="S387" i="38" s="1"/>
  <c r="R170" i="38"/>
  <c r="Q170" i="38"/>
  <c r="P170" i="38"/>
  <c r="O170" i="38"/>
  <c r="O387" i="38" s="1"/>
  <c r="N170" i="38"/>
  <c r="O148" i="38"/>
  <c r="N148" i="38"/>
  <c r="E148" i="38"/>
  <c r="O147" i="38"/>
  <c r="N147" i="38"/>
  <c r="E147" i="38"/>
  <c r="AK146" i="38"/>
  <c r="AJ146" i="38"/>
  <c r="AI146" i="38"/>
  <c r="AH146" i="38"/>
  <c r="AG146" i="38"/>
  <c r="AF146" i="38"/>
  <c r="AE146" i="38"/>
  <c r="AD146" i="38"/>
  <c r="AC146" i="38"/>
  <c r="AB146" i="38"/>
  <c r="AA146" i="38"/>
  <c r="Z146" i="38"/>
  <c r="Y146" i="38"/>
  <c r="X146" i="38"/>
  <c r="W146" i="38"/>
  <c r="V146" i="38"/>
  <c r="U146" i="38"/>
  <c r="T146" i="38"/>
  <c r="S146" i="38"/>
  <c r="R146" i="38"/>
  <c r="Q146" i="38"/>
  <c r="P146" i="38"/>
  <c r="O146" i="38"/>
  <c r="N146" i="38"/>
  <c r="O145" i="38"/>
  <c r="N145" i="38"/>
  <c r="E145" i="38"/>
  <c r="AH138" i="38"/>
  <c r="AG138" i="38"/>
  <c r="AF138" i="38"/>
  <c r="AE138" i="38"/>
  <c r="AD138" i="38"/>
  <c r="AC138" i="38"/>
  <c r="AB138" i="38"/>
  <c r="AA138" i="38"/>
  <c r="Z138" i="38"/>
  <c r="Y138" i="38"/>
  <c r="X138" i="38"/>
  <c r="W138" i="38"/>
  <c r="V138" i="38"/>
  <c r="U138" i="38"/>
  <c r="T138" i="38"/>
  <c r="S138" i="38"/>
  <c r="R138" i="38"/>
  <c r="Q138" i="38"/>
  <c r="P138" i="38"/>
  <c r="O138" i="38"/>
  <c r="N138" i="38"/>
  <c r="D138" i="38"/>
  <c r="D133" i="38"/>
  <c r="P132" i="38"/>
  <c r="O132" i="38"/>
  <c r="N132" i="38"/>
  <c r="D132" i="38"/>
  <c r="P129" i="38"/>
  <c r="O129" i="38"/>
  <c r="D129" i="38"/>
  <c r="P128" i="38"/>
  <c r="P130" i="38" s="1"/>
  <c r="O128" i="38"/>
  <c r="D128" i="38"/>
  <c r="P127" i="38"/>
  <c r="O127" i="38"/>
  <c r="O130" i="38" s="1"/>
  <c r="D127" i="38"/>
  <c r="AL118" i="38"/>
  <c r="D118" i="38"/>
  <c r="E388" i="38" s="1"/>
  <c r="C118" i="38"/>
  <c r="AL117" i="38"/>
  <c r="D117" i="38"/>
  <c r="C117" i="38"/>
  <c r="D116" i="38"/>
  <c r="C116" i="38"/>
  <c r="D115" i="38"/>
  <c r="E340" i="38" s="1"/>
  <c r="C115" i="38"/>
  <c r="D114" i="38"/>
  <c r="C114" i="38"/>
  <c r="D113" i="38"/>
  <c r="C113" i="38"/>
  <c r="AL112" i="38"/>
  <c r="D112" i="38"/>
  <c r="E294" i="38" s="1"/>
  <c r="C112" i="38"/>
  <c r="D111" i="38"/>
  <c r="E270" i="38" s="1"/>
  <c r="C111" i="38"/>
  <c r="D110" i="38"/>
  <c r="C110" i="38"/>
  <c r="D109" i="38"/>
  <c r="C109" i="38"/>
  <c r="D108" i="38"/>
  <c r="C108" i="38"/>
  <c r="D107" i="38"/>
  <c r="C107" i="38"/>
  <c r="D106" i="38"/>
  <c r="C106" i="38"/>
  <c r="D105" i="38"/>
  <c r="C105" i="38"/>
  <c r="D104" i="38"/>
  <c r="E196" i="38" s="1"/>
  <c r="C104" i="38"/>
  <c r="D103" i="38"/>
  <c r="C103" i="38"/>
  <c r="P100" i="38"/>
  <c r="D95" i="38"/>
  <c r="AL94" i="38"/>
  <c r="P94" i="38"/>
  <c r="P89" i="38"/>
  <c r="P76" i="38"/>
  <c r="AL76" i="38" s="1"/>
  <c r="AH71" i="38"/>
  <c r="AG71" i="38"/>
  <c r="AF71" i="38"/>
  <c r="AE71" i="38"/>
  <c r="AD71" i="38"/>
  <c r="AC71" i="38"/>
  <c r="AB71" i="38"/>
  <c r="AA71" i="38"/>
  <c r="Z71" i="38"/>
  <c r="Y71" i="38"/>
  <c r="X71" i="38"/>
  <c r="W71" i="38"/>
  <c r="V71" i="38"/>
  <c r="U71" i="38"/>
  <c r="T71" i="38"/>
  <c r="S71" i="38"/>
  <c r="R71" i="38"/>
  <c r="Q71" i="38"/>
  <c r="P71" i="38"/>
  <c r="O71" i="38"/>
  <c r="N71" i="38"/>
  <c r="P67" i="38"/>
  <c r="P53" i="38" s="1"/>
  <c r="O67" i="38"/>
  <c r="O72" i="38" s="1"/>
  <c r="J67" i="38"/>
  <c r="D67" i="38"/>
  <c r="AL66" i="38"/>
  <c r="J59" i="38"/>
  <c r="J54" i="38"/>
  <c r="O53" i="38"/>
  <c r="AQ21" i="38" s="1"/>
  <c r="AD4" i="54" s="1"/>
  <c r="AK52" i="38"/>
  <c r="AJ52" i="38"/>
  <c r="AI52" i="38"/>
  <c r="AH52" i="38"/>
  <c r="AG52" i="38"/>
  <c r="AF52" i="38"/>
  <c r="AE52" i="38"/>
  <c r="AD52" i="38"/>
  <c r="AC52" i="38"/>
  <c r="AB52" i="38"/>
  <c r="AA52" i="38"/>
  <c r="Z52" i="38"/>
  <c r="Y52" i="38"/>
  <c r="X52" i="38"/>
  <c r="W52" i="38"/>
  <c r="E226" i="54" s="1"/>
  <c r="V52" i="38"/>
  <c r="E225" i="54" s="1"/>
  <c r="U52" i="38"/>
  <c r="E224" i="54" s="1"/>
  <c r="T52" i="38"/>
  <c r="E223" i="54" s="1"/>
  <c r="S52" i="38"/>
  <c r="E222" i="54" s="1"/>
  <c r="R52" i="38"/>
  <c r="E221" i="54" s="1"/>
  <c r="Q52" i="38"/>
  <c r="P52" i="38"/>
  <c r="O52" i="38"/>
  <c r="N52" i="38"/>
  <c r="L52" i="38"/>
  <c r="D48" i="38"/>
  <c r="AB138" i="54" s="1"/>
  <c r="D47" i="38"/>
  <c r="AB137" i="54" s="1"/>
  <c r="D46" i="38"/>
  <c r="AL45" i="38"/>
  <c r="I45" i="38" s="1"/>
  <c r="K45" i="38" s="1"/>
  <c r="P45" i="38"/>
  <c r="O45" i="38"/>
  <c r="N45" i="38"/>
  <c r="L45" i="38"/>
  <c r="D45" i="38"/>
  <c r="AL44" i="38"/>
  <c r="I44" i="38" s="1"/>
  <c r="K44" i="38" s="1"/>
  <c r="P44" i="38"/>
  <c r="O44" i="38"/>
  <c r="N44" i="38"/>
  <c r="L44" i="38"/>
  <c r="D44" i="38"/>
  <c r="P43" i="38"/>
  <c r="D43" i="38"/>
  <c r="B142" i="54" s="1"/>
  <c r="AL42" i="38"/>
  <c r="I42" i="38" s="1"/>
  <c r="K42" i="38" s="1"/>
  <c r="P42" i="38"/>
  <c r="O42" i="38"/>
  <c r="N42" i="38"/>
  <c r="L42" i="38"/>
  <c r="D42" i="38"/>
  <c r="P41" i="38"/>
  <c r="O41" i="38"/>
  <c r="L41" i="38"/>
  <c r="D41" i="38"/>
  <c r="AL40" i="38"/>
  <c r="P40" i="38"/>
  <c r="O40" i="38"/>
  <c r="N40" i="38"/>
  <c r="L40" i="38"/>
  <c r="I40" i="38"/>
  <c r="K40" i="38" s="1"/>
  <c r="D40" i="38"/>
  <c r="AL39" i="38"/>
  <c r="P39" i="38"/>
  <c r="O39" i="38"/>
  <c r="N39" i="38"/>
  <c r="L39" i="38"/>
  <c r="I39" i="38"/>
  <c r="K39" i="38" s="1"/>
  <c r="D39" i="38"/>
  <c r="AL38" i="38"/>
  <c r="P38" i="38"/>
  <c r="O38" i="38"/>
  <c r="N38" i="38"/>
  <c r="L38" i="38"/>
  <c r="I38" i="38"/>
  <c r="K38" i="38" s="1"/>
  <c r="D38" i="38"/>
  <c r="L37" i="38"/>
  <c r="D37" i="38"/>
  <c r="C37" i="38"/>
  <c r="P36" i="38"/>
  <c r="O36" i="38"/>
  <c r="N36" i="38"/>
  <c r="D36" i="38"/>
  <c r="B141" i="54" s="1"/>
  <c r="P35" i="38"/>
  <c r="O35" i="38"/>
  <c r="N35" i="38"/>
  <c r="L35" i="38"/>
  <c r="D35" i="38"/>
  <c r="P34" i="38"/>
  <c r="O34" i="38"/>
  <c r="N34" i="38"/>
  <c r="L34" i="38"/>
  <c r="D34" i="38"/>
  <c r="O33" i="38"/>
  <c r="N33" i="38"/>
  <c r="D33" i="38"/>
  <c r="B140" i="54" s="1"/>
  <c r="P32" i="38"/>
  <c r="O32" i="38"/>
  <c r="N32" i="38"/>
  <c r="D32" i="38"/>
  <c r="B139" i="54" s="1"/>
  <c r="P31" i="38"/>
  <c r="O31" i="38"/>
  <c r="N31" i="38"/>
  <c r="D31" i="38"/>
  <c r="B138" i="54" s="1"/>
  <c r="AK27" i="38"/>
  <c r="AJ27" i="38"/>
  <c r="AI27" i="38"/>
  <c r="AH27" i="38"/>
  <c r="AG27" i="38"/>
  <c r="AF27" i="38"/>
  <c r="AE27" i="38"/>
  <c r="AD27" i="38"/>
  <c r="AC27" i="38"/>
  <c r="AB27" i="38"/>
  <c r="AA27" i="38"/>
  <c r="Z27" i="38"/>
  <c r="Y27" i="38"/>
  <c r="X27" i="38"/>
  <c r="W27" i="38"/>
  <c r="V27" i="38"/>
  <c r="U27" i="38"/>
  <c r="T27" i="38"/>
  <c r="S27" i="38"/>
  <c r="R27" i="38"/>
  <c r="Q27" i="38"/>
  <c r="AL27" i="38" s="1"/>
  <c r="I27" i="38" s="1"/>
  <c r="K27" i="38" s="1"/>
  <c r="P27" i="38"/>
  <c r="L27" i="38"/>
  <c r="D27" i="38"/>
  <c r="P25" i="38"/>
  <c r="O25" i="38"/>
  <c r="D25" i="38"/>
  <c r="P24" i="38"/>
  <c r="P63" i="38" s="1"/>
  <c r="P23" i="38"/>
  <c r="P90" i="38" s="1"/>
  <c r="O23" i="38"/>
  <c r="N23" i="38"/>
  <c r="D23" i="38"/>
  <c r="AR21" i="38"/>
  <c r="AE4" i="54" s="1"/>
  <c r="AO21" i="38"/>
  <c r="AB4" i="54" s="1"/>
  <c r="P21" i="38"/>
  <c r="O21" i="38"/>
  <c r="N21" i="38"/>
  <c r="O20" i="38"/>
  <c r="O62" i="38" s="1"/>
  <c r="BM19" i="38"/>
  <c r="AZ2" i="54" s="1"/>
  <c r="BL19" i="38"/>
  <c r="AY2" i="54" s="1"/>
  <c r="BK19" i="38"/>
  <c r="AX2" i="54" s="1"/>
  <c r="BJ19" i="38"/>
  <c r="AW2" i="54" s="1"/>
  <c r="BI19" i="38"/>
  <c r="AV2" i="54" s="1"/>
  <c r="BH19" i="38"/>
  <c r="AU2" i="54" s="1"/>
  <c r="BG19" i="38"/>
  <c r="AT2" i="54" s="1"/>
  <c r="BF19" i="38"/>
  <c r="AS2" i="54" s="1"/>
  <c r="BE19" i="38"/>
  <c r="AR2" i="54" s="1"/>
  <c r="BD19" i="38"/>
  <c r="AQ2" i="54" s="1"/>
  <c r="BC19" i="38"/>
  <c r="AP2" i="54" s="1"/>
  <c r="BB19" i="38"/>
  <c r="AO2" i="54" s="1"/>
  <c r="BA19" i="38"/>
  <c r="AN2" i="54" s="1"/>
  <c r="AZ19" i="38"/>
  <c r="AM2" i="54" s="1"/>
  <c r="AY19" i="38"/>
  <c r="AL2" i="54" s="1"/>
  <c r="AX19" i="38"/>
  <c r="AK2" i="54" s="1"/>
  <c r="AW19" i="38"/>
  <c r="AJ2" i="54" s="1"/>
  <c r="AV19" i="38"/>
  <c r="AI2" i="54" s="1"/>
  <c r="AU19" i="38"/>
  <c r="AH2" i="54" s="1"/>
  <c r="AT19" i="38"/>
  <c r="AG2" i="54" s="1"/>
  <c r="AS19" i="38"/>
  <c r="AF2" i="54" s="1"/>
  <c r="AR19" i="38"/>
  <c r="AE2" i="54" s="1"/>
  <c r="AQ19" i="38"/>
  <c r="AD2" i="54" s="1"/>
  <c r="AP19" i="38"/>
  <c r="AC2" i="54" s="1"/>
  <c r="P19" i="38"/>
  <c r="P80" i="38" s="1"/>
  <c r="O19" i="38"/>
  <c r="N19" i="38"/>
  <c r="N20" i="38" s="1"/>
  <c r="D19" i="38"/>
  <c r="P13" i="38"/>
  <c r="P147" i="38" s="1"/>
  <c r="P12" i="38"/>
  <c r="E11" i="38"/>
  <c r="P6" i="38"/>
  <c r="O6" i="38"/>
  <c r="E4" i="38"/>
  <c r="D3" i="38"/>
  <c r="D2" i="38"/>
  <c r="AK1" i="38"/>
  <c r="AJ1" i="38"/>
  <c r="Y1" i="38"/>
  <c r="X1" i="38"/>
  <c r="W1" i="38"/>
  <c r="V1" i="38"/>
  <c r="U1" i="38"/>
  <c r="T1" i="38"/>
  <c r="S1" i="38"/>
  <c r="R1" i="38"/>
  <c r="Q1" i="38"/>
  <c r="P1" i="38"/>
  <c r="O1" i="38"/>
  <c r="O106" i="38" s="1"/>
  <c r="N1" i="38"/>
  <c r="N107" i="38" s="1"/>
  <c r="D13" i="28"/>
  <c r="D12" i="28"/>
  <c r="D11" i="28"/>
  <c r="D10" i="28"/>
  <c r="D9" i="28"/>
  <c r="AH387" i="37"/>
  <c r="AD387" i="37"/>
  <c r="Z387" i="37"/>
  <c r="V387" i="37"/>
  <c r="R387" i="37"/>
  <c r="N387" i="37"/>
  <c r="E364" i="37"/>
  <c r="AH363" i="37"/>
  <c r="AD363" i="37"/>
  <c r="Z363" i="37"/>
  <c r="V363" i="37"/>
  <c r="R363" i="37"/>
  <c r="N363" i="37"/>
  <c r="AH339" i="37"/>
  <c r="AD339" i="37"/>
  <c r="Z339" i="37"/>
  <c r="V339" i="37"/>
  <c r="R339" i="37"/>
  <c r="N339" i="37"/>
  <c r="AH316" i="37"/>
  <c r="AD316" i="37"/>
  <c r="Z316" i="37"/>
  <c r="V316" i="37"/>
  <c r="R316" i="37"/>
  <c r="N316" i="37"/>
  <c r="AK293" i="37"/>
  <c r="AH293" i="37"/>
  <c r="AG293" i="37"/>
  <c r="AD293" i="37"/>
  <c r="AC293" i="37"/>
  <c r="Z293" i="37"/>
  <c r="Y293" i="37"/>
  <c r="V293" i="37"/>
  <c r="U293" i="37"/>
  <c r="R293" i="37"/>
  <c r="Q293" i="37"/>
  <c r="N293" i="37"/>
  <c r="AK269" i="37"/>
  <c r="AH269" i="37"/>
  <c r="AG269" i="37"/>
  <c r="AD269" i="37"/>
  <c r="AC269" i="37"/>
  <c r="Z269" i="37"/>
  <c r="Y269" i="37"/>
  <c r="V269" i="37"/>
  <c r="U269" i="37"/>
  <c r="R269" i="37"/>
  <c r="Q269" i="37"/>
  <c r="N269" i="37"/>
  <c r="E244" i="37"/>
  <c r="AK243" i="37"/>
  <c r="AH243" i="37"/>
  <c r="AG243" i="37"/>
  <c r="AD243" i="37"/>
  <c r="AC243" i="37"/>
  <c r="Z243" i="37"/>
  <c r="Y243" i="37"/>
  <c r="V243" i="37"/>
  <c r="U243" i="37"/>
  <c r="R243" i="37"/>
  <c r="Q243" i="37"/>
  <c r="N243" i="37"/>
  <c r="AK219" i="37"/>
  <c r="AH219" i="37"/>
  <c r="AG219" i="37"/>
  <c r="AD219" i="37"/>
  <c r="AC219" i="37"/>
  <c r="Z219" i="37"/>
  <c r="Y219" i="37"/>
  <c r="V219" i="37"/>
  <c r="U219" i="37"/>
  <c r="R219" i="37"/>
  <c r="Q219" i="37"/>
  <c r="N219" i="37"/>
  <c r="E196" i="37"/>
  <c r="AK195" i="37"/>
  <c r="AH195" i="37"/>
  <c r="AG195" i="37"/>
  <c r="AD195" i="37"/>
  <c r="AC195" i="37"/>
  <c r="Z195" i="37"/>
  <c r="Y195" i="37"/>
  <c r="V195" i="37"/>
  <c r="U195" i="37"/>
  <c r="R195" i="37"/>
  <c r="Q195" i="37"/>
  <c r="N195" i="37"/>
  <c r="E173" i="37"/>
  <c r="AK170" i="37"/>
  <c r="AK387" i="37" s="1"/>
  <c r="AJ170" i="37"/>
  <c r="AI170" i="37"/>
  <c r="AH170" i="37"/>
  <c r="AG170" i="37"/>
  <c r="AG387" i="37" s="1"/>
  <c r="AF170" i="37"/>
  <c r="AE170" i="37"/>
  <c r="AD170" i="37"/>
  <c r="AC170" i="37"/>
  <c r="AC387" i="37" s="1"/>
  <c r="AB170" i="37"/>
  <c r="AA170" i="37"/>
  <c r="Z170" i="37"/>
  <c r="Y170" i="37"/>
  <c r="Y387" i="37" s="1"/>
  <c r="X170" i="37"/>
  <c r="W170" i="37"/>
  <c r="V170" i="37"/>
  <c r="U170" i="37"/>
  <c r="U387" i="37" s="1"/>
  <c r="T170" i="37"/>
  <c r="S170" i="37"/>
  <c r="R170" i="37"/>
  <c r="Q170" i="37"/>
  <c r="Q387" i="37" s="1"/>
  <c r="P170" i="37"/>
  <c r="O170" i="37"/>
  <c r="N170" i="37"/>
  <c r="O148" i="37"/>
  <c r="N148" i="37"/>
  <c r="E148" i="37"/>
  <c r="O147" i="37"/>
  <c r="N147" i="37"/>
  <c r="E147" i="37"/>
  <c r="AK146" i="37"/>
  <c r="AJ146" i="37"/>
  <c r="AI146" i="37"/>
  <c r="AH146" i="37"/>
  <c r="AG146" i="37"/>
  <c r="AF146" i="37"/>
  <c r="AE146" i="37"/>
  <c r="AD146" i="37"/>
  <c r="AC146" i="37"/>
  <c r="AB146" i="37"/>
  <c r="AA146" i="37"/>
  <c r="Z146" i="37"/>
  <c r="Y146" i="37"/>
  <c r="X146" i="37"/>
  <c r="W146" i="37"/>
  <c r="V146" i="37"/>
  <c r="U146" i="37"/>
  <c r="T146" i="37"/>
  <c r="S146" i="37"/>
  <c r="R146" i="37"/>
  <c r="Q146" i="37"/>
  <c r="P146" i="37"/>
  <c r="O146" i="37"/>
  <c r="N146" i="37"/>
  <c r="O145" i="37"/>
  <c r="N145" i="37"/>
  <c r="E145" i="37"/>
  <c r="AG138" i="37"/>
  <c r="AF138" i="37"/>
  <c r="AE138" i="37"/>
  <c r="AD138" i="37"/>
  <c r="AC138" i="37"/>
  <c r="AB138" i="37"/>
  <c r="AA138" i="37"/>
  <c r="Z138" i="37"/>
  <c r="Y138" i="37"/>
  <c r="X138" i="37"/>
  <c r="W138" i="37"/>
  <c r="V138" i="37"/>
  <c r="U138" i="37"/>
  <c r="T138" i="37"/>
  <c r="S138" i="37"/>
  <c r="R138" i="37"/>
  <c r="Q138" i="37"/>
  <c r="P138" i="37"/>
  <c r="O138" i="37"/>
  <c r="N138" i="37"/>
  <c r="D138" i="37"/>
  <c r="D133" i="37"/>
  <c r="P132" i="37"/>
  <c r="O132" i="37"/>
  <c r="N132" i="37"/>
  <c r="D132" i="37"/>
  <c r="P130" i="37"/>
  <c r="N130" i="37"/>
  <c r="P129" i="37"/>
  <c r="O129" i="37"/>
  <c r="N129" i="37"/>
  <c r="D129" i="37"/>
  <c r="P128" i="37"/>
  <c r="O128" i="37"/>
  <c r="N128" i="37"/>
  <c r="D128" i="37"/>
  <c r="P127" i="37"/>
  <c r="O127" i="37"/>
  <c r="O130" i="37" s="1"/>
  <c r="N127" i="37"/>
  <c r="D127" i="37"/>
  <c r="AL118" i="37"/>
  <c r="D118" i="37"/>
  <c r="E388" i="37" s="1"/>
  <c r="C118" i="37"/>
  <c r="AL117" i="37"/>
  <c r="D117" i="37"/>
  <c r="C117" i="37"/>
  <c r="D116" i="37"/>
  <c r="C116" i="37"/>
  <c r="D115" i="37"/>
  <c r="E340" i="37" s="1"/>
  <c r="C115" i="37"/>
  <c r="D114" i="37"/>
  <c r="C114" i="37"/>
  <c r="D113" i="37"/>
  <c r="E317" i="37" s="1"/>
  <c r="C113" i="37"/>
  <c r="AL112" i="37"/>
  <c r="D112" i="37"/>
  <c r="E294" i="37" s="1"/>
  <c r="C112" i="37"/>
  <c r="D111" i="37"/>
  <c r="E270" i="37" s="1"/>
  <c r="C111" i="37"/>
  <c r="D110" i="37"/>
  <c r="C110" i="37"/>
  <c r="D109" i="37"/>
  <c r="C109" i="37"/>
  <c r="D108" i="37"/>
  <c r="C108" i="37"/>
  <c r="D107" i="37"/>
  <c r="C107" i="37"/>
  <c r="D106" i="37"/>
  <c r="C106" i="37"/>
  <c r="D105" i="37"/>
  <c r="E220" i="37" s="1"/>
  <c r="C105" i="37"/>
  <c r="D104" i="37"/>
  <c r="C104" i="37"/>
  <c r="D103" i="37"/>
  <c r="C103" i="37"/>
  <c r="P100" i="37"/>
  <c r="D95" i="37"/>
  <c r="AL94" i="37"/>
  <c r="P89" i="37"/>
  <c r="P84" i="37"/>
  <c r="P77" i="37" s="1"/>
  <c r="AL76" i="37"/>
  <c r="P76" i="37"/>
  <c r="AH71" i="37"/>
  <c r="AG71" i="37"/>
  <c r="AF71" i="37"/>
  <c r="AE71" i="37"/>
  <c r="AD71" i="37"/>
  <c r="AC71" i="37"/>
  <c r="AB71" i="37"/>
  <c r="AA71" i="37"/>
  <c r="Z71" i="37"/>
  <c r="Y71" i="37"/>
  <c r="X71" i="37"/>
  <c r="W71" i="37"/>
  <c r="V71" i="37"/>
  <c r="U71" i="37"/>
  <c r="T71" i="37"/>
  <c r="S71" i="37"/>
  <c r="R71" i="37"/>
  <c r="Q71" i="37"/>
  <c r="P71" i="37"/>
  <c r="O71" i="37"/>
  <c r="N71" i="37"/>
  <c r="P67" i="37"/>
  <c r="P72" i="37" s="1"/>
  <c r="O67" i="37"/>
  <c r="O53" i="37" s="1"/>
  <c r="AQ21" i="37" s="1"/>
  <c r="AD4" i="53" s="1"/>
  <c r="N67" i="37"/>
  <c r="N53" i="37" s="1"/>
  <c r="AP21" i="37" s="1"/>
  <c r="AC4" i="53" s="1"/>
  <c r="J67" i="37"/>
  <c r="D67" i="37"/>
  <c r="AL66" i="37"/>
  <c r="J59" i="37"/>
  <c r="J54" i="37"/>
  <c r="P53" i="37"/>
  <c r="AK52" i="37"/>
  <c r="AJ52" i="37"/>
  <c r="AI52" i="37"/>
  <c r="AH52" i="37"/>
  <c r="AG52" i="37"/>
  <c r="AF52" i="37"/>
  <c r="AE52" i="37"/>
  <c r="AD52" i="37"/>
  <c r="AC52" i="37"/>
  <c r="AB52" i="37"/>
  <c r="AA52" i="37"/>
  <c r="Z52" i="37"/>
  <c r="Y52" i="37"/>
  <c r="X52" i="37"/>
  <c r="W52" i="37"/>
  <c r="E226" i="53" s="1"/>
  <c r="V52" i="37"/>
  <c r="E225" i="53" s="1"/>
  <c r="U52" i="37"/>
  <c r="E224" i="53" s="1"/>
  <c r="T52" i="37"/>
  <c r="E223" i="53" s="1"/>
  <c r="S52" i="37"/>
  <c r="E222" i="53" s="1"/>
  <c r="R52" i="37"/>
  <c r="E221" i="53" s="1"/>
  <c r="Q52" i="37"/>
  <c r="P52" i="37"/>
  <c r="O52" i="37"/>
  <c r="N52" i="37"/>
  <c r="L52" i="37"/>
  <c r="D48" i="37"/>
  <c r="D47" i="37"/>
  <c r="AB137" i="53" s="1"/>
  <c r="D46" i="37"/>
  <c r="AL45" i="37"/>
  <c r="P45" i="37"/>
  <c r="O45" i="37"/>
  <c r="N45" i="37"/>
  <c r="L45" i="37"/>
  <c r="K45" i="37"/>
  <c r="I45" i="37"/>
  <c r="D45" i="37"/>
  <c r="AL44" i="37"/>
  <c r="P44" i="37"/>
  <c r="O44" i="37"/>
  <c r="N44" i="37"/>
  <c r="L44" i="37"/>
  <c r="K44" i="37"/>
  <c r="I44" i="37"/>
  <c r="D44" i="37"/>
  <c r="P43" i="37"/>
  <c r="O43" i="37"/>
  <c r="N43" i="37"/>
  <c r="D43" i="37"/>
  <c r="B142" i="53" s="1"/>
  <c r="AL42" i="37"/>
  <c r="P42" i="37"/>
  <c r="O42" i="37"/>
  <c r="N42" i="37"/>
  <c r="L42" i="37"/>
  <c r="K42" i="37"/>
  <c r="I42" i="37"/>
  <c r="D42" i="37"/>
  <c r="P41" i="37"/>
  <c r="O41" i="37"/>
  <c r="N41" i="37"/>
  <c r="L41" i="37"/>
  <c r="D41" i="37"/>
  <c r="AL40" i="37"/>
  <c r="I40" i="37" s="1"/>
  <c r="K40" i="37" s="1"/>
  <c r="P40" i="37"/>
  <c r="O40" i="37"/>
  <c r="N40" i="37"/>
  <c r="L40" i="37"/>
  <c r="D40" i="37"/>
  <c r="AL39" i="37"/>
  <c r="I39" i="37" s="1"/>
  <c r="K39" i="37" s="1"/>
  <c r="P39" i="37"/>
  <c r="O39" i="37"/>
  <c r="N39" i="37"/>
  <c r="L39" i="37"/>
  <c r="D39" i="37"/>
  <c r="AL38" i="37"/>
  <c r="I38" i="37" s="1"/>
  <c r="K38" i="37" s="1"/>
  <c r="P38" i="37"/>
  <c r="O38" i="37"/>
  <c r="N38" i="37"/>
  <c r="L38" i="37"/>
  <c r="D38" i="37"/>
  <c r="L37" i="37"/>
  <c r="D37" i="37"/>
  <c r="C37" i="37"/>
  <c r="P36" i="37"/>
  <c r="O36" i="37"/>
  <c r="N36" i="37"/>
  <c r="D36" i="37"/>
  <c r="B141" i="53" s="1"/>
  <c r="P35" i="37"/>
  <c r="O35" i="37"/>
  <c r="N35" i="37"/>
  <c r="L35" i="37"/>
  <c r="D35" i="37"/>
  <c r="P34" i="37"/>
  <c r="O34" i="37"/>
  <c r="N34" i="37"/>
  <c r="L34" i="37"/>
  <c r="D34" i="37"/>
  <c r="P33" i="37"/>
  <c r="O33" i="37"/>
  <c r="N33" i="37"/>
  <c r="D33" i="37"/>
  <c r="B140" i="53" s="1"/>
  <c r="P32" i="37"/>
  <c r="O32" i="37"/>
  <c r="N32" i="37"/>
  <c r="D32" i="37"/>
  <c r="B139" i="53" s="1"/>
  <c r="P31" i="37"/>
  <c r="O31" i="37"/>
  <c r="N31" i="37"/>
  <c r="D31" i="37"/>
  <c r="B138" i="53" s="1"/>
  <c r="AK27" i="37"/>
  <c r="AJ27" i="37"/>
  <c r="AI27" i="37"/>
  <c r="AH27" i="37"/>
  <c r="AG27" i="37"/>
  <c r="AF27" i="37"/>
  <c r="AE27" i="37"/>
  <c r="AD27" i="37"/>
  <c r="AC27" i="37"/>
  <c r="AB27" i="37"/>
  <c r="AA27" i="37"/>
  <c r="Z27" i="37"/>
  <c r="Y27" i="37"/>
  <c r="X27" i="37"/>
  <c r="W27" i="37"/>
  <c r="V27" i="37"/>
  <c r="U27" i="37"/>
  <c r="T27" i="37"/>
  <c r="S27" i="37"/>
  <c r="R27" i="37"/>
  <c r="Q27" i="37"/>
  <c r="AL27" i="37" s="1"/>
  <c r="I27" i="37" s="1"/>
  <c r="K27" i="37" s="1"/>
  <c r="P27" i="37"/>
  <c r="N27" i="37"/>
  <c r="L27" i="37"/>
  <c r="D27" i="37"/>
  <c r="P25" i="37"/>
  <c r="P91" i="37" s="1"/>
  <c r="O25" i="37"/>
  <c r="N25" i="37"/>
  <c r="N28" i="37" s="1"/>
  <c r="D25" i="37"/>
  <c r="O24" i="37"/>
  <c r="O63" i="37" s="1"/>
  <c r="P23" i="37"/>
  <c r="P90" i="37" s="1"/>
  <c r="O23" i="37"/>
  <c r="N23" i="37"/>
  <c r="D23" i="37"/>
  <c r="AR21" i="37"/>
  <c r="AE4" i="53" s="1"/>
  <c r="AO21" i="37"/>
  <c r="AB4" i="53" s="1"/>
  <c r="P21" i="37"/>
  <c r="P81" i="37" s="1"/>
  <c r="O21" i="37"/>
  <c r="N21" i="37"/>
  <c r="P20" i="37"/>
  <c r="P62" i="37" s="1"/>
  <c r="N20" i="37"/>
  <c r="N62" i="37" s="1"/>
  <c r="BM19" i="37"/>
  <c r="AZ2" i="53" s="1"/>
  <c r="BL19" i="37"/>
  <c r="AY2" i="53" s="1"/>
  <c r="BK19" i="37"/>
  <c r="AX2" i="53" s="1"/>
  <c r="BJ19" i="37"/>
  <c r="AW2" i="53" s="1"/>
  <c r="BI19" i="37"/>
  <c r="AV2" i="53" s="1"/>
  <c r="BH19" i="37"/>
  <c r="AU2" i="53" s="1"/>
  <c r="BG19" i="37"/>
  <c r="AT2" i="53" s="1"/>
  <c r="BF19" i="37"/>
  <c r="AS2" i="53" s="1"/>
  <c r="BE19" i="37"/>
  <c r="AR2" i="53" s="1"/>
  <c r="BD19" i="37"/>
  <c r="AQ2" i="53" s="1"/>
  <c r="BC19" i="37"/>
  <c r="AP2" i="53" s="1"/>
  <c r="BB19" i="37"/>
  <c r="AO2" i="53" s="1"/>
  <c r="BA19" i="37"/>
  <c r="AN2" i="53" s="1"/>
  <c r="AZ19" i="37"/>
  <c r="AM2" i="53" s="1"/>
  <c r="AY19" i="37"/>
  <c r="AL2" i="53" s="1"/>
  <c r="AX19" i="37"/>
  <c r="AK2" i="53" s="1"/>
  <c r="AW19" i="37"/>
  <c r="AJ2" i="53" s="1"/>
  <c r="AV19" i="37"/>
  <c r="AI2" i="53" s="1"/>
  <c r="AU19" i="37"/>
  <c r="AH2" i="53" s="1"/>
  <c r="AT19" i="37"/>
  <c r="AG2" i="53" s="1"/>
  <c r="AS19" i="37"/>
  <c r="AF2" i="53" s="1"/>
  <c r="AR19" i="37"/>
  <c r="AE2" i="53" s="1"/>
  <c r="AQ19" i="37"/>
  <c r="AD2" i="53" s="1"/>
  <c r="AP19" i="37"/>
  <c r="AC2" i="53" s="1"/>
  <c r="P19" i="37"/>
  <c r="P80" i="37" s="1"/>
  <c r="P82" i="37" s="1"/>
  <c r="O19" i="37"/>
  <c r="O20" i="37" s="1"/>
  <c r="N19" i="37"/>
  <c r="D19" i="37"/>
  <c r="P13" i="37"/>
  <c r="P147" i="37" s="1"/>
  <c r="P12" i="37"/>
  <c r="E11" i="37"/>
  <c r="P6" i="37"/>
  <c r="O6" i="37"/>
  <c r="N6" i="37"/>
  <c r="E4" i="37"/>
  <c r="D3" i="37"/>
  <c r="D2" i="37"/>
  <c r="AK1" i="37"/>
  <c r="AJ1" i="37"/>
  <c r="Y1" i="37"/>
  <c r="X1" i="37"/>
  <c r="W1" i="37"/>
  <c r="V1" i="37"/>
  <c r="U1" i="37"/>
  <c r="T1" i="37"/>
  <c r="S1" i="37"/>
  <c r="R1" i="37"/>
  <c r="Q1" i="37"/>
  <c r="P1" i="37"/>
  <c r="O1" i="37"/>
  <c r="O116" i="37" s="1"/>
  <c r="N1" i="37"/>
  <c r="N117" i="37" s="1"/>
  <c r="N364" i="37" s="1"/>
  <c r="AJ387" i="36"/>
  <c r="AF387" i="36"/>
  <c r="AB387" i="36"/>
  <c r="X387" i="36"/>
  <c r="T387" i="36"/>
  <c r="P387" i="36"/>
  <c r="AJ363" i="36"/>
  <c r="AF363" i="36"/>
  <c r="AB363" i="36"/>
  <c r="X363" i="36"/>
  <c r="T363" i="36"/>
  <c r="P363" i="36"/>
  <c r="AJ339" i="36"/>
  <c r="AF339" i="36"/>
  <c r="AB339" i="36"/>
  <c r="X339" i="36"/>
  <c r="T339" i="36"/>
  <c r="P339" i="36"/>
  <c r="AJ316" i="36"/>
  <c r="AF316" i="36"/>
  <c r="AB316" i="36"/>
  <c r="X316" i="36"/>
  <c r="T316" i="36"/>
  <c r="P316" i="36"/>
  <c r="AJ293" i="36"/>
  <c r="AF293" i="36"/>
  <c r="AB293" i="36"/>
  <c r="X293" i="36"/>
  <c r="T293" i="36"/>
  <c r="P293" i="36"/>
  <c r="AJ269" i="36"/>
  <c r="AF269" i="36"/>
  <c r="AB269" i="36"/>
  <c r="X269" i="36"/>
  <c r="T269" i="36"/>
  <c r="P269" i="36"/>
  <c r="AJ243" i="36"/>
  <c r="AF243" i="36"/>
  <c r="AB243" i="36"/>
  <c r="X243" i="36"/>
  <c r="T243" i="36"/>
  <c r="P243" i="36"/>
  <c r="AJ219" i="36"/>
  <c r="AF219" i="36"/>
  <c r="AB219" i="36"/>
  <c r="X219" i="36"/>
  <c r="T219" i="36"/>
  <c r="P219" i="36"/>
  <c r="AJ195" i="36"/>
  <c r="AF195" i="36"/>
  <c r="AB195" i="36"/>
  <c r="X195" i="36"/>
  <c r="T195" i="36"/>
  <c r="P195" i="36"/>
  <c r="E173" i="36"/>
  <c r="AK170" i="36"/>
  <c r="AK387" i="36" s="1"/>
  <c r="AJ170" i="36"/>
  <c r="AI170" i="36"/>
  <c r="AI387" i="36" s="1"/>
  <c r="AH170" i="36"/>
  <c r="AH387" i="36" s="1"/>
  <c r="AG170" i="36"/>
  <c r="AG387" i="36" s="1"/>
  <c r="AF170" i="36"/>
  <c r="AE170" i="36"/>
  <c r="AE387" i="36" s="1"/>
  <c r="AD170" i="36"/>
  <c r="AD387" i="36" s="1"/>
  <c r="AC170" i="36"/>
  <c r="AC387" i="36" s="1"/>
  <c r="AB170" i="36"/>
  <c r="AA170" i="36"/>
  <c r="AA387" i="36" s="1"/>
  <c r="Z170" i="36"/>
  <c r="Z387" i="36" s="1"/>
  <c r="Y170" i="36"/>
  <c r="Y387" i="36" s="1"/>
  <c r="X170" i="36"/>
  <c r="W170" i="36"/>
  <c r="W387" i="36" s="1"/>
  <c r="V170" i="36"/>
  <c r="V387" i="36" s="1"/>
  <c r="U170" i="36"/>
  <c r="U387" i="36" s="1"/>
  <c r="T170" i="36"/>
  <c r="S170" i="36"/>
  <c r="S387" i="36" s="1"/>
  <c r="R170" i="36"/>
  <c r="R387" i="36" s="1"/>
  <c r="Q170" i="36"/>
  <c r="Q387" i="36" s="1"/>
  <c r="P170" i="36"/>
  <c r="O170" i="36"/>
  <c r="O387" i="36" s="1"/>
  <c r="N170" i="36"/>
  <c r="N387" i="36" s="1"/>
  <c r="O148" i="36"/>
  <c r="N148" i="36"/>
  <c r="E148" i="36"/>
  <c r="O147" i="36"/>
  <c r="N147" i="36"/>
  <c r="E147" i="36"/>
  <c r="AK146" i="36"/>
  <c r="AJ146" i="36"/>
  <c r="AI146" i="36"/>
  <c r="AH146" i="36"/>
  <c r="AG146" i="36"/>
  <c r="AF146" i="36"/>
  <c r="AE146" i="36"/>
  <c r="AD146" i="36"/>
  <c r="AC146" i="36"/>
  <c r="AB146" i="36"/>
  <c r="AA146" i="36"/>
  <c r="Z146" i="36"/>
  <c r="Y146" i="36"/>
  <c r="X146" i="36"/>
  <c r="W146" i="36"/>
  <c r="V146" i="36"/>
  <c r="U146" i="36"/>
  <c r="T146" i="36"/>
  <c r="S146" i="36"/>
  <c r="R146" i="36"/>
  <c r="Q146" i="36"/>
  <c r="P146" i="36"/>
  <c r="O146" i="36"/>
  <c r="N146" i="36"/>
  <c r="O145" i="36"/>
  <c r="N145" i="36"/>
  <c r="E145"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D138" i="36"/>
  <c r="D133" i="36"/>
  <c r="P132" i="36"/>
  <c r="O132" i="36"/>
  <c r="N132" i="36"/>
  <c r="D132" i="36"/>
  <c r="O130" i="36"/>
  <c r="P129" i="36"/>
  <c r="O129" i="36"/>
  <c r="N129" i="36"/>
  <c r="D129" i="36"/>
  <c r="P128" i="36"/>
  <c r="O128" i="36"/>
  <c r="N128" i="36"/>
  <c r="D128" i="36"/>
  <c r="P127" i="36"/>
  <c r="P130" i="36" s="1"/>
  <c r="O127" i="36"/>
  <c r="N127" i="36"/>
  <c r="N130" i="36" s="1"/>
  <c r="D127" i="36"/>
  <c r="AL118" i="36"/>
  <c r="D118" i="36"/>
  <c r="E388" i="36" s="1"/>
  <c r="C118" i="36"/>
  <c r="AL117" i="36"/>
  <c r="D117" i="36"/>
  <c r="E364" i="36" s="1"/>
  <c r="C117" i="36"/>
  <c r="D116" i="36"/>
  <c r="C116" i="36"/>
  <c r="D115" i="36"/>
  <c r="E340" i="36" s="1"/>
  <c r="C115" i="36"/>
  <c r="D114" i="36"/>
  <c r="C114" i="36"/>
  <c r="D113" i="36"/>
  <c r="E317" i="36" s="1"/>
  <c r="C113" i="36"/>
  <c r="AL112" i="36"/>
  <c r="D112" i="36"/>
  <c r="E294" i="36" s="1"/>
  <c r="C112" i="36"/>
  <c r="D111" i="36"/>
  <c r="E270" i="36" s="1"/>
  <c r="C111" i="36"/>
  <c r="D110" i="36"/>
  <c r="E244" i="36" s="1"/>
  <c r="C110" i="36"/>
  <c r="D109" i="36"/>
  <c r="C109" i="36"/>
  <c r="D108" i="36"/>
  <c r="C108" i="36"/>
  <c r="D107" i="36"/>
  <c r="C107" i="36"/>
  <c r="D106" i="36"/>
  <c r="C106" i="36"/>
  <c r="D105" i="36"/>
  <c r="E220" i="36" s="1"/>
  <c r="C105" i="36"/>
  <c r="D104" i="36"/>
  <c r="E196" i="36" s="1"/>
  <c r="C104" i="36"/>
  <c r="D103" i="36"/>
  <c r="C103" i="36"/>
  <c r="P100" i="36"/>
  <c r="D95" i="36"/>
  <c r="AL94" i="36"/>
  <c r="P94" i="36"/>
  <c r="P91" i="36"/>
  <c r="P89" i="36"/>
  <c r="P86" i="36"/>
  <c r="AL86" i="36" s="1"/>
  <c r="P84" i="36"/>
  <c r="P77" i="36" s="1"/>
  <c r="P76" i="36"/>
  <c r="AL76" i="36" s="1"/>
  <c r="AK71" i="36"/>
  <c r="AJ71" i="36"/>
  <c r="AI71" i="36"/>
  <c r="AH71" i="36"/>
  <c r="AG71" i="36"/>
  <c r="AF71" i="36"/>
  <c r="AE71" i="36"/>
  <c r="AD71" i="36"/>
  <c r="AC71" i="36"/>
  <c r="AB71" i="36"/>
  <c r="AA71" i="36"/>
  <c r="Z71" i="36"/>
  <c r="Y71" i="36"/>
  <c r="X71" i="36"/>
  <c r="W71" i="36"/>
  <c r="V71" i="36"/>
  <c r="U71" i="36"/>
  <c r="T71" i="36"/>
  <c r="S71" i="36"/>
  <c r="R71" i="36"/>
  <c r="Q71" i="36"/>
  <c r="AL71" i="36" s="1"/>
  <c r="P71" i="36"/>
  <c r="O71" i="36"/>
  <c r="N71" i="36"/>
  <c r="P67" i="36"/>
  <c r="P72" i="36" s="1"/>
  <c r="O67" i="36"/>
  <c r="O72" i="36" s="1"/>
  <c r="N67" i="36"/>
  <c r="N53" i="36" s="1"/>
  <c r="AP21" i="36" s="1"/>
  <c r="AC4" i="52" s="1"/>
  <c r="J67" i="36"/>
  <c r="D67" i="36"/>
  <c r="AL66" i="36"/>
  <c r="J59" i="36"/>
  <c r="J54" i="36"/>
  <c r="P53" i="36"/>
  <c r="O53" i="36"/>
  <c r="AK52" i="36"/>
  <c r="AJ52" i="36"/>
  <c r="AI52" i="36"/>
  <c r="AH52" i="36"/>
  <c r="AG52" i="36"/>
  <c r="AF52" i="36"/>
  <c r="AE52" i="36"/>
  <c r="AD52" i="36"/>
  <c r="AC52" i="36"/>
  <c r="AB52" i="36"/>
  <c r="AA52" i="36"/>
  <c r="Z52" i="36"/>
  <c r="Y52" i="36"/>
  <c r="X52" i="36"/>
  <c r="W52" i="36"/>
  <c r="E226" i="52" s="1"/>
  <c r="V52" i="36"/>
  <c r="E225" i="52" s="1"/>
  <c r="U52" i="36"/>
  <c r="E224" i="52" s="1"/>
  <c r="T52" i="36"/>
  <c r="E223" i="52" s="1"/>
  <c r="S52" i="36"/>
  <c r="E222" i="52" s="1"/>
  <c r="R52" i="36"/>
  <c r="E221" i="52" s="1"/>
  <c r="Q52" i="36"/>
  <c r="AL52" i="36" s="1"/>
  <c r="P52" i="36"/>
  <c r="O52" i="36"/>
  <c r="N52" i="36"/>
  <c r="L52" i="36"/>
  <c r="D48" i="36"/>
  <c r="AB138" i="52" s="1"/>
  <c r="D47" i="36"/>
  <c r="D46" i="36"/>
  <c r="AL45" i="36"/>
  <c r="P45" i="36"/>
  <c r="O45" i="36"/>
  <c r="N45" i="36"/>
  <c r="L45" i="36"/>
  <c r="I45" i="36"/>
  <c r="K45" i="36" s="1"/>
  <c r="D45" i="36"/>
  <c r="AL44" i="36"/>
  <c r="P44" i="36"/>
  <c r="O44" i="36"/>
  <c r="N44" i="36"/>
  <c r="L44" i="36"/>
  <c r="I44" i="36"/>
  <c r="K44" i="36" s="1"/>
  <c r="D44" i="36"/>
  <c r="P43" i="36"/>
  <c r="O43" i="36"/>
  <c r="N43" i="36"/>
  <c r="D43" i="36"/>
  <c r="B142" i="52" s="1"/>
  <c r="AL42" i="36"/>
  <c r="P42" i="36"/>
  <c r="O42" i="36"/>
  <c r="N42" i="36"/>
  <c r="L42" i="36"/>
  <c r="I42" i="36"/>
  <c r="K42" i="36" s="1"/>
  <c r="D42" i="36"/>
  <c r="P41" i="36"/>
  <c r="O41" i="36"/>
  <c r="N41" i="36"/>
  <c r="D41" i="36"/>
  <c r="AL40" i="36"/>
  <c r="P40" i="36"/>
  <c r="O40" i="36"/>
  <c r="N40" i="36"/>
  <c r="L40" i="36"/>
  <c r="I40" i="36"/>
  <c r="K40" i="36" s="1"/>
  <c r="D40" i="36"/>
  <c r="AL39" i="36"/>
  <c r="P39" i="36"/>
  <c r="O39" i="36"/>
  <c r="N39" i="36"/>
  <c r="L39" i="36"/>
  <c r="I39" i="36"/>
  <c r="K39" i="36" s="1"/>
  <c r="D39" i="36"/>
  <c r="AL38" i="36"/>
  <c r="P38" i="36"/>
  <c r="O38" i="36"/>
  <c r="N38" i="36"/>
  <c r="L38" i="36"/>
  <c r="I38" i="36"/>
  <c r="K38" i="36" s="1"/>
  <c r="D38" i="36"/>
  <c r="L37" i="36"/>
  <c r="D37" i="36"/>
  <c r="C37" i="36"/>
  <c r="P36" i="36"/>
  <c r="O36" i="36"/>
  <c r="N36" i="36"/>
  <c r="D36" i="36"/>
  <c r="B141" i="52" s="1"/>
  <c r="P35" i="36"/>
  <c r="O35" i="36"/>
  <c r="N35" i="36"/>
  <c r="L35" i="36"/>
  <c r="D35" i="36"/>
  <c r="P34" i="36"/>
  <c r="O34" i="36"/>
  <c r="N34" i="36"/>
  <c r="L34" i="36"/>
  <c r="D34" i="36"/>
  <c r="P33" i="36"/>
  <c r="O33" i="36"/>
  <c r="N33" i="36"/>
  <c r="L33" i="36"/>
  <c r="D33" i="36"/>
  <c r="B140" i="52" s="1"/>
  <c r="P32" i="36"/>
  <c r="O32" i="36"/>
  <c r="N32" i="36"/>
  <c r="L32" i="36"/>
  <c r="D32" i="36"/>
  <c r="B139" i="52" s="1"/>
  <c r="P31" i="36"/>
  <c r="O31" i="36"/>
  <c r="N31" i="36"/>
  <c r="L31" i="36"/>
  <c r="D31" i="36"/>
  <c r="B138" i="52" s="1"/>
  <c r="N28" i="36"/>
  <c r="AK27" i="36"/>
  <c r="AJ27" i="36"/>
  <c r="AI27" i="36"/>
  <c r="AH27" i="36"/>
  <c r="AG27" i="36"/>
  <c r="AF27" i="36"/>
  <c r="AE27" i="36"/>
  <c r="AD27" i="36"/>
  <c r="AC27" i="36"/>
  <c r="AB27" i="36"/>
  <c r="AA27" i="36"/>
  <c r="Z27" i="36"/>
  <c r="Y27" i="36"/>
  <c r="X27" i="36"/>
  <c r="W27" i="36"/>
  <c r="V27" i="36"/>
  <c r="U27" i="36"/>
  <c r="T27" i="36"/>
  <c r="S27" i="36"/>
  <c r="R27" i="36"/>
  <c r="Q27" i="36"/>
  <c r="P27" i="36"/>
  <c r="N27" i="36"/>
  <c r="L27" i="36"/>
  <c r="D27" i="36"/>
  <c r="P25" i="36"/>
  <c r="O25" i="36"/>
  <c r="N25" i="36"/>
  <c r="L25" i="36"/>
  <c r="D25" i="36"/>
  <c r="P23" i="36"/>
  <c r="P90" i="36" s="1"/>
  <c r="P92" i="36" s="1"/>
  <c r="O23" i="36"/>
  <c r="N23" i="36"/>
  <c r="N24" i="36" s="1"/>
  <c r="N63" i="36" s="1"/>
  <c r="D23" i="36"/>
  <c r="AR21" i="36"/>
  <c r="AE4" i="52" s="1"/>
  <c r="AQ21" i="36"/>
  <c r="AD4" i="52" s="1"/>
  <c r="AO21" i="36"/>
  <c r="AB4" i="52" s="1"/>
  <c r="P21" i="36"/>
  <c r="O21" i="36"/>
  <c r="N21" i="36"/>
  <c r="P20" i="36"/>
  <c r="P62" i="36" s="1"/>
  <c r="N20" i="36"/>
  <c r="N62" i="36" s="1"/>
  <c r="BM19" i="36"/>
  <c r="AZ2" i="52" s="1"/>
  <c r="BL19" i="36"/>
  <c r="AY2" i="52" s="1"/>
  <c r="BK19" i="36"/>
  <c r="AX2" i="52" s="1"/>
  <c r="BJ19" i="36"/>
  <c r="AW2" i="52" s="1"/>
  <c r="BI19" i="36"/>
  <c r="AV2" i="52" s="1"/>
  <c r="BH19" i="36"/>
  <c r="AU2" i="52" s="1"/>
  <c r="BG19" i="36"/>
  <c r="AT2" i="52" s="1"/>
  <c r="BF19" i="36"/>
  <c r="AS2" i="52" s="1"/>
  <c r="BE19" i="36"/>
  <c r="AR2" i="52" s="1"/>
  <c r="BD19" i="36"/>
  <c r="AQ2" i="52" s="1"/>
  <c r="BC19" i="36"/>
  <c r="AP2" i="52" s="1"/>
  <c r="BB19" i="36"/>
  <c r="AO2" i="52" s="1"/>
  <c r="BA19" i="36"/>
  <c r="AN2" i="52" s="1"/>
  <c r="AZ19" i="36"/>
  <c r="AM2" i="52" s="1"/>
  <c r="AY19" i="36"/>
  <c r="AL2" i="52" s="1"/>
  <c r="AX19" i="36"/>
  <c r="AK2" i="52" s="1"/>
  <c r="AW19" i="36"/>
  <c r="AJ2" i="52" s="1"/>
  <c r="AV19" i="36"/>
  <c r="AI2" i="52" s="1"/>
  <c r="AU19" i="36"/>
  <c r="AH2" i="52" s="1"/>
  <c r="AT19" i="36"/>
  <c r="AG2" i="52" s="1"/>
  <c r="AS19" i="36"/>
  <c r="AF2" i="52" s="1"/>
  <c r="AR19" i="36"/>
  <c r="AE2" i="52" s="1"/>
  <c r="AQ19" i="36"/>
  <c r="AD2" i="52" s="1"/>
  <c r="AP19" i="36"/>
  <c r="AC2" i="52" s="1"/>
  <c r="P19" i="36"/>
  <c r="P80" i="36" s="1"/>
  <c r="O19" i="36"/>
  <c r="O20" i="36" s="1"/>
  <c r="N19" i="36"/>
  <c r="D19" i="36"/>
  <c r="P13" i="36"/>
  <c r="P147" i="36" s="1"/>
  <c r="P12" i="36"/>
  <c r="E11" i="36"/>
  <c r="P6" i="36"/>
  <c r="O6" i="36"/>
  <c r="N6" i="36"/>
  <c r="E4" i="36"/>
  <c r="D3" i="36"/>
  <c r="D2" i="36"/>
  <c r="AK1" i="36"/>
  <c r="AJ1" i="36"/>
  <c r="Y1" i="36"/>
  <c r="X1" i="36"/>
  <c r="W1" i="36"/>
  <c r="V1" i="36"/>
  <c r="U1" i="36"/>
  <c r="T1" i="36"/>
  <c r="S1" i="36"/>
  <c r="R1" i="36"/>
  <c r="Q1" i="36"/>
  <c r="P1" i="36"/>
  <c r="O1" i="36"/>
  <c r="O117" i="36" s="1"/>
  <c r="O364" i="36" s="1"/>
  <c r="N1" i="36"/>
  <c r="AH316" i="35"/>
  <c r="Z316" i="35"/>
  <c r="R316" i="35"/>
  <c r="AD293" i="35"/>
  <c r="V293" i="35"/>
  <c r="N293" i="35"/>
  <c r="AH269" i="35"/>
  <c r="Z269" i="35"/>
  <c r="R269" i="35"/>
  <c r="N269" i="35"/>
  <c r="AK243" i="35"/>
  <c r="AH243" i="35"/>
  <c r="AG243" i="35"/>
  <c r="AD243" i="35"/>
  <c r="AC243" i="35"/>
  <c r="Z243" i="35"/>
  <c r="Y243" i="35"/>
  <c r="V243" i="35"/>
  <c r="U243" i="35"/>
  <c r="R243" i="35"/>
  <c r="Q243" i="35"/>
  <c r="N243" i="35"/>
  <c r="AK219" i="35"/>
  <c r="AH219" i="35"/>
  <c r="AG219" i="35"/>
  <c r="AD219" i="35"/>
  <c r="AC219" i="35"/>
  <c r="Z219" i="35"/>
  <c r="Y219" i="35"/>
  <c r="V219" i="35"/>
  <c r="U219" i="35"/>
  <c r="R219" i="35"/>
  <c r="Q219" i="35"/>
  <c r="N219" i="35"/>
  <c r="AK195" i="35"/>
  <c r="AH195" i="35"/>
  <c r="AG195" i="35"/>
  <c r="AD195" i="35"/>
  <c r="AC195" i="35"/>
  <c r="Z195" i="35"/>
  <c r="Y195" i="35"/>
  <c r="V195" i="35"/>
  <c r="U195" i="35"/>
  <c r="R195" i="35"/>
  <c r="Q195" i="35"/>
  <c r="N195" i="35"/>
  <c r="E173" i="35"/>
  <c r="AK170" i="35"/>
  <c r="AJ170" i="35"/>
  <c r="AJ243" i="35" s="1"/>
  <c r="AI170" i="35"/>
  <c r="AH170" i="35"/>
  <c r="AH387" i="35" s="1"/>
  <c r="AG170" i="35"/>
  <c r="AF170" i="35"/>
  <c r="AF243" i="35" s="1"/>
  <c r="AE170" i="35"/>
  <c r="AD170" i="35"/>
  <c r="AD363" i="35" s="1"/>
  <c r="AC170" i="35"/>
  <c r="AB170" i="35"/>
  <c r="AB243" i="35" s="1"/>
  <c r="AA170" i="35"/>
  <c r="Z170" i="35"/>
  <c r="Z387" i="35" s="1"/>
  <c r="Y170" i="35"/>
  <c r="X170" i="35"/>
  <c r="X243" i="35" s="1"/>
  <c r="W170" i="35"/>
  <c r="V170" i="35"/>
  <c r="V363" i="35" s="1"/>
  <c r="U170" i="35"/>
  <c r="T170" i="35"/>
  <c r="T243" i="35" s="1"/>
  <c r="S170" i="35"/>
  <c r="R170" i="35"/>
  <c r="R387" i="35" s="1"/>
  <c r="Q170" i="35"/>
  <c r="Q269" i="35" s="1"/>
  <c r="P170" i="35"/>
  <c r="P269" i="35" s="1"/>
  <c r="O170" i="35"/>
  <c r="N170" i="35"/>
  <c r="N363" i="35" s="1"/>
  <c r="O148" i="35"/>
  <c r="N148" i="35"/>
  <c r="E148" i="35"/>
  <c r="O147" i="35"/>
  <c r="N147" i="35"/>
  <c r="E147" i="35"/>
  <c r="AK146" i="35"/>
  <c r="AJ146" i="35"/>
  <c r="AI146" i="35"/>
  <c r="AH146" i="35"/>
  <c r="AG146" i="35"/>
  <c r="AF146" i="35"/>
  <c r="AE146" i="35"/>
  <c r="AD146" i="35"/>
  <c r="AC146" i="35"/>
  <c r="AB146" i="35"/>
  <c r="AA146" i="35"/>
  <c r="Z146" i="35"/>
  <c r="Y146" i="35"/>
  <c r="X146" i="35"/>
  <c r="W146" i="35"/>
  <c r="V146" i="35"/>
  <c r="U146" i="35"/>
  <c r="T146" i="35"/>
  <c r="S146" i="35"/>
  <c r="R146" i="35"/>
  <c r="Q146" i="35"/>
  <c r="P146" i="35"/>
  <c r="O146" i="35"/>
  <c r="N146" i="35"/>
  <c r="O145" i="35"/>
  <c r="N145" i="35"/>
  <c r="E145" i="35"/>
  <c r="Q138" i="35"/>
  <c r="P138" i="35"/>
  <c r="O138" i="35"/>
  <c r="N138" i="35"/>
  <c r="D138" i="35"/>
  <c r="D133" i="35"/>
  <c r="P132" i="35"/>
  <c r="O132" i="35"/>
  <c r="N132" i="35"/>
  <c r="D132" i="35"/>
  <c r="P129" i="35"/>
  <c r="O129" i="35"/>
  <c r="N129" i="35"/>
  <c r="D129" i="35"/>
  <c r="P128" i="35"/>
  <c r="O128" i="35"/>
  <c r="N128" i="35"/>
  <c r="D128" i="35"/>
  <c r="P127" i="35"/>
  <c r="P130" i="35" s="1"/>
  <c r="O127" i="35"/>
  <c r="O130" i="35" s="1"/>
  <c r="N127" i="35"/>
  <c r="N130" i="35" s="1"/>
  <c r="D127" i="35"/>
  <c r="AL118" i="35"/>
  <c r="D118" i="35"/>
  <c r="E388" i="35" s="1"/>
  <c r="C118" i="35"/>
  <c r="AL117" i="35"/>
  <c r="D117" i="35"/>
  <c r="E364" i="35" s="1"/>
  <c r="C117" i="35"/>
  <c r="D116" i="35"/>
  <c r="C116" i="35"/>
  <c r="D115" i="35"/>
  <c r="E340" i="35" s="1"/>
  <c r="C115" i="35"/>
  <c r="D114" i="35"/>
  <c r="C114" i="35"/>
  <c r="D113" i="35"/>
  <c r="E317" i="35" s="1"/>
  <c r="C113" i="35"/>
  <c r="AL112" i="35"/>
  <c r="D112" i="35"/>
  <c r="E294" i="35" s="1"/>
  <c r="C112" i="35"/>
  <c r="D111" i="35"/>
  <c r="E270" i="35" s="1"/>
  <c r="C111" i="35"/>
  <c r="D110" i="35"/>
  <c r="E244" i="35" s="1"/>
  <c r="C110" i="35"/>
  <c r="D109" i="35"/>
  <c r="C109" i="35"/>
  <c r="D108" i="35"/>
  <c r="C108" i="35"/>
  <c r="D107" i="35"/>
  <c r="C107" i="35"/>
  <c r="D106" i="35"/>
  <c r="C106" i="35"/>
  <c r="D105" i="35"/>
  <c r="E220" i="35" s="1"/>
  <c r="C105" i="35"/>
  <c r="D104" i="35"/>
  <c r="E196" i="35" s="1"/>
  <c r="C104" i="35"/>
  <c r="D103" i="35"/>
  <c r="C103" i="35"/>
  <c r="P100" i="35"/>
  <c r="D95" i="35"/>
  <c r="AL94" i="35"/>
  <c r="P94" i="35"/>
  <c r="P89" i="35"/>
  <c r="P86" i="35"/>
  <c r="Q71" i="35"/>
  <c r="P71" i="35"/>
  <c r="O71" i="35"/>
  <c r="N71" i="35"/>
  <c r="P67" i="35"/>
  <c r="P53" i="35" s="1"/>
  <c r="AR21" i="35" s="1"/>
  <c r="AE4" i="51" s="1"/>
  <c r="O67" i="35"/>
  <c r="O53" i="35" s="1"/>
  <c r="AQ21" i="35" s="1"/>
  <c r="AD4" i="51" s="1"/>
  <c r="N67" i="35"/>
  <c r="N72" i="35" s="1"/>
  <c r="J67" i="35"/>
  <c r="D67" i="35"/>
  <c r="AL66" i="35"/>
  <c r="J59" i="35"/>
  <c r="J54" i="35"/>
  <c r="F157" i="26" s="1"/>
  <c r="N53" i="35"/>
  <c r="AK52" i="35"/>
  <c r="AJ52" i="35"/>
  <c r="AI52" i="35"/>
  <c r="AH52" i="35"/>
  <c r="AG52" i="35"/>
  <c r="AF52" i="35"/>
  <c r="AE52" i="35"/>
  <c r="AD52" i="35"/>
  <c r="AC52" i="35"/>
  <c r="AB52" i="35"/>
  <c r="AA52" i="35"/>
  <c r="Z52" i="35"/>
  <c r="Y52" i="35"/>
  <c r="X52" i="35"/>
  <c r="W52" i="35"/>
  <c r="E226" i="51" s="1"/>
  <c r="V52" i="35"/>
  <c r="E225" i="51" s="1"/>
  <c r="U52" i="35"/>
  <c r="E224" i="51" s="1"/>
  <c r="T52" i="35"/>
  <c r="E223" i="51" s="1"/>
  <c r="S52" i="35"/>
  <c r="E222" i="51" s="1"/>
  <c r="R52" i="35"/>
  <c r="E221" i="51" s="1"/>
  <c r="Q52" i="35"/>
  <c r="AL52" i="35" s="1"/>
  <c r="P52" i="35"/>
  <c r="O52" i="35"/>
  <c r="N52" i="35"/>
  <c r="L52" i="35"/>
  <c r="D48" i="35"/>
  <c r="AB138" i="51" s="1"/>
  <c r="D47" i="35"/>
  <c r="AB137" i="51" s="1"/>
  <c r="D46" i="35"/>
  <c r="AL45" i="35"/>
  <c r="I45" i="35" s="1"/>
  <c r="K45" i="35" s="1"/>
  <c r="P45" i="35"/>
  <c r="O45" i="35"/>
  <c r="N45" i="35"/>
  <c r="L45" i="35"/>
  <c r="D45" i="35"/>
  <c r="AL44" i="35"/>
  <c r="I44" i="35" s="1"/>
  <c r="K44" i="35" s="1"/>
  <c r="P44" i="35"/>
  <c r="O44" i="35"/>
  <c r="N44" i="35"/>
  <c r="L44" i="35"/>
  <c r="D44" i="35"/>
  <c r="P43" i="35"/>
  <c r="O43" i="35"/>
  <c r="N43" i="35"/>
  <c r="D43" i="35"/>
  <c r="B142" i="51" s="1"/>
  <c r="AL42" i="35"/>
  <c r="I42" i="35" s="1"/>
  <c r="K42" i="35" s="1"/>
  <c r="P42" i="35"/>
  <c r="O42" i="35"/>
  <c r="N42" i="35"/>
  <c r="L42" i="35"/>
  <c r="D42" i="35"/>
  <c r="P41" i="35"/>
  <c r="O41" i="35"/>
  <c r="N41" i="35"/>
  <c r="D41" i="35"/>
  <c r="AL40" i="35"/>
  <c r="I40" i="35" s="1"/>
  <c r="K40" i="35" s="1"/>
  <c r="P40" i="35"/>
  <c r="O40" i="35"/>
  <c r="N40" i="35"/>
  <c r="L40" i="35"/>
  <c r="D40" i="35"/>
  <c r="AL39" i="35"/>
  <c r="I39" i="35" s="1"/>
  <c r="K39" i="35" s="1"/>
  <c r="P39" i="35"/>
  <c r="O39" i="35"/>
  <c r="N39" i="35"/>
  <c r="L39" i="35"/>
  <c r="D39" i="35"/>
  <c r="AL38" i="35"/>
  <c r="I38" i="35" s="1"/>
  <c r="K38" i="35" s="1"/>
  <c r="P38" i="35"/>
  <c r="O38" i="35"/>
  <c r="N38" i="35"/>
  <c r="L38" i="35"/>
  <c r="D38" i="35"/>
  <c r="L37" i="35"/>
  <c r="D37" i="35"/>
  <c r="C37" i="35"/>
  <c r="P36" i="35"/>
  <c r="O36" i="35"/>
  <c r="N36" i="35"/>
  <c r="D36" i="35"/>
  <c r="B141" i="51" s="1"/>
  <c r="P35" i="35"/>
  <c r="O35" i="35"/>
  <c r="N35" i="35"/>
  <c r="D35" i="35"/>
  <c r="P34" i="35"/>
  <c r="O34" i="35"/>
  <c r="N34" i="35"/>
  <c r="L34" i="35"/>
  <c r="D34" i="35"/>
  <c r="P33" i="35"/>
  <c r="O33" i="35"/>
  <c r="N33" i="35"/>
  <c r="L33" i="35"/>
  <c r="D33" i="35"/>
  <c r="B140" i="51" s="1"/>
  <c r="P32" i="35"/>
  <c r="O32" i="35"/>
  <c r="N32" i="35"/>
  <c r="D32" i="35"/>
  <c r="B139" i="51" s="1"/>
  <c r="P31" i="35"/>
  <c r="O31" i="35"/>
  <c r="N31" i="35"/>
  <c r="D31" i="35"/>
  <c r="B138" i="51" s="1"/>
  <c r="AK27" i="35"/>
  <c r="AJ27" i="35"/>
  <c r="AI27" i="35"/>
  <c r="AH27" i="35"/>
  <c r="AG27" i="35"/>
  <c r="AF27" i="35"/>
  <c r="AE27" i="35"/>
  <c r="AD27" i="35"/>
  <c r="AC27" i="35"/>
  <c r="AB27" i="35"/>
  <c r="AA27" i="35"/>
  <c r="Z27" i="35"/>
  <c r="Y27" i="35"/>
  <c r="X27" i="35"/>
  <c r="W27" i="35"/>
  <c r="V27" i="35"/>
  <c r="U27" i="35"/>
  <c r="T27" i="35"/>
  <c r="S27" i="35"/>
  <c r="R27" i="35"/>
  <c r="AL27" i="35" s="1"/>
  <c r="I27" i="35" s="1"/>
  <c r="K27" i="35" s="1"/>
  <c r="Q27" i="35"/>
  <c r="P27" i="35"/>
  <c r="N27" i="35"/>
  <c r="L27" i="35"/>
  <c r="D27" i="35"/>
  <c r="P25" i="35"/>
  <c r="P91" i="35" s="1"/>
  <c r="O25" i="35"/>
  <c r="N25" i="35"/>
  <c r="N28" i="35" s="1"/>
  <c r="D25" i="35"/>
  <c r="O24" i="35"/>
  <c r="O63" i="35" s="1"/>
  <c r="P23" i="35"/>
  <c r="P90" i="35" s="1"/>
  <c r="O23" i="35"/>
  <c r="N23" i="35"/>
  <c r="D23" i="35"/>
  <c r="AP21" i="35"/>
  <c r="AC4" i="51" s="1"/>
  <c r="AO21" i="35"/>
  <c r="AB4" i="51" s="1"/>
  <c r="P21" i="35"/>
  <c r="P81" i="35" s="1"/>
  <c r="O21" i="35"/>
  <c r="N21" i="35"/>
  <c r="N20" i="35"/>
  <c r="BM19" i="35"/>
  <c r="AZ2" i="51" s="1"/>
  <c r="BL19" i="35"/>
  <c r="AY2" i="51" s="1"/>
  <c r="BK19" i="35"/>
  <c r="AX2" i="51" s="1"/>
  <c r="BJ19" i="35"/>
  <c r="AW2" i="51" s="1"/>
  <c r="BI19" i="35"/>
  <c r="AV2" i="51" s="1"/>
  <c r="BH19" i="35"/>
  <c r="AU2" i="51" s="1"/>
  <c r="BG19" i="35"/>
  <c r="AT2" i="51" s="1"/>
  <c r="BF19" i="35"/>
  <c r="AS2" i="51" s="1"/>
  <c r="BE19" i="35"/>
  <c r="AR2" i="51" s="1"/>
  <c r="BD19" i="35"/>
  <c r="AQ2" i="51" s="1"/>
  <c r="BC19" i="35"/>
  <c r="AP2" i="51" s="1"/>
  <c r="BB19" i="35"/>
  <c r="AO2" i="51" s="1"/>
  <c r="BA19" i="35"/>
  <c r="AN2" i="51" s="1"/>
  <c r="AZ19" i="35"/>
  <c r="AM2" i="51" s="1"/>
  <c r="AY19" i="35"/>
  <c r="AL2" i="51" s="1"/>
  <c r="AX19" i="35"/>
  <c r="AK2" i="51" s="1"/>
  <c r="AW19" i="35"/>
  <c r="AJ2" i="51" s="1"/>
  <c r="AV19" i="35"/>
  <c r="AI2" i="51" s="1"/>
  <c r="AU19" i="35"/>
  <c r="AH2" i="51" s="1"/>
  <c r="AT19" i="35"/>
  <c r="AG2" i="51" s="1"/>
  <c r="AS19" i="35"/>
  <c r="AF2" i="51" s="1"/>
  <c r="AR19" i="35"/>
  <c r="AE2" i="51" s="1"/>
  <c r="AQ19" i="35"/>
  <c r="AD2" i="51" s="1"/>
  <c r="AP19" i="35"/>
  <c r="AC2" i="51" s="1"/>
  <c r="P19" i="35"/>
  <c r="P80" i="35" s="1"/>
  <c r="P82" i="35" s="1"/>
  <c r="O19" i="35"/>
  <c r="O20" i="35" s="1"/>
  <c r="N19" i="35"/>
  <c r="D19" i="35"/>
  <c r="P13" i="35"/>
  <c r="P147" i="35" s="1"/>
  <c r="P12" i="35"/>
  <c r="E216" i="51" s="1"/>
  <c r="E11" i="35"/>
  <c r="P6" i="35"/>
  <c r="O6" i="35"/>
  <c r="N6" i="35"/>
  <c r="E4" i="35"/>
  <c r="D3" i="35"/>
  <c r="D2" i="35"/>
  <c r="AK1" i="35"/>
  <c r="AJ1" i="35"/>
  <c r="Y1" i="35"/>
  <c r="X1" i="35"/>
  <c r="W1" i="35"/>
  <c r="V1" i="35"/>
  <c r="U1" i="35"/>
  <c r="T1" i="35"/>
  <c r="S1" i="35"/>
  <c r="R1" i="35"/>
  <c r="Q1" i="35"/>
  <c r="P1" i="35"/>
  <c r="O1" i="35"/>
  <c r="O118" i="35" s="1"/>
  <c r="O388" i="35" s="1"/>
  <c r="N1" i="35"/>
  <c r="N116" i="35" s="1"/>
  <c r="AJ293" i="34"/>
  <c r="AF293" i="34"/>
  <c r="AB293" i="34"/>
  <c r="X293" i="34"/>
  <c r="T293" i="34"/>
  <c r="P293" i="34"/>
  <c r="AJ269" i="34"/>
  <c r="AF269" i="34"/>
  <c r="AB269" i="34"/>
  <c r="X269" i="34"/>
  <c r="T269" i="34"/>
  <c r="P269" i="34"/>
  <c r="AJ243" i="34"/>
  <c r="AI243" i="34"/>
  <c r="AF243" i="34"/>
  <c r="AE243" i="34"/>
  <c r="AB243" i="34"/>
  <c r="AA243" i="34"/>
  <c r="X243" i="34"/>
  <c r="W243" i="34"/>
  <c r="T243" i="34"/>
  <c r="S243" i="34"/>
  <c r="P243" i="34"/>
  <c r="O243" i="34"/>
  <c r="AJ219" i="34"/>
  <c r="AI219" i="34"/>
  <c r="AF219" i="34"/>
  <c r="AE219" i="34"/>
  <c r="AB219" i="34"/>
  <c r="AA219" i="34"/>
  <c r="X219" i="34"/>
  <c r="W219" i="34"/>
  <c r="T219" i="34"/>
  <c r="S219" i="34"/>
  <c r="P219" i="34"/>
  <c r="O219" i="34"/>
  <c r="AJ195" i="34"/>
  <c r="AI195" i="34"/>
  <c r="AF195" i="34"/>
  <c r="AE195" i="34"/>
  <c r="AB195" i="34"/>
  <c r="AA195" i="34"/>
  <c r="X195" i="34"/>
  <c r="W195" i="34"/>
  <c r="T195" i="34"/>
  <c r="S195" i="34"/>
  <c r="P195" i="34"/>
  <c r="O195" i="34"/>
  <c r="E173" i="34"/>
  <c r="AK170" i="34"/>
  <c r="AK387" i="34" s="1"/>
  <c r="AJ170" i="34"/>
  <c r="AJ387" i="34" s="1"/>
  <c r="AI170" i="34"/>
  <c r="AI387" i="34" s="1"/>
  <c r="AH170" i="34"/>
  <c r="AH387" i="34" s="1"/>
  <c r="AG170" i="34"/>
  <c r="AG387" i="34" s="1"/>
  <c r="AF170" i="34"/>
  <c r="AF387" i="34" s="1"/>
  <c r="AE170" i="34"/>
  <c r="AE387" i="34" s="1"/>
  <c r="AD170" i="34"/>
  <c r="AD387" i="34" s="1"/>
  <c r="AC170" i="34"/>
  <c r="AC387" i="34" s="1"/>
  <c r="AB170" i="34"/>
  <c r="AB387" i="34" s="1"/>
  <c r="AA170" i="34"/>
  <c r="AA387" i="34" s="1"/>
  <c r="Z170" i="34"/>
  <c r="Z387" i="34" s="1"/>
  <c r="Y170" i="34"/>
  <c r="Y387" i="34" s="1"/>
  <c r="X170" i="34"/>
  <c r="X387" i="34" s="1"/>
  <c r="W170" i="34"/>
  <c r="W387" i="34" s="1"/>
  <c r="V170" i="34"/>
  <c r="V387" i="34" s="1"/>
  <c r="U170" i="34"/>
  <c r="U387" i="34" s="1"/>
  <c r="T170" i="34"/>
  <c r="T387" i="34" s="1"/>
  <c r="S170" i="34"/>
  <c r="S387" i="34" s="1"/>
  <c r="R170" i="34"/>
  <c r="R387" i="34" s="1"/>
  <c r="Q170" i="34"/>
  <c r="Q387" i="34" s="1"/>
  <c r="P170" i="34"/>
  <c r="P387" i="34" s="1"/>
  <c r="O170" i="34"/>
  <c r="O387" i="34" s="1"/>
  <c r="N170" i="34"/>
  <c r="N387" i="34" s="1"/>
  <c r="O148" i="34"/>
  <c r="N148" i="34"/>
  <c r="E148" i="34"/>
  <c r="O147" i="34"/>
  <c r="N147" i="34"/>
  <c r="E147" i="34"/>
  <c r="AK146" i="34"/>
  <c r="AJ146" i="34"/>
  <c r="AI146" i="34"/>
  <c r="AH146" i="34"/>
  <c r="AG146" i="34"/>
  <c r="AF146" i="34"/>
  <c r="AE146" i="34"/>
  <c r="AD146" i="34"/>
  <c r="AC146" i="34"/>
  <c r="AB146" i="34"/>
  <c r="AA146" i="34"/>
  <c r="Z146" i="34"/>
  <c r="Y146" i="34"/>
  <c r="X146" i="34"/>
  <c r="W146" i="34"/>
  <c r="V146" i="34"/>
  <c r="U146" i="34"/>
  <c r="T146" i="34"/>
  <c r="S146" i="34"/>
  <c r="R146" i="34"/>
  <c r="Q146" i="34"/>
  <c r="P146" i="34"/>
  <c r="O146" i="34"/>
  <c r="N146" i="34"/>
  <c r="O145" i="34"/>
  <c r="N145" i="34"/>
  <c r="E145" i="34"/>
  <c r="O138" i="34"/>
  <c r="D138" i="34"/>
  <c r="D133" i="34"/>
  <c r="P132" i="34"/>
  <c r="O132" i="34"/>
  <c r="N132" i="34"/>
  <c r="D132" i="34"/>
  <c r="O129" i="34"/>
  <c r="N129" i="34"/>
  <c r="D129" i="34"/>
  <c r="P128" i="34"/>
  <c r="O128" i="34"/>
  <c r="N128" i="34"/>
  <c r="D128" i="34"/>
  <c r="P127" i="34"/>
  <c r="N127" i="34"/>
  <c r="N130" i="34" s="1"/>
  <c r="D127" i="34"/>
  <c r="AL118" i="34"/>
  <c r="D118" i="34"/>
  <c r="E388" i="34" s="1"/>
  <c r="C118" i="34"/>
  <c r="AL117" i="34"/>
  <c r="D117" i="34"/>
  <c r="E364" i="34" s="1"/>
  <c r="C117" i="34"/>
  <c r="D116" i="34"/>
  <c r="C116" i="34"/>
  <c r="D115" i="34"/>
  <c r="E340" i="34" s="1"/>
  <c r="C115" i="34"/>
  <c r="D114" i="34"/>
  <c r="C114" i="34"/>
  <c r="D113" i="34"/>
  <c r="E317" i="34" s="1"/>
  <c r="C113" i="34"/>
  <c r="AL112" i="34"/>
  <c r="D112" i="34"/>
  <c r="E294" i="34" s="1"/>
  <c r="C112" i="34"/>
  <c r="D111" i="34"/>
  <c r="E270" i="34" s="1"/>
  <c r="C111" i="34"/>
  <c r="D110" i="34"/>
  <c r="E244" i="34" s="1"/>
  <c r="C110" i="34"/>
  <c r="D109" i="34"/>
  <c r="C109" i="34"/>
  <c r="D108" i="34"/>
  <c r="C108" i="34"/>
  <c r="D107" i="34"/>
  <c r="C107" i="34"/>
  <c r="D106" i="34"/>
  <c r="C106" i="34"/>
  <c r="D105" i="34"/>
  <c r="E220" i="34" s="1"/>
  <c r="C105" i="34"/>
  <c r="D104" i="34"/>
  <c r="E196" i="34" s="1"/>
  <c r="C104" i="34"/>
  <c r="D103" i="34"/>
  <c r="C103" i="34"/>
  <c r="P100" i="34"/>
  <c r="D95" i="34"/>
  <c r="AL94" i="34"/>
  <c r="AK94" i="34"/>
  <c r="AJ94" i="34"/>
  <c r="AI94" i="34"/>
  <c r="AH94" i="34"/>
  <c r="AG94" i="34"/>
  <c r="AF94" i="34"/>
  <c r="AE94" i="34"/>
  <c r="AD94" i="34"/>
  <c r="AC94" i="34"/>
  <c r="AB94" i="34"/>
  <c r="AA94" i="34"/>
  <c r="Z94" i="34"/>
  <c r="Y94" i="34"/>
  <c r="X94" i="34"/>
  <c r="W94" i="34"/>
  <c r="V94" i="34"/>
  <c r="U94" i="34"/>
  <c r="T94" i="34"/>
  <c r="S94" i="34"/>
  <c r="R94" i="34"/>
  <c r="Q94" i="34"/>
  <c r="P94" i="34"/>
  <c r="P89" i="34"/>
  <c r="P86" i="34"/>
  <c r="O71" i="34"/>
  <c r="P67" i="34"/>
  <c r="P72" i="34" s="1"/>
  <c r="N67" i="34"/>
  <c r="N72" i="34" s="1"/>
  <c r="D67" i="34"/>
  <c r="AL66" i="34"/>
  <c r="J58" i="34"/>
  <c r="J59" i="34" s="1"/>
  <c r="E157" i="56" s="1"/>
  <c r="P53" i="34"/>
  <c r="N53" i="34"/>
  <c r="J53" i="34"/>
  <c r="J67" i="34" s="1"/>
  <c r="AK52" i="34"/>
  <c r="AJ52" i="34"/>
  <c r="AI52" i="34"/>
  <c r="AH52" i="34"/>
  <c r="AG52" i="34"/>
  <c r="AF52" i="34"/>
  <c r="AE52" i="34"/>
  <c r="AD52" i="34"/>
  <c r="AC52" i="34"/>
  <c r="AB52" i="34"/>
  <c r="AA52" i="34"/>
  <c r="Z52" i="34"/>
  <c r="Y52" i="34"/>
  <c r="X52" i="34"/>
  <c r="W52" i="34"/>
  <c r="E226" i="50" s="1"/>
  <c r="V52" i="34"/>
  <c r="E225" i="50" s="1"/>
  <c r="U52" i="34"/>
  <c r="E224" i="50" s="1"/>
  <c r="T52" i="34"/>
  <c r="E223" i="50" s="1"/>
  <c r="S52" i="34"/>
  <c r="E222" i="50" s="1"/>
  <c r="R52" i="34"/>
  <c r="E221" i="50" s="1"/>
  <c r="Q52" i="34"/>
  <c r="AL52" i="34" s="1"/>
  <c r="P52" i="34"/>
  <c r="O52" i="34"/>
  <c r="N52" i="34"/>
  <c r="L52" i="34"/>
  <c r="D48" i="34"/>
  <c r="AB138" i="50" s="1"/>
  <c r="D47" i="34"/>
  <c r="AB137" i="50" s="1"/>
  <c r="D46" i="34"/>
  <c r="AL45" i="34"/>
  <c r="I45" i="34" s="1"/>
  <c r="K45" i="34" s="1"/>
  <c r="P45" i="34"/>
  <c r="O45" i="34"/>
  <c r="N45" i="34"/>
  <c r="L45" i="34"/>
  <c r="D45" i="34"/>
  <c r="AL44" i="34"/>
  <c r="I44" i="34" s="1"/>
  <c r="K44" i="34" s="1"/>
  <c r="P44" i="34"/>
  <c r="O44" i="34"/>
  <c r="N44" i="34"/>
  <c r="L44" i="34"/>
  <c r="D44" i="34"/>
  <c r="P43" i="34"/>
  <c r="O43" i="34"/>
  <c r="N43" i="34"/>
  <c r="D43" i="34"/>
  <c r="B142" i="50" s="1"/>
  <c r="AL42" i="34"/>
  <c r="I42" i="34" s="1"/>
  <c r="K42" i="34" s="1"/>
  <c r="P42" i="34"/>
  <c r="O42" i="34"/>
  <c r="N42" i="34"/>
  <c r="L42" i="34"/>
  <c r="D42" i="34"/>
  <c r="O41" i="34"/>
  <c r="D41" i="34"/>
  <c r="AL40" i="34"/>
  <c r="I40" i="34" s="1"/>
  <c r="K40" i="34" s="1"/>
  <c r="P40" i="34"/>
  <c r="O40" i="34"/>
  <c r="N40" i="34"/>
  <c r="L40" i="34"/>
  <c r="D40" i="34"/>
  <c r="AL39" i="34"/>
  <c r="I39" i="34" s="1"/>
  <c r="K39" i="34" s="1"/>
  <c r="P39" i="34"/>
  <c r="O39" i="34"/>
  <c r="N39" i="34"/>
  <c r="L39" i="34"/>
  <c r="D39" i="34"/>
  <c r="AL38" i="34"/>
  <c r="I38" i="34" s="1"/>
  <c r="K38" i="34" s="1"/>
  <c r="P38" i="34"/>
  <c r="O38" i="34"/>
  <c r="N38" i="34"/>
  <c r="L38" i="34"/>
  <c r="D38" i="34"/>
  <c r="L37" i="34"/>
  <c r="D37" i="34"/>
  <c r="C37" i="34"/>
  <c r="P36" i="34"/>
  <c r="O36" i="34"/>
  <c r="N36" i="34"/>
  <c r="D36" i="34"/>
  <c r="B141" i="50" s="1"/>
  <c r="P35" i="34"/>
  <c r="N35" i="34"/>
  <c r="D35" i="34"/>
  <c r="P34" i="34"/>
  <c r="N34" i="34"/>
  <c r="L34" i="34"/>
  <c r="D34" i="34"/>
  <c r="O33" i="34"/>
  <c r="D33" i="34"/>
  <c r="B140" i="50" s="1"/>
  <c r="P32" i="34"/>
  <c r="O32" i="34"/>
  <c r="N32" i="34"/>
  <c r="D32" i="34"/>
  <c r="B139" i="50" s="1"/>
  <c r="P31" i="34"/>
  <c r="O31" i="34"/>
  <c r="N31" i="34"/>
  <c r="D31" i="34"/>
  <c r="B138" i="50" s="1"/>
  <c r="AK27" i="34"/>
  <c r="AJ27" i="34"/>
  <c r="AI27" i="34"/>
  <c r="AH27" i="34"/>
  <c r="AG27" i="34"/>
  <c r="AF27" i="34"/>
  <c r="AE27" i="34"/>
  <c r="AD27" i="34"/>
  <c r="AC27" i="34"/>
  <c r="AB27" i="34"/>
  <c r="AA27" i="34"/>
  <c r="Z27" i="34"/>
  <c r="Y27" i="34"/>
  <c r="X27" i="34"/>
  <c r="W27" i="34"/>
  <c r="V27" i="34"/>
  <c r="U27" i="34"/>
  <c r="T27" i="34"/>
  <c r="S27" i="34"/>
  <c r="R27" i="34"/>
  <c r="AL27" i="34" s="1"/>
  <c r="I27" i="34" s="1"/>
  <c r="K27" i="34" s="1"/>
  <c r="Q27" i="34"/>
  <c r="P27" i="34"/>
  <c r="N27" i="34"/>
  <c r="L27" i="34"/>
  <c r="D27" i="34"/>
  <c r="O25" i="34"/>
  <c r="N25" i="34"/>
  <c r="N28" i="34" s="1"/>
  <c r="D25" i="34"/>
  <c r="N24" i="34"/>
  <c r="N63" i="34" s="1"/>
  <c r="N23" i="34"/>
  <c r="D23" i="34"/>
  <c r="AR21" i="34"/>
  <c r="AE4" i="50" s="1"/>
  <c r="AP21" i="34"/>
  <c r="AC4" i="50" s="1"/>
  <c r="AO21" i="34"/>
  <c r="AB4" i="50" s="1"/>
  <c r="P21" i="34"/>
  <c r="P81" i="34" s="1"/>
  <c r="O21" i="34"/>
  <c r="N21" i="34"/>
  <c r="BM19" i="34"/>
  <c r="AZ2" i="50" s="1"/>
  <c r="BL19" i="34"/>
  <c r="AY2" i="50" s="1"/>
  <c r="BK19" i="34"/>
  <c r="AX2" i="50" s="1"/>
  <c r="BJ19" i="34"/>
  <c r="AW2" i="50" s="1"/>
  <c r="BI19" i="34"/>
  <c r="AV2" i="50" s="1"/>
  <c r="BH19" i="34"/>
  <c r="AU2" i="50" s="1"/>
  <c r="BG19" i="34"/>
  <c r="AT2" i="50" s="1"/>
  <c r="BF19" i="34"/>
  <c r="AS2" i="50" s="1"/>
  <c r="BE19" i="34"/>
  <c r="AR2" i="50" s="1"/>
  <c r="BD19" i="34"/>
  <c r="AQ2" i="50" s="1"/>
  <c r="BC19" i="34"/>
  <c r="AP2" i="50" s="1"/>
  <c r="BB19" i="34"/>
  <c r="AO2" i="50" s="1"/>
  <c r="BA19" i="34"/>
  <c r="AN2" i="50" s="1"/>
  <c r="AZ19" i="34"/>
  <c r="AM2" i="50" s="1"/>
  <c r="AY19" i="34"/>
  <c r="AL2" i="50" s="1"/>
  <c r="AX19" i="34"/>
  <c r="AK2" i="50" s="1"/>
  <c r="AW19" i="34"/>
  <c r="AJ2" i="50" s="1"/>
  <c r="AV19" i="34"/>
  <c r="AI2" i="50" s="1"/>
  <c r="AU19" i="34"/>
  <c r="AH2" i="50" s="1"/>
  <c r="AT19" i="34"/>
  <c r="AG2" i="50" s="1"/>
  <c r="AS19" i="34"/>
  <c r="AF2" i="50" s="1"/>
  <c r="AR19" i="34"/>
  <c r="AE2" i="50" s="1"/>
  <c r="AQ19" i="34"/>
  <c r="AD2" i="50" s="1"/>
  <c r="AP19" i="34"/>
  <c r="AC2" i="50" s="1"/>
  <c r="P19" i="34"/>
  <c r="P20" i="34" s="1"/>
  <c r="O19" i="34"/>
  <c r="O20" i="34" s="1"/>
  <c r="N19" i="34"/>
  <c r="N20" i="34" s="1"/>
  <c r="D19" i="34"/>
  <c r="P12" i="34"/>
  <c r="P148" i="34" s="1"/>
  <c r="E11" i="34"/>
  <c r="P6" i="34"/>
  <c r="N6" i="34"/>
  <c r="E4" i="34"/>
  <c r="D3" i="34"/>
  <c r="D2" i="34"/>
  <c r="AK1" i="34"/>
  <c r="AJ1" i="34"/>
  <c r="Y1" i="34"/>
  <c r="X1" i="34"/>
  <c r="W1" i="34"/>
  <c r="V1" i="34"/>
  <c r="U1" i="34"/>
  <c r="T1" i="34"/>
  <c r="S1" i="34"/>
  <c r="R1" i="34"/>
  <c r="Q1" i="34"/>
  <c r="P1" i="34"/>
  <c r="P116" i="34" s="1"/>
  <c r="O1" i="34"/>
  <c r="O117" i="34" s="1"/>
  <c r="O364" i="34" s="1"/>
  <c r="N1" i="34"/>
  <c r="AJ387" i="16"/>
  <c r="AF387" i="16"/>
  <c r="AB387" i="16"/>
  <c r="X387" i="16"/>
  <c r="T387" i="16"/>
  <c r="P387" i="16"/>
  <c r="AK363" i="16"/>
  <c r="AJ363" i="16"/>
  <c r="AG363" i="16"/>
  <c r="AF363" i="16"/>
  <c r="AC363" i="16"/>
  <c r="AB363" i="16"/>
  <c r="Y363" i="16"/>
  <c r="X363" i="16"/>
  <c r="U363" i="16"/>
  <c r="T363" i="16"/>
  <c r="Q363" i="16"/>
  <c r="P363" i="16"/>
  <c r="AK339" i="16"/>
  <c r="AG339" i="16"/>
  <c r="AC339" i="16"/>
  <c r="Y339" i="16"/>
  <c r="U339" i="16"/>
  <c r="Q339" i="16"/>
  <c r="AJ293" i="16"/>
  <c r="AF293" i="16"/>
  <c r="AB293" i="16"/>
  <c r="X293" i="16"/>
  <c r="T293" i="16"/>
  <c r="P293" i="16"/>
  <c r="AK269" i="16"/>
  <c r="AJ269" i="16"/>
  <c r="AG269" i="16"/>
  <c r="AF269" i="16"/>
  <c r="AC269" i="16"/>
  <c r="AB269" i="16"/>
  <c r="Y269" i="16"/>
  <c r="X269" i="16"/>
  <c r="U269" i="16"/>
  <c r="T269" i="16"/>
  <c r="Q269" i="16"/>
  <c r="P269" i="16"/>
  <c r="E244" i="16"/>
  <c r="AK243" i="16"/>
  <c r="AG243" i="16"/>
  <c r="AC243" i="16"/>
  <c r="Y243" i="16"/>
  <c r="U243" i="16"/>
  <c r="Q243" i="16"/>
  <c r="AJ195" i="16"/>
  <c r="AF195" i="16"/>
  <c r="AB195" i="16"/>
  <c r="X195" i="16"/>
  <c r="T195" i="16"/>
  <c r="P195" i="16"/>
  <c r="E173" i="16"/>
  <c r="AK170" i="16"/>
  <c r="AK316" i="16" s="1"/>
  <c r="AJ170" i="16"/>
  <c r="AJ339" i="16" s="1"/>
  <c r="AI170" i="16"/>
  <c r="AI387" i="16" s="1"/>
  <c r="AH170" i="16"/>
  <c r="AH316" i="16" s="1"/>
  <c r="AG170" i="16"/>
  <c r="AG316" i="16" s="1"/>
  <c r="AF170" i="16"/>
  <c r="AF339" i="16" s="1"/>
  <c r="AE170" i="16"/>
  <c r="AE387" i="16" s="1"/>
  <c r="AD170" i="16"/>
  <c r="AD316" i="16" s="1"/>
  <c r="AC170" i="16"/>
  <c r="AC316" i="16" s="1"/>
  <c r="AB170" i="16"/>
  <c r="AB339" i="16" s="1"/>
  <c r="AA170" i="16"/>
  <c r="AA387" i="16" s="1"/>
  <c r="Z170" i="16"/>
  <c r="Z316" i="16" s="1"/>
  <c r="Y170" i="16"/>
  <c r="Y316" i="16" s="1"/>
  <c r="X170" i="16"/>
  <c r="X339" i="16" s="1"/>
  <c r="W170" i="16"/>
  <c r="W387" i="16" s="1"/>
  <c r="V170" i="16"/>
  <c r="V316" i="16" s="1"/>
  <c r="U170" i="16"/>
  <c r="U316" i="16" s="1"/>
  <c r="T170" i="16"/>
  <c r="T339" i="16" s="1"/>
  <c r="S170" i="16"/>
  <c r="S387" i="16" s="1"/>
  <c r="R170" i="16"/>
  <c r="R316" i="16" s="1"/>
  <c r="Q170" i="16"/>
  <c r="Q316" i="16" s="1"/>
  <c r="P170" i="16"/>
  <c r="P339" i="16" s="1"/>
  <c r="O170" i="16"/>
  <c r="O387" i="16" s="1"/>
  <c r="N170" i="16"/>
  <c r="N316" i="16" s="1"/>
  <c r="O148" i="16"/>
  <c r="N148" i="16"/>
  <c r="E148" i="16"/>
  <c r="O147" i="16"/>
  <c r="N147" i="16"/>
  <c r="E147" i="16"/>
  <c r="AK146" i="16"/>
  <c r="AJ146" i="16"/>
  <c r="AI146" i="16"/>
  <c r="AH146" i="16"/>
  <c r="AG146" i="16"/>
  <c r="AF146" i="16"/>
  <c r="AE146" i="16"/>
  <c r="AD146" i="16"/>
  <c r="AC146" i="16"/>
  <c r="AB146" i="16"/>
  <c r="AA146" i="16"/>
  <c r="Z146" i="16"/>
  <c r="Y146" i="16"/>
  <c r="X146" i="16"/>
  <c r="W146" i="16"/>
  <c r="V146" i="16"/>
  <c r="U146" i="16"/>
  <c r="T146" i="16"/>
  <c r="S146" i="16"/>
  <c r="R146" i="16"/>
  <c r="Q146" i="16"/>
  <c r="P146" i="16"/>
  <c r="O146" i="16"/>
  <c r="N146" i="16"/>
  <c r="O145" i="16"/>
  <c r="N145" i="16"/>
  <c r="E145" i="16"/>
  <c r="D138" i="16"/>
  <c r="D133" i="16"/>
  <c r="D132" i="16"/>
  <c r="D129" i="16"/>
  <c r="D128" i="16"/>
  <c r="D127" i="16"/>
  <c r="AL118" i="16"/>
  <c r="D118" i="16"/>
  <c r="E388" i="16" s="1"/>
  <c r="C118" i="16"/>
  <c r="AL117" i="16"/>
  <c r="D117" i="16"/>
  <c r="E364" i="16" s="1"/>
  <c r="C117" i="16"/>
  <c r="D116" i="16"/>
  <c r="C116" i="16"/>
  <c r="D115" i="16"/>
  <c r="E340" i="16" s="1"/>
  <c r="C115" i="16"/>
  <c r="D114" i="16"/>
  <c r="C114" i="16"/>
  <c r="D113" i="16"/>
  <c r="E317" i="16" s="1"/>
  <c r="C113" i="16"/>
  <c r="AL112" i="16"/>
  <c r="D112" i="16"/>
  <c r="E294" i="16" s="1"/>
  <c r="C112" i="16"/>
  <c r="D111" i="16"/>
  <c r="E270" i="16" s="1"/>
  <c r="C111" i="16"/>
  <c r="D110" i="16"/>
  <c r="C110" i="16"/>
  <c r="D109" i="16"/>
  <c r="C109" i="16"/>
  <c r="D108" i="16"/>
  <c r="C108" i="16"/>
  <c r="D107" i="16"/>
  <c r="C107" i="16"/>
  <c r="D106" i="16"/>
  <c r="C106" i="16"/>
  <c r="D105" i="16"/>
  <c r="E220" i="16" s="1"/>
  <c r="C105" i="16"/>
  <c r="D104" i="16"/>
  <c r="E196" i="16" s="1"/>
  <c r="C104" i="16"/>
  <c r="D103" i="16"/>
  <c r="C103" i="16"/>
  <c r="P100" i="16"/>
  <c r="D95" i="16"/>
  <c r="J67" i="16"/>
  <c r="D67" i="16"/>
  <c r="AL66" i="16"/>
  <c r="J59" i="16"/>
  <c r="J54" i="16"/>
  <c r="AK52" i="16"/>
  <c r="AJ52" i="16"/>
  <c r="AI52" i="16"/>
  <c r="AH52" i="16"/>
  <c r="AG52" i="16"/>
  <c r="AF52" i="16"/>
  <c r="AE52" i="16"/>
  <c r="AD52" i="16"/>
  <c r="AC52" i="16"/>
  <c r="AB52" i="16"/>
  <c r="AA52" i="16"/>
  <c r="Z52" i="16"/>
  <c r="Y52" i="16"/>
  <c r="X52" i="16"/>
  <c r="W52" i="16"/>
  <c r="E226" i="56" s="1"/>
  <c r="V52" i="16"/>
  <c r="E225" i="56" s="1"/>
  <c r="U52" i="16"/>
  <c r="E224" i="56" s="1"/>
  <c r="T52" i="16"/>
  <c r="E223" i="56" s="1"/>
  <c r="S52" i="16"/>
  <c r="E222" i="56" s="1"/>
  <c r="R52" i="16"/>
  <c r="E221" i="56" s="1"/>
  <c r="Q52" i="16"/>
  <c r="AL52" i="16" s="1"/>
  <c r="P52" i="16"/>
  <c r="O52" i="16"/>
  <c r="N52" i="16"/>
  <c r="L52" i="16"/>
  <c r="D48" i="16"/>
  <c r="AB138" i="56" s="1"/>
  <c r="D47" i="16"/>
  <c r="AB137" i="56" s="1"/>
  <c r="D46" i="16"/>
  <c r="AL45" i="16"/>
  <c r="P45" i="16"/>
  <c r="O45" i="16"/>
  <c r="N45" i="16"/>
  <c r="L45" i="16"/>
  <c r="I45" i="16"/>
  <c r="K45" i="16" s="1"/>
  <c r="D45" i="16"/>
  <c r="AL44" i="16"/>
  <c r="P44" i="16"/>
  <c r="O44" i="16"/>
  <c r="N44" i="16"/>
  <c r="L44" i="16"/>
  <c r="I44" i="16"/>
  <c r="K44" i="16" s="1"/>
  <c r="D44" i="16"/>
  <c r="D43" i="16"/>
  <c r="B142" i="56" s="1"/>
  <c r="AL42" i="16"/>
  <c r="P42" i="16"/>
  <c r="O42" i="16"/>
  <c r="N42" i="16"/>
  <c r="L42" i="16"/>
  <c r="K42" i="16"/>
  <c r="I42" i="16"/>
  <c r="D42" i="16"/>
  <c r="D41" i="16"/>
  <c r="AL40" i="16"/>
  <c r="I40" i="16" s="1"/>
  <c r="K40" i="16" s="1"/>
  <c r="P40" i="16"/>
  <c r="O40" i="16"/>
  <c r="N40" i="16"/>
  <c r="L40" i="16"/>
  <c r="D40" i="16"/>
  <c r="AL39" i="16"/>
  <c r="I39" i="16" s="1"/>
  <c r="K39" i="16" s="1"/>
  <c r="P39" i="16"/>
  <c r="O39" i="16"/>
  <c r="N39" i="16"/>
  <c r="L39" i="16"/>
  <c r="D39" i="16"/>
  <c r="AL38" i="16"/>
  <c r="I38" i="16" s="1"/>
  <c r="K38" i="16" s="1"/>
  <c r="P38" i="16"/>
  <c r="O38" i="16"/>
  <c r="N38" i="16"/>
  <c r="L38" i="16"/>
  <c r="D38" i="16"/>
  <c r="L37" i="16"/>
  <c r="D37" i="16"/>
  <c r="C37" i="16"/>
  <c r="D36" i="16"/>
  <c r="B141" i="56" s="1"/>
  <c r="D35" i="16"/>
  <c r="L34" i="16"/>
  <c r="D34" i="16"/>
  <c r="D33" i="16"/>
  <c r="B140" i="56" s="1"/>
  <c r="D32" i="16"/>
  <c r="B139" i="56" s="1"/>
  <c r="D31" i="16"/>
  <c r="B138" i="56" s="1"/>
  <c r="AK27" i="16"/>
  <c r="AJ27" i="16"/>
  <c r="AI27" i="16"/>
  <c r="AH27" i="16"/>
  <c r="AG27" i="16"/>
  <c r="AF27" i="16"/>
  <c r="AE27" i="16"/>
  <c r="AD27" i="16"/>
  <c r="AC27" i="16"/>
  <c r="AB27" i="16"/>
  <c r="AA27" i="16"/>
  <c r="Z27" i="16"/>
  <c r="Y27" i="16"/>
  <c r="X27" i="16"/>
  <c r="W27" i="16"/>
  <c r="V27" i="16"/>
  <c r="U27" i="16"/>
  <c r="T27" i="16"/>
  <c r="S27" i="16"/>
  <c r="R27" i="16"/>
  <c r="Q27" i="16"/>
  <c r="AL27" i="16" s="1"/>
  <c r="I27" i="16" s="1"/>
  <c r="K27" i="16" s="1"/>
  <c r="P27" i="16"/>
  <c r="N27" i="16"/>
  <c r="L27" i="16"/>
  <c r="D27" i="16"/>
  <c r="D25" i="16"/>
  <c r="D23" i="16"/>
  <c r="AO21" i="16"/>
  <c r="AB4" i="56" s="1"/>
  <c r="BM19" i="16"/>
  <c r="AZ2" i="56" s="1"/>
  <c r="BL19" i="16"/>
  <c r="AY2" i="56" s="1"/>
  <c r="BK19" i="16"/>
  <c r="AX2" i="56" s="1"/>
  <c r="BJ19" i="16"/>
  <c r="AW2" i="56" s="1"/>
  <c r="BI19" i="16"/>
  <c r="AV2" i="56" s="1"/>
  <c r="BH19" i="16"/>
  <c r="AU2" i="56" s="1"/>
  <c r="BG19" i="16"/>
  <c r="AT2" i="56" s="1"/>
  <c r="BF19" i="16"/>
  <c r="AS2" i="56" s="1"/>
  <c r="BE19" i="16"/>
  <c r="AR2" i="56" s="1"/>
  <c r="BD19" i="16"/>
  <c r="AQ2" i="56" s="1"/>
  <c r="BC19" i="16"/>
  <c r="AP2" i="56" s="1"/>
  <c r="BB19" i="16"/>
  <c r="AO2" i="56" s="1"/>
  <c r="BA19" i="16"/>
  <c r="AN2" i="56" s="1"/>
  <c r="AZ19" i="16"/>
  <c r="AM2" i="56" s="1"/>
  <c r="AY19" i="16"/>
  <c r="AL2" i="56" s="1"/>
  <c r="AX19" i="16"/>
  <c r="AK2" i="56" s="1"/>
  <c r="AW19" i="16"/>
  <c r="AJ2" i="56" s="1"/>
  <c r="AV19" i="16"/>
  <c r="AI2" i="56" s="1"/>
  <c r="AU19" i="16"/>
  <c r="AH2" i="56" s="1"/>
  <c r="AT19" i="16"/>
  <c r="AG2" i="56" s="1"/>
  <c r="AS19" i="16"/>
  <c r="AF2" i="56" s="1"/>
  <c r="AR19" i="16"/>
  <c r="AE2" i="56" s="1"/>
  <c r="AQ19" i="16"/>
  <c r="AD2" i="56" s="1"/>
  <c r="AP19" i="16"/>
  <c r="AC2" i="56" s="1"/>
  <c r="D19" i="16"/>
  <c r="E11" i="16"/>
  <c r="E10" i="16"/>
  <c r="Q71" i="16" s="1"/>
  <c r="E4" i="16"/>
  <c r="D2" i="16"/>
  <c r="E173" i="5"/>
  <c r="AK170" i="5"/>
  <c r="AK387" i="5" s="1"/>
  <c r="AJ170" i="5"/>
  <c r="AJ387" i="5" s="1"/>
  <c r="AI170" i="5"/>
  <c r="AI387" i="5" s="1"/>
  <c r="AH170" i="5"/>
  <c r="AH387" i="5" s="1"/>
  <c r="AG170" i="5"/>
  <c r="AG387" i="5" s="1"/>
  <c r="AF170" i="5"/>
  <c r="AF387" i="5" s="1"/>
  <c r="AE170" i="5"/>
  <c r="AE387" i="5" s="1"/>
  <c r="AD170" i="5"/>
  <c r="AD387" i="5" s="1"/>
  <c r="AC170" i="5"/>
  <c r="AC387" i="5" s="1"/>
  <c r="AB170" i="5"/>
  <c r="AB387" i="5" s="1"/>
  <c r="AA170" i="5"/>
  <c r="AA387" i="5" s="1"/>
  <c r="Z170" i="5"/>
  <c r="Z387" i="5" s="1"/>
  <c r="Y170" i="5"/>
  <c r="Y387" i="5" s="1"/>
  <c r="X170" i="5"/>
  <c r="X387" i="5" s="1"/>
  <c r="W170" i="5"/>
  <c r="W387" i="5" s="1"/>
  <c r="V170" i="5"/>
  <c r="V387" i="5" s="1"/>
  <c r="U170" i="5"/>
  <c r="U387" i="5" s="1"/>
  <c r="T170" i="5"/>
  <c r="T387" i="5" s="1"/>
  <c r="S170" i="5"/>
  <c r="S387" i="5" s="1"/>
  <c r="R170" i="5"/>
  <c r="R387" i="5" s="1"/>
  <c r="Q170" i="5"/>
  <c r="Q387" i="5" s="1"/>
  <c r="P170" i="5"/>
  <c r="P387" i="5" s="1"/>
  <c r="O170" i="5"/>
  <c r="O387" i="5" s="1"/>
  <c r="N170" i="5"/>
  <c r="N387" i="5" s="1"/>
  <c r="P148" i="5"/>
  <c r="O148" i="5"/>
  <c r="N148" i="5"/>
  <c r="E148" i="5"/>
  <c r="P147" i="5"/>
  <c r="O147" i="5"/>
  <c r="N147" i="5"/>
  <c r="E147" i="5"/>
  <c r="AK146" i="5"/>
  <c r="AJ146" i="5"/>
  <c r="AI146" i="5"/>
  <c r="AH146" i="5"/>
  <c r="AG146" i="5"/>
  <c r="AF146" i="5"/>
  <c r="AE146" i="5"/>
  <c r="AD146" i="5"/>
  <c r="AC146" i="5"/>
  <c r="AB146" i="5"/>
  <c r="AA146" i="5"/>
  <c r="Z146" i="5"/>
  <c r="Y146" i="5"/>
  <c r="X146" i="5"/>
  <c r="W146" i="5"/>
  <c r="V146" i="5"/>
  <c r="U146" i="5"/>
  <c r="T146" i="5"/>
  <c r="S146" i="5"/>
  <c r="R146" i="5"/>
  <c r="Q146" i="5"/>
  <c r="P146" i="5"/>
  <c r="O146" i="5"/>
  <c r="N146" i="5"/>
  <c r="D138" i="5"/>
  <c r="D133" i="5"/>
  <c r="D132" i="5"/>
  <c r="D129" i="5"/>
  <c r="D128" i="5"/>
  <c r="D127" i="5"/>
  <c r="AL118" i="5"/>
  <c r="O118" i="5"/>
  <c r="O388" i="5" s="1"/>
  <c r="N118" i="5"/>
  <c r="N388" i="5" s="1"/>
  <c r="D118" i="5"/>
  <c r="E388" i="5" s="1"/>
  <c r="C118" i="5"/>
  <c r="AL117" i="5"/>
  <c r="O117" i="5"/>
  <c r="O364" i="5" s="1"/>
  <c r="N117" i="5"/>
  <c r="N364" i="5" s="1"/>
  <c r="D117" i="5"/>
  <c r="E364" i="5" s="1"/>
  <c r="C117" i="5"/>
  <c r="P116" i="5"/>
  <c r="O116" i="5"/>
  <c r="N116" i="5"/>
  <c r="D116" i="5"/>
  <c r="C116" i="5"/>
  <c r="P115" i="5"/>
  <c r="P340" i="5" s="1"/>
  <c r="O115" i="5"/>
  <c r="O340" i="5" s="1"/>
  <c r="N115" i="5"/>
  <c r="N340" i="5" s="1"/>
  <c r="D115" i="5"/>
  <c r="E340" i="5" s="1"/>
  <c r="C115" i="5"/>
  <c r="D114" i="5"/>
  <c r="C114" i="5"/>
  <c r="O113" i="5"/>
  <c r="O317" i="5" s="1"/>
  <c r="N113" i="5"/>
  <c r="N317" i="5" s="1"/>
  <c r="D113" i="5"/>
  <c r="E317" i="5" s="1"/>
  <c r="C113" i="5"/>
  <c r="AL112" i="5"/>
  <c r="O112" i="5"/>
  <c r="O294" i="5" s="1"/>
  <c r="D112" i="5"/>
  <c r="E294" i="5" s="1"/>
  <c r="C112" i="5"/>
  <c r="D111" i="5"/>
  <c r="E270" i="5" s="1"/>
  <c r="C111" i="5"/>
  <c r="D110" i="5"/>
  <c r="E244" i="5" s="1"/>
  <c r="C110" i="5"/>
  <c r="P109" i="5"/>
  <c r="O109" i="5"/>
  <c r="N109" i="5"/>
  <c r="D109" i="5"/>
  <c r="C109" i="5"/>
  <c r="O108" i="5"/>
  <c r="N108" i="5"/>
  <c r="D108" i="5"/>
  <c r="C108" i="5"/>
  <c r="D107" i="5"/>
  <c r="C107" i="5"/>
  <c r="D106" i="5"/>
  <c r="C106" i="5"/>
  <c r="N105" i="5"/>
  <c r="N220" i="5" s="1"/>
  <c r="D105" i="5"/>
  <c r="E220" i="5" s="1"/>
  <c r="C105" i="5"/>
  <c r="P104" i="5"/>
  <c r="P196" i="5" s="1"/>
  <c r="N104" i="5"/>
  <c r="N196" i="5" s="1"/>
  <c r="D104" i="5"/>
  <c r="E196" i="5" s="1"/>
  <c r="C104" i="5"/>
  <c r="D103" i="5"/>
  <c r="C103" i="5"/>
  <c r="P72" i="5"/>
  <c r="O72" i="5"/>
  <c r="N72" i="5"/>
  <c r="P71" i="5"/>
  <c r="Q71" i="5" s="1"/>
  <c r="O71" i="5"/>
  <c r="N71" i="5"/>
  <c r="P67" i="5"/>
  <c r="O67" i="5"/>
  <c r="O53" i="5" s="1"/>
  <c r="N67" i="5"/>
  <c r="D67" i="5"/>
  <c r="P53" i="5"/>
  <c r="N53" i="5"/>
  <c r="AK52" i="5"/>
  <c r="AJ52" i="5"/>
  <c r="AI52" i="5"/>
  <c r="AH52" i="5"/>
  <c r="AG52" i="5"/>
  <c r="AF52" i="5"/>
  <c r="AE52" i="5"/>
  <c r="AD52" i="5"/>
  <c r="AC52" i="5"/>
  <c r="AB52" i="5"/>
  <c r="AA52" i="5"/>
  <c r="Z52" i="5"/>
  <c r="Y52" i="5"/>
  <c r="X52" i="5"/>
  <c r="W52" i="5"/>
  <c r="V52" i="5"/>
  <c r="U52" i="5"/>
  <c r="T52" i="5"/>
  <c r="S52" i="5"/>
  <c r="R52" i="5"/>
  <c r="Q52" i="5"/>
  <c r="AL52" i="5" s="1"/>
  <c r="I52" i="5" s="1"/>
  <c r="K52" i="5" s="1"/>
  <c r="P52" i="5"/>
  <c r="O52" i="5"/>
  <c r="N52" i="5"/>
  <c r="L52" i="5"/>
  <c r="D48" i="5"/>
  <c r="AB143" i="56" s="1"/>
  <c r="D47" i="5"/>
  <c r="AB142" i="56" s="1"/>
  <c r="AX46" i="5"/>
  <c r="AL46" i="5"/>
  <c r="I46" i="5" s="1"/>
  <c r="K46" i="5" s="1"/>
  <c r="P46" i="5"/>
  <c r="O46" i="5"/>
  <c r="N46" i="5"/>
  <c r="L46" i="5"/>
  <c r="D46" i="5"/>
  <c r="AX45" i="5"/>
  <c r="AL45" i="5"/>
  <c r="P45" i="5"/>
  <c r="O45" i="5"/>
  <c r="N45" i="5"/>
  <c r="L45" i="5"/>
  <c r="I45" i="5"/>
  <c r="K45" i="5" s="1"/>
  <c r="D45" i="5"/>
  <c r="AX44" i="5"/>
  <c r="AL44" i="5"/>
  <c r="I44" i="5" s="1"/>
  <c r="K44" i="5" s="1"/>
  <c r="P44" i="5"/>
  <c r="O44" i="5"/>
  <c r="N44" i="5"/>
  <c r="L44" i="5"/>
  <c r="D44" i="5"/>
  <c r="P43" i="5"/>
  <c r="O43" i="5"/>
  <c r="N43" i="5"/>
  <c r="D43" i="5"/>
  <c r="AX42" i="5"/>
  <c r="AL42" i="5"/>
  <c r="I42" i="5" s="1"/>
  <c r="K42" i="5" s="1"/>
  <c r="P42" i="5"/>
  <c r="O42" i="5"/>
  <c r="N42" i="5"/>
  <c r="L42" i="5"/>
  <c r="D42" i="5"/>
  <c r="N41" i="5"/>
  <c r="D41" i="5"/>
  <c r="AX40" i="5"/>
  <c r="AL40" i="5"/>
  <c r="P40" i="5"/>
  <c r="O40" i="5"/>
  <c r="N40" i="5"/>
  <c r="L40" i="5"/>
  <c r="I40" i="5"/>
  <c r="K40" i="5" s="1"/>
  <c r="D40" i="5"/>
  <c r="AX39" i="5"/>
  <c r="AL39" i="5"/>
  <c r="I39" i="5" s="1"/>
  <c r="K39" i="5" s="1"/>
  <c r="P39" i="5"/>
  <c r="O39" i="5"/>
  <c r="N39" i="5"/>
  <c r="L39" i="5"/>
  <c r="D39" i="5"/>
  <c r="AX38" i="5"/>
  <c r="AL38" i="5"/>
  <c r="P38" i="5"/>
  <c r="O38" i="5"/>
  <c r="N38" i="5"/>
  <c r="L38" i="5"/>
  <c r="I38" i="5"/>
  <c r="K38" i="5" s="1"/>
  <c r="D38" i="5"/>
  <c r="P37" i="5"/>
  <c r="O37" i="5"/>
  <c r="N37" i="5"/>
  <c r="L37" i="5"/>
  <c r="D37" i="5"/>
  <c r="C37" i="5"/>
  <c r="P36" i="5"/>
  <c r="O36" i="5"/>
  <c r="N36" i="5"/>
  <c r="D36" i="5"/>
  <c r="P35" i="5"/>
  <c r="O35" i="5"/>
  <c r="N35" i="5"/>
  <c r="D35" i="5"/>
  <c r="P34" i="5"/>
  <c r="O34" i="5"/>
  <c r="N34" i="5"/>
  <c r="L34" i="5"/>
  <c r="D34" i="5"/>
  <c r="P33" i="5"/>
  <c r="O33" i="5"/>
  <c r="N33" i="5"/>
  <c r="N47" i="5" s="1"/>
  <c r="D33" i="5"/>
  <c r="P32" i="5"/>
  <c r="O32" i="5"/>
  <c r="N32" i="5"/>
  <c r="D32" i="5"/>
  <c r="P31" i="5"/>
  <c r="O31" i="5"/>
  <c r="N31" i="5"/>
  <c r="D31" i="5"/>
  <c r="AL27" i="5"/>
  <c r="P27" i="5"/>
  <c r="N27" i="5"/>
  <c r="L27" i="5"/>
  <c r="I27" i="5"/>
  <c r="K27" i="5" s="1"/>
  <c r="D27" i="5"/>
  <c r="P25" i="5"/>
  <c r="P28" i="5" s="1"/>
  <c r="O25" i="5"/>
  <c r="N25" i="5"/>
  <c r="N28" i="5" s="1"/>
  <c r="D25" i="5"/>
  <c r="O24" i="5"/>
  <c r="O63" i="5" s="1"/>
  <c r="P23" i="5"/>
  <c r="P24" i="5" s="1"/>
  <c r="P63" i="5" s="1"/>
  <c r="O23" i="5"/>
  <c r="N23" i="5"/>
  <c r="N24" i="5" s="1"/>
  <c r="N63" i="5" s="1"/>
  <c r="D23" i="5"/>
  <c r="P21" i="5"/>
  <c r="O21" i="5"/>
  <c r="N21" i="5"/>
  <c r="N20" i="5"/>
  <c r="N62" i="5" s="1"/>
  <c r="P19" i="5"/>
  <c r="P20" i="5" s="1"/>
  <c r="O19" i="5"/>
  <c r="O20" i="5" s="1"/>
  <c r="N19" i="5"/>
  <c r="D19" i="5"/>
  <c r="P12" i="5"/>
  <c r="Q148" i="5" s="1"/>
  <c r="E10" i="5"/>
  <c r="N129" i="5" s="1"/>
  <c r="P6" i="5"/>
  <c r="O6" i="5"/>
  <c r="N6" i="5"/>
  <c r="E4" i="5"/>
  <c r="D2" i="5"/>
  <c r="AI56" i="6"/>
  <c r="AH56" i="6"/>
  <c r="AG56" i="6"/>
  <c r="AF56" i="6"/>
  <c r="AE56" i="6"/>
  <c r="AD56" i="6"/>
  <c r="AC56" i="6"/>
  <c r="AB56" i="6"/>
  <c r="AA56" i="6"/>
  <c r="Z56" i="6"/>
  <c r="Y56" i="6"/>
  <c r="X56" i="6"/>
  <c r="W56" i="6"/>
  <c r="V56" i="6"/>
  <c r="U56" i="6"/>
  <c r="T56" i="6"/>
  <c r="S56" i="6"/>
  <c r="R56" i="6"/>
  <c r="Q56" i="6"/>
  <c r="P56" i="6"/>
  <c r="O56" i="6"/>
  <c r="AI55" i="6"/>
  <c r="AH55" i="6"/>
  <c r="AG55" i="6"/>
  <c r="AF55" i="6"/>
  <c r="AE55" i="6"/>
  <c r="AD55" i="6"/>
  <c r="AC55" i="6"/>
  <c r="AB55" i="6"/>
  <c r="AA55" i="6"/>
  <c r="Z55" i="6"/>
  <c r="Y55" i="6"/>
  <c r="X55" i="6"/>
  <c r="W55" i="6"/>
  <c r="V55" i="6"/>
  <c r="U55" i="6"/>
  <c r="T55" i="6"/>
  <c r="S55" i="6"/>
  <c r="R55" i="6"/>
  <c r="Q55" i="6"/>
  <c r="P55" i="6"/>
  <c r="O55" i="6"/>
  <c r="AI54" i="6"/>
  <c r="AH54" i="6"/>
  <c r="AG54" i="6"/>
  <c r="AF54" i="6"/>
  <c r="AE54" i="6"/>
  <c r="AD54" i="6"/>
  <c r="AC54" i="6"/>
  <c r="AB54" i="6"/>
  <c r="AA54" i="6"/>
  <c r="Z54" i="6"/>
  <c r="Y54" i="6"/>
  <c r="X54" i="6"/>
  <c r="W54" i="6"/>
  <c r="V54" i="6"/>
  <c r="U54" i="6"/>
  <c r="T54" i="6"/>
  <c r="S54" i="6"/>
  <c r="R54" i="6"/>
  <c r="Q54" i="6"/>
  <c r="P54" i="6"/>
  <c r="O54" i="6"/>
  <c r="AI53" i="6"/>
  <c r="AH53" i="6"/>
  <c r="AG53" i="6"/>
  <c r="AF53" i="6"/>
  <c r="AE53" i="6"/>
  <c r="AD53" i="6"/>
  <c r="AC53" i="6"/>
  <c r="AB53" i="6"/>
  <c r="AA53" i="6"/>
  <c r="Z53" i="6"/>
  <c r="Y53" i="6"/>
  <c r="X53" i="6"/>
  <c r="W53" i="6"/>
  <c r="V53" i="6"/>
  <c r="U53" i="6"/>
  <c r="T53" i="6"/>
  <c r="S53" i="6"/>
  <c r="R53" i="6"/>
  <c r="Q53" i="6"/>
  <c r="P53" i="6"/>
  <c r="O53" i="6"/>
  <c r="D52" i="6"/>
  <c r="M42" i="6"/>
  <c r="L42" i="6"/>
  <c r="D42" i="6"/>
  <c r="E34" i="6"/>
  <c r="M33" i="6"/>
  <c r="L33" i="6"/>
  <c r="D33" i="6"/>
  <c r="E17" i="6"/>
  <c r="D17" i="6"/>
  <c r="D38" i="6" s="1"/>
  <c r="C17" i="6"/>
  <c r="C38" i="6" s="1"/>
  <c r="AL16" i="6"/>
  <c r="E16" i="6"/>
  <c r="E56" i="6" s="1"/>
  <c r="D16" i="6"/>
  <c r="D56" i="6" s="1"/>
  <c r="C16" i="6"/>
  <c r="C46" i="6" s="1"/>
  <c r="AL15" i="6"/>
  <c r="E15" i="6"/>
  <c r="E55" i="6" s="1"/>
  <c r="D15" i="6"/>
  <c r="D36" i="6" s="1"/>
  <c r="C15" i="6"/>
  <c r="C36" i="6" s="1"/>
  <c r="AL14" i="6"/>
  <c r="E14" i="6"/>
  <c r="E54" i="6" s="1"/>
  <c r="D14" i="6"/>
  <c r="D54" i="6" s="1"/>
  <c r="C14" i="6"/>
  <c r="C44" i="6" s="1"/>
  <c r="AL13" i="6"/>
  <c r="E13" i="6"/>
  <c r="E53" i="6" s="1"/>
  <c r="D13" i="6"/>
  <c r="D34" i="6" s="1"/>
  <c r="C13" i="6"/>
  <c r="C34" i="6" s="1"/>
  <c r="E12" i="6"/>
  <c r="D11" i="6"/>
  <c r="C2" i="6"/>
  <c r="C138" i="24"/>
  <c r="AA137" i="24"/>
  <c r="Z137" i="24"/>
  <c r="Y137" i="24"/>
  <c r="X137" i="24"/>
  <c r="W137" i="24"/>
  <c r="V137" i="24"/>
  <c r="U137" i="24"/>
  <c r="T137" i="24"/>
  <c r="S137" i="24"/>
  <c r="R137" i="24"/>
  <c r="Q137" i="24"/>
  <c r="P137" i="24"/>
  <c r="O137" i="24"/>
  <c r="N137" i="24"/>
  <c r="M137" i="24"/>
  <c r="L137" i="24"/>
  <c r="K137" i="24"/>
  <c r="J137" i="24"/>
  <c r="I137" i="24"/>
  <c r="H137" i="24"/>
  <c r="G137" i="24"/>
  <c r="F137" i="24"/>
  <c r="E137" i="24"/>
  <c r="D137" i="24"/>
  <c r="C137" i="24"/>
  <c r="AA136" i="24"/>
  <c r="Z136" i="24"/>
  <c r="Y136" i="24"/>
  <c r="X136" i="24"/>
  <c r="W136" i="24"/>
  <c r="V136" i="24"/>
  <c r="U136" i="24"/>
  <c r="T136" i="24"/>
  <c r="S136" i="24"/>
  <c r="R136" i="24"/>
  <c r="Q136" i="24"/>
  <c r="P136" i="24"/>
  <c r="O136" i="24"/>
  <c r="N136" i="24"/>
  <c r="M136" i="24"/>
  <c r="L136" i="24"/>
  <c r="K136" i="24"/>
  <c r="J136" i="24"/>
  <c r="I136" i="24"/>
  <c r="H136" i="24"/>
  <c r="G136" i="24"/>
  <c r="F136" i="24"/>
  <c r="E136" i="24"/>
  <c r="D136" i="24"/>
  <c r="AA135" i="24"/>
  <c r="Z135" i="24"/>
  <c r="Y135" i="24"/>
  <c r="X135" i="24"/>
  <c r="W135" i="24"/>
  <c r="V135" i="24"/>
  <c r="U135" i="24"/>
  <c r="T135" i="24"/>
  <c r="S135" i="24"/>
  <c r="R135" i="24"/>
  <c r="Q135" i="24"/>
  <c r="P135" i="24"/>
  <c r="O135" i="24"/>
  <c r="N135" i="24"/>
  <c r="M135" i="24"/>
  <c r="L135" i="24"/>
  <c r="K135" i="24"/>
  <c r="J135" i="24"/>
  <c r="I135" i="24"/>
  <c r="H135" i="24"/>
  <c r="G135" i="24"/>
  <c r="F135" i="24"/>
  <c r="E135" i="24"/>
  <c r="D135" i="24"/>
  <c r="AA134" i="24"/>
  <c r="Z134" i="24"/>
  <c r="Y134" i="24"/>
  <c r="X134" i="24"/>
  <c r="W134" i="24"/>
  <c r="V134" i="24"/>
  <c r="U134" i="24"/>
  <c r="T134" i="24"/>
  <c r="S134" i="24"/>
  <c r="R134" i="24"/>
  <c r="Q134" i="24"/>
  <c r="P134" i="24"/>
  <c r="O134" i="24"/>
  <c r="N134" i="24"/>
  <c r="M134" i="24"/>
  <c r="L134" i="24"/>
  <c r="K134" i="24"/>
  <c r="J134" i="24"/>
  <c r="I134" i="24"/>
  <c r="H134" i="24"/>
  <c r="G134" i="24"/>
  <c r="F134" i="24"/>
  <c r="E134" i="24"/>
  <c r="D134" i="24"/>
  <c r="C134" i="24"/>
  <c r="O133" i="24"/>
  <c r="N133" i="24"/>
  <c r="M133" i="24"/>
  <c r="L133" i="24"/>
  <c r="K133" i="24"/>
  <c r="J133" i="24"/>
  <c r="I133" i="24"/>
  <c r="H133" i="24"/>
  <c r="G133" i="24"/>
  <c r="F133" i="24"/>
  <c r="E133" i="24"/>
  <c r="D133" i="24"/>
  <c r="C133" i="24"/>
  <c r="N10" i="24"/>
  <c r="C10" i="24"/>
  <c r="I9" i="24"/>
  <c r="H9" i="24"/>
  <c r="G9" i="24"/>
  <c r="F9" i="24"/>
  <c r="E9" i="24"/>
  <c r="C9" i="24"/>
  <c r="I8" i="24"/>
  <c r="H8" i="24"/>
  <c r="G8" i="24"/>
  <c r="F8" i="24"/>
  <c r="E8" i="24"/>
  <c r="C8" i="24"/>
  <c r="I7" i="24"/>
  <c r="H7" i="24"/>
  <c r="G7" i="24"/>
  <c r="F7" i="24"/>
  <c r="E7" i="24"/>
  <c r="C7" i="24"/>
  <c r="N6" i="24"/>
  <c r="M6" i="24"/>
  <c r="L6" i="24"/>
  <c r="O6" i="24" s="1"/>
  <c r="J6" i="24"/>
  <c r="I6" i="24"/>
  <c r="H6" i="24"/>
  <c r="G6" i="24"/>
  <c r="F6" i="24"/>
  <c r="E6" i="24"/>
  <c r="D6" i="24"/>
  <c r="C6" i="24"/>
  <c r="C5" i="24"/>
  <c r="C4" i="24"/>
  <c r="O3" i="24"/>
  <c r="N3" i="24"/>
  <c r="M3" i="24"/>
  <c r="I3" i="24"/>
  <c r="H3" i="24"/>
  <c r="G3" i="24"/>
  <c r="F3" i="24"/>
  <c r="E3" i="24"/>
  <c r="C1" i="24"/>
  <c r="B138" i="47"/>
  <c r="B137" i="47"/>
  <c r="B136" i="47"/>
  <c r="B135" i="47"/>
  <c r="B134" i="47"/>
  <c r="B133" i="47"/>
  <c r="D127" i="47"/>
  <c r="B127" i="47"/>
  <c r="B126" i="47"/>
  <c r="D126" i="47" s="1"/>
  <c r="D125" i="47"/>
  <c r="B125" i="47"/>
  <c r="B124" i="47"/>
  <c r="D124" i="47" s="1"/>
  <c r="D128" i="47" s="1"/>
  <c r="D123" i="47"/>
  <c r="B123" i="47"/>
  <c r="B122" i="47"/>
  <c r="D122" i="47" s="1"/>
  <c r="E21" i="47"/>
  <c r="C21" i="47"/>
  <c r="B21" i="47"/>
  <c r="E20" i="47"/>
  <c r="C20" i="47"/>
  <c r="B20" i="47"/>
  <c r="E19" i="47"/>
  <c r="C19" i="47"/>
  <c r="B19" i="47"/>
  <c r="E18" i="47"/>
  <c r="B18" i="47"/>
  <c r="E17" i="47"/>
  <c r="C17" i="47"/>
  <c r="B17" i="47"/>
  <c r="D7" i="47"/>
  <c r="B138" i="46"/>
  <c r="B137" i="46"/>
  <c r="B136" i="46"/>
  <c r="B135" i="46"/>
  <c r="B134" i="46"/>
  <c r="B133" i="46"/>
  <c r="B127" i="46"/>
  <c r="D127" i="46" s="1"/>
  <c r="D126" i="46"/>
  <c r="B126" i="46"/>
  <c r="B125" i="46"/>
  <c r="D125" i="46" s="1"/>
  <c r="D124" i="46"/>
  <c r="B124" i="46"/>
  <c r="B123" i="46"/>
  <c r="D123" i="46" s="1"/>
  <c r="D122" i="46"/>
  <c r="B122" i="46"/>
  <c r="E21" i="46"/>
  <c r="C21" i="46"/>
  <c r="B21" i="46"/>
  <c r="E20" i="46"/>
  <c r="C20" i="46"/>
  <c r="B20" i="46"/>
  <c r="E19" i="46"/>
  <c r="C19" i="46"/>
  <c r="B19" i="46"/>
  <c r="E18" i="46"/>
  <c r="B18" i="46"/>
  <c r="E17" i="46"/>
  <c r="C17" i="46"/>
  <c r="B17" i="46"/>
  <c r="D7" i="46"/>
  <c r="B138" i="45"/>
  <c r="B137" i="45"/>
  <c r="B136" i="45"/>
  <c r="B135" i="45"/>
  <c r="B134" i="45"/>
  <c r="B133" i="45"/>
  <c r="B127" i="45"/>
  <c r="D127" i="45" s="1"/>
  <c r="D126" i="45"/>
  <c r="B126" i="45"/>
  <c r="B125" i="45"/>
  <c r="D125" i="45" s="1"/>
  <c r="D124" i="45"/>
  <c r="B124" i="45"/>
  <c r="B123" i="45"/>
  <c r="D123" i="45" s="1"/>
  <c r="D128" i="45" s="1"/>
  <c r="D122" i="45"/>
  <c r="B122" i="45"/>
  <c r="E21" i="45"/>
  <c r="C21" i="45"/>
  <c r="B21" i="45"/>
  <c r="E20" i="45"/>
  <c r="C20" i="45"/>
  <c r="B20" i="45"/>
  <c r="E19" i="45"/>
  <c r="C19" i="45"/>
  <c r="B19" i="45"/>
  <c r="E18" i="45"/>
  <c r="B18" i="45"/>
  <c r="E17" i="45"/>
  <c r="C17" i="45"/>
  <c r="B17" i="45"/>
  <c r="D7" i="45"/>
  <c r="B138" i="44"/>
  <c r="B137" i="44"/>
  <c r="B136" i="44"/>
  <c r="B135" i="44"/>
  <c r="B134" i="44"/>
  <c r="B133" i="44"/>
  <c r="D127" i="44"/>
  <c r="B127" i="44"/>
  <c r="B126" i="44"/>
  <c r="D126" i="44" s="1"/>
  <c r="D125" i="44"/>
  <c r="B125" i="44"/>
  <c r="B124" i="44"/>
  <c r="D124" i="44" s="1"/>
  <c r="D123" i="44"/>
  <c r="D128" i="44" s="1"/>
  <c r="B123" i="44"/>
  <c r="B122" i="44"/>
  <c r="D122" i="44" s="1"/>
  <c r="E21" i="44"/>
  <c r="C21" i="44"/>
  <c r="B21" i="44"/>
  <c r="E20" i="44"/>
  <c r="C20" i="44"/>
  <c r="B20" i="44"/>
  <c r="E19" i="44"/>
  <c r="C19" i="44"/>
  <c r="B19" i="44"/>
  <c r="E18" i="44"/>
  <c r="B18" i="44"/>
  <c r="E17" i="44"/>
  <c r="C17" i="44"/>
  <c r="B17" i="44"/>
  <c r="D7" i="44"/>
  <c r="B138" i="48"/>
  <c r="B137" i="48"/>
  <c r="B136" i="48"/>
  <c r="B135" i="48"/>
  <c r="B134" i="48"/>
  <c r="B133" i="48"/>
  <c r="D127" i="48"/>
  <c r="B127" i="48"/>
  <c r="B126" i="48"/>
  <c r="D126" i="48" s="1"/>
  <c r="D125" i="48"/>
  <c r="B125" i="48"/>
  <c r="B124" i="48"/>
  <c r="D124" i="48" s="1"/>
  <c r="D123" i="48"/>
  <c r="B123" i="48"/>
  <c r="B122" i="48"/>
  <c r="D122" i="48" s="1"/>
  <c r="M71" i="48"/>
  <c r="J71" i="48"/>
  <c r="G71" i="48"/>
  <c r="M70" i="48"/>
  <c r="J70" i="48"/>
  <c r="G70" i="48"/>
  <c r="M69" i="48"/>
  <c r="J69" i="48"/>
  <c r="G69" i="48"/>
  <c r="O65" i="48"/>
  <c r="N65" i="48"/>
  <c r="M65" i="48"/>
  <c r="L65" i="48"/>
  <c r="K65" i="48"/>
  <c r="J65" i="48"/>
  <c r="I65" i="48"/>
  <c r="H65" i="48"/>
  <c r="G65" i="48"/>
  <c r="O64" i="48"/>
  <c r="N64" i="48"/>
  <c r="M64" i="48"/>
  <c r="L64" i="48"/>
  <c r="K64" i="48"/>
  <c r="J64" i="48"/>
  <c r="I64" i="48"/>
  <c r="H64" i="48"/>
  <c r="G64" i="48"/>
  <c r="O63" i="48"/>
  <c r="N63" i="48"/>
  <c r="M63" i="48"/>
  <c r="L63" i="48"/>
  <c r="K63" i="48"/>
  <c r="J63" i="48"/>
  <c r="I63" i="48"/>
  <c r="H63" i="48"/>
  <c r="G63" i="48"/>
  <c r="O62" i="48"/>
  <c r="N62" i="48"/>
  <c r="M62" i="48"/>
  <c r="L62" i="48"/>
  <c r="K62" i="48"/>
  <c r="J62" i="48"/>
  <c r="I62" i="48"/>
  <c r="H62" i="48"/>
  <c r="G62" i="48"/>
  <c r="O61" i="48"/>
  <c r="N61" i="48"/>
  <c r="M61" i="48"/>
  <c r="L61" i="48"/>
  <c r="K61" i="48"/>
  <c r="J61" i="48"/>
  <c r="I61" i="48"/>
  <c r="H61" i="48"/>
  <c r="G61" i="48"/>
  <c r="O60" i="48"/>
  <c r="N60" i="48"/>
  <c r="M60" i="48"/>
  <c r="L60" i="48"/>
  <c r="K60" i="48"/>
  <c r="J60" i="48"/>
  <c r="I60" i="48"/>
  <c r="H60" i="48"/>
  <c r="G60" i="48"/>
  <c r="O59" i="48"/>
  <c r="N59" i="48"/>
  <c r="M59" i="48"/>
  <c r="L59" i="48"/>
  <c r="K59" i="48"/>
  <c r="J59" i="48"/>
  <c r="I59" i="48"/>
  <c r="H59" i="48"/>
  <c r="G59" i="48"/>
  <c r="O58" i="48"/>
  <c r="N58" i="48"/>
  <c r="M58" i="48"/>
  <c r="L58" i="48"/>
  <c r="K58" i="48"/>
  <c r="J58" i="48"/>
  <c r="I58" i="48"/>
  <c r="H58" i="48"/>
  <c r="G58" i="48"/>
  <c r="O57" i="48"/>
  <c r="N57" i="48"/>
  <c r="M57" i="48"/>
  <c r="L57" i="48"/>
  <c r="K57" i="48"/>
  <c r="J57" i="48"/>
  <c r="I57" i="48"/>
  <c r="H57" i="48"/>
  <c r="G57" i="48"/>
  <c r="O55" i="48"/>
  <c r="N55" i="48"/>
  <c r="M55" i="48"/>
  <c r="L55" i="48"/>
  <c r="K55" i="48"/>
  <c r="J55" i="48"/>
  <c r="I55" i="48"/>
  <c r="H55" i="48"/>
  <c r="G55" i="48"/>
  <c r="O54" i="48"/>
  <c r="N54" i="48"/>
  <c r="M54" i="48"/>
  <c r="L54" i="48"/>
  <c r="K54" i="48"/>
  <c r="J54" i="48"/>
  <c r="I54" i="48"/>
  <c r="H54" i="48"/>
  <c r="G54" i="48"/>
  <c r="O53" i="48"/>
  <c r="N53" i="48"/>
  <c r="M53" i="48"/>
  <c r="L53" i="48"/>
  <c r="K53" i="48"/>
  <c r="J53" i="48"/>
  <c r="I53" i="48"/>
  <c r="H53" i="48"/>
  <c r="G53" i="48"/>
  <c r="O52" i="48"/>
  <c r="N52" i="48"/>
  <c r="M52" i="48"/>
  <c r="L52" i="48"/>
  <c r="K52" i="48"/>
  <c r="J52" i="48"/>
  <c r="I52" i="48"/>
  <c r="H52" i="48"/>
  <c r="G52" i="48"/>
  <c r="O51" i="48"/>
  <c r="N51" i="48"/>
  <c r="M51" i="48"/>
  <c r="L51" i="48"/>
  <c r="K51" i="48"/>
  <c r="J51" i="48"/>
  <c r="I51" i="48"/>
  <c r="H51" i="48"/>
  <c r="G51" i="48"/>
  <c r="O50" i="48"/>
  <c r="N50" i="48"/>
  <c r="M50" i="48"/>
  <c r="L50" i="48"/>
  <c r="K50" i="48"/>
  <c r="J50" i="48"/>
  <c r="I50" i="48"/>
  <c r="H50" i="48"/>
  <c r="G50" i="48"/>
  <c r="O49" i="48"/>
  <c r="N49" i="48"/>
  <c r="M49" i="48"/>
  <c r="L49" i="48"/>
  <c r="K49" i="48"/>
  <c r="J49" i="48"/>
  <c r="I49" i="48"/>
  <c r="H49" i="48"/>
  <c r="G49" i="48"/>
  <c r="O48" i="48"/>
  <c r="N48" i="48"/>
  <c r="M48" i="48"/>
  <c r="L48" i="48"/>
  <c r="K48" i="48"/>
  <c r="J48" i="48"/>
  <c r="I48" i="48"/>
  <c r="H48" i="48"/>
  <c r="G48" i="48"/>
  <c r="O47" i="48"/>
  <c r="N47" i="48"/>
  <c r="M47" i="48"/>
  <c r="L47" i="48"/>
  <c r="K47" i="48"/>
  <c r="J47" i="48"/>
  <c r="I47" i="48"/>
  <c r="H47" i="48"/>
  <c r="G47" i="48"/>
  <c r="N45" i="48"/>
  <c r="M45" i="48"/>
  <c r="K45" i="48"/>
  <c r="J45" i="48"/>
  <c r="H45" i="48"/>
  <c r="G45" i="48"/>
  <c r="N44" i="48"/>
  <c r="M44" i="48"/>
  <c r="K44" i="48"/>
  <c r="J44" i="48"/>
  <c r="H44" i="48"/>
  <c r="G44" i="48"/>
  <c r="N43" i="48"/>
  <c r="M43" i="48"/>
  <c r="K43" i="48"/>
  <c r="J43" i="48"/>
  <c r="H43" i="48"/>
  <c r="G43" i="48"/>
  <c r="N42" i="48"/>
  <c r="M42" i="48"/>
  <c r="K42" i="48"/>
  <c r="J42" i="48"/>
  <c r="H42" i="48"/>
  <c r="G42" i="48"/>
  <c r="N41" i="48"/>
  <c r="M41" i="48"/>
  <c r="K41" i="48"/>
  <c r="J41" i="48"/>
  <c r="H41" i="48"/>
  <c r="G41" i="48"/>
  <c r="N40" i="48"/>
  <c r="M40" i="48"/>
  <c r="K40" i="48"/>
  <c r="J40" i="48"/>
  <c r="H40" i="48"/>
  <c r="G40" i="48"/>
  <c r="N39" i="48"/>
  <c r="M39" i="48"/>
  <c r="K39" i="48"/>
  <c r="J39" i="48"/>
  <c r="H39" i="48"/>
  <c r="G39" i="48"/>
  <c r="N38" i="48"/>
  <c r="M38" i="48"/>
  <c r="K38" i="48"/>
  <c r="J38" i="48"/>
  <c r="H38" i="48"/>
  <c r="G38" i="48"/>
  <c r="N37" i="48"/>
  <c r="M37" i="48"/>
  <c r="K37" i="48"/>
  <c r="J37" i="48"/>
  <c r="H37" i="48"/>
  <c r="G37" i="48"/>
  <c r="N36" i="48"/>
  <c r="M36" i="48"/>
  <c r="K36" i="48"/>
  <c r="J36" i="48"/>
  <c r="H36" i="48"/>
  <c r="G36" i="48"/>
  <c r="N35" i="48"/>
  <c r="M35" i="48"/>
  <c r="K35" i="48"/>
  <c r="J35" i="48"/>
  <c r="H35" i="48"/>
  <c r="G35" i="48"/>
  <c r="N34" i="48"/>
  <c r="M34" i="48"/>
  <c r="K34" i="48"/>
  <c r="J34" i="48"/>
  <c r="H34" i="48"/>
  <c r="G34" i="48"/>
  <c r="N33" i="48"/>
  <c r="M33" i="48"/>
  <c r="K33" i="48"/>
  <c r="J33" i="48"/>
  <c r="H33" i="48"/>
  <c r="G33" i="48"/>
  <c r="N32" i="48"/>
  <c r="M32" i="48"/>
  <c r="K32" i="48"/>
  <c r="J32" i="48"/>
  <c r="H32" i="48"/>
  <c r="G32" i="48"/>
  <c r="N31" i="48"/>
  <c r="M31" i="48"/>
  <c r="K31" i="48"/>
  <c r="J31" i="48"/>
  <c r="H31" i="48"/>
  <c r="G31" i="48"/>
  <c r="N30" i="48"/>
  <c r="M30" i="48"/>
  <c r="K30" i="48"/>
  <c r="J30" i="48"/>
  <c r="H30" i="48"/>
  <c r="G30" i="48"/>
  <c r="N29" i="48"/>
  <c r="M29" i="48"/>
  <c r="K29" i="48"/>
  <c r="J29" i="48"/>
  <c r="H29" i="48"/>
  <c r="G29" i="48"/>
  <c r="N28" i="48"/>
  <c r="M28" i="48"/>
  <c r="K28" i="48"/>
  <c r="J28" i="48"/>
  <c r="H28" i="48"/>
  <c r="G28" i="48"/>
  <c r="N27" i="48"/>
  <c r="M27" i="48"/>
  <c r="K27" i="48"/>
  <c r="J27" i="48"/>
  <c r="H27" i="48"/>
  <c r="G27" i="48"/>
  <c r="E21" i="48"/>
  <c r="C21" i="48"/>
  <c r="B21" i="48"/>
  <c r="E20" i="48"/>
  <c r="C20" i="48"/>
  <c r="B20" i="48"/>
  <c r="E19" i="48"/>
  <c r="C19" i="48"/>
  <c r="B19" i="48"/>
  <c r="E18" i="48"/>
  <c r="B18" i="48"/>
  <c r="E17" i="48"/>
  <c r="C17" i="48"/>
  <c r="B17" i="48"/>
  <c r="D7" i="48"/>
  <c r="F14" i="49"/>
  <c r="D14" i="49"/>
  <c r="B14" i="49"/>
  <c r="F13" i="49"/>
  <c r="D13" i="49"/>
  <c r="B13" i="49"/>
  <c r="F12" i="49"/>
  <c r="D12" i="49"/>
  <c r="B12" i="49"/>
  <c r="F11" i="49"/>
  <c r="B11" i="49"/>
  <c r="F10" i="49"/>
  <c r="D10" i="49"/>
  <c r="B10" i="49"/>
  <c r="F239" i="55"/>
  <c r="E227" i="55"/>
  <c r="E211" i="55"/>
  <c r="E210" i="55"/>
  <c r="E209" i="55"/>
  <c r="E208" i="55"/>
  <c r="E207" i="55"/>
  <c r="E206" i="55"/>
  <c r="E205" i="55"/>
  <c r="E204" i="55"/>
  <c r="H203" i="55"/>
  <c r="G203" i="55"/>
  <c r="F175" i="55"/>
  <c r="F173" i="55"/>
  <c r="F157" i="55"/>
  <c r="E157" i="55"/>
  <c r="AB143" i="55"/>
  <c r="AB142" i="55"/>
  <c r="AB141" i="55"/>
  <c r="AC40" i="55"/>
  <c r="AC39" i="55"/>
  <c r="AC38" i="55"/>
  <c r="B35" i="55"/>
  <c r="B34" i="55"/>
  <c r="B33" i="55"/>
  <c r="B31" i="55"/>
  <c r="C30" i="55"/>
  <c r="B30" i="55"/>
  <c r="B28" i="55"/>
  <c r="B27" i="55"/>
  <c r="B26" i="55"/>
  <c r="B25" i="55"/>
  <c r="H24" i="55"/>
  <c r="E24" i="55"/>
  <c r="C24" i="55"/>
  <c r="AA19" i="55"/>
  <c r="AA18" i="55"/>
  <c r="AA17" i="55"/>
  <c r="AA16" i="55"/>
  <c r="AA15" i="55"/>
  <c r="H15" i="55"/>
  <c r="G15" i="55"/>
  <c r="G24" i="55" s="1"/>
  <c r="F15" i="55"/>
  <c r="F24" i="55" s="1"/>
  <c r="E15" i="55"/>
  <c r="C15" i="55"/>
  <c r="D13" i="55"/>
  <c r="F239" i="54"/>
  <c r="E227" i="54"/>
  <c r="E211" i="54"/>
  <c r="E210" i="54"/>
  <c r="E209" i="54"/>
  <c r="E208" i="54"/>
  <c r="E207" i="54"/>
  <c r="E206" i="54"/>
  <c r="E205" i="54"/>
  <c r="E204" i="54"/>
  <c r="H203" i="54"/>
  <c r="G203" i="54"/>
  <c r="F173" i="54"/>
  <c r="F157" i="54"/>
  <c r="E157" i="54"/>
  <c r="AB143" i="54"/>
  <c r="AB142" i="54"/>
  <c r="AB141" i="54"/>
  <c r="AC40" i="54"/>
  <c r="AC39" i="54"/>
  <c r="AC38" i="54"/>
  <c r="B35" i="54"/>
  <c r="B34" i="54"/>
  <c r="B33" i="54"/>
  <c r="B31" i="54"/>
  <c r="C30" i="54"/>
  <c r="B30" i="54"/>
  <c r="B28" i="54"/>
  <c r="B27" i="54"/>
  <c r="B26" i="54"/>
  <c r="B25" i="54"/>
  <c r="AA19" i="54"/>
  <c r="F175" i="54" s="1"/>
  <c r="AA18" i="54"/>
  <c r="AA17" i="54"/>
  <c r="AA16" i="54"/>
  <c r="AA15" i="54"/>
  <c r="H15" i="54"/>
  <c r="H24" i="54" s="1"/>
  <c r="G15" i="54"/>
  <c r="G24" i="54" s="1"/>
  <c r="F15" i="54"/>
  <c r="F24" i="54" s="1"/>
  <c r="E15" i="54"/>
  <c r="E24" i="54" s="1"/>
  <c r="C15" i="54"/>
  <c r="C24" i="54" s="1"/>
  <c r="D13" i="54"/>
  <c r="F239" i="53"/>
  <c r="E227" i="53"/>
  <c r="E211" i="53"/>
  <c r="E210" i="53"/>
  <c r="E209" i="53"/>
  <c r="E208" i="53"/>
  <c r="E207" i="53"/>
  <c r="E206" i="53"/>
  <c r="E205" i="53"/>
  <c r="E204" i="53"/>
  <c r="H203" i="53"/>
  <c r="G203" i="53"/>
  <c r="F173" i="53"/>
  <c r="F157" i="53"/>
  <c r="E157" i="53"/>
  <c r="AB143" i="53"/>
  <c r="AB142" i="53"/>
  <c r="AB141" i="53"/>
  <c r="AC40" i="53"/>
  <c r="AC39" i="53"/>
  <c r="AC38" i="53"/>
  <c r="B35" i="53"/>
  <c r="B34" i="53"/>
  <c r="B33" i="53"/>
  <c r="B31" i="53"/>
  <c r="C30" i="53"/>
  <c r="B30" i="53"/>
  <c r="B28" i="53"/>
  <c r="B27" i="53"/>
  <c r="B26" i="53"/>
  <c r="B25" i="53"/>
  <c r="AA19" i="53"/>
  <c r="F175" i="53" s="1"/>
  <c r="AA18" i="53"/>
  <c r="AA17" i="53"/>
  <c r="AA16" i="53"/>
  <c r="AA15" i="53"/>
  <c r="H15" i="53"/>
  <c r="H24" i="53" s="1"/>
  <c r="G15" i="53"/>
  <c r="G24" i="53" s="1"/>
  <c r="F15" i="53"/>
  <c r="F24" i="53" s="1"/>
  <c r="E15" i="53"/>
  <c r="E24" i="53" s="1"/>
  <c r="C15" i="53"/>
  <c r="C24" i="53" s="1"/>
  <c r="D13" i="53"/>
  <c r="F239" i="52"/>
  <c r="E227" i="52"/>
  <c r="E211" i="52"/>
  <c r="E210" i="52"/>
  <c r="E209" i="52"/>
  <c r="E208" i="52"/>
  <c r="E207" i="52"/>
  <c r="E206" i="52"/>
  <c r="E205" i="52"/>
  <c r="E204" i="52"/>
  <c r="H203" i="52"/>
  <c r="G203" i="52"/>
  <c r="F173" i="52"/>
  <c r="F157" i="52"/>
  <c r="E157" i="52"/>
  <c r="AB143" i="52"/>
  <c r="AB142" i="52"/>
  <c r="AB141" i="52"/>
  <c r="AC40" i="52"/>
  <c r="AC39" i="52"/>
  <c r="AC38" i="52"/>
  <c r="B35" i="52"/>
  <c r="B34" i="52"/>
  <c r="B33" i="52"/>
  <c r="B31" i="52"/>
  <c r="C30" i="52"/>
  <c r="B30" i="52"/>
  <c r="B28" i="52"/>
  <c r="B27" i="52"/>
  <c r="B26" i="52"/>
  <c r="B25" i="52"/>
  <c r="AA19" i="52"/>
  <c r="F175" i="52" s="1"/>
  <c r="AA18" i="52"/>
  <c r="AA17" i="52"/>
  <c r="AA16" i="52"/>
  <c r="AA15" i="52"/>
  <c r="H15" i="52"/>
  <c r="H24" i="52" s="1"/>
  <c r="G15" i="52"/>
  <c r="G24" i="52" s="1"/>
  <c r="F15" i="52"/>
  <c r="F24" i="52" s="1"/>
  <c r="E15" i="52"/>
  <c r="E24" i="52" s="1"/>
  <c r="C15" i="52"/>
  <c r="C24" i="52" s="1"/>
  <c r="D13" i="52"/>
  <c r="F239" i="51"/>
  <c r="E227" i="51"/>
  <c r="E211" i="51"/>
  <c r="E210" i="51"/>
  <c r="E209" i="51"/>
  <c r="E208" i="51"/>
  <c r="E207" i="51"/>
  <c r="E206" i="51"/>
  <c r="E205" i="51"/>
  <c r="E204" i="51"/>
  <c r="H203" i="51"/>
  <c r="G203" i="51"/>
  <c r="F173" i="51"/>
  <c r="F157" i="51"/>
  <c r="E157" i="51"/>
  <c r="AB143" i="51"/>
  <c r="AC142" i="51"/>
  <c r="AB142" i="51"/>
  <c r="AE141" i="51"/>
  <c r="AC141" i="51"/>
  <c r="AB141" i="51"/>
  <c r="AC40" i="51"/>
  <c r="AC39" i="51"/>
  <c r="AC38" i="51"/>
  <c r="B35" i="51"/>
  <c r="B34" i="51"/>
  <c r="B33" i="51"/>
  <c r="B31" i="51"/>
  <c r="C30" i="51"/>
  <c r="B30" i="51"/>
  <c r="B28" i="51"/>
  <c r="B27" i="51"/>
  <c r="B26" i="51"/>
  <c r="B25" i="51"/>
  <c r="AA19" i="51"/>
  <c r="F175" i="51" s="1"/>
  <c r="AA18" i="51"/>
  <c r="AA17" i="51"/>
  <c r="AA16" i="51"/>
  <c r="AA15" i="51"/>
  <c r="H15" i="51"/>
  <c r="H24" i="51" s="1"/>
  <c r="G15" i="51"/>
  <c r="G24" i="51" s="1"/>
  <c r="F15" i="51"/>
  <c r="F24" i="51" s="1"/>
  <c r="E15" i="51"/>
  <c r="E24" i="51" s="1"/>
  <c r="C15" i="51"/>
  <c r="C24" i="51" s="1"/>
  <c r="D13" i="51"/>
  <c r="E227" i="50"/>
  <c r="E211" i="50"/>
  <c r="E210" i="50"/>
  <c r="E209" i="50"/>
  <c r="E208" i="50"/>
  <c r="E207" i="50"/>
  <c r="E206" i="50"/>
  <c r="E205" i="50"/>
  <c r="E204" i="50"/>
  <c r="H203" i="50"/>
  <c r="G203" i="50"/>
  <c r="E157" i="50"/>
  <c r="AB143" i="50"/>
  <c r="AC142" i="50"/>
  <c r="AB142" i="50"/>
  <c r="AE141" i="50"/>
  <c r="AC141" i="50"/>
  <c r="AB141" i="50"/>
  <c r="AC40" i="50"/>
  <c r="AC39" i="50"/>
  <c r="AC38" i="50"/>
  <c r="B35" i="50"/>
  <c r="B34" i="50"/>
  <c r="B33" i="50"/>
  <c r="B31" i="50"/>
  <c r="B30" i="50"/>
  <c r="B28" i="50"/>
  <c r="B27" i="50"/>
  <c r="B26" i="50"/>
  <c r="B25" i="50"/>
  <c r="AA19" i="50"/>
  <c r="F175" i="50" s="1"/>
  <c r="AA18" i="50"/>
  <c r="AA17" i="50"/>
  <c r="AA16" i="50"/>
  <c r="AA15" i="50"/>
  <c r="H15" i="50"/>
  <c r="H24" i="50" s="1"/>
  <c r="G15" i="50"/>
  <c r="G24" i="50" s="1"/>
  <c r="F15" i="50"/>
  <c r="F24" i="50" s="1"/>
  <c r="E15" i="50"/>
  <c r="E24" i="50" s="1"/>
  <c r="C15" i="50"/>
  <c r="C24" i="50" s="1"/>
  <c r="D13" i="50"/>
  <c r="F239" i="26"/>
  <c r="B237" i="26"/>
  <c r="B236" i="26"/>
  <c r="B235" i="26"/>
  <c r="B234" i="26"/>
  <c r="B233" i="26"/>
  <c r="B232" i="26"/>
  <c r="E228" i="26"/>
  <c r="E226" i="26"/>
  <c r="B226" i="26"/>
  <c r="E225" i="26"/>
  <c r="B225" i="26"/>
  <c r="E224" i="26"/>
  <c r="B224" i="26"/>
  <c r="E223" i="26"/>
  <c r="B223" i="26"/>
  <c r="E222" i="26"/>
  <c r="E227" i="26" s="1"/>
  <c r="B222" i="26"/>
  <c r="E221" i="26"/>
  <c r="B221" i="26"/>
  <c r="E211" i="26"/>
  <c r="E210" i="26"/>
  <c r="E209" i="26"/>
  <c r="E208" i="26"/>
  <c r="E207" i="26"/>
  <c r="E206" i="26"/>
  <c r="E205" i="26"/>
  <c r="E204" i="26"/>
  <c r="H203" i="26"/>
  <c r="G203" i="26"/>
  <c r="B181" i="26"/>
  <c r="B180" i="26"/>
  <c r="B179" i="26"/>
  <c r="B178" i="26"/>
  <c r="B177" i="26"/>
  <c r="B176" i="26"/>
  <c r="F173" i="26"/>
  <c r="B171" i="26"/>
  <c r="B170" i="26"/>
  <c r="B169" i="26"/>
  <c r="B168" i="26"/>
  <c r="B167" i="26"/>
  <c r="B166" i="26"/>
  <c r="C30" i="26"/>
  <c r="E157" i="26"/>
  <c r="AB143" i="26"/>
  <c r="AC142" i="26"/>
  <c r="AB142" i="26"/>
  <c r="B142" i="26"/>
  <c r="AE141" i="26"/>
  <c r="AC141" i="26"/>
  <c r="AB141" i="26"/>
  <c r="B141" i="26"/>
  <c r="B140" i="26"/>
  <c r="B139" i="26"/>
  <c r="AB138" i="26"/>
  <c r="B138" i="26"/>
  <c r="AB137" i="26"/>
  <c r="AB136" i="26"/>
  <c r="AZ135" i="26"/>
  <c r="AY135" i="26"/>
  <c r="AX135" i="26"/>
  <c r="AW135" i="26"/>
  <c r="AV135" i="26"/>
  <c r="AU135" i="26"/>
  <c r="AT135" i="26"/>
  <c r="AS135" i="26"/>
  <c r="AR135" i="26"/>
  <c r="AQ135" i="26"/>
  <c r="AP135" i="26"/>
  <c r="AO135" i="26"/>
  <c r="AN135" i="26"/>
  <c r="AM135" i="26"/>
  <c r="AL135" i="26"/>
  <c r="AK135" i="26"/>
  <c r="AJ135" i="26"/>
  <c r="AI135" i="26"/>
  <c r="AH135" i="26"/>
  <c r="AG135" i="26"/>
  <c r="AF135" i="26"/>
  <c r="AE135" i="26"/>
  <c r="AD135" i="26"/>
  <c r="AC135" i="26"/>
  <c r="AC40" i="26"/>
  <c r="AC39" i="26"/>
  <c r="AC38" i="26"/>
  <c r="B35" i="26"/>
  <c r="B34" i="26"/>
  <c r="B33" i="26"/>
  <c r="B31" i="26"/>
  <c r="B30" i="26"/>
  <c r="B28" i="26"/>
  <c r="B27" i="26"/>
  <c r="B26" i="26"/>
  <c r="B25" i="26"/>
  <c r="AA19" i="26"/>
  <c r="F175" i="26" s="1"/>
  <c r="AA18" i="26"/>
  <c r="H12" i="6" s="1"/>
  <c r="G5" i="24" s="1"/>
  <c r="AA17" i="26"/>
  <c r="G12" i="6" s="1"/>
  <c r="AA16" i="26"/>
  <c r="F17" i="6" s="1"/>
  <c r="E10" i="24" s="1"/>
  <c r="AA15" i="26"/>
  <c r="H15" i="26"/>
  <c r="G15" i="26"/>
  <c r="F15" i="26"/>
  <c r="E15" i="26"/>
  <c r="C15" i="26"/>
  <c r="C24" i="26" s="1"/>
  <c r="D13" i="26"/>
  <c r="AB4" i="26"/>
  <c r="AB3" i="26"/>
  <c r="AZ2" i="26"/>
  <c r="AY2" i="26"/>
  <c r="AX2" i="26"/>
  <c r="AW2" i="26"/>
  <c r="AV2" i="26"/>
  <c r="AU2" i="26"/>
  <c r="AT2" i="26"/>
  <c r="AS2" i="26"/>
  <c r="AR2" i="26"/>
  <c r="AQ2" i="26"/>
  <c r="AP2" i="26"/>
  <c r="AO2" i="26"/>
  <c r="AN2" i="26"/>
  <c r="AM2" i="26"/>
  <c r="AL2" i="26"/>
  <c r="AK2" i="26"/>
  <c r="AJ2" i="26"/>
  <c r="AI2" i="26"/>
  <c r="AH2" i="26"/>
  <c r="AG2" i="26"/>
  <c r="AF2" i="26"/>
  <c r="AE2" i="26"/>
  <c r="AD2" i="26"/>
  <c r="AC2" i="26"/>
  <c r="AB2" i="26"/>
  <c r="C1" i="4"/>
  <c r="C78" i="18"/>
  <c r="B78" i="18"/>
  <c r="C75" i="18"/>
  <c r="B75" i="18"/>
  <c r="C71" i="18"/>
  <c r="B71" i="18"/>
  <c r="C67" i="18"/>
  <c r="B67" i="18"/>
  <c r="C63" i="18"/>
  <c r="B63" i="18"/>
  <c r="C57" i="18"/>
  <c r="B57" i="18"/>
  <c r="C53" i="18"/>
  <c r="B53" i="18"/>
  <c r="C47" i="18"/>
  <c r="B47" i="18"/>
  <c r="C42" i="18"/>
  <c r="B42" i="18"/>
  <c r="C36" i="18"/>
  <c r="B36" i="18"/>
  <c r="C33" i="18"/>
  <c r="B33" i="18"/>
  <c r="C30" i="18"/>
  <c r="B30" i="18"/>
  <c r="C26" i="18"/>
  <c r="B26" i="18"/>
  <c r="C23" i="18"/>
  <c r="B23" i="18"/>
  <c r="B1" i="1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A153" i="8"/>
  <c r="A154" i="8" s="1"/>
  <c r="A155" i="8" s="1"/>
  <c r="A156" i="8" s="1"/>
  <c r="A157" i="8" s="1"/>
  <c r="A158" i="8" s="1"/>
  <c r="A159" i="8" s="1"/>
  <c r="A160" i="8" s="1"/>
  <c r="A161" i="8" s="1"/>
  <c r="A162" i="8" s="1"/>
  <c r="A163" i="8" s="1"/>
  <c r="A164" i="8" s="1"/>
  <c r="A165" i="8" s="1"/>
  <c r="A166" i="8" s="1"/>
  <c r="C152" i="8"/>
  <c r="C150" i="8"/>
  <c r="C149" i="8"/>
  <c r="C148" i="8"/>
  <c r="C147" i="8"/>
  <c r="C146" i="8"/>
  <c r="C145" i="8"/>
  <c r="C144" i="8"/>
  <c r="C143" i="8"/>
  <c r="C142" i="8"/>
  <c r="C141" i="8"/>
  <c r="A141" i="8"/>
  <c r="A142" i="8" s="1"/>
  <c r="A143" i="8" s="1"/>
  <c r="A144" i="8" s="1"/>
  <c r="A145" i="8" s="1"/>
  <c r="A146" i="8" s="1"/>
  <c r="A147" i="8" s="1"/>
  <c r="A148" i="8" s="1"/>
  <c r="A149" i="8" s="1"/>
  <c r="A150" i="8" s="1"/>
  <c r="C140" i="8"/>
  <c r="C138" i="8"/>
  <c r="C137" i="8"/>
  <c r="C136" i="8"/>
  <c r="C135" i="8"/>
  <c r="C134" i="8"/>
  <c r="C133" i="8"/>
  <c r="C132" i="8"/>
  <c r="C131" i="8"/>
  <c r="C130" i="8"/>
  <c r="C129" i="8"/>
  <c r="C128" i="8"/>
  <c r="C127" i="8"/>
  <c r="C126" i="8"/>
  <c r="C125" i="8"/>
  <c r="A125" i="8"/>
  <c r="A126" i="8" s="1"/>
  <c r="A127" i="8" s="1"/>
  <c r="A128" i="8" s="1"/>
  <c r="A129" i="8" s="1"/>
  <c r="A130" i="8" s="1"/>
  <c r="A131" i="8" s="1"/>
  <c r="A132" i="8" s="1"/>
  <c r="A133" i="8" s="1"/>
  <c r="A134" i="8" s="1"/>
  <c r="A135" i="8" s="1"/>
  <c r="A136" i="8" s="1"/>
  <c r="A137" i="8" s="1"/>
  <c r="A138" i="8" s="1"/>
  <c r="C124" i="8"/>
  <c r="C122" i="8"/>
  <c r="C121" i="8"/>
  <c r="C120" i="8"/>
  <c r="C119" i="8"/>
  <c r="C118" i="8"/>
  <c r="C117" i="8"/>
  <c r="C116" i="8"/>
  <c r="A116" i="8"/>
  <c r="A117" i="8" s="1"/>
  <c r="A118" i="8" s="1"/>
  <c r="A119" i="8" s="1"/>
  <c r="A120" i="8" s="1"/>
  <c r="A121" i="8" s="1"/>
  <c r="A122" i="8" s="1"/>
  <c r="C115" i="8"/>
  <c r="C113" i="8"/>
  <c r="C112" i="8"/>
  <c r="C111" i="8"/>
  <c r="C110" i="8"/>
  <c r="C109" i="8"/>
  <c r="C108" i="8"/>
  <c r="C107" i="8"/>
  <c r="C106" i="8"/>
  <c r="C105" i="8"/>
  <c r="C104" i="8"/>
  <c r="C97" i="8"/>
  <c r="C96" i="8"/>
  <c r="C95" i="8"/>
  <c r="C94" i="8"/>
  <c r="C93" i="8"/>
  <c r="C92" i="8"/>
  <c r="C91" i="8"/>
  <c r="C90" i="8"/>
  <c r="C89" i="8"/>
  <c r="C88" i="8"/>
  <c r="C87" i="8"/>
  <c r="C86" i="8"/>
  <c r="C85" i="8"/>
  <c r="C84" i="8"/>
  <c r="C83" i="8"/>
  <c r="C82" i="8"/>
  <c r="C81" i="8"/>
  <c r="C80" i="8"/>
  <c r="C79" i="8"/>
  <c r="C78" i="8"/>
  <c r="C77" i="8"/>
  <c r="C76" i="8"/>
  <c r="C75" i="8"/>
  <c r="C74" i="8"/>
  <c r="C73" i="8"/>
  <c r="C72" i="8"/>
  <c r="C71" i="8"/>
  <c r="D70" i="8"/>
  <c r="D71" i="8" s="1"/>
  <c r="D72" i="8" s="1"/>
  <c r="D73" i="8" s="1"/>
  <c r="D74" i="8" s="1"/>
  <c r="D75" i="8" s="1"/>
  <c r="D76" i="8" s="1"/>
  <c r="D77" i="8" s="1"/>
  <c r="D78" i="8" s="1"/>
  <c r="D79" i="8" s="1"/>
  <c r="D80" i="8" s="1"/>
  <c r="D81" i="8" s="1"/>
  <c r="D82" i="8" s="1"/>
  <c r="D83" i="8" s="1"/>
  <c r="D84" i="8" s="1"/>
  <c r="D85" i="8" s="1"/>
  <c r="D86" i="8" s="1"/>
  <c r="D87" i="8" s="1"/>
  <c r="D88" i="8" s="1"/>
  <c r="D89" i="8" s="1"/>
  <c r="D90" i="8" s="1"/>
  <c r="D91" i="8" s="1"/>
  <c r="D92" i="8" s="1"/>
  <c r="D93" i="8" s="1"/>
  <c r="D94" i="8" s="1"/>
  <c r="D95" i="8" s="1"/>
  <c r="D96" i="8" s="1"/>
  <c r="D97" i="8" s="1"/>
  <c r="D98" i="8" s="1"/>
  <c r="D99" i="8" s="1"/>
  <c r="D100" i="8" s="1"/>
  <c r="D101" i="8" s="1"/>
  <c r="D102" i="8" s="1"/>
  <c r="D103" i="8" s="1"/>
  <c r="D104" i="8" s="1"/>
  <c r="D105" i="8" s="1"/>
  <c r="D106" i="8" s="1"/>
  <c r="D107" i="8" s="1"/>
  <c r="D108" i="8" s="1"/>
  <c r="D109" i="8" s="1"/>
  <c r="D110" i="8" s="1"/>
  <c r="D111" i="8" s="1"/>
  <c r="D112" i="8" s="1"/>
  <c r="D113" i="8" s="1"/>
  <c r="D116" i="8" s="1"/>
  <c r="D117" i="8" s="1"/>
  <c r="D118" i="8" s="1"/>
  <c r="D119" i="8" s="1"/>
  <c r="D120" i="8" s="1"/>
  <c r="D121" i="8" s="1"/>
  <c r="D122" i="8" s="1"/>
  <c r="D125" i="8" s="1"/>
  <c r="D126" i="8" s="1"/>
  <c r="D127" i="8" s="1"/>
  <c r="D128" i="8" s="1"/>
  <c r="D129" i="8" s="1"/>
  <c r="D130" i="8" s="1"/>
  <c r="D131" i="8" s="1"/>
  <c r="D132" i="8" s="1"/>
  <c r="D133" i="8" s="1"/>
  <c r="D134" i="8" s="1"/>
  <c r="D135" i="8" s="1"/>
  <c r="D136" i="8" s="1"/>
  <c r="D137" i="8" s="1"/>
  <c r="D138" i="8" s="1"/>
  <c r="D141" i="8" s="1"/>
  <c r="D142" i="8" s="1"/>
  <c r="D143" i="8" s="1"/>
  <c r="D144" i="8" s="1"/>
  <c r="D145" i="8" s="1"/>
  <c r="D146" i="8" s="1"/>
  <c r="D147" i="8" s="1"/>
  <c r="D148" i="8" s="1"/>
  <c r="D149" i="8" s="1"/>
  <c r="D150" i="8" s="1"/>
  <c r="D153" i="8" s="1"/>
  <c r="D154" i="8" s="1"/>
  <c r="D155" i="8" s="1"/>
  <c r="D156" i="8" s="1"/>
  <c r="D157" i="8" s="1"/>
  <c r="D158" i="8" s="1"/>
  <c r="D159" i="8" s="1"/>
  <c r="D160" i="8" s="1"/>
  <c r="D161" i="8" s="1"/>
  <c r="D162" i="8" s="1"/>
  <c r="D163" i="8" s="1"/>
  <c r="D164" i="8" s="1"/>
  <c r="D165" i="8" s="1"/>
  <c r="D166" i="8" s="1"/>
  <c r="C70" i="8"/>
  <c r="B70" i="8"/>
  <c r="C69" i="8"/>
  <c r="B69" i="8"/>
  <c r="C68" i="8"/>
  <c r="B68" i="8"/>
  <c r="A68" i="8"/>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C67" i="8"/>
  <c r="B1" i="8"/>
  <c r="N64" i="5" l="1"/>
  <c r="AE141" i="56"/>
  <c r="F28" i="5"/>
  <c r="F25" i="5"/>
  <c r="F21" i="5"/>
  <c r="AE141" i="55"/>
  <c r="AE141" i="54"/>
  <c r="P173" i="5"/>
  <c r="AE141" i="52"/>
  <c r="AE141" i="53"/>
  <c r="AC142" i="56"/>
  <c r="N172" i="5"/>
  <c r="AC142" i="52"/>
  <c r="AC142" i="53"/>
  <c r="AC142" i="55"/>
  <c r="AC142" i="54"/>
  <c r="P62" i="34"/>
  <c r="D128" i="48"/>
  <c r="AC136" i="51"/>
  <c r="N173" i="35"/>
  <c r="E228" i="51"/>
  <c r="I52" i="35"/>
  <c r="K52" i="35" s="1"/>
  <c r="D128" i="46"/>
  <c r="O8" i="5"/>
  <c r="O62" i="5"/>
  <c r="O64" i="5" s="1"/>
  <c r="AC141" i="56"/>
  <c r="N173" i="5"/>
  <c r="N48" i="5"/>
  <c r="AC141" i="52"/>
  <c r="AC141" i="53"/>
  <c r="AC141" i="55"/>
  <c r="AC141" i="54"/>
  <c r="E228" i="56"/>
  <c r="D129" i="46"/>
  <c r="I52" i="16"/>
  <c r="K52" i="16" s="1"/>
  <c r="D129" i="45"/>
  <c r="D129" i="44"/>
  <c r="D129" i="47"/>
  <c r="D129" i="48"/>
  <c r="N62" i="34"/>
  <c r="N64" i="34" s="1"/>
  <c r="N8" i="34"/>
  <c r="P92" i="35"/>
  <c r="P62" i="5"/>
  <c r="P64" i="5" s="1"/>
  <c r="P8" i="5"/>
  <c r="R71" i="5"/>
  <c r="S71" i="5" s="1"/>
  <c r="T71" i="5" s="1"/>
  <c r="U71" i="5" s="1"/>
  <c r="V71" i="5" s="1"/>
  <c r="W71" i="5" s="1"/>
  <c r="X71" i="5" s="1"/>
  <c r="Y71" i="5" s="1"/>
  <c r="Z71" i="5" s="1"/>
  <c r="AA71" i="5" s="1"/>
  <c r="AB71" i="5" s="1"/>
  <c r="AC71" i="5" s="1"/>
  <c r="AD71" i="5" s="1"/>
  <c r="AE71" i="5" s="1"/>
  <c r="AF71" i="5" s="1"/>
  <c r="AG71" i="5" s="1"/>
  <c r="AH71" i="5" s="1"/>
  <c r="AI71" i="5" s="1"/>
  <c r="AJ71" i="5" s="1"/>
  <c r="AK71" i="5" s="1"/>
  <c r="O62" i="34"/>
  <c r="AC136" i="50"/>
  <c r="N173" i="34"/>
  <c r="E228" i="50"/>
  <c r="I52" i="34"/>
  <c r="K52" i="34" s="1"/>
  <c r="O62" i="35"/>
  <c r="O64" i="35" s="1"/>
  <c r="O8" i="35"/>
  <c r="C35" i="6"/>
  <c r="C37" i="6"/>
  <c r="C43" i="6"/>
  <c r="D44" i="6"/>
  <c r="D46" i="6"/>
  <c r="C53" i="6"/>
  <c r="C54" i="6"/>
  <c r="C55" i="6"/>
  <c r="C56" i="6"/>
  <c r="C57" i="6"/>
  <c r="P195" i="5"/>
  <c r="T195" i="5"/>
  <c r="X195" i="5"/>
  <c r="AB195" i="5"/>
  <c r="AF195" i="5"/>
  <c r="AJ195" i="5"/>
  <c r="P219" i="5"/>
  <c r="T219" i="5"/>
  <c r="X219" i="5"/>
  <c r="AB219" i="5"/>
  <c r="AF219" i="5"/>
  <c r="AJ219" i="5"/>
  <c r="P243" i="5"/>
  <c r="T243" i="5"/>
  <c r="X243" i="5"/>
  <c r="AB243" i="5"/>
  <c r="AF243" i="5"/>
  <c r="AJ243" i="5"/>
  <c r="P269" i="5"/>
  <c r="T269" i="5"/>
  <c r="X269" i="5"/>
  <c r="AB269" i="5"/>
  <c r="AF269" i="5"/>
  <c r="AJ269" i="5"/>
  <c r="P293" i="5"/>
  <c r="T293" i="5"/>
  <c r="X293" i="5"/>
  <c r="AB293" i="5"/>
  <c r="AF293" i="5"/>
  <c r="AJ293" i="5"/>
  <c r="P316" i="5"/>
  <c r="T316" i="5"/>
  <c r="X316" i="5"/>
  <c r="AB316" i="5"/>
  <c r="AF316" i="5"/>
  <c r="AJ316" i="5"/>
  <c r="P339" i="5"/>
  <c r="T339" i="5"/>
  <c r="X339" i="5"/>
  <c r="AB339" i="5"/>
  <c r="AF339" i="5"/>
  <c r="AJ339" i="5"/>
  <c r="P363" i="5"/>
  <c r="T363" i="5"/>
  <c r="X363" i="5"/>
  <c r="AB363" i="5"/>
  <c r="AF363" i="5"/>
  <c r="AJ363" i="5"/>
  <c r="E172" i="16"/>
  <c r="O219" i="16"/>
  <c r="S219" i="16"/>
  <c r="W219" i="16"/>
  <c r="AA219" i="16"/>
  <c r="AE219" i="16"/>
  <c r="AI219" i="16"/>
  <c r="N243" i="16"/>
  <c r="R243" i="16"/>
  <c r="V243" i="16"/>
  <c r="Z243" i="16"/>
  <c r="AD243" i="16"/>
  <c r="AH243" i="16"/>
  <c r="O316" i="16"/>
  <c r="S316" i="16"/>
  <c r="W316" i="16"/>
  <c r="AA316" i="16"/>
  <c r="AE316" i="16"/>
  <c r="AI316" i="16"/>
  <c r="N339" i="16"/>
  <c r="R339" i="16"/>
  <c r="V339" i="16"/>
  <c r="Z339" i="16"/>
  <c r="AD339" i="16"/>
  <c r="AH339" i="16"/>
  <c r="J54" i="34"/>
  <c r="P80" i="34"/>
  <c r="P82" i="34" s="1"/>
  <c r="N104" i="34"/>
  <c r="N196" i="34" s="1"/>
  <c r="N108" i="34"/>
  <c r="N115" i="34"/>
  <c r="N340" i="34" s="1"/>
  <c r="N118" i="34"/>
  <c r="N388" i="34" s="1"/>
  <c r="P145" i="34"/>
  <c r="O269" i="34"/>
  <c r="S269" i="34"/>
  <c r="W269" i="34"/>
  <c r="AA269" i="34"/>
  <c r="AE269" i="34"/>
  <c r="AI269" i="34"/>
  <c r="O293" i="34"/>
  <c r="S293" i="34"/>
  <c r="W293" i="34"/>
  <c r="AA293" i="34"/>
  <c r="AE293" i="34"/>
  <c r="AI293" i="34"/>
  <c r="O316" i="34"/>
  <c r="S316" i="34"/>
  <c r="W316" i="34"/>
  <c r="AA316" i="34"/>
  <c r="AE316" i="34"/>
  <c r="AI316" i="34"/>
  <c r="O339" i="34"/>
  <c r="S339" i="34"/>
  <c r="W339" i="34"/>
  <c r="AA339" i="34"/>
  <c r="AE339" i="34"/>
  <c r="AI339" i="34"/>
  <c r="O363" i="34"/>
  <c r="S363" i="34"/>
  <c r="W363" i="34"/>
  <c r="AA363" i="34"/>
  <c r="AE363" i="34"/>
  <c r="AI363" i="34"/>
  <c r="N24" i="35"/>
  <c r="N63" i="35" s="1"/>
  <c r="P28" i="35"/>
  <c r="O72" i="35"/>
  <c r="P104" i="35"/>
  <c r="P196" i="35" s="1"/>
  <c r="O105" i="35"/>
  <c r="O220" i="35" s="1"/>
  <c r="N106" i="35"/>
  <c r="O109" i="35"/>
  <c r="P112" i="35"/>
  <c r="P294" i="35" s="1"/>
  <c r="N113" i="35"/>
  <c r="N317" i="35" s="1"/>
  <c r="P115" i="35"/>
  <c r="P340" i="35" s="1"/>
  <c r="O116" i="35"/>
  <c r="N117" i="35"/>
  <c r="N364" i="35" s="1"/>
  <c r="O387" i="35"/>
  <c r="O363" i="35"/>
  <c r="O339" i="35"/>
  <c r="O316" i="35"/>
  <c r="O293" i="35"/>
  <c r="S387" i="35"/>
  <c r="S363" i="35"/>
  <c r="S339" i="35"/>
  <c r="S316" i="35"/>
  <c r="S293" i="35"/>
  <c r="S269" i="35"/>
  <c r="W387" i="35"/>
  <c r="W363" i="35"/>
  <c r="W339" i="35"/>
  <c r="W316" i="35"/>
  <c r="W293" i="35"/>
  <c r="W269" i="35"/>
  <c r="AA387" i="35"/>
  <c r="AA363" i="35"/>
  <c r="AA339" i="35"/>
  <c r="AA316" i="35"/>
  <c r="AA293" i="35"/>
  <c r="AA269" i="35"/>
  <c r="AE387" i="35"/>
  <c r="AE363" i="35"/>
  <c r="AE339" i="35"/>
  <c r="AE316" i="35"/>
  <c r="AE293" i="35"/>
  <c r="AE269" i="35"/>
  <c r="AI387" i="35"/>
  <c r="AI363" i="35"/>
  <c r="AI339" i="35"/>
  <c r="AI316" i="35"/>
  <c r="AI293" i="35"/>
  <c r="AI269" i="35"/>
  <c r="E172" i="35"/>
  <c r="X269" i="35"/>
  <c r="AF269" i="35"/>
  <c r="T293" i="35"/>
  <c r="AB293" i="35"/>
  <c r="AJ293" i="35"/>
  <c r="P316" i="35"/>
  <c r="X316" i="35"/>
  <c r="AF316" i="35"/>
  <c r="T339" i="35"/>
  <c r="AB339" i="35"/>
  <c r="AJ339" i="35"/>
  <c r="P363" i="35"/>
  <c r="X363" i="35"/>
  <c r="AF363" i="35"/>
  <c r="T387" i="35"/>
  <c r="AB387" i="35"/>
  <c r="AJ387" i="35"/>
  <c r="N64" i="36"/>
  <c r="P28" i="36"/>
  <c r="P81" i="36"/>
  <c r="F21" i="36"/>
  <c r="P24" i="36"/>
  <c r="P63" i="36" s="1"/>
  <c r="O62" i="37"/>
  <c r="O64" i="37" s="1"/>
  <c r="O8" i="37"/>
  <c r="P92" i="37"/>
  <c r="C135" i="24"/>
  <c r="D35" i="6"/>
  <c r="D37" i="6"/>
  <c r="D43" i="6"/>
  <c r="C45" i="6"/>
  <c r="C47" i="6"/>
  <c r="D53" i="6"/>
  <c r="D55" i="6"/>
  <c r="D57" i="6"/>
  <c r="Q195" i="5"/>
  <c r="U195" i="5"/>
  <c r="Y195" i="5"/>
  <c r="AC195" i="5"/>
  <c r="AG195" i="5"/>
  <c r="AK195" i="5"/>
  <c r="Q219" i="5"/>
  <c r="U219" i="5"/>
  <c r="Y219" i="5"/>
  <c r="AC219" i="5"/>
  <c r="AG219" i="5"/>
  <c r="AK219" i="5"/>
  <c r="Q243" i="5"/>
  <c r="U243" i="5"/>
  <c r="Y243" i="5"/>
  <c r="AC243" i="5"/>
  <c r="AG243" i="5"/>
  <c r="AK243" i="5"/>
  <c r="Q269" i="5"/>
  <c r="U269" i="5"/>
  <c r="Y269" i="5"/>
  <c r="AC269" i="5"/>
  <c r="AG269" i="5"/>
  <c r="AK269" i="5"/>
  <c r="Q293" i="5"/>
  <c r="U293" i="5"/>
  <c r="Y293" i="5"/>
  <c r="AC293" i="5"/>
  <c r="AG293" i="5"/>
  <c r="AK293" i="5"/>
  <c r="Q316" i="5"/>
  <c r="U316" i="5"/>
  <c r="Y316" i="5"/>
  <c r="AC316" i="5"/>
  <c r="AG316" i="5"/>
  <c r="AK316" i="5"/>
  <c r="Q339" i="5"/>
  <c r="U339" i="5"/>
  <c r="Y339" i="5"/>
  <c r="AC339" i="5"/>
  <c r="AG339" i="5"/>
  <c r="AK339" i="5"/>
  <c r="Q363" i="5"/>
  <c r="U363" i="5"/>
  <c r="Y363" i="5"/>
  <c r="AC363" i="5"/>
  <c r="AG363" i="5"/>
  <c r="AK363" i="5"/>
  <c r="Q195" i="16"/>
  <c r="U195" i="16"/>
  <c r="Y195" i="16"/>
  <c r="AC195" i="16"/>
  <c r="AG195" i="16"/>
  <c r="AK195" i="16"/>
  <c r="P219" i="16"/>
  <c r="T219" i="16"/>
  <c r="X219" i="16"/>
  <c r="AB219" i="16"/>
  <c r="AF219" i="16"/>
  <c r="AJ219" i="16"/>
  <c r="O243" i="16"/>
  <c r="S243" i="16"/>
  <c r="W243" i="16"/>
  <c r="AA243" i="16"/>
  <c r="AE243" i="16"/>
  <c r="AI243" i="16"/>
  <c r="N269" i="16"/>
  <c r="R269" i="16"/>
  <c r="V269" i="16"/>
  <c r="Z269" i="16"/>
  <c r="AD269" i="16"/>
  <c r="AH269" i="16"/>
  <c r="Q293" i="16"/>
  <c r="U293" i="16"/>
  <c r="Y293" i="16"/>
  <c r="AC293" i="16"/>
  <c r="AG293" i="16"/>
  <c r="AK293" i="16"/>
  <c r="P316" i="16"/>
  <c r="T316" i="16"/>
  <c r="X316" i="16"/>
  <c r="AB316" i="16"/>
  <c r="AF316" i="16"/>
  <c r="AJ316" i="16"/>
  <c r="O339" i="16"/>
  <c r="S339" i="16"/>
  <c r="W339" i="16"/>
  <c r="AA339" i="16"/>
  <c r="AE339" i="16"/>
  <c r="AI339" i="16"/>
  <c r="N363" i="16"/>
  <c r="R363" i="16"/>
  <c r="V363" i="16"/>
  <c r="Z363" i="16"/>
  <c r="AD363" i="16"/>
  <c r="AH363" i="16"/>
  <c r="Q387" i="16"/>
  <c r="U387" i="16"/>
  <c r="Y387" i="16"/>
  <c r="AC387" i="16"/>
  <c r="AG387" i="16"/>
  <c r="AK387" i="16"/>
  <c r="N105" i="34"/>
  <c r="N220" i="34" s="1"/>
  <c r="O108" i="34"/>
  <c r="N109" i="34"/>
  <c r="O112" i="34"/>
  <c r="O294" i="34" s="1"/>
  <c r="O115" i="34"/>
  <c r="O340" i="34" s="1"/>
  <c r="N116" i="34"/>
  <c r="O118" i="34"/>
  <c r="O388" i="34" s="1"/>
  <c r="E171" i="34"/>
  <c r="P316" i="34"/>
  <c r="T316" i="34"/>
  <c r="X316" i="34"/>
  <c r="AB316" i="34"/>
  <c r="AF316" i="34"/>
  <c r="AJ316" i="34"/>
  <c r="P339" i="34"/>
  <c r="T339" i="34"/>
  <c r="X339" i="34"/>
  <c r="AB339" i="34"/>
  <c r="AF339" i="34"/>
  <c r="AJ339" i="34"/>
  <c r="P363" i="34"/>
  <c r="T363" i="34"/>
  <c r="X363" i="34"/>
  <c r="AB363" i="34"/>
  <c r="AF363" i="34"/>
  <c r="AJ363" i="34"/>
  <c r="P72" i="35"/>
  <c r="P105" i="35"/>
  <c r="P220" i="35" s="1"/>
  <c r="O106" i="35"/>
  <c r="N107" i="35"/>
  <c r="P109" i="35"/>
  <c r="O113" i="35"/>
  <c r="O317" i="35" s="1"/>
  <c r="O117" i="35"/>
  <c r="O364" i="35" s="1"/>
  <c r="N339" i="35"/>
  <c r="V339" i="35"/>
  <c r="AD339" i="35"/>
  <c r="R363" i="35"/>
  <c r="Z363" i="35"/>
  <c r="AH363" i="35"/>
  <c r="N387" i="35"/>
  <c r="V387" i="35"/>
  <c r="AD387" i="35"/>
  <c r="P116" i="36"/>
  <c r="P109" i="36"/>
  <c r="P105" i="36"/>
  <c r="P220" i="36" s="1"/>
  <c r="P115" i="36"/>
  <c r="P340" i="36" s="1"/>
  <c r="P108" i="36"/>
  <c r="P104" i="36"/>
  <c r="P196" i="36" s="1"/>
  <c r="P111" i="36"/>
  <c r="P270" i="36" s="1"/>
  <c r="P107" i="36"/>
  <c r="P117" i="36"/>
  <c r="P364" i="36" s="1"/>
  <c r="P113" i="36"/>
  <c r="P317" i="36" s="1"/>
  <c r="P106" i="36"/>
  <c r="P64" i="36"/>
  <c r="E228" i="52"/>
  <c r="I52" i="36"/>
  <c r="K52" i="36" s="1"/>
  <c r="C136" i="24"/>
  <c r="E43" i="6"/>
  <c r="D45" i="6"/>
  <c r="D47" i="6"/>
  <c r="N8" i="5"/>
  <c r="E171" i="5"/>
  <c r="E172" i="5"/>
  <c r="N195" i="5"/>
  <c r="R195" i="5"/>
  <c r="V195" i="5"/>
  <c r="Z195" i="5"/>
  <c r="AD195" i="5"/>
  <c r="AH195" i="5"/>
  <c r="N219" i="5"/>
  <c r="R219" i="5"/>
  <c r="V219" i="5"/>
  <c r="Z219" i="5"/>
  <c r="AD219" i="5"/>
  <c r="AH219" i="5"/>
  <c r="N243" i="5"/>
  <c r="R243" i="5"/>
  <c r="V243" i="5"/>
  <c r="Z243" i="5"/>
  <c r="AD243" i="5"/>
  <c r="AH243" i="5"/>
  <c r="N269" i="5"/>
  <c r="R269" i="5"/>
  <c r="V269" i="5"/>
  <c r="Z269" i="5"/>
  <c r="AD269" i="5"/>
  <c r="AH269" i="5"/>
  <c r="N293" i="5"/>
  <c r="R293" i="5"/>
  <c r="V293" i="5"/>
  <c r="Z293" i="5"/>
  <c r="AD293" i="5"/>
  <c r="AH293" i="5"/>
  <c r="N316" i="5"/>
  <c r="R316" i="5"/>
  <c r="V316" i="5"/>
  <c r="Z316" i="5"/>
  <c r="AD316" i="5"/>
  <c r="AH316" i="5"/>
  <c r="N339" i="5"/>
  <c r="R339" i="5"/>
  <c r="V339" i="5"/>
  <c r="Z339" i="5"/>
  <c r="AD339" i="5"/>
  <c r="AH339" i="5"/>
  <c r="N363" i="5"/>
  <c r="R363" i="5"/>
  <c r="V363" i="5"/>
  <c r="Z363" i="5"/>
  <c r="AD363" i="5"/>
  <c r="AH363" i="5"/>
  <c r="E227" i="56"/>
  <c r="N195" i="16"/>
  <c r="R195" i="16"/>
  <c r="V195" i="16"/>
  <c r="Z195" i="16"/>
  <c r="AD195" i="16"/>
  <c r="AH195" i="16"/>
  <c r="Q219" i="16"/>
  <c r="U219" i="16"/>
  <c r="Y219" i="16"/>
  <c r="AC219" i="16"/>
  <c r="AG219" i="16"/>
  <c r="AK219" i="16"/>
  <c r="P243" i="16"/>
  <c r="T243" i="16"/>
  <c r="X243" i="16"/>
  <c r="AB243" i="16"/>
  <c r="AF243" i="16"/>
  <c r="AJ243" i="16"/>
  <c r="O269" i="16"/>
  <c r="S269" i="16"/>
  <c r="W269" i="16"/>
  <c r="AA269" i="16"/>
  <c r="AE269" i="16"/>
  <c r="AI269" i="16"/>
  <c r="N293" i="16"/>
  <c r="R293" i="16"/>
  <c r="V293" i="16"/>
  <c r="Z293" i="16"/>
  <c r="AD293" i="16"/>
  <c r="AH293" i="16"/>
  <c r="O363" i="16"/>
  <c r="S363" i="16"/>
  <c r="W363" i="16"/>
  <c r="AA363" i="16"/>
  <c r="AE363" i="16"/>
  <c r="AI363" i="16"/>
  <c r="N387" i="16"/>
  <c r="R387" i="16"/>
  <c r="V387" i="16"/>
  <c r="Z387" i="16"/>
  <c r="AD387" i="16"/>
  <c r="AH387" i="16"/>
  <c r="P104" i="34"/>
  <c r="P196" i="34" s="1"/>
  <c r="O109" i="34"/>
  <c r="N113" i="34"/>
  <c r="N317" i="34" s="1"/>
  <c r="P115" i="34"/>
  <c r="P340" i="34" s="1"/>
  <c r="O116" i="34"/>
  <c r="N117" i="34"/>
  <c r="N364" i="34" s="1"/>
  <c r="E172" i="34"/>
  <c r="Q195" i="34"/>
  <c r="U195" i="34"/>
  <c r="Y195" i="34"/>
  <c r="AC195" i="34"/>
  <c r="AG195" i="34"/>
  <c r="AK195" i="34"/>
  <c r="Q219" i="34"/>
  <c r="U219" i="34"/>
  <c r="Y219" i="34"/>
  <c r="AC219" i="34"/>
  <c r="AG219" i="34"/>
  <c r="AK219" i="34"/>
  <c r="Q243" i="34"/>
  <c r="U243" i="34"/>
  <c r="Y243" i="34"/>
  <c r="AC243" i="34"/>
  <c r="AG243" i="34"/>
  <c r="AK243" i="34"/>
  <c r="Q269" i="34"/>
  <c r="U269" i="34"/>
  <c r="Y269" i="34"/>
  <c r="AC269" i="34"/>
  <c r="AG269" i="34"/>
  <c r="AK269" i="34"/>
  <c r="Q293" i="34"/>
  <c r="U293" i="34"/>
  <c r="Y293" i="34"/>
  <c r="AC293" i="34"/>
  <c r="AG293" i="34"/>
  <c r="AK293" i="34"/>
  <c r="Q316" i="34"/>
  <c r="U316" i="34"/>
  <c r="Y316" i="34"/>
  <c r="AC316" i="34"/>
  <c r="AG316" i="34"/>
  <c r="AK316" i="34"/>
  <c r="Q339" i="34"/>
  <c r="U339" i="34"/>
  <c r="Y339" i="34"/>
  <c r="AC339" i="34"/>
  <c r="AG339" i="34"/>
  <c r="AK339" i="34"/>
  <c r="Q363" i="34"/>
  <c r="U363" i="34"/>
  <c r="Y363" i="34"/>
  <c r="AC363" i="34"/>
  <c r="AG363" i="34"/>
  <c r="AK363" i="34"/>
  <c r="P24" i="35"/>
  <c r="P63" i="35" s="1"/>
  <c r="N62" i="35"/>
  <c r="N64" i="35" s="1"/>
  <c r="N104" i="35"/>
  <c r="N196" i="35" s="1"/>
  <c r="P106" i="35"/>
  <c r="O107" i="35"/>
  <c r="N108" i="35"/>
  <c r="N112" i="35"/>
  <c r="N294" i="35" s="1"/>
  <c r="P113" i="35"/>
  <c r="P317" i="35" s="1"/>
  <c r="N115" i="35"/>
  <c r="N340" i="35" s="1"/>
  <c r="N118" i="35"/>
  <c r="N388" i="35" s="1"/>
  <c r="P145" i="35"/>
  <c r="P148" i="35"/>
  <c r="Q387" i="35"/>
  <c r="Q363" i="35"/>
  <c r="Q339" i="35"/>
  <c r="Q316" i="35"/>
  <c r="Q293" i="35"/>
  <c r="U387" i="35"/>
  <c r="U363" i="35"/>
  <c r="U339" i="35"/>
  <c r="U316" i="35"/>
  <c r="U293" i="35"/>
  <c r="U269" i="35"/>
  <c r="Y387" i="35"/>
  <c r="Y363" i="35"/>
  <c r="Y339" i="35"/>
  <c r="Y316" i="35"/>
  <c r="Y293" i="35"/>
  <c r="Y269" i="35"/>
  <c r="AC387" i="35"/>
  <c r="AC363" i="35"/>
  <c r="AC339" i="35"/>
  <c r="AC316" i="35"/>
  <c r="AC293" i="35"/>
  <c r="AC269" i="35"/>
  <c r="AG387" i="35"/>
  <c r="AG363" i="35"/>
  <c r="AG339" i="35"/>
  <c r="AG316" i="35"/>
  <c r="AG293" i="35"/>
  <c r="AG269" i="35"/>
  <c r="AK387" i="35"/>
  <c r="AK363" i="35"/>
  <c r="AK339" i="35"/>
  <c r="AK316" i="35"/>
  <c r="AK293" i="35"/>
  <c r="AK269" i="35"/>
  <c r="O195" i="35"/>
  <c r="S195" i="35"/>
  <c r="W195" i="35"/>
  <c r="AA195" i="35"/>
  <c r="AE195" i="35"/>
  <c r="AI195" i="35"/>
  <c r="O219" i="35"/>
  <c r="S219" i="35"/>
  <c r="W219" i="35"/>
  <c r="AA219" i="35"/>
  <c r="AE219" i="35"/>
  <c r="AI219" i="35"/>
  <c r="O243" i="35"/>
  <c r="S243" i="35"/>
  <c r="W243" i="35"/>
  <c r="AA243" i="35"/>
  <c r="AE243" i="35"/>
  <c r="AI243" i="35"/>
  <c r="O269" i="35"/>
  <c r="T269" i="35"/>
  <c r="AB269" i="35"/>
  <c r="AJ269" i="35"/>
  <c r="P293" i="35"/>
  <c r="X293" i="35"/>
  <c r="AF293" i="35"/>
  <c r="T316" i="35"/>
  <c r="AB316" i="35"/>
  <c r="AJ316" i="35"/>
  <c r="P339" i="35"/>
  <c r="X339" i="35"/>
  <c r="AF339" i="35"/>
  <c r="T363" i="35"/>
  <c r="AB363" i="35"/>
  <c r="AJ363" i="35"/>
  <c r="P387" i="35"/>
  <c r="X387" i="35"/>
  <c r="AF387" i="35"/>
  <c r="E216" i="52"/>
  <c r="P148" i="36"/>
  <c r="P145" i="36"/>
  <c r="O62" i="36"/>
  <c r="O195" i="5"/>
  <c r="S195" i="5"/>
  <c r="W195" i="5"/>
  <c r="AA195" i="5"/>
  <c r="AE195" i="5"/>
  <c r="AI195" i="5"/>
  <c r="O219" i="5"/>
  <c r="S219" i="5"/>
  <c r="W219" i="5"/>
  <c r="AA219" i="5"/>
  <c r="AE219" i="5"/>
  <c r="AI219" i="5"/>
  <c r="O243" i="5"/>
  <c r="S243" i="5"/>
  <c r="W243" i="5"/>
  <c r="AA243" i="5"/>
  <c r="AE243" i="5"/>
  <c r="AI243" i="5"/>
  <c r="O269" i="5"/>
  <c r="S269" i="5"/>
  <c r="W269" i="5"/>
  <c r="AA269" i="5"/>
  <c r="AE269" i="5"/>
  <c r="AI269" i="5"/>
  <c r="O293" i="5"/>
  <c r="S293" i="5"/>
  <c r="W293" i="5"/>
  <c r="AA293" i="5"/>
  <c r="AE293" i="5"/>
  <c r="AI293" i="5"/>
  <c r="O316" i="5"/>
  <c r="S316" i="5"/>
  <c r="W316" i="5"/>
  <c r="AA316" i="5"/>
  <c r="AE316" i="5"/>
  <c r="AI316" i="5"/>
  <c r="O339" i="5"/>
  <c r="S339" i="5"/>
  <c r="W339" i="5"/>
  <c r="AA339" i="5"/>
  <c r="AE339" i="5"/>
  <c r="AI339" i="5"/>
  <c r="O363" i="5"/>
  <c r="S363" i="5"/>
  <c r="W363" i="5"/>
  <c r="AA363" i="5"/>
  <c r="AE363" i="5"/>
  <c r="AI363" i="5"/>
  <c r="E171" i="16"/>
  <c r="O195" i="16"/>
  <c r="S195" i="16"/>
  <c r="W195" i="16"/>
  <c r="AA195" i="16"/>
  <c r="AE195" i="16"/>
  <c r="AI195" i="16"/>
  <c r="N219" i="16"/>
  <c r="R219" i="16"/>
  <c r="V219" i="16"/>
  <c r="Z219" i="16"/>
  <c r="AD219" i="16"/>
  <c r="AH219" i="16"/>
  <c r="O293" i="16"/>
  <c r="S293" i="16"/>
  <c r="W293" i="16"/>
  <c r="AA293" i="16"/>
  <c r="AE293" i="16"/>
  <c r="AI293" i="16"/>
  <c r="P109" i="34"/>
  <c r="O113" i="34"/>
  <c r="O317" i="34" s="1"/>
  <c r="N195" i="34"/>
  <c r="R195" i="34"/>
  <c r="V195" i="34"/>
  <c r="Z195" i="34"/>
  <c r="AD195" i="34"/>
  <c r="AH195" i="34"/>
  <c r="N219" i="34"/>
  <c r="R219" i="34"/>
  <c r="V219" i="34"/>
  <c r="Z219" i="34"/>
  <c r="AD219" i="34"/>
  <c r="AH219" i="34"/>
  <c r="N243" i="34"/>
  <c r="R243" i="34"/>
  <c r="V243" i="34"/>
  <c r="Z243" i="34"/>
  <c r="AD243" i="34"/>
  <c r="AH243" i="34"/>
  <c r="N269" i="34"/>
  <c r="R269" i="34"/>
  <c r="V269" i="34"/>
  <c r="Z269" i="34"/>
  <c r="AD269" i="34"/>
  <c r="AH269" i="34"/>
  <c r="N293" i="34"/>
  <c r="R293" i="34"/>
  <c r="V293" i="34"/>
  <c r="Z293" i="34"/>
  <c r="AD293" i="34"/>
  <c r="AH293" i="34"/>
  <c r="N316" i="34"/>
  <c r="R316" i="34"/>
  <c r="V316" i="34"/>
  <c r="Z316" i="34"/>
  <c r="AD316" i="34"/>
  <c r="AH316" i="34"/>
  <c r="N339" i="34"/>
  <c r="R339" i="34"/>
  <c r="V339" i="34"/>
  <c r="Z339" i="34"/>
  <c r="AD339" i="34"/>
  <c r="AH339" i="34"/>
  <c r="N363" i="34"/>
  <c r="R363" i="34"/>
  <c r="V363" i="34"/>
  <c r="Z363" i="34"/>
  <c r="AD363" i="34"/>
  <c r="AH363" i="34"/>
  <c r="P20" i="35"/>
  <c r="O104" i="35"/>
  <c r="O196" i="35" s="1"/>
  <c r="N105" i="35"/>
  <c r="N220" i="35" s="1"/>
  <c r="P107" i="35"/>
  <c r="O108" i="35"/>
  <c r="N109" i="35"/>
  <c r="O112" i="35"/>
  <c r="O294" i="35" s="1"/>
  <c r="O115" i="35"/>
  <c r="O340" i="35" s="1"/>
  <c r="E171" i="35"/>
  <c r="P195" i="35"/>
  <c r="T195" i="35"/>
  <c r="X195" i="35"/>
  <c r="AB195" i="35"/>
  <c r="AF195" i="35"/>
  <c r="AJ195" i="35"/>
  <c r="P219" i="35"/>
  <c r="T219" i="35"/>
  <c r="X219" i="35"/>
  <c r="AB219" i="35"/>
  <c r="AF219" i="35"/>
  <c r="AJ219" i="35"/>
  <c r="P243" i="35"/>
  <c r="V269" i="35"/>
  <c r="AD269" i="35"/>
  <c r="R293" i="35"/>
  <c r="Z293" i="35"/>
  <c r="AH293" i="35"/>
  <c r="N316" i="35"/>
  <c r="V316" i="35"/>
  <c r="AD316" i="35"/>
  <c r="R339" i="35"/>
  <c r="Z339" i="35"/>
  <c r="AH339" i="35"/>
  <c r="N111" i="36"/>
  <c r="N270" i="36" s="1"/>
  <c r="N107" i="36"/>
  <c r="N117" i="36"/>
  <c r="N364" i="36" s="1"/>
  <c r="N113" i="36"/>
  <c r="N317" i="36" s="1"/>
  <c r="N110" i="36"/>
  <c r="N244" i="36" s="1"/>
  <c r="N106" i="36"/>
  <c r="N116" i="36"/>
  <c r="N109" i="36"/>
  <c r="N105" i="36"/>
  <c r="N220" i="36" s="1"/>
  <c r="N118" i="36"/>
  <c r="N388" i="36" s="1"/>
  <c r="N115" i="36"/>
  <c r="N340" i="36" s="1"/>
  <c r="N112" i="36"/>
  <c r="N294" i="36" s="1"/>
  <c r="N108" i="36"/>
  <c r="N104" i="36"/>
  <c r="N196" i="36" s="1"/>
  <c r="N8" i="36"/>
  <c r="P82" i="36"/>
  <c r="O24" i="36"/>
  <c r="O63" i="36" s="1"/>
  <c r="AL27" i="36"/>
  <c r="I27" i="36" s="1"/>
  <c r="K27" i="36" s="1"/>
  <c r="AC136" i="52"/>
  <c r="N173" i="36"/>
  <c r="AB137" i="52"/>
  <c r="E172" i="36"/>
  <c r="AC136" i="53"/>
  <c r="N173" i="37"/>
  <c r="P78" i="36"/>
  <c r="P83" i="36" s="1"/>
  <c r="Q76" i="36" s="1"/>
  <c r="O107" i="36"/>
  <c r="O111" i="36"/>
  <c r="O270" i="36" s="1"/>
  <c r="O195" i="36"/>
  <c r="S195" i="36"/>
  <c r="W195" i="36"/>
  <c r="AA195" i="36"/>
  <c r="AE195" i="36"/>
  <c r="AI195" i="36"/>
  <c r="O219" i="36"/>
  <c r="S219" i="36"/>
  <c r="W219" i="36"/>
  <c r="AA219" i="36"/>
  <c r="AE219" i="36"/>
  <c r="AI219" i="36"/>
  <c r="O243" i="36"/>
  <c r="S243" i="36"/>
  <c r="W243" i="36"/>
  <c r="AA243" i="36"/>
  <c r="AE243" i="36"/>
  <c r="AI243" i="36"/>
  <c r="O269" i="36"/>
  <c r="S269" i="36"/>
  <c r="W269" i="36"/>
  <c r="AA269" i="36"/>
  <c r="AE269" i="36"/>
  <c r="AI269" i="36"/>
  <c r="O293" i="36"/>
  <c r="S293" i="36"/>
  <c r="W293" i="36"/>
  <c r="AA293" i="36"/>
  <c r="AE293" i="36"/>
  <c r="AI293" i="36"/>
  <c r="O316" i="36"/>
  <c r="S316" i="36"/>
  <c r="W316" i="36"/>
  <c r="AA316" i="36"/>
  <c r="AE316" i="36"/>
  <c r="AI316" i="36"/>
  <c r="O339" i="36"/>
  <c r="S339" i="36"/>
  <c r="W339" i="36"/>
  <c r="AA339" i="36"/>
  <c r="AE339" i="36"/>
  <c r="AI339" i="36"/>
  <c r="O363" i="36"/>
  <c r="S363" i="36"/>
  <c r="W363" i="36"/>
  <c r="AA363" i="36"/>
  <c r="AE363" i="36"/>
  <c r="AI363" i="36"/>
  <c r="N24" i="37"/>
  <c r="N63" i="37" s="1"/>
  <c r="N64" i="37" s="1"/>
  <c r="P28" i="37"/>
  <c r="F21" i="37" s="1"/>
  <c r="N72" i="37"/>
  <c r="P105" i="37"/>
  <c r="P220" i="37" s="1"/>
  <c r="O106" i="37"/>
  <c r="N107" i="37"/>
  <c r="P109" i="37"/>
  <c r="O110" i="37"/>
  <c r="O244" i="37" s="1"/>
  <c r="O113" i="37"/>
  <c r="O317" i="37" s="1"/>
  <c r="P116" i="37"/>
  <c r="O117" i="37"/>
  <c r="O364" i="37" s="1"/>
  <c r="P387" i="37"/>
  <c r="P363" i="37"/>
  <c r="P339" i="37"/>
  <c r="P316" i="37"/>
  <c r="P293" i="37"/>
  <c r="P269" i="37"/>
  <c r="P243" i="37"/>
  <c r="P219" i="37"/>
  <c r="P195" i="37"/>
  <c r="T387" i="37"/>
  <c r="T363" i="37"/>
  <c r="T339" i="37"/>
  <c r="T316" i="37"/>
  <c r="T293" i="37"/>
  <c r="T269" i="37"/>
  <c r="T243" i="37"/>
  <c r="T219" i="37"/>
  <c r="T195" i="37"/>
  <c r="X387" i="37"/>
  <c r="X363" i="37"/>
  <c r="X339" i="37"/>
  <c r="X316" i="37"/>
  <c r="X293" i="37"/>
  <c r="X269" i="37"/>
  <c r="X243" i="37"/>
  <c r="X219" i="37"/>
  <c r="X195" i="37"/>
  <c r="AB387" i="37"/>
  <c r="AB363" i="37"/>
  <c r="AB339" i="37"/>
  <c r="AB316" i="37"/>
  <c r="AB293" i="37"/>
  <c r="AB269" i="37"/>
  <c r="AB243" i="37"/>
  <c r="AB219" i="37"/>
  <c r="AB195" i="37"/>
  <c r="AF387" i="37"/>
  <c r="AF363" i="37"/>
  <c r="AF339" i="37"/>
  <c r="AF316" i="37"/>
  <c r="AF293" i="37"/>
  <c r="AF269" i="37"/>
  <c r="AF243" i="37"/>
  <c r="AF219" i="37"/>
  <c r="AF195" i="37"/>
  <c r="AJ387" i="37"/>
  <c r="AJ363" i="37"/>
  <c r="AJ339" i="37"/>
  <c r="AJ316" i="37"/>
  <c r="AJ293" i="37"/>
  <c r="AJ269" i="37"/>
  <c r="AJ243" i="37"/>
  <c r="AJ219" i="37"/>
  <c r="AJ195" i="37"/>
  <c r="N62" i="38"/>
  <c r="P62" i="39"/>
  <c r="N18" i="14"/>
  <c r="N14" i="14"/>
  <c r="N7" i="14"/>
  <c r="N29" i="14"/>
  <c r="B51" i="1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N31" i="14"/>
  <c r="B538" i="11"/>
  <c r="B539" i="11" s="1"/>
  <c r="B540" i="11" s="1"/>
  <c r="B541" i="11" s="1"/>
  <c r="B542" i="11" s="1"/>
  <c r="B543" i="11" s="1"/>
  <c r="B544" i="11" s="1"/>
  <c r="B545" i="11" s="1"/>
  <c r="B546" i="11" s="1"/>
  <c r="B547" i="11" s="1"/>
  <c r="B548" i="11" s="1"/>
  <c r="B549" i="11" s="1"/>
  <c r="B550" i="11" s="1"/>
  <c r="B551" i="11" s="1"/>
  <c r="B552" i="11" s="1"/>
  <c r="B553" i="11" s="1"/>
  <c r="B554" i="11" s="1"/>
  <c r="B555" i="11" s="1"/>
  <c r="B556" i="11" s="1"/>
  <c r="B557" i="11" s="1"/>
  <c r="B558" i="11" s="1"/>
  <c r="B559" i="11" s="1"/>
  <c r="B560" i="11" s="1"/>
  <c r="B561" i="11" s="1"/>
  <c r="B562" i="11" s="1"/>
  <c r="B563" i="11" s="1"/>
  <c r="B564" i="11" s="1"/>
  <c r="N72" i="36"/>
  <c r="O104" i="36"/>
  <c r="O196" i="36" s="1"/>
  <c r="O108" i="36"/>
  <c r="O112" i="36"/>
  <c r="O294" i="36" s="1"/>
  <c r="O115" i="36"/>
  <c r="O340" i="36" s="1"/>
  <c r="O118" i="36"/>
  <c r="O388" i="36" s="1"/>
  <c r="E171" i="36"/>
  <c r="AB138" i="53"/>
  <c r="E171" i="37"/>
  <c r="AL52" i="37"/>
  <c r="O72" i="37"/>
  <c r="N104" i="37"/>
  <c r="N196" i="37" s="1"/>
  <c r="P106" i="37"/>
  <c r="O107" i="37"/>
  <c r="N108" i="37"/>
  <c r="O111" i="37"/>
  <c r="O270" i="37" s="1"/>
  <c r="N112" i="37"/>
  <c r="N294" i="37" s="1"/>
  <c r="P113" i="37"/>
  <c r="P317" i="37" s="1"/>
  <c r="N115" i="37"/>
  <c r="N340" i="37" s="1"/>
  <c r="N118" i="37"/>
  <c r="N388" i="37" s="1"/>
  <c r="AA765" i="11"/>
  <c r="AH138" i="37"/>
  <c r="O105" i="36"/>
  <c r="O220" i="36" s="1"/>
  <c r="O109" i="36"/>
  <c r="O116" i="36"/>
  <c r="Q195" i="36"/>
  <c r="U195" i="36"/>
  <c r="Y195" i="36"/>
  <c r="AC195" i="36"/>
  <c r="AG195" i="36"/>
  <c r="AK195" i="36"/>
  <c r="Q219" i="36"/>
  <c r="U219" i="36"/>
  <c r="Y219" i="36"/>
  <c r="AC219" i="36"/>
  <c r="AG219" i="36"/>
  <c r="AK219" i="36"/>
  <c r="Q243" i="36"/>
  <c r="U243" i="36"/>
  <c r="Y243" i="36"/>
  <c r="AC243" i="36"/>
  <c r="AG243" i="36"/>
  <c r="AK243" i="36"/>
  <c r="Q269" i="36"/>
  <c r="U269" i="36"/>
  <c r="Y269" i="36"/>
  <c r="AC269" i="36"/>
  <c r="AG269" i="36"/>
  <c r="AK269" i="36"/>
  <c r="Q293" i="36"/>
  <c r="U293" i="36"/>
  <c r="Y293" i="36"/>
  <c r="AC293" i="36"/>
  <c r="AG293" i="36"/>
  <c r="AK293" i="36"/>
  <c r="Q316" i="36"/>
  <c r="U316" i="36"/>
  <c r="Y316" i="36"/>
  <c r="AC316" i="36"/>
  <c r="AG316" i="36"/>
  <c r="AK316" i="36"/>
  <c r="Q339" i="36"/>
  <c r="U339" i="36"/>
  <c r="Y339" i="36"/>
  <c r="AC339" i="36"/>
  <c r="AG339" i="36"/>
  <c r="AK339" i="36"/>
  <c r="Q363" i="36"/>
  <c r="U363" i="36"/>
  <c r="Y363" i="36"/>
  <c r="AC363" i="36"/>
  <c r="AG363" i="36"/>
  <c r="AK363" i="36"/>
  <c r="P24" i="37"/>
  <c r="O104" i="37"/>
  <c r="O196" i="37" s="1"/>
  <c r="N105" i="37"/>
  <c r="N220" i="37" s="1"/>
  <c r="P107" i="37"/>
  <c r="O108" i="37"/>
  <c r="N109" i="37"/>
  <c r="P111" i="37"/>
  <c r="P270" i="37" s="1"/>
  <c r="O112" i="37"/>
  <c r="O294" i="37" s="1"/>
  <c r="O115" i="37"/>
  <c r="O340" i="37" s="1"/>
  <c r="N116" i="37"/>
  <c r="O118" i="37"/>
  <c r="O388" i="37" s="1"/>
  <c r="E172" i="37"/>
  <c r="O106" i="36"/>
  <c r="O113" i="36"/>
  <c r="O317" i="36" s="1"/>
  <c r="N195" i="36"/>
  <c r="R195" i="36"/>
  <c r="V195" i="36"/>
  <c r="Z195" i="36"/>
  <c r="AD195" i="36"/>
  <c r="AH195" i="36"/>
  <c r="N219" i="36"/>
  <c r="R219" i="36"/>
  <c r="V219" i="36"/>
  <c r="Z219" i="36"/>
  <c r="AD219" i="36"/>
  <c r="AH219" i="36"/>
  <c r="N243" i="36"/>
  <c r="R243" i="36"/>
  <c r="V243" i="36"/>
  <c r="Z243" i="36"/>
  <c r="AD243" i="36"/>
  <c r="AH243" i="36"/>
  <c r="N269" i="36"/>
  <c r="R269" i="36"/>
  <c r="V269" i="36"/>
  <c r="Z269" i="36"/>
  <c r="AD269" i="36"/>
  <c r="AH269" i="36"/>
  <c r="N293" i="36"/>
  <c r="R293" i="36"/>
  <c r="V293" i="36"/>
  <c r="Z293" i="36"/>
  <c r="AD293" i="36"/>
  <c r="AH293" i="36"/>
  <c r="N316" i="36"/>
  <c r="R316" i="36"/>
  <c r="V316" i="36"/>
  <c r="Z316" i="36"/>
  <c r="AD316" i="36"/>
  <c r="AH316" i="36"/>
  <c r="N339" i="36"/>
  <c r="R339" i="36"/>
  <c r="V339" i="36"/>
  <c r="Z339" i="36"/>
  <c r="AD339" i="36"/>
  <c r="AH339" i="36"/>
  <c r="N363" i="36"/>
  <c r="R363" i="36"/>
  <c r="V363" i="36"/>
  <c r="Z363" i="36"/>
  <c r="AD363" i="36"/>
  <c r="AH363" i="36"/>
  <c r="N8" i="37"/>
  <c r="E216" i="53"/>
  <c r="P148" i="37"/>
  <c r="P78" i="37"/>
  <c r="P83" i="37" s="1"/>
  <c r="Q76" i="37" s="1"/>
  <c r="P104" i="37"/>
  <c r="P196" i="37" s="1"/>
  <c r="O105" i="37"/>
  <c r="O220" i="37" s="1"/>
  <c r="N106" i="37"/>
  <c r="P108" i="37"/>
  <c r="O109" i="37"/>
  <c r="N113" i="37"/>
  <c r="N317" i="37" s="1"/>
  <c r="P115" i="37"/>
  <c r="P340" i="37" s="1"/>
  <c r="P145" i="37"/>
  <c r="O387" i="37"/>
  <c r="O363" i="37"/>
  <c r="O339" i="37"/>
  <c r="O316" i="37"/>
  <c r="O293" i="37"/>
  <c r="O269" i="37"/>
  <c r="O243" i="37"/>
  <c r="O219" i="37"/>
  <c r="O195" i="37"/>
  <c r="S387" i="37"/>
  <c r="S363" i="37"/>
  <c r="S339" i="37"/>
  <c r="S316" i="37"/>
  <c r="S293" i="37"/>
  <c r="S269" i="37"/>
  <c r="S243" i="37"/>
  <c r="S219" i="37"/>
  <c r="S195" i="37"/>
  <c r="W387" i="37"/>
  <c r="W363" i="37"/>
  <c r="W339" i="37"/>
  <c r="W316" i="37"/>
  <c r="W293" i="37"/>
  <c r="W269" i="37"/>
  <c r="W243" i="37"/>
  <c r="W219" i="37"/>
  <c r="W195" i="37"/>
  <c r="AA387" i="37"/>
  <c r="AA363" i="37"/>
  <c r="AA339" i="37"/>
  <c r="AA316" i="37"/>
  <c r="AA293" i="37"/>
  <c r="AA269" i="37"/>
  <c r="AA243" i="37"/>
  <c r="AA219" i="37"/>
  <c r="AA195" i="37"/>
  <c r="AE387" i="37"/>
  <c r="AE363" i="37"/>
  <c r="AE339" i="37"/>
  <c r="AE316" i="37"/>
  <c r="AE293" i="37"/>
  <c r="AE269" i="37"/>
  <c r="AE243" i="37"/>
  <c r="AE219" i="37"/>
  <c r="AE195" i="37"/>
  <c r="AI387" i="37"/>
  <c r="AI363" i="37"/>
  <c r="AI339" i="37"/>
  <c r="AI316" i="37"/>
  <c r="AI293" i="37"/>
  <c r="AI269" i="37"/>
  <c r="AI243" i="37"/>
  <c r="AI219" i="37"/>
  <c r="AI195" i="37"/>
  <c r="Q316" i="37"/>
  <c r="U316" i="37"/>
  <c r="Y316" i="37"/>
  <c r="AC316" i="37"/>
  <c r="AG316" i="37"/>
  <c r="AK316" i="37"/>
  <c r="Q339" i="37"/>
  <c r="U339" i="37"/>
  <c r="Y339" i="37"/>
  <c r="AC339" i="37"/>
  <c r="AG339" i="37"/>
  <c r="AK339" i="37"/>
  <c r="Q363" i="37"/>
  <c r="U363" i="37"/>
  <c r="Y363" i="37"/>
  <c r="AC363" i="37"/>
  <c r="AG363" i="37"/>
  <c r="AK363" i="37"/>
  <c r="P111" i="38"/>
  <c r="P270" i="38" s="1"/>
  <c r="P107" i="38"/>
  <c r="P117" i="38"/>
  <c r="P364" i="38" s="1"/>
  <c r="P113" i="38"/>
  <c r="P317" i="38" s="1"/>
  <c r="P110" i="38"/>
  <c r="P244" i="38" s="1"/>
  <c r="P106" i="38"/>
  <c r="P91" i="38"/>
  <c r="P92" i="38" s="1"/>
  <c r="P28" i="38"/>
  <c r="F25" i="38" s="1"/>
  <c r="P108" i="38"/>
  <c r="P109" i="38"/>
  <c r="O116" i="38"/>
  <c r="N117" i="38"/>
  <c r="N364" i="38" s="1"/>
  <c r="O53" i="39"/>
  <c r="AQ21" i="39" s="1"/>
  <c r="AD4" i="55" s="1"/>
  <c r="N106" i="39"/>
  <c r="I328" i="11"/>
  <c r="E327" i="11"/>
  <c r="E328" i="11"/>
  <c r="K328" i="11"/>
  <c r="D323" i="11"/>
  <c r="C100" i="8" s="1"/>
  <c r="J328" i="11"/>
  <c r="N127" i="38"/>
  <c r="N67" i="38"/>
  <c r="AL94" i="39"/>
  <c r="P86" i="38"/>
  <c r="AL86" i="38" s="1"/>
  <c r="P94" i="39"/>
  <c r="P87" i="39" s="1"/>
  <c r="P33" i="39"/>
  <c r="O33" i="39"/>
  <c r="P33" i="38"/>
  <c r="O43" i="39"/>
  <c r="N43" i="39"/>
  <c r="O43" i="38"/>
  <c r="N43" i="38"/>
  <c r="Q517" i="10"/>
  <c r="Q174" i="10"/>
  <c r="N27" i="39"/>
  <c r="N27" i="38"/>
  <c r="F174" i="10"/>
  <c r="M216" i="10"/>
  <c r="G828" i="11" s="1"/>
  <c r="M194" i="10"/>
  <c r="M220" i="10" s="1"/>
  <c r="G864" i="11" s="1"/>
  <c r="P81" i="38"/>
  <c r="P82" i="38" s="1"/>
  <c r="F21" i="38"/>
  <c r="P72" i="38"/>
  <c r="O105" i="38"/>
  <c r="O220" i="38" s="1"/>
  <c r="N106" i="38"/>
  <c r="P115" i="38"/>
  <c r="P340" i="38" s="1"/>
  <c r="P116" i="38"/>
  <c r="O117" i="38"/>
  <c r="O364" i="38" s="1"/>
  <c r="P387" i="38"/>
  <c r="P363" i="38"/>
  <c r="P339" i="38"/>
  <c r="P316" i="38"/>
  <c r="P293" i="38"/>
  <c r="P269" i="38"/>
  <c r="P243" i="38"/>
  <c r="P219" i="38"/>
  <c r="P195" i="38"/>
  <c r="T387" i="38"/>
  <c r="T363" i="38"/>
  <c r="T339" i="38"/>
  <c r="T316" i="38"/>
  <c r="T293" i="38"/>
  <c r="T269" i="38"/>
  <c r="T243" i="38"/>
  <c r="T219" i="38"/>
  <c r="T195" i="38"/>
  <c r="X387" i="38"/>
  <c r="X363" i="38"/>
  <c r="X339" i="38"/>
  <c r="X316" i="38"/>
  <c r="X293" i="38"/>
  <c r="X269" i="38"/>
  <c r="X243" i="38"/>
  <c r="X219" i="38"/>
  <c r="X195" i="38"/>
  <c r="AB387" i="38"/>
  <c r="AB363" i="38"/>
  <c r="AB339" i="38"/>
  <c r="AB316" i="38"/>
  <c r="AB293" i="38"/>
  <c r="AB269" i="38"/>
  <c r="AB243" i="38"/>
  <c r="AB219" i="38"/>
  <c r="AB195" i="38"/>
  <c r="AF387" i="38"/>
  <c r="AF363" i="38"/>
  <c r="AF339" i="38"/>
  <c r="AF316" i="38"/>
  <c r="AF293" i="38"/>
  <c r="AF269" i="38"/>
  <c r="AF243" i="38"/>
  <c r="AF219" i="38"/>
  <c r="AF195" i="38"/>
  <c r="AJ387" i="38"/>
  <c r="AJ363" i="38"/>
  <c r="AJ339" i="38"/>
  <c r="AJ316" i="38"/>
  <c r="AJ293" i="38"/>
  <c r="AJ269" i="38"/>
  <c r="AJ243" i="38"/>
  <c r="AJ219" i="38"/>
  <c r="AJ195" i="38"/>
  <c r="P91" i="39"/>
  <c r="P92" i="39" s="1"/>
  <c r="P93" i="39" s="1"/>
  <c r="Q86" i="39" s="1"/>
  <c r="P24" i="39"/>
  <c r="P63" i="39" s="1"/>
  <c r="P28" i="39"/>
  <c r="F21" i="39" s="1"/>
  <c r="O72" i="39"/>
  <c r="O387" i="39"/>
  <c r="O363" i="39"/>
  <c r="O339" i="39"/>
  <c r="O316" i="39"/>
  <c r="O293" i="39"/>
  <c r="O269" i="39"/>
  <c r="O243" i="39"/>
  <c r="O219" i="39"/>
  <c r="O195" i="39"/>
  <c r="S387" i="39"/>
  <c r="S363" i="39"/>
  <c r="S339" i="39"/>
  <c r="S316" i="39"/>
  <c r="S293" i="39"/>
  <c r="S269" i="39"/>
  <c r="S243" i="39"/>
  <c r="S219" i="39"/>
  <c r="S195" i="39"/>
  <c r="W387" i="39"/>
  <c r="W363" i="39"/>
  <c r="W339" i="39"/>
  <c r="W316" i="39"/>
  <c r="W293" i="39"/>
  <c r="W269" i="39"/>
  <c r="W243" i="39"/>
  <c r="W219" i="39"/>
  <c r="W195" i="39"/>
  <c r="AA387" i="39"/>
  <c r="AA363" i="39"/>
  <c r="AA339" i="39"/>
  <c r="AA316" i="39"/>
  <c r="AA293" i="39"/>
  <c r="AA269" i="39"/>
  <c r="AA243" i="39"/>
  <c r="AA219" i="39"/>
  <c r="AA195" i="39"/>
  <c r="AE387" i="39"/>
  <c r="AE363" i="39"/>
  <c r="AE339" i="39"/>
  <c r="AE316" i="39"/>
  <c r="AE293" i="39"/>
  <c r="AE269" i="39"/>
  <c r="AE243" i="39"/>
  <c r="AE219" i="39"/>
  <c r="AE195" i="39"/>
  <c r="AI387" i="39"/>
  <c r="AI363" i="39"/>
  <c r="AI339" i="39"/>
  <c r="AI316" i="39"/>
  <c r="AI293" i="39"/>
  <c r="AI269" i="39"/>
  <c r="AI243" i="39"/>
  <c r="AI219" i="39"/>
  <c r="AI195" i="39"/>
  <c r="I310" i="11"/>
  <c r="E309" i="11"/>
  <c r="E310" i="11"/>
  <c r="K310" i="11"/>
  <c r="D305" i="11"/>
  <c r="C98" i="8" s="1"/>
  <c r="J310" i="11"/>
  <c r="H342" i="11"/>
  <c r="P13" i="39"/>
  <c r="P147" i="39" s="1"/>
  <c r="N129" i="39"/>
  <c r="O25" i="39"/>
  <c r="N25" i="39"/>
  <c r="N129" i="38"/>
  <c r="N25" i="38"/>
  <c r="P129" i="39"/>
  <c r="P84" i="39"/>
  <c r="P76" i="39"/>
  <c r="P84" i="38"/>
  <c r="AB766" i="11"/>
  <c r="AI138" i="38"/>
  <c r="AI71" i="38"/>
  <c r="N116" i="38"/>
  <c r="N109" i="38"/>
  <c r="N105" i="38"/>
  <c r="N220" i="38" s="1"/>
  <c r="N118" i="38"/>
  <c r="N388" i="38" s="1"/>
  <c r="N115" i="38"/>
  <c r="N340" i="38" s="1"/>
  <c r="N112" i="38"/>
  <c r="N294" i="38" s="1"/>
  <c r="N108" i="38"/>
  <c r="N104" i="38"/>
  <c r="N196" i="38" s="1"/>
  <c r="E216" i="54"/>
  <c r="P148" i="38"/>
  <c r="P145" i="38"/>
  <c r="P20" i="38"/>
  <c r="AL52" i="38"/>
  <c r="P104" i="38"/>
  <c r="P196" i="38" s="1"/>
  <c r="P105" i="38"/>
  <c r="P220" i="38" s="1"/>
  <c r="N113" i="38"/>
  <c r="N317" i="38" s="1"/>
  <c r="N116" i="39"/>
  <c r="N109" i="39"/>
  <c r="N105" i="39"/>
  <c r="N220" i="39" s="1"/>
  <c r="N118" i="39"/>
  <c r="N388" i="39" s="1"/>
  <c r="N115" i="39"/>
  <c r="N340" i="39" s="1"/>
  <c r="N112" i="39"/>
  <c r="N294" i="39" s="1"/>
  <c r="N108" i="39"/>
  <c r="N104" i="39"/>
  <c r="N196" i="39" s="1"/>
  <c r="N111" i="39"/>
  <c r="N270" i="39" s="1"/>
  <c r="N107" i="39"/>
  <c r="D352" i="11"/>
  <c r="D334" i="11"/>
  <c r="D316" i="11"/>
  <c r="D343" i="11"/>
  <c r="D325" i="11"/>
  <c r="D307" i="11"/>
  <c r="N12" i="14"/>
  <c r="B481" i="11"/>
  <c r="B482" i="11" s="1"/>
  <c r="B483" i="11" s="1"/>
  <c r="B484" i="11" s="1"/>
  <c r="B485" i="11" s="1"/>
  <c r="B486" i="11" s="1"/>
  <c r="B487" i="11" s="1"/>
  <c r="B488" i="11" s="1"/>
  <c r="B489" i="11" s="1"/>
  <c r="B490" i="11" s="1"/>
  <c r="B491" i="11" s="1"/>
  <c r="B492" i="11" s="1"/>
  <c r="B493" i="11" s="1"/>
  <c r="B494" i="11" s="1"/>
  <c r="B495" i="11" s="1"/>
  <c r="B496" i="11" s="1"/>
  <c r="B497" i="11" s="1"/>
  <c r="B498" i="11" s="1"/>
  <c r="B499" i="11" s="1"/>
  <c r="B500" i="11" s="1"/>
  <c r="B501" i="11" s="1"/>
  <c r="B502" i="11" s="1"/>
  <c r="B503" i="11" s="1"/>
  <c r="B504" i="11" s="1"/>
  <c r="B505" i="11" s="1"/>
  <c r="B506" i="11" s="1"/>
  <c r="B507" i="11" s="1"/>
  <c r="M767" i="11"/>
  <c r="T138" i="39"/>
  <c r="K63" i="10"/>
  <c r="H63" i="10" s="1"/>
  <c r="H64" i="10"/>
  <c r="H274" i="10"/>
  <c r="H445" i="10"/>
  <c r="H212" i="10"/>
  <c r="P106" i="34" s="1"/>
  <c r="O118" i="38"/>
  <c r="O388" i="38" s="1"/>
  <c r="O115" i="38"/>
  <c r="O340" i="38" s="1"/>
  <c r="O112" i="38"/>
  <c r="O294" i="38" s="1"/>
  <c r="O108" i="38"/>
  <c r="O104" i="38"/>
  <c r="O196" i="38" s="1"/>
  <c r="O107" i="38"/>
  <c r="O8" i="38"/>
  <c r="O24" i="38"/>
  <c r="O63" i="38" s="1"/>
  <c r="O64" i="38" s="1"/>
  <c r="O109" i="38"/>
  <c r="O113" i="38"/>
  <c r="O317" i="38" s="1"/>
  <c r="E216" i="55"/>
  <c r="P148" i="39"/>
  <c r="P145" i="39"/>
  <c r="P82" i="39"/>
  <c r="P81" i="39"/>
  <c r="N117" i="39"/>
  <c r="N364" i="39" s="1"/>
  <c r="O130" i="39"/>
  <c r="O6" i="39"/>
  <c r="I346" i="11"/>
  <c r="E345" i="11"/>
  <c r="E346" i="11"/>
  <c r="K346" i="11"/>
  <c r="D341" i="11"/>
  <c r="C102" i="8" s="1"/>
  <c r="O18" i="14"/>
  <c r="O29" i="14"/>
  <c r="O14" i="14"/>
  <c r="O7" i="14"/>
  <c r="C59" i="11"/>
  <c r="N128" i="39"/>
  <c r="N130" i="39" s="1"/>
  <c r="O21" i="39"/>
  <c r="O20" i="39" s="1"/>
  <c r="N21" i="39"/>
  <c r="N20" i="39" s="1"/>
  <c r="N128" i="38"/>
  <c r="P128" i="39"/>
  <c r="P130" i="39" s="1"/>
  <c r="H592" i="11"/>
  <c r="N45" i="14"/>
  <c r="B668" i="11"/>
  <c r="B669" i="11" s="1"/>
  <c r="B670" i="11" s="1"/>
  <c r="B671" i="11" s="1"/>
  <c r="B672" i="11" s="1"/>
  <c r="B673" i="11" s="1"/>
  <c r="B674" i="11" s="1"/>
  <c r="B675" i="11" s="1"/>
  <c r="B676" i="11" s="1"/>
  <c r="B677" i="11" s="1"/>
  <c r="B678" i="11" s="1"/>
  <c r="B679" i="11" s="1"/>
  <c r="B680" i="11" s="1"/>
  <c r="B681" i="11" s="1"/>
  <c r="B682" i="11" s="1"/>
  <c r="B683" i="11" s="1"/>
  <c r="B684" i="11" s="1"/>
  <c r="B685" i="11" s="1"/>
  <c r="B686" i="11" s="1"/>
  <c r="B687" i="11" s="1"/>
  <c r="B688" i="11" s="1"/>
  <c r="B689" i="11" s="1"/>
  <c r="B690" i="11" s="1"/>
  <c r="B691" i="11" s="1"/>
  <c r="B692" i="11" s="1"/>
  <c r="B693" i="11" s="1"/>
  <c r="B694" i="11" s="1"/>
  <c r="B695" i="11" s="1"/>
  <c r="B696" i="11" s="1"/>
  <c r="B697" i="11" s="1"/>
  <c r="B698" i="11" s="1"/>
  <c r="B699" i="11" s="1"/>
  <c r="B700" i="11" s="1"/>
  <c r="B701" i="11" s="1"/>
  <c r="B702" i="11" s="1"/>
  <c r="B703" i="11" s="1"/>
  <c r="B704" i="11" s="1"/>
  <c r="B705" i="11" s="1"/>
  <c r="B706" i="11" s="1"/>
  <c r="B707" i="11" s="1"/>
  <c r="B708" i="11" s="1"/>
  <c r="B709" i="11" s="1"/>
  <c r="B710" i="11" s="1"/>
  <c r="B711" i="11" s="1"/>
  <c r="B712" i="11" s="1"/>
  <c r="B713" i="11" s="1"/>
  <c r="B714" i="11" s="1"/>
  <c r="B715" i="11" s="1"/>
  <c r="B716" i="11" s="1"/>
  <c r="B717" i="11" s="1"/>
  <c r="B718" i="11" s="1"/>
  <c r="B719" i="11" s="1"/>
  <c r="B720" i="11" s="1"/>
  <c r="B721" i="11" s="1"/>
  <c r="B722" i="11" s="1"/>
  <c r="B723" i="11" s="1"/>
  <c r="B724" i="11" s="1"/>
  <c r="B725" i="11" s="1"/>
  <c r="B726" i="11" s="1"/>
  <c r="B727" i="11" s="1"/>
  <c r="B728" i="11" s="1"/>
  <c r="B729" i="11" s="1"/>
  <c r="B730" i="11" s="1"/>
  <c r="B731" i="11" s="1"/>
  <c r="B732" i="11" s="1"/>
  <c r="B733" i="11" s="1"/>
  <c r="B734" i="11" s="1"/>
  <c r="B735" i="11" s="1"/>
  <c r="B736" i="11" s="1"/>
  <c r="B737" i="11" s="1"/>
  <c r="B738" i="11" s="1"/>
  <c r="B739" i="11" s="1"/>
  <c r="B740" i="11" s="1"/>
  <c r="B741" i="11" s="1"/>
  <c r="B742" i="11" s="1"/>
  <c r="B743" i="11" s="1"/>
  <c r="B744" i="11" s="1"/>
  <c r="B745" i="11" s="1"/>
  <c r="B746" i="11" s="1"/>
  <c r="B747" i="11" s="1"/>
  <c r="B748" i="11" s="1"/>
  <c r="B749" i="11" s="1"/>
  <c r="O35" i="39"/>
  <c r="G691" i="11"/>
  <c r="O35" i="34" s="1"/>
  <c r="F63" i="10"/>
  <c r="O195" i="38"/>
  <c r="S195" i="38"/>
  <c r="W195" i="38"/>
  <c r="AA195" i="38"/>
  <c r="AE195" i="38"/>
  <c r="AI195" i="38"/>
  <c r="O219" i="38"/>
  <c r="S219" i="38"/>
  <c r="W219" i="38"/>
  <c r="AA219" i="38"/>
  <c r="AE219" i="38"/>
  <c r="AI219" i="38"/>
  <c r="O243" i="38"/>
  <c r="S243" i="38"/>
  <c r="W243" i="38"/>
  <c r="AA243" i="38"/>
  <c r="AE243" i="38"/>
  <c r="AI243" i="38"/>
  <c r="O269" i="38"/>
  <c r="S269" i="38"/>
  <c r="W269" i="38"/>
  <c r="AA269" i="38"/>
  <c r="AE269" i="38"/>
  <c r="AI269" i="38"/>
  <c r="O293" i="38"/>
  <c r="S293" i="38"/>
  <c r="W293" i="38"/>
  <c r="AA293" i="38"/>
  <c r="AE293" i="38"/>
  <c r="AI293" i="38"/>
  <c r="O316" i="38"/>
  <c r="S316" i="38"/>
  <c r="W316" i="38"/>
  <c r="AA316" i="38"/>
  <c r="AE316" i="38"/>
  <c r="AI316" i="38"/>
  <c r="O339" i="38"/>
  <c r="S339" i="38"/>
  <c r="W339" i="38"/>
  <c r="AA339" i="38"/>
  <c r="AE339" i="38"/>
  <c r="AI339" i="38"/>
  <c r="O363" i="38"/>
  <c r="S363" i="38"/>
  <c r="W363" i="38"/>
  <c r="AA363" i="38"/>
  <c r="AE363" i="38"/>
  <c r="AI363" i="38"/>
  <c r="P105" i="39"/>
  <c r="P220" i="39" s="1"/>
  <c r="O106" i="39"/>
  <c r="P109" i="39"/>
  <c r="O113" i="39"/>
  <c r="O317" i="39" s="1"/>
  <c r="P116" i="39"/>
  <c r="O117" i="39"/>
  <c r="O364" i="39" s="1"/>
  <c r="N195" i="39"/>
  <c r="R195" i="39"/>
  <c r="V195" i="39"/>
  <c r="Z195" i="39"/>
  <c r="AD195" i="39"/>
  <c r="AH195" i="39"/>
  <c r="N219" i="39"/>
  <c r="R219" i="39"/>
  <c r="V219" i="39"/>
  <c r="Z219" i="39"/>
  <c r="AD219" i="39"/>
  <c r="AH219" i="39"/>
  <c r="N243" i="39"/>
  <c r="R243" i="39"/>
  <c r="V243" i="39"/>
  <c r="Z243" i="39"/>
  <c r="AD243" i="39"/>
  <c r="AH243" i="39"/>
  <c r="N269" i="39"/>
  <c r="R269" i="39"/>
  <c r="V269" i="39"/>
  <c r="Z269" i="39"/>
  <c r="AD269" i="39"/>
  <c r="AH269" i="39"/>
  <c r="N293" i="39"/>
  <c r="R293" i="39"/>
  <c r="V293" i="39"/>
  <c r="Z293" i="39"/>
  <c r="AD293" i="39"/>
  <c r="AH293" i="39"/>
  <c r="N316" i="39"/>
  <c r="R316" i="39"/>
  <c r="V316" i="39"/>
  <c r="Z316" i="39"/>
  <c r="AD316" i="39"/>
  <c r="AH316" i="39"/>
  <c r="N339" i="39"/>
  <c r="R339" i="39"/>
  <c r="V339" i="39"/>
  <c r="Z339" i="39"/>
  <c r="AD339" i="39"/>
  <c r="AH339" i="39"/>
  <c r="N363" i="39"/>
  <c r="R363" i="39"/>
  <c r="V363" i="39"/>
  <c r="Z363" i="39"/>
  <c r="AD363" i="39"/>
  <c r="AH363" i="39"/>
  <c r="I206" i="11"/>
  <c r="I136" i="11"/>
  <c r="I415" i="11"/>
  <c r="I419" i="11" s="1"/>
  <c r="H525" i="11"/>
  <c r="H585" i="11"/>
  <c r="H594" i="11" s="1"/>
  <c r="H549" i="11"/>
  <c r="H558" i="11" s="1"/>
  <c r="F673" i="11"/>
  <c r="N33" i="34" s="1"/>
  <c r="G682" i="11"/>
  <c r="O34" i="34" s="1"/>
  <c r="H718" i="11"/>
  <c r="P41" i="34" s="1"/>
  <c r="F503" i="10"/>
  <c r="F560" i="10"/>
  <c r="F389" i="10"/>
  <c r="F332" i="10"/>
  <c r="F213" i="10"/>
  <c r="F275" i="10"/>
  <c r="F446" i="10"/>
  <c r="F877" i="11"/>
  <c r="F871" i="11"/>
  <c r="K450" i="10"/>
  <c r="O450" i="10"/>
  <c r="E171" i="38"/>
  <c r="P106" i="39"/>
  <c r="O107" i="39"/>
  <c r="P113" i="39"/>
  <c r="P317" i="39" s="1"/>
  <c r="AB13" i="11"/>
  <c r="H351" i="11"/>
  <c r="I417" i="11"/>
  <c r="H880" i="11"/>
  <c r="H886" i="11"/>
  <c r="H778" i="11"/>
  <c r="H772" i="11"/>
  <c r="F292" i="10"/>
  <c r="F335" i="10" s="1"/>
  <c r="L335" i="10"/>
  <c r="L312" i="10"/>
  <c r="G292" i="10"/>
  <c r="G335" i="10" s="1"/>
  <c r="P335" i="10"/>
  <c r="P312" i="10"/>
  <c r="T335" i="10"/>
  <c r="T312" i="10"/>
  <c r="M370" i="10"/>
  <c r="M396" i="10" s="1"/>
  <c r="G350" i="10"/>
  <c r="U370" i="10"/>
  <c r="U396" i="10" s="1"/>
  <c r="I370" i="10"/>
  <c r="F350" i="10"/>
  <c r="K449" i="10"/>
  <c r="K427" i="10"/>
  <c r="H407" i="10"/>
  <c r="F407" i="10"/>
  <c r="O449" i="10"/>
  <c r="O427" i="10"/>
  <c r="O453" i="10" s="1"/>
  <c r="S449" i="10"/>
  <c r="S427" i="10"/>
  <c r="S453" i="10" s="1"/>
  <c r="G407" i="10"/>
  <c r="W449" i="10"/>
  <c r="W427" i="10"/>
  <c r="G464" i="10"/>
  <c r="P506" i="10"/>
  <c r="P484" i="10"/>
  <c r="P510" i="10" s="1"/>
  <c r="T506" i="10"/>
  <c r="T484" i="10"/>
  <c r="L506" i="10"/>
  <c r="AL52" i="39"/>
  <c r="O104" i="39"/>
  <c r="O196" i="39" s="1"/>
  <c r="P107" i="39"/>
  <c r="O108" i="39"/>
  <c r="O112" i="39"/>
  <c r="O294" i="39" s="1"/>
  <c r="O115" i="39"/>
  <c r="O340" i="39" s="1"/>
  <c r="E171" i="39"/>
  <c r="K319" i="11"/>
  <c r="D314" i="11"/>
  <c r="C99" i="8" s="1"/>
  <c r="J319" i="11"/>
  <c r="I319" i="11"/>
  <c r="E318" i="11"/>
  <c r="K337" i="11"/>
  <c r="D332" i="11"/>
  <c r="C101" i="8" s="1"/>
  <c r="J337" i="11"/>
  <c r="I337" i="11"/>
  <c r="E336" i="11"/>
  <c r="K355" i="11"/>
  <c r="D350" i="11"/>
  <c r="C103" i="8" s="1"/>
  <c r="J355" i="11"/>
  <c r="I355" i="11"/>
  <c r="E354" i="11"/>
  <c r="G148" i="11"/>
  <c r="E355" i="11"/>
  <c r="H593" i="11"/>
  <c r="G543" i="11"/>
  <c r="O23" i="34" s="1"/>
  <c r="O24" i="34" s="1"/>
  <c r="O63" i="34" s="1"/>
  <c r="H579" i="11"/>
  <c r="H673" i="11"/>
  <c r="P33" i="34" s="1"/>
  <c r="F718" i="11"/>
  <c r="N41" i="34" s="1"/>
  <c r="F768" i="11"/>
  <c r="AD764" i="11"/>
  <c r="AL138" i="36" s="1"/>
  <c r="F64" i="10"/>
  <c r="H249" i="10"/>
  <c r="N255" i="10"/>
  <c r="W540" i="10"/>
  <c r="W564" i="10" s="1"/>
  <c r="I272" i="11"/>
  <c r="D310" i="11"/>
  <c r="D317" i="11"/>
  <c r="D328" i="11"/>
  <c r="D335" i="11"/>
  <c r="D346" i="11"/>
  <c r="D353" i="11"/>
  <c r="H550" i="11"/>
  <c r="H559" i="11" s="1"/>
  <c r="H768" i="11"/>
  <c r="G63" i="10"/>
  <c r="Q508" i="10"/>
  <c r="Q218" i="10"/>
  <c r="H847" i="11" s="1"/>
  <c r="Q34" i="10"/>
  <c r="Q565" i="10"/>
  <c r="Q394" i="10"/>
  <c r="F502" i="10"/>
  <c r="F559" i="10"/>
  <c r="F445" i="10"/>
  <c r="F274" i="10"/>
  <c r="F212" i="10"/>
  <c r="N106" i="34" s="1"/>
  <c r="F388" i="10"/>
  <c r="K102" i="10"/>
  <c r="K147" i="10"/>
  <c r="H147" i="10" s="1"/>
  <c r="K146" i="10"/>
  <c r="H146" i="10" s="1"/>
  <c r="K145" i="10"/>
  <c r="H145" i="10" s="1"/>
  <c r="K558" i="10"/>
  <c r="H517" i="10"/>
  <c r="H558" i="10" s="1"/>
  <c r="K521" i="10"/>
  <c r="Q256" i="10"/>
  <c r="U256" i="10"/>
  <c r="U282" i="10" s="1"/>
  <c r="I279" i="10"/>
  <c r="F255" i="10"/>
  <c r="F279" i="10" s="1"/>
  <c r="M279" i="10"/>
  <c r="G255" i="10"/>
  <c r="G279" i="10" s="1"/>
  <c r="Q278" i="10"/>
  <c r="P427" i="10"/>
  <c r="P453" i="10" s="1"/>
  <c r="P450" i="10"/>
  <c r="T427" i="10"/>
  <c r="T450" i="10"/>
  <c r="G426" i="10"/>
  <c r="G450" i="10" s="1"/>
  <c r="I453" i="10"/>
  <c r="Q451" i="10"/>
  <c r="I507" i="10"/>
  <c r="F483" i="10"/>
  <c r="F507" i="10" s="1"/>
  <c r="Q507" i="10"/>
  <c r="H483" i="10"/>
  <c r="H507" i="10" s="1"/>
  <c r="W521" i="10"/>
  <c r="P540" i="10"/>
  <c r="P564" i="10" s="1"/>
  <c r="I811" i="10"/>
  <c r="X768" i="10"/>
  <c r="I823" i="10"/>
  <c r="Q14" i="12"/>
  <c r="M14" i="12"/>
  <c r="I14" i="12"/>
  <c r="P14" i="12"/>
  <c r="L14" i="12"/>
  <c r="H14" i="12"/>
  <c r="O14" i="12"/>
  <c r="K14" i="12"/>
  <c r="J14" i="12"/>
  <c r="H82" i="1"/>
  <c r="I80" i="1" s="1"/>
  <c r="N14" i="12"/>
  <c r="N57" i="12"/>
  <c r="N48" i="12"/>
  <c r="N64" i="12" s="1"/>
  <c r="D327" i="11"/>
  <c r="H543" i="11"/>
  <c r="P23" i="34" s="1"/>
  <c r="P90" i="34" s="1"/>
  <c r="I768" i="11"/>
  <c r="J763" i="11"/>
  <c r="F508" i="10"/>
  <c r="F565" i="10"/>
  <c r="F218" i="10"/>
  <c r="N112" i="34" s="1"/>
  <c r="N294" i="34" s="1"/>
  <c r="F394" i="10"/>
  <c r="F451" i="10"/>
  <c r="F337" i="10"/>
  <c r="F280" i="10"/>
  <c r="J40" i="10"/>
  <c r="G40" i="10" s="1"/>
  <c r="G41" i="10"/>
  <c r="H41" i="10"/>
  <c r="N40" i="10"/>
  <c r="H40" i="10" s="1"/>
  <c r="G877" i="11"/>
  <c r="G871" i="11"/>
  <c r="L101" i="10"/>
  <c r="F96" i="10"/>
  <c r="G96" i="10"/>
  <c r="P101" i="10"/>
  <c r="P102" i="10" s="1"/>
  <c r="T101" i="10"/>
  <c r="T102" i="10" s="1"/>
  <c r="J102" i="10"/>
  <c r="G101" i="10"/>
  <c r="G102" i="10" s="1"/>
  <c r="O534" i="10"/>
  <c r="O193" i="10"/>
  <c r="S534" i="10"/>
  <c r="S540" i="10" s="1"/>
  <c r="S564" i="10" s="1"/>
  <c r="S193" i="10"/>
  <c r="W534" i="10"/>
  <c r="H187" i="10"/>
  <c r="W193" i="10"/>
  <c r="W217" i="10" s="1"/>
  <c r="H840" i="11" s="1"/>
  <c r="W194" i="10"/>
  <c r="W220" i="10" s="1"/>
  <c r="H867" i="11" s="1"/>
  <c r="G210" i="10"/>
  <c r="G225" i="10"/>
  <c r="J591" i="10"/>
  <c r="G782" i="11"/>
  <c r="G786" i="11"/>
  <c r="V591" i="10"/>
  <c r="U278" i="10"/>
  <c r="Q280" i="10"/>
  <c r="F331" i="10"/>
  <c r="L539" i="10"/>
  <c r="F539" i="10" s="1"/>
  <c r="L392" i="10"/>
  <c r="F368" i="10"/>
  <c r="F392" i="10" s="1"/>
  <c r="P539" i="10"/>
  <c r="G368" i="10"/>
  <c r="G392" i="10" s="1"/>
  <c r="P392" i="10"/>
  <c r="T539" i="10"/>
  <c r="T540" i="10" s="1"/>
  <c r="T564" i="10" s="1"/>
  <c r="T392" i="10"/>
  <c r="Q426" i="10"/>
  <c r="H420" i="10"/>
  <c r="F420" i="10"/>
  <c r="U426" i="10"/>
  <c r="F426" i="10" s="1"/>
  <c r="F450" i="10" s="1"/>
  <c r="F500" i="10"/>
  <c r="G483" i="10"/>
  <c r="G507" i="10" s="1"/>
  <c r="I565" i="10"/>
  <c r="F65" i="1"/>
  <c r="F61" i="1"/>
  <c r="F66" i="1"/>
  <c r="F62" i="1"/>
  <c r="F68" i="1"/>
  <c r="F63" i="1"/>
  <c r="F64" i="1"/>
  <c r="F67" i="1"/>
  <c r="D308" i="11"/>
  <c r="D319" i="11"/>
  <c r="D326" i="11"/>
  <c r="D337" i="11"/>
  <c r="H548" i="11"/>
  <c r="K49" i="10"/>
  <c r="H50" i="10"/>
  <c r="W224" i="10"/>
  <c r="W49" i="10"/>
  <c r="W223" i="10"/>
  <c r="H894" i="11" s="1"/>
  <c r="G64" i="10"/>
  <c r="H877" i="11"/>
  <c r="H871" i="11"/>
  <c r="F131" i="10"/>
  <c r="V520" i="10"/>
  <c r="V174" i="10"/>
  <c r="G173" i="10"/>
  <c r="U216" i="10"/>
  <c r="F831" i="11" s="1"/>
  <c r="U194" i="10"/>
  <c r="U220" i="10" s="1"/>
  <c r="F867" i="11" s="1"/>
  <c r="I193" i="10"/>
  <c r="G211" i="10"/>
  <c r="O105" i="34" s="1"/>
  <c r="O220" i="34" s="1"/>
  <c r="I256" i="10"/>
  <c r="F236" i="10"/>
  <c r="F278" i="10" s="1"/>
  <c r="I278" i="10"/>
  <c r="Q337" i="10"/>
  <c r="F386" i="10"/>
  <c r="L370" i="10"/>
  <c r="L396" i="10" s="1"/>
  <c r="P370" i="10"/>
  <c r="P396" i="10" s="1"/>
  <c r="T370" i="10"/>
  <c r="H370" i="10" s="1"/>
  <c r="J396" i="10"/>
  <c r="I534" i="10"/>
  <c r="F534" i="10" s="1"/>
  <c r="G508" i="10"/>
  <c r="T34" i="10"/>
  <c r="N49" i="10"/>
  <c r="G559" i="10"/>
  <c r="H116" i="10"/>
  <c r="H118" i="10"/>
  <c r="H120" i="10"/>
  <c r="H122" i="10"/>
  <c r="K504" i="10"/>
  <c r="K561" i="10"/>
  <c r="G503" i="10"/>
  <c r="G560" i="10"/>
  <c r="K152" i="10"/>
  <c r="K154" i="10"/>
  <c r="K156" i="10"/>
  <c r="T558" i="10"/>
  <c r="T521" i="10"/>
  <c r="N174" i="10"/>
  <c r="G534" i="10"/>
  <c r="J193" i="10"/>
  <c r="R193" i="10"/>
  <c r="V193" i="10"/>
  <c r="V217" i="10" s="1"/>
  <c r="G840" i="11" s="1"/>
  <c r="L194" i="10"/>
  <c r="L220" i="10" s="1"/>
  <c r="F864" i="11" s="1"/>
  <c r="P194" i="10"/>
  <c r="P220" i="10" s="1"/>
  <c r="G865" i="11" s="1"/>
  <c r="T194" i="10"/>
  <c r="T220" i="10" s="1"/>
  <c r="H866" i="11" s="1"/>
  <c r="H214" i="10"/>
  <c r="T218" i="10"/>
  <c r="H848" i="11" s="1"/>
  <c r="I558" i="10"/>
  <c r="F517" i="10"/>
  <c r="F558" i="10" s="1"/>
  <c r="I521" i="10"/>
  <c r="J236" i="10"/>
  <c r="L256" i="10"/>
  <c r="L282" i="10" s="1"/>
  <c r="P256" i="10"/>
  <c r="P282" i="10" s="1"/>
  <c r="T256" i="10"/>
  <c r="G275" i="10"/>
  <c r="K276" i="10"/>
  <c r="N280" i="10"/>
  <c r="G331" i="10"/>
  <c r="H333" i="10"/>
  <c r="N337" i="10"/>
  <c r="K392" i="10"/>
  <c r="O392" i="10"/>
  <c r="S392" i="10"/>
  <c r="W392" i="10"/>
  <c r="J427" i="10"/>
  <c r="N427" i="10"/>
  <c r="R427" i="10"/>
  <c r="R453" i="10" s="1"/>
  <c r="V427" i="10"/>
  <c r="V453" i="10" s="1"/>
  <c r="G446" i="10"/>
  <c r="K447" i="10"/>
  <c r="N451" i="10"/>
  <c r="I506" i="10"/>
  <c r="F524" i="10"/>
  <c r="M540" i="10"/>
  <c r="M564" i="10" s="1"/>
  <c r="Q540" i="10"/>
  <c r="Q564" i="10" s="1"/>
  <c r="F525" i="10"/>
  <c r="G526" i="10"/>
  <c r="G565" i="10" s="1"/>
  <c r="H528" i="10"/>
  <c r="F531" i="10"/>
  <c r="F533" i="10"/>
  <c r="F536" i="10"/>
  <c r="K540" i="10"/>
  <c r="F548" i="10"/>
  <c r="G549" i="10"/>
  <c r="G574" i="10"/>
  <c r="G582" i="10" s="1"/>
  <c r="H581" i="10"/>
  <c r="H580" i="10"/>
  <c r="Q597" i="10"/>
  <c r="J768" i="10"/>
  <c r="X756" i="10"/>
  <c r="I769" i="10"/>
  <c r="I810" i="10"/>
  <c r="I812" i="10" s="1"/>
  <c r="Q200" i="12"/>
  <c r="Q56" i="12"/>
  <c r="Q63" i="12"/>
  <c r="Q47" i="12"/>
  <c r="H33" i="10"/>
  <c r="W508" i="10"/>
  <c r="W565" i="10"/>
  <c r="I34" i="10"/>
  <c r="I50" i="10"/>
  <c r="T597" i="10"/>
  <c r="H502" i="10"/>
  <c r="G504" i="10"/>
  <c r="G561" i="10"/>
  <c r="H138" i="10"/>
  <c r="H503" i="10"/>
  <c r="H560" i="10"/>
  <c r="K149" i="10"/>
  <c r="H149" i="10" s="1"/>
  <c r="H170" i="10"/>
  <c r="G187" i="10"/>
  <c r="K193" i="10"/>
  <c r="H211" i="10"/>
  <c r="P105" i="34" s="1"/>
  <c r="P220" i="34" s="1"/>
  <c r="G213" i="10"/>
  <c r="O107" i="34" s="1"/>
  <c r="T224" i="10"/>
  <c r="H902" i="11" s="1"/>
  <c r="J563" i="10"/>
  <c r="K236" i="10"/>
  <c r="H275" i="10"/>
  <c r="G276" i="10"/>
  <c r="G280" i="10"/>
  <c r="W280" i="10"/>
  <c r="H282" i="10"/>
  <c r="I312" i="10"/>
  <c r="F312" i="10" s="1"/>
  <c r="M312" i="10"/>
  <c r="G312" i="10" s="1"/>
  <c r="Q312" i="10"/>
  <c r="H312" i="10" s="1"/>
  <c r="U312" i="10"/>
  <c r="H331" i="10"/>
  <c r="G337" i="10"/>
  <c r="W337" i="10"/>
  <c r="H339" i="10"/>
  <c r="G539" i="10"/>
  <c r="G388" i="10"/>
  <c r="H390" i="10"/>
  <c r="H446" i="10"/>
  <c r="G447" i="10"/>
  <c r="G451" i="10"/>
  <c r="W451" i="10"/>
  <c r="F464" i="10"/>
  <c r="F506" i="10" s="1"/>
  <c r="J506" i="10"/>
  <c r="I484" i="10"/>
  <c r="M484" i="10"/>
  <c r="Q484" i="10"/>
  <c r="U484" i="10"/>
  <c r="U510" i="10" s="1"/>
  <c r="T508" i="10"/>
  <c r="G517" i="10"/>
  <c r="G518" i="10"/>
  <c r="F520" i="10"/>
  <c r="O521" i="10"/>
  <c r="J540" i="10"/>
  <c r="R540" i="10"/>
  <c r="R564" i="10" s="1"/>
  <c r="V540" i="10"/>
  <c r="V564" i="10" s="1"/>
  <c r="H526" i="10"/>
  <c r="G532" i="10"/>
  <c r="G537" i="10"/>
  <c r="F544" i="10"/>
  <c r="G545" i="10"/>
  <c r="H549" i="10"/>
  <c r="F582" i="10"/>
  <c r="T580" i="10"/>
  <c r="K817" i="10"/>
  <c r="K811" i="10"/>
  <c r="Z768" i="10"/>
  <c r="K823" i="10"/>
  <c r="G169" i="12"/>
  <c r="P9" i="13"/>
  <c r="Q9" i="13" s="1"/>
  <c r="F14" i="1"/>
  <c r="F16" i="12"/>
  <c r="N16" i="12"/>
  <c r="N47" i="12"/>
  <c r="N63" i="12"/>
  <c r="G92" i="12"/>
  <c r="N508" i="10"/>
  <c r="N565" i="10"/>
  <c r="J34" i="10"/>
  <c r="N34" i="10"/>
  <c r="J50" i="10"/>
  <c r="H561" i="10"/>
  <c r="K153" i="10"/>
  <c r="K159" i="10" s="1"/>
  <c r="K160" i="10" s="1"/>
  <c r="K155" i="10"/>
  <c r="N534" i="10"/>
  <c r="H534" i="10" s="1"/>
  <c r="G212" i="10"/>
  <c r="H213" i="10"/>
  <c r="P107" i="34" s="1"/>
  <c r="K214" i="10"/>
  <c r="H809" i="11" s="1"/>
  <c r="N218" i="10"/>
  <c r="H846" i="11" s="1"/>
  <c r="K222" i="10"/>
  <c r="H881" i="11" s="1"/>
  <c r="Q223" i="10"/>
  <c r="H892" i="11" s="1"/>
  <c r="G274" i="10"/>
  <c r="H276" i="10"/>
  <c r="T280" i="10"/>
  <c r="G332" i="10"/>
  <c r="K333" i="10"/>
  <c r="T337" i="10"/>
  <c r="H539" i="10"/>
  <c r="H388" i="10"/>
  <c r="G394" i="10"/>
  <c r="W394" i="10"/>
  <c r="G445" i="10"/>
  <c r="H447" i="10"/>
  <c r="T451" i="10"/>
  <c r="G501" i="10"/>
  <c r="W506" i="10"/>
  <c r="W484" i="10"/>
  <c r="H484" i="10" s="1"/>
  <c r="G502" i="10"/>
  <c r="V521" i="10"/>
  <c r="K557" i="10"/>
  <c r="H519" i="10"/>
  <c r="H557" i="10" s="1"/>
  <c r="G520" i="10"/>
  <c r="S521" i="10"/>
  <c r="J558" i="10"/>
  <c r="H559" i="10"/>
  <c r="O769" i="10"/>
  <c r="S769" i="10"/>
  <c r="W769" i="10"/>
  <c r="K816" i="10"/>
  <c r="K814" i="10" s="1"/>
  <c r="J888" i="10"/>
  <c r="I955" i="10"/>
  <c r="F45" i="1"/>
  <c r="F41" i="1"/>
  <c r="F42" i="1"/>
  <c r="F38" i="1"/>
  <c r="F39" i="1"/>
  <c r="F40" i="1"/>
  <c r="F43" i="1"/>
  <c r="G233" i="12"/>
  <c r="I112" i="1"/>
  <c r="N49" i="12"/>
  <c r="N58" i="12"/>
  <c r="N65" i="12" s="1"/>
  <c r="L521" i="10"/>
  <c r="P521" i="10"/>
  <c r="J565" i="10"/>
  <c r="Q580" i="10"/>
  <c r="K581" i="10"/>
  <c r="W581" i="10"/>
  <c r="I582" i="10"/>
  <c r="Q582" i="10"/>
  <c r="I798" i="10"/>
  <c r="I797" i="10" s="1"/>
  <c r="K802" i="10"/>
  <c r="K801" i="10" s="1"/>
  <c r="I817" i="10"/>
  <c r="I857" i="10"/>
  <c r="P10" i="13"/>
  <c r="Q10" i="13" s="1"/>
  <c r="G170" i="12"/>
  <c r="Q12" i="12"/>
  <c r="M12" i="12"/>
  <c r="I12" i="12"/>
  <c r="P12" i="12"/>
  <c r="L12" i="12"/>
  <c r="H12" i="12"/>
  <c r="O12" i="12"/>
  <c r="K12" i="12"/>
  <c r="Q204" i="12"/>
  <c r="Q51" i="12"/>
  <c r="M521" i="10"/>
  <c r="U521" i="10"/>
  <c r="G524" i="10"/>
  <c r="K565" i="10"/>
  <c r="H567" i="10"/>
  <c r="N580" i="10"/>
  <c r="J582" i="10"/>
  <c r="K598" i="10"/>
  <c r="H598" i="10" s="1"/>
  <c r="Z747" i="10"/>
  <c r="K751" i="10"/>
  <c r="K924" i="10"/>
  <c r="P7" i="13"/>
  <c r="G167" i="12"/>
  <c r="G15" i="1"/>
  <c r="P11" i="13"/>
  <c r="Q11" i="13" s="1"/>
  <c r="G171" i="12"/>
  <c r="J16" i="12"/>
  <c r="Q60" i="12"/>
  <c r="Q67" i="12" s="1"/>
  <c r="W580" i="10"/>
  <c r="K798" i="10"/>
  <c r="K797" i="10" s="1"/>
  <c r="K888" i="10"/>
  <c r="J887" i="10"/>
  <c r="Q202" i="12"/>
  <c r="Q49" i="12"/>
  <c r="Q65" i="12" s="1"/>
  <c r="Q58" i="12"/>
  <c r="F92" i="1"/>
  <c r="G91" i="1"/>
  <c r="J12" i="12"/>
  <c r="N60" i="12"/>
  <c r="N51" i="12"/>
  <c r="N67" i="12" s="1"/>
  <c r="G203" i="12"/>
  <c r="K200" i="12"/>
  <c r="K202" i="12"/>
  <c r="K65" i="12"/>
  <c r="K15" i="12"/>
  <c r="O15" i="12"/>
  <c r="G93" i="12"/>
  <c r="K56" i="12"/>
  <c r="O56" i="12"/>
  <c r="G201" i="12"/>
  <c r="H11" i="12"/>
  <c r="H107" i="12" s="1"/>
  <c r="L11" i="12"/>
  <c r="P11" i="12"/>
  <c r="H13" i="12"/>
  <c r="L13" i="12"/>
  <c r="P13" i="12"/>
  <c r="H15" i="12"/>
  <c r="H111" i="12" s="1"/>
  <c r="L15" i="12"/>
  <c r="P15" i="12"/>
  <c r="G90" i="12"/>
  <c r="H23" i="12"/>
  <c r="G94" i="12"/>
  <c r="H28" i="12"/>
  <c r="H31" i="12"/>
  <c r="H32" i="12"/>
  <c r="K47" i="12"/>
  <c r="K63" i="12" s="1"/>
  <c r="O47" i="12"/>
  <c r="O63" i="12" s="1"/>
  <c r="E68" i="12"/>
  <c r="J112" i="1"/>
  <c r="I11" i="12"/>
  <c r="M11" i="12"/>
  <c r="I13" i="12"/>
  <c r="M13" i="12"/>
  <c r="I15" i="12"/>
  <c r="M15" i="12"/>
  <c r="H20" i="12"/>
  <c r="G91" i="12"/>
  <c r="H24" i="12"/>
  <c r="K58" i="12"/>
  <c r="O58" i="12"/>
  <c r="O65" i="12" s="1"/>
  <c r="H155" i="12"/>
  <c r="H158" i="12"/>
  <c r="G197" i="12"/>
  <c r="G200" i="12"/>
  <c r="G202" i="12"/>
  <c r="G204" i="12"/>
  <c r="M12" i="13"/>
  <c r="M13" i="13"/>
  <c r="H159" i="12"/>
  <c r="M11" i="13"/>
  <c r="M15" i="13"/>
  <c r="N33" i="6"/>
  <c r="P88" i="39"/>
  <c r="AL88" i="39" s="1"/>
  <c r="E35" i="26"/>
  <c r="E26" i="26"/>
  <c r="E34" i="26"/>
  <c r="E25" i="26"/>
  <c r="E33" i="26"/>
  <c r="E39" i="26"/>
  <c r="E32" i="26"/>
  <c r="E30" i="26"/>
  <c r="E41" i="26"/>
  <c r="E31" i="26"/>
  <c r="E40" i="26"/>
  <c r="E29" i="26"/>
  <c r="E36" i="26"/>
  <c r="E27" i="26"/>
  <c r="E28" i="26"/>
  <c r="F34" i="26"/>
  <c r="F25" i="26"/>
  <c r="F36" i="26"/>
  <c r="F33" i="26"/>
  <c r="F41" i="26"/>
  <c r="F27" i="26"/>
  <c r="F32" i="26"/>
  <c r="F40" i="26"/>
  <c r="F30" i="26"/>
  <c r="F31" i="26"/>
  <c r="F39" i="26"/>
  <c r="F29" i="26"/>
  <c r="F28" i="26"/>
  <c r="F35" i="26"/>
  <c r="F26" i="26"/>
  <c r="G40" i="26"/>
  <c r="G30" i="26"/>
  <c r="G39" i="26"/>
  <c r="G29" i="26"/>
  <c r="G36" i="26"/>
  <c r="G28" i="26"/>
  <c r="G35" i="26"/>
  <c r="G27" i="26"/>
  <c r="G32" i="26"/>
  <c r="G34" i="26"/>
  <c r="G26" i="26"/>
  <c r="G33" i="26"/>
  <c r="G25" i="26"/>
  <c r="G41" i="26"/>
  <c r="G31" i="26"/>
  <c r="H41" i="26"/>
  <c r="H31" i="26"/>
  <c r="H40" i="26"/>
  <c r="H30" i="26"/>
  <c r="H39" i="26"/>
  <c r="H29" i="26"/>
  <c r="H36" i="26"/>
  <c r="H28" i="26"/>
  <c r="H35" i="26"/>
  <c r="H27" i="26"/>
  <c r="H25" i="26"/>
  <c r="H34" i="26"/>
  <c r="H26" i="26"/>
  <c r="H33" i="26"/>
  <c r="H32" i="26"/>
  <c r="H401" i="11"/>
  <c r="P86" i="37"/>
  <c r="P87" i="37" s="1"/>
  <c r="P87" i="38"/>
  <c r="P94" i="37"/>
  <c r="G17" i="6"/>
  <c r="F10" i="24" s="1"/>
  <c r="H17" i="6"/>
  <c r="G10" i="24" s="1"/>
  <c r="I17" i="6"/>
  <c r="H10" i="24" s="1"/>
  <c r="D11" i="49"/>
  <c r="P13" i="16"/>
  <c r="P147" i="16" s="1"/>
  <c r="Y13" i="11"/>
  <c r="P88" i="35"/>
  <c r="AL88" i="35" s="1"/>
  <c r="C18" i="48"/>
  <c r="C18" i="47"/>
  <c r="H570" i="11"/>
  <c r="C18" i="46"/>
  <c r="C18" i="45"/>
  <c r="P87" i="36"/>
  <c r="C18" i="44"/>
  <c r="Q13" i="11"/>
  <c r="V13" i="11"/>
  <c r="P88" i="36"/>
  <c r="AL88" i="36" s="1"/>
  <c r="U13" i="11"/>
  <c r="P88" i="38"/>
  <c r="AL88" i="38" s="1"/>
  <c r="D5" i="24"/>
  <c r="AC13" i="11"/>
  <c r="R37" i="34"/>
  <c r="M17" i="6"/>
  <c r="E138" i="24" s="1"/>
  <c r="I13" i="11"/>
  <c r="I43" i="11" s="1"/>
  <c r="N17" i="6"/>
  <c r="F138" i="24" s="1"/>
  <c r="M13" i="11"/>
  <c r="E42" i="6"/>
  <c r="AL86" i="39"/>
  <c r="N13" i="11"/>
  <c r="P43" i="16"/>
  <c r="Q1" i="16"/>
  <c r="N25" i="16"/>
  <c r="H24" i="26"/>
  <c r="Y244" i="11"/>
  <c r="Q244" i="11"/>
  <c r="V243" i="11"/>
  <c r="AA242" i="11"/>
  <c r="S242" i="11"/>
  <c r="X241" i="11"/>
  <c r="AC240" i="11"/>
  <c r="U240" i="11"/>
  <c r="Y235" i="11"/>
  <c r="Y345" i="11" s="1"/>
  <c r="Q235" i="11"/>
  <c r="Q345" i="11" s="1"/>
  <c r="AC234" i="11"/>
  <c r="AC336" i="11" s="1"/>
  <c r="U234" i="11"/>
  <c r="U336" i="11" s="1"/>
  <c r="Y233" i="11"/>
  <c r="Y327" i="11" s="1"/>
  <c r="Q233" i="11"/>
  <c r="Q327" i="11" s="1"/>
  <c r="AC232" i="11"/>
  <c r="AC318" i="11" s="1"/>
  <c r="U232" i="11"/>
  <c r="U318" i="11" s="1"/>
  <c r="Z231" i="11"/>
  <c r="R231" i="11"/>
  <c r="X182" i="11"/>
  <c r="X244" i="11"/>
  <c r="AC243" i="11"/>
  <c r="U243" i="11"/>
  <c r="Z242" i="11"/>
  <c r="R242" i="11"/>
  <c r="W241" i="11"/>
  <c r="T240" i="11"/>
  <c r="X235" i="11"/>
  <c r="X345" i="11" s="1"/>
  <c r="T234" i="11"/>
  <c r="T336" i="11" s="1"/>
  <c r="X233" i="11"/>
  <c r="X327" i="11" s="1"/>
  <c r="T232" i="11"/>
  <c r="T318" i="11" s="1"/>
  <c r="Y231" i="11"/>
  <c r="Q231" i="11"/>
  <c r="W182" i="11"/>
  <c r="W244" i="11"/>
  <c r="T243" i="11"/>
  <c r="Y242" i="11"/>
  <c r="Q242" i="11"/>
  <c r="V241" i="11"/>
  <c r="AA240" i="11"/>
  <c r="S240" i="11"/>
  <c r="W235" i="11"/>
  <c r="W345" i="11" s="1"/>
  <c r="AA234" i="11"/>
  <c r="AA336" i="11" s="1"/>
  <c r="S234" i="11"/>
  <c r="S336" i="11" s="1"/>
  <c r="W233" i="11"/>
  <c r="W327" i="11" s="1"/>
  <c r="AA232" i="11"/>
  <c r="AA318" i="11" s="1"/>
  <c r="S232" i="11"/>
  <c r="S318" i="11" s="1"/>
  <c r="X231" i="11"/>
  <c r="V182" i="11"/>
  <c r="V244" i="11"/>
  <c r="AA243" i="11"/>
  <c r="S243" i="11"/>
  <c r="X242" i="11"/>
  <c r="AC241" i="11"/>
  <c r="U241" i="11"/>
  <c r="Z240" i="11"/>
  <c r="R240" i="11"/>
  <c r="V235" i="11"/>
  <c r="V345" i="11" s="1"/>
  <c r="Z234" i="11"/>
  <c r="Z336" i="11" s="1"/>
  <c r="R234" i="11"/>
  <c r="R336" i="11" s="1"/>
  <c r="V233" i="11"/>
  <c r="V327" i="11" s="1"/>
  <c r="Z232" i="11"/>
  <c r="Z318" i="11" s="1"/>
  <c r="R232" i="11"/>
  <c r="R318" i="11" s="1"/>
  <c r="W231" i="11"/>
  <c r="AC182" i="11"/>
  <c r="U182" i="11"/>
  <c r="AC244" i="11"/>
  <c r="U244" i="11"/>
  <c r="Z243" i="11"/>
  <c r="R243" i="11"/>
  <c r="W242" i="11"/>
  <c r="T241" i="11"/>
  <c r="Y240" i="11"/>
  <c r="Q240" i="11"/>
  <c r="AC235" i="11"/>
  <c r="AC345" i="11" s="1"/>
  <c r="U235" i="11"/>
  <c r="U345" i="11" s="1"/>
  <c r="Y234" i="11"/>
  <c r="Y336" i="11" s="1"/>
  <c r="Q234" i="11"/>
  <c r="Q336" i="11" s="1"/>
  <c r="AC233" i="11"/>
  <c r="AC327" i="11" s="1"/>
  <c r="U233" i="11"/>
  <c r="U327" i="11" s="1"/>
  <c r="Y232" i="11"/>
  <c r="Y318" i="11" s="1"/>
  <c r="Q232" i="11"/>
  <c r="Q318" i="11" s="1"/>
  <c r="V231" i="11"/>
  <c r="AB182" i="11"/>
  <c r="T182" i="11"/>
  <c r="T244" i="11"/>
  <c r="Y243" i="11"/>
  <c r="Q243" i="11"/>
  <c r="V242" i="11"/>
  <c r="AA241" i="11"/>
  <c r="S241" i="11"/>
  <c r="X240" i="11"/>
  <c r="T235" i="11"/>
  <c r="T345" i="11" s="1"/>
  <c r="X234" i="11"/>
  <c r="T233" i="11"/>
  <c r="T327" i="11" s="1"/>
  <c r="X232" i="11"/>
  <c r="X318" i="11" s="1"/>
  <c r="AC231" i="11"/>
  <c r="U231" i="11"/>
  <c r="AA182" i="11"/>
  <c r="S182" i="11"/>
  <c r="Z244" i="11"/>
  <c r="R244" i="11"/>
  <c r="W243" i="11"/>
  <c r="T242" i="11"/>
  <c r="Y241" i="11"/>
  <c r="Q241" i="11"/>
  <c r="V240" i="11"/>
  <c r="Z235" i="11"/>
  <c r="Z345" i="11" s="1"/>
  <c r="R235" i="11"/>
  <c r="R345" i="11" s="1"/>
  <c r="V234" i="11"/>
  <c r="V336" i="11" s="1"/>
  <c r="Z233" i="11"/>
  <c r="Z327" i="11" s="1"/>
  <c r="R233" i="11"/>
  <c r="R327" i="11" s="1"/>
  <c r="V232" i="11"/>
  <c r="V318" i="11" s="1"/>
  <c r="AA231" i="11"/>
  <c r="S231" i="11"/>
  <c r="Y182" i="11"/>
  <c r="Q182" i="11"/>
  <c r="Z182" i="11"/>
  <c r="X156" i="11"/>
  <c r="W155" i="11"/>
  <c r="V154" i="11"/>
  <c r="AC153" i="11"/>
  <c r="U153" i="11"/>
  <c r="T152" i="11"/>
  <c r="X243" i="11"/>
  <c r="AA235" i="11"/>
  <c r="AA345" i="11" s="1"/>
  <c r="AA233" i="11"/>
  <c r="AA327" i="11" s="1"/>
  <c r="R182" i="11"/>
  <c r="W156" i="11"/>
  <c r="V155" i="11"/>
  <c r="AC154" i="11"/>
  <c r="U154" i="11"/>
  <c r="T153" i="11"/>
  <c r="AA152" i="11"/>
  <c r="S152" i="11"/>
  <c r="Z241" i="11"/>
  <c r="S235" i="11"/>
  <c r="S345" i="11" s="1"/>
  <c r="S233" i="11"/>
  <c r="S327" i="11" s="1"/>
  <c r="T231" i="11"/>
  <c r="V156" i="11"/>
  <c r="AC155" i="11"/>
  <c r="U155" i="11"/>
  <c r="T154" i="11"/>
  <c r="AA153" i="11"/>
  <c r="S153" i="11"/>
  <c r="Z152" i="11"/>
  <c r="R152" i="11"/>
  <c r="R241" i="11"/>
  <c r="AC156" i="11"/>
  <c r="U156" i="11"/>
  <c r="T155" i="11"/>
  <c r="AA154" i="11"/>
  <c r="S154" i="11"/>
  <c r="Z153" i="11"/>
  <c r="R153" i="11"/>
  <c r="Y152" i="11"/>
  <c r="Q152" i="11"/>
  <c r="T156" i="11"/>
  <c r="AA155" i="11"/>
  <c r="S155" i="11"/>
  <c r="Z154" i="11"/>
  <c r="R154" i="11"/>
  <c r="Y153" i="11"/>
  <c r="Q153" i="11"/>
  <c r="X152" i="11"/>
  <c r="Y156" i="11"/>
  <c r="Q156" i="11"/>
  <c r="X155" i="11"/>
  <c r="W154" i="11"/>
  <c r="V153" i="11"/>
  <c r="AC152" i="11"/>
  <c r="U152" i="11"/>
  <c r="S244" i="11"/>
  <c r="W152" i="11"/>
  <c r="X153" i="11"/>
  <c r="V152" i="11"/>
  <c r="W153" i="11"/>
  <c r="W240" i="11"/>
  <c r="Y154" i="11"/>
  <c r="AA156" i="11"/>
  <c r="Z155" i="11"/>
  <c r="X154" i="11"/>
  <c r="AC242" i="11"/>
  <c r="W232" i="11"/>
  <c r="W318" i="11" s="1"/>
  <c r="Z156" i="11"/>
  <c r="Y155" i="11"/>
  <c r="Q154" i="11"/>
  <c r="U242" i="11"/>
  <c r="S156" i="11"/>
  <c r="R155" i="11"/>
  <c r="AA244" i="11"/>
  <c r="W234" i="11"/>
  <c r="R156" i="11"/>
  <c r="Q155" i="11"/>
  <c r="I12" i="6"/>
  <c r="H5" i="24" s="1"/>
  <c r="G746" i="11"/>
  <c r="H743" i="11"/>
  <c r="W729" i="11"/>
  <c r="F746" i="11"/>
  <c r="G743" i="11"/>
  <c r="V729" i="11"/>
  <c r="N729" i="11"/>
  <c r="AB728" i="11"/>
  <c r="T728" i="11"/>
  <c r="H745" i="11"/>
  <c r="F743" i="11"/>
  <c r="AC729" i="11"/>
  <c r="U729" i="11"/>
  <c r="F745" i="11"/>
  <c r="G742" i="11"/>
  <c r="AA729" i="11"/>
  <c r="H747" i="11"/>
  <c r="H744" i="11"/>
  <c r="F742" i="11"/>
  <c r="F747" i="11"/>
  <c r="H746" i="11"/>
  <c r="F744" i="11"/>
  <c r="X729" i="11"/>
  <c r="L729" i="11"/>
  <c r="Y728" i="11"/>
  <c r="P728" i="11"/>
  <c r="W727" i="11"/>
  <c r="O727" i="11"/>
  <c r="V726" i="11"/>
  <c r="N726" i="11"/>
  <c r="AC725" i="11"/>
  <c r="U725" i="11"/>
  <c r="M725" i="11"/>
  <c r="AB724" i="11"/>
  <c r="T724" i="11"/>
  <c r="L724" i="11"/>
  <c r="S729" i="11"/>
  <c r="J729" i="11"/>
  <c r="W728" i="11"/>
  <c r="N728" i="11"/>
  <c r="AC727" i="11"/>
  <c r="U727" i="11"/>
  <c r="M727" i="11"/>
  <c r="AB726" i="11"/>
  <c r="T726" i="11"/>
  <c r="L726" i="11"/>
  <c r="AA725" i="11"/>
  <c r="S725" i="11"/>
  <c r="K725" i="11"/>
  <c r="Z724" i="11"/>
  <c r="R724" i="11"/>
  <c r="J724" i="11"/>
  <c r="Q729" i="11"/>
  <c r="U728" i="11"/>
  <c r="L728" i="11"/>
  <c r="AA727" i="11"/>
  <c r="S727" i="11"/>
  <c r="K727" i="11"/>
  <c r="Z726" i="11"/>
  <c r="R726" i="11"/>
  <c r="J726" i="11"/>
  <c r="Y725" i="11"/>
  <c r="Q725" i="11"/>
  <c r="I725" i="11"/>
  <c r="X724" i="11"/>
  <c r="P724" i="11"/>
  <c r="G745" i="11"/>
  <c r="G744" i="11"/>
  <c r="H742" i="11"/>
  <c r="P133" i="5" s="1"/>
  <c r="AB729" i="11"/>
  <c r="P729" i="11"/>
  <c r="AC728" i="11"/>
  <c r="S728" i="11"/>
  <c r="K728" i="11"/>
  <c r="Z727" i="11"/>
  <c r="R727" i="11"/>
  <c r="J727" i="11"/>
  <c r="Y726" i="11"/>
  <c r="Q726" i="11"/>
  <c r="I726" i="11"/>
  <c r="X725" i="11"/>
  <c r="P725" i="11"/>
  <c r="W724" i="11"/>
  <c r="O724" i="11"/>
  <c r="Y729" i="11"/>
  <c r="M729" i="11"/>
  <c r="Z728" i="11"/>
  <c r="Q728" i="11"/>
  <c r="I728" i="11"/>
  <c r="X727" i="11"/>
  <c r="P727" i="11"/>
  <c r="W726" i="11"/>
  <c r="O726" i="11"/>
  <c r="V725" i="11"/>
  <c r="N725" i="11"/>
  <c r="AC724" i="11"/>
  <c r="U724" i="11"/>
  <c r="M724" i="11"/>
  <c r="I729" i="11"/>
  <c r="J728" i="11"/>
  <c r="N727" i="11"/>
  <c r="U726" i="11"/>
  <c r="Z725" i="11"/>
  <c r="I724" i="11"/>
  <c r="L727" i="11"/>
  <c r="S726" i="11"/>
  <c r="W725" i="11"/>
  <c r="AA724" i="11"/>
  <c r="AA728" i="11"/>
  <c r="I727" i="11"/>
  <c r="P726" i="11"/>
  <c r="T725" i="11"/>
  <c r="Y724" i="11"/>
  <c r="Z729" i="11"/>
  <c r="X728" i="11"/>
  <c r="AB727" i="11"/>
  <c r="M726" i="11"/>
  <c r="R725" i="11"/>
  <c r="V724" i="11"/>
  <c r="G747" i="11"/>
  <c r="T729" i="11"/>
  <c r="V728" i="11"/>
  <c r="Y727" i="11"/>
  <c r="K726" i="11"/>
  <c r="O725" i="11"/>
  <c r="S724" i="11"/>
  <c r="R729" i="11"/>
  <c r="R728" i="11"/>
  <c r="V727" i="11"/>
  <c r="AC726" i="11"/>
  <c r="L725" i="11"/>
  <c r="Q724" i="11"/>
  <c r="O729" i="11"/>
  <c r="O728" i="11"/>
  <c r="T727" i="11"/>
  <c r="AA726" i="11"/>
  <c r="J725" i="11"/>
  <c r="N724" i="11"/>
  <c r="K729" i="11"/>
  <c r="X726" i="11"/>
  <c r="M728" i="11"/>
  <c r="AB725" i="11"/>
  <c r="Q727" i="11"/>
  <c r="K724" i="11"/>
  <c r="R37" i="39"/>
  <c r="Q37" i="39"/>
  <c r="I5" i="39"/>
  <c r="P37" i="39"/>
  <c r="N37" i="39"/>
  <c r="R37" i="38"/>
  <c r="Q37" i="38"/>
  <c r="I5" i="38"/>
  <c r="P37" i="38"/>
  <c r="N37" i="38"/>
  <c r="O37" i="39"/>
  <c r="O37" i="38"/>
  <c r="P37" i="36"/>
  <c r="O37" i="36"/>
  <c r="N37" i="36"/>
  <c r="R37" i="37"/>
  <c r="Q37" i="37"/>
  <c r="I5" i="37"/>
  <c r="N37" i="37"/>
  <c r="Q37" i="36"/>
  <c r="N37" i="35"/>
  <c r="P37" i="37"/>
  <c r="I5" i="36"/>
  <c r="O37" i="37"/>
  <c r="R37" i="36"/>
  <c r="R37" i="35"/>
  <c r="O37" i="35"/>
  <c r="I5" i="35"/>
  <c r="Q37" i="35"/>
  <c r="P37" i="35"/>
  <c r="P37" i="34"/>
  <c r="Q37" i="16"/>
  <c r="Q37" i="5"/>
  <c r="O37" i="34"/>
  <c r="P37" i="16"/>
  <c r="I5" i="5"/>
  <c r="E52" i="6"/>
  <c r="N37" i="34"/>
  <c r="O37" i="16"/>
  <c r="N37" i="16"/>
  <c r="E33" i="6"/>
  <c r="I5" i="16"/>
  <c r="Q37" i="34"/>
  <c r="I5" i="34"/>
  <c r="R37" i="16"/>
  <c r="R37" i="5"/>
  <c r="L17" i="6"/>
  <c r="D138" i="24" s="1"/>
  <c r="AC524" i="11"/>
  <c r="AC523" i="11"/>
  <c r="AC522" i="11"/>
  <c r="AC521" i="11"/>
  <c r="AC520" i="11"/>
  <c r="AB524" i="11"/>
  <c r="AB523" i="11"/>
  <c r="AB522" i="11"/>
  <c r="AB521" i="11"/>
  <c r="AB520" i="11"/>
  <c r="Z373" i="11"/>
  <c r="R373" i="11"/>
  <c r="Z372" i="11"/>
  <c r="R372" i="11"/>
  <c r="Z371" i="11"/>
  <c r="R371" i="11"/>
  <c r="Z370" i="11"/>
  <c r="R370" i="11"/>
  <c r="Z369" i="11"/>
  <c r="R369" i="11"/>
  <c r="Y373" i="11"/>
  <c r="Q373" i="11"/>
  <c r="Y372" i="11"/>
  <c r="Q372" i="11"/>
  <c r="Y371" i="11"/>
  <c r="Q371" i="11"/>
  <c r="Y370" i="11"/>
  <c r="Q370" i="11"/>
  <c r="Y369" i="11"/>
  <c r="Q369" i="11"/>
  <c r="X373" i="11"/>
  <c r="P373" i="11"/>
  <c r="X372" i="11"/>
  <c r="P372" i="11"/>
  <c r="X371" i="11"/>
  <c r="P371" i="11"/>
  <c r="X370" i="11"/>
  <c r="P370" i="11"/>
  <c r="X369" i="11"/>
  <c r="P369" i="11"/>
  <c r="W373" i="11"/>
  <c r="W372" i="11"/>
  <c r="W371" i="11"/>
  <c r="W370" i="11"/>
  <c r="W369" i="11"/>
  <c r="AC373" i="11"/>
  <c r="U373" i="11"/>
  <c r="AC372" i="11"/>
  <c r="U372" i="11"/>
  <c r="AC371" i="11"/>
  <c r="U371" i="11"/>
  <c r="AC370" i="11"/>
  <c r="U370" i="11"/>
  <c r="AC369" i="11"/>
  <c r="U369" i="11"/>
  <c r="AB373" i="11"/>
  <c r="T373" i="11"/>
  <c r="AB372" i="11"/>
  <c r="T372" i="11"/>
  <c r="AB371" i="11"/>
  <c r="T371" i="11"/>
  <c r="AB370" i="11"/>
  <c r="T370" i="11"/>
  <c r="AB369" i="11"/>
  <c r="T369" i="11"/>
  <c r="AA373" i="11"/>
  <c r="AA372" i="11"/>
  <c r="AA371" i="11"/>
  <c r="AA370" i="11"/>
  <c r="AA369" i="11"/>
  <c r="V373" i="11"/>
  <c r="V372" i="11"/>
  <c r="V371" i="11"/>
  <c r="V370" i="11"/>
  <c r="V369" i="11"/>
  <c r="S373" i="11"/>
  <c r="S372" i="11"/>
  <c r="S371" i="11"/>
  <c r="S370" i="11"/>
  <c r="S369" i="11"/>
  <c r="L13" i="11"/>
  <c r="F12" i="6"/>
  <c r="L569" i="11"/>
  <c r="L568" i="11"/>
  <c r="L567" i="11"/>
  <c r="L566" i="11"/>
  <c r="L565" i="11"/>
  <c r="L533" i="11"/>
  <c r="L529" i="11"/>
  <c r="L530" i="11"/>
  <c r="L531" i="11"/>
  <c r="L532" i="11"/>
  <c r="F5" i="24"/>
  <c r="F18" i="11"/>
  <c r="L18" i="11"/>
  <c r="P87" i="34"/>
  <c r="AL86" i="34"/>
  <c r="P88" i="34"/>
  <c r="AL88" i="34" s="1"/>
  <c r="P87" i="35"/>
  <c r="P93" i="35" s="1"/>
  <c r="Q86" i="35" s="1"/>
  <c r="AL86" i="35"/>
  <c r="O13" i="11"/>
  <c r="W13" i="11"/>
  <c r="P13" i="11"/>
  <c r="X13" i="11"/>
  <c r="H306" i="11"/>
  <c r="J13" i="11"/>
  <c r="R13" i="11"/>
  <c r="Z13" i="11"/>
  <c r="K13" i="11"/>
  <c r="S13" i="11"/>
  <c r="AA13" i="11"/>
  <c r="H324" i="11"/>
  <c r="T13" i="11"/>
  <c r="H315" i="11"/>
  <c r="H333" i="11"/>
  <c r="AD342" i="11"/>
  <c r="H347" i="11"/>
  <c r="I342" i="11" s="1"/>
  <c r="AD351" i="11"/>
  <c r="H356" i="11"/>
  <c r="I351" i="11" s="1"/>
  <c r="H557" i="11"/>
  <c r="H552" i="11"/>
  <c r="H561" i="11" s="1"/>
  <c r="J566" i="11"/>
  <c r="I570" i="11"/>
  <c r="G24" i="26"/>
  <c r="P128" i="5"/>
  <c r="P138" i="5"/>
  <c r="O138" i="5"/>
  <c r="P132" i="5"/>
  <c r="N138" i="5"/>
  <c r="O132" i="5"/>
  <c r="N132" i="5"/>
  <c r="Q138" i="5"/>
  <c r="N128" i="5"/>
  <c r="R138" i="5"/>
  <c r="P129" i="5"/>
  <c r="P127" i="5"/>
  <c r="O129" i="5"/>
  <c r="O127" i="5"/>
  <c r="O128" i="5"/>
  <c r="J58" i="5"/>
  <c r="J59" i="5" s="1"/>
  <c r="J53" i="5"/>
  <c r="N127" i="5"/>
  <c r="E24" i="26"/>
  <c r="F24" i="26"/>
  <c r="N132" i="16"/>
  <c r="O128" i="16"/>
  <c r="N128" i="16"/>
  <c r="R138" i="16"/>
  <c r="Q138" i="16"/>
  <c r="P129" i="16"/>
  <c r="P127" i="16"/>
  <c r="N138" i="16"/>
  <c r="O132" i="16"/>
  <c r="P128" i="16"/>
  <c r="P94" i="16"/>
  <c r="P89" i="16"/>
  <c r="O127" i="16"/>
  <c r="N127" i="16"/>
  <c r="AL94" i="16"/>
  <c r="J71" i="16"/>
  <c r="P132" i="16"/>
  <c r="P86" i="16"/>
  <c r="P71" i="16"/>
  <c r="AN58" i="16"/>
  <c r="N129" i="16"/>
  <c r="N71" i="16"/>
  <c r="J70" i="16"/>
  <c r="O36" i="16"/>
  <c r="N35" i="16"/>
  <c r="P67" i="16"/>
  <c r="O67" i="16"/>
  <c r="O43" i="16"/>
  <c r="P41" i="16"/>
  <c r="N67" i="16"/>
  <c r="N43" i="16"/>
  <c r="O41" i="16"/>
  <c r="P32" i="16"/>
  <c r="O31" i="16"/>
  <c r="O25" i="16"/>
  <c r="O138" i="16"/>
  <c r="O129" i="16"/>
  <c r="O71" i="16"/>
  <c r="P35" i="16"/>
  <c r="O34" i="16"/>
  <c r="N33" i="16"/>
  <c r="N23" i="16"/>
  <c r="N24" i="16" s="1"/>
  <c r="N63" i="16" s="1"/>
  <c r="O21" i="16"/>
  <c r="P138" i="16"/>
  <c r="N41" i="16"/>
  <c r="O23" i="16"/>
  <c r="W1" i="16"/>
  <c r="O1" i="16"/>
  <c r="P36" i="16"/>
  <c r="O35" i="16"/>
  <c r="P34" i="16"/>
  <c r="P21" i="16"/>
  <c r="V1" i="16"/>
  <c r="N1" i="16"/>
  <c r="N36" i="16"/>
  <c r="N34" i="16"/>
  <c r="N21" i="16"/>
  <c r="P19" i="16"/>
  <c r="P80" i="16" s="1"/>
  <c r="D3" i="16"/>
  <c r="U1" i="16"/>
  <c r="AN53" i="16"/>
  <c r="O19" i="16"/>
  <c r="P12" i="16"/>
  <c r="T1" i="16"/>
  <c r="P25" i="16"/>
  <c r="N19" i="16"/>
  <c r="AK1" i="16"/>
  <c r="S1" i="16"/>
  <c r="P23" i="16"/>
  <c r="P90" i="16" s="1"/>
  <c r="X1" i="16"/>
  <c r="P1" i="16"/>
  <c r="R71" i="16"/>
  <c r="R1" i="16"/>
  <c r="O33" i="16"/>
  <c r="Y1" i="16"/>
  <c r="N32" i="16"/>
  <c r="P33" i="16"/>
  <c r="AJ1" i="16"/>
  <c r="N31" i="16"/>
  <c r="O32" i="16"/>
  <c r="P31" i="16"/>
  <c r="J272" i="11"/>
  <c r="K272" i="11"/>
  <c r="H179" i="11"/>
  <c r="H268" i="11"/>
  <c r="H192" i="12" l="1"/>
  <c r="H81" i="12"/>
  <c r="H90" i="12" s="1"/>
  <c r="H37" i="12"/>
  <c r="I20" i="12"/>
  <c r="I49" i="12"/>
  <c r="J49" i="12" s="1"/>
  <c r="J65" i="12" s="1"/>
  <c r="I58" i="12"/>
  <c r="J58" i="12" s="1"/>
  <c r="L51" i="12"/>
  <c r="L67" i="12" s="1"/>
  <c r="L60" i="12"/>
  <c r="H65" i="12"/>
  <c r="H202" i="12"/>
  <c r="I202" i="12" s="1"/>
  <c r="J202" i="12" s="1"/>
  <c r="R13" i="12"/>
  <c r="S13" i="12" s="1"/>
  <c r="K769" i="10"/>
  <c r="Z769" i="10" s="1"/>
  <c r="K810" i="10"/>
  <c r="K812" i="10" s="1"/>
  <c r="Z751" i="10"/>
  <c r="U563" i="10"/>
  <c r="U541" i="10"/>
  <c r="U567" i="10" s="1"/>
  <c r="H201" i="12"/>
  <c r="H64" i="12"/>
  <c r="H21" i="12"/>
  <c r="M48" i="12"/>
  <c r="M57" i="12"/>
  <c r="M64" i="12" s="1"/>
  <c r="P563" i="10"/>
  <c r="P541" i="10"/>
  <c r="P567" i="10" s="1"/>
  <c r="G790" i="11"/>
  <c r="O106" i="5"/>
  <c r="J49" i="10"/>
  <c r="G49" i="10" s="1"/>
  <c r="G50" i="10"/>
  <c r="F22" i="1"/>
  <c r="H15" i="1"/>
  <c r="H193" i="10"/>
  <c r="K217" i="10"/>
  <c r="K216" i="10"/>
  <c r="K194" i="10"/>
  <c r="H157" i="10"/>
  <c r="H155" i="10"/>
  <c r="H153" i="10"/>
  <c r="H159" i="10" s="1"/>
  <c r="H160" i="10" s="1"/>
  <c r="H152" i="10"/>
  <c r="H156" i="10"/>
  <c r="H154" i="10"/>
  <c r="J823" i="10"/>
  <c r="J811" i="10"/>
  <c r="Y768" i="10"/>
  <c r="J256" i="10"/>
  <c r="G236" i="10"/>
  <c r="G278" i="10" s="1"/>
  <c r="J278" i="10"/>
  <c r="J194" i="10"/>
  <c r="G193" i="10"/>
  <c r="J217" i="10"/>
  <c r="F193" i="10"/>
  <c r="I217" i="10"/>
  <c r="V216" i="10"/>
  <c r="V194" i="10"/>
  <c r="V220" i="10" s="1"/>
  <c r="H903" i="11"/>
  <c r="P118" i="39"/>
  <c r="P388" i="39" s="1"/>
  <c r="H719" i="11"/>
  <c r="P41" i="5"/>
  <c r="O217" i="10"/>
  <c r="O216" i="10"/>
  <c r="O194" i="10"/>
  <c r="O220" i="10" s="1"/>
  <c r="L102" i="10"/>
  <c r="F101" i="10"/>
  <c r="F102" i="10" s="1"/>
  <c r="H203" i="12"/>
  <c r="H66" i="12"/>
  <c r="M50" i="12"/>
  <c r="M59" i="12"/>
  <c r="M66" i="12" s="1"/>
  <c r="P111" i="39"/>
  <c r="P270" i="39" s="1"/>
  <c r="E228" i="55"/>
  <c r="I52" i="39"/>
  <c r="K52" i="39" s="1"/>
  <c r="H506" i="10"/>
  <c r="F449" i="10"/>
  <c r="F799" i="11"/>
  <c r="N107" i="5"/>
  <c r="H597" i="11"/>
  <c r="I534" i="11"/>
  <c r="K32" i="11"/>
  <c r="K38" i="11"/>
  <c r="J32" i="11"/>
  <c r="P99" i="38"/>
  <c r="P101" i="38" s="1"/>
  <c r="J38" i="11"/>
  <c r="I32" i="11"/>
  <c r="I38" i="11"/>
  <c r="P99" i="39"/>
  <c r="P101" i="39" s="1"/>
  <c r="P99" i="37"/>
  <c r="P101" i="37" s="1"/>
  <c r="P99" i="36"/>
  <c r="P101" i="36" s="1"/>
  <c r="P13" i="5"/>
  <c r="E140" i="47"/>
  <c r="E140" i="48"/>
  <c r="P99" i="34"/>
  <c r="P101" i="34" s="1"/>
  <c r="E140" i="46"/>
  <c r="E140" i="45"/>
  <c r="P99" i="35"/>
  <c r="P101" i="35" s="1"/>
  <c r="P13" i="34"/>
  <c r="P99" i="16"/>
  <c r="P101" i="16" s="1"/>
  <c r="E140" i="44"/>
  <c r="F239" i="50"/>
  <c r="F173" i="50"/>
  <c r="P112" i="38"/>
  <c r="P294" i="38" s="1"/>
  <c r="AC766" i="11"/>
  <c r="AJ71" i="38"/>
  <c r="AJ138" i="38"/>
  <c r="O24" i="39"/>
  <c r="O63" i="39" s="1"/>
  <c r="F239" i="56"/>
  <c r="P118" i="38"/>
  <c r="P388" i="38" s="1"/>
  <c r="I194" i="10"/>
  <c r="Q216" i="10"/>
  <c r="Q194" i="10"/>
  <c r="N72" i="38"/>
  <c r="N53" i="38"/>
  <c r="AP21" i="38" s="1"/>
  <c r="AC4" i="54" s="1"/>
  <c r="O110" i="36"/>
  <c r="O244" i="36" s="1"/>
  <c r="O114" i="37"/>
  <c r="N32" i="14"/>
  <c r="B565" i="11"/>
  <c r="B566" i="11" s="1"/>
  <c r="B567" i="11" s="1"/>
  <c r="B568" i="11" s="1"/>
  <c r="B569" i="11" s="1"/>
  <c r="B570" i="11" s="1"/>
  <c r="B571" i="11" s="1"/>
  <c r="B572" i="11" s="1"/>
  <c r="B573" i="11" s="1"/>
  <c r="B574" i="11" s="1"/>
  <c r="B575" i="11" s="1"/>
  <c r="B576" i="11" s="1"/>
  <c r="B577" i="11" s="1"/>
  <c r="B578" i="11" s="1"/>
  <c r="B579" i="11" s="1"/>
  <c r="B580" i="11" s="1"/>
  <c r="B581" i="11" s="1"/>
  <c r="B582" i="11" s="1"/>
  <c r="B583" i="11" s="1"/>
  <c r="B584" i="11" s="1"/>
  <c r="B585" i="11" s="1"/>
  <c r="B586" i="11" s="1"/>
  <c r="B587" i="11" s="1"/>
  <c r="B588" i="11" s="1"/>
  <c r="B589" i="11" s="1"/>
  <c r="B590" i="11" s="1"/>
  <c r="B591" i="11" s="1"/>
  <c r="B592" i="11" s="1"/>
  <c r="B593" i="11" s="1"/>
  <c r="B594" i="11" s="1"/>
  <c r="B595" i="11" s="1"/>
  <c r="B596" i="11" s="1"/>
  <c r="B597" i="11" s="1"/>
  <c r="B598" i="11" s="1"/>
  <c r="B599" i="11" s="1"/>
  <c r="B600" i="11" s="1"/>
  <c r="B601" i="11" s="1"/>
  <c r="B602" i="11" s="1"/>
  <c r="B603" i="11" s="1"/>
  <c r="B604" i="11" s="1"/>
  <c r="B605" i="11" s="1"/>
  <c r="B606" i="11" s="1"/>
  <c r="B607" i="11" s="1"/>
  <c r="B608" i="11" s="1"/>
  <c r="B609" i="11" s="1"/>
  <c r="B610" i="11" s="1"/>
  <c r="B611" i="11" s="1"/>
  <c r="B612" i="11" s="1"/>
  <c r="B613" i="11" s="1"/>
  <c r="B614" i="11" s="1"/>
  <c r="B615" i="11" s="1"/>
  <c r="B616" i="11" s="1"/>
  <c r="B617" i="11" s="1"/>
  <c r="B618" i="11" s="1"/>
  <c r="B619" i="11" s="1"/>
  <c r="B620" i="11" s="1"/>
  <c r="B621" i="11" s="1"/>
  <c r="B622" i="11" s="1"/>
  <c r="B623" i="11" s="1"/>
  <c r="B624" i="11" s="1"/>
  <c r="B625" i="11" s="1"/>
  <c r="B626" i="11" s="1"/>
  <c r="B627" i="11" s="1"/>
  <c r="B628" i="11" s="1"/>
  <c r="B629" i="11" s="1"/>
  <c r="B630" i="11" s="1"/>
  <c r="B631" i="11" s="1"/>
  <c r="B632" i="11" s="1"/>
  <c r="B633" i="11" s="1"/>
  <c r="B634" i="11" s="1"/>
  <c r="B635" i="11" s="1"/>
  <c r="B636" i="11" s="1"/>
  <c r="B637" i="11" s="1"/>
  <c r="B638" i="11" s="1"/>
  <c r="B639" i="11" s="1"/>
  <c r="B640" i="11" s="1"/>
  <c r="B641" i="11" s="1"/>
  <c r="B642" i="11" s="1"/>
  <c r="B643" i="11" s="1"/>
  <c r="P8" i="39"/>
  <c r="N107" i="34"/>
  <c r="AE136" i="52"/>
  <c r="P173" i="36"/>
  <c r="F25" i="36"/>
  <c r="F28" i="36"/>
  <c r="P108" i="35"/>
  <c r="F157" i="56"/>
  <c r="C30" i="56" s="1"/>
  <c r="F157" i="50"/>
  <c r="C30" i="50" s="1"/>
  <c r="O8" i="34"/>
  <c r="M60" i="12"/>
  <c r="M67" i="12" s="1"/>
  <c r="M51" i="12"/>
  <c r="M56" i="12"/>
  <c r="M16" i="12"/>
  <c r="M47" i="12"/>
  <c r="M63" i="12" s="1"/>
  <c r="H157" i="12"/>
  <c r="H84" i="12"/>
  <c r="H93" i="12" s="1"/>
  <c r="I23" i="12"/>
  <c r="H40" i="12"/>
  <c r="H204" i="12"/>
  <c r="H67" i="12"/>
  <c r="S15" i="12"/>
  <c r="R15" i="12"/>
  <c r="P47" i="12"/>
  <c r="P63" i="12" s="1"/>
  <c r="P56" i="12"/>
  <c r="P16" i="12"/>
  <c r="O60" i="12"/>
  <c r="O67" i="12" s="1"/>
  <c r="O51" i="12"/>
  <c r="K15" i="1"/>
  <c r="G172" i="12"/>
  <c r="H167" i="12"/>
  <c r="M541" i="10"/>
  <c r="M567" i="10" s="1"/>
  <c r="M563" i="10"/>
  <c r="G521" i="10"/>
  <c r="L48" i="12"/>
  <c r="L64" i="12" s="1"/>
  <c r="L57" i="12"/>
  <c r="Q201" i="12"/>
  <c r="Q64" i="12"/>
  <c r="Q68" i="12" s="1"/>
  <c r="Q48" i="12"/>
  <c r="Q57" i="12"/>
  <c r="J769" i="10"/>
  <c r="Y769" i="10" s="1"/>
  <c r="L563" i="10"/>
  <c r="S563" i="10"/>
  <c r="S541" i="10"/>
  <c r="S567" i="10" s="1"/>
  <c r="V563" i="10"/>
  <c r="V541" i="10"/>
  <c r="V567" i="10" s="1"/>
  <c r="H22" i="12"/>
  <c r="K809" i="10"/>
  <c r="N540" i="10"/>
  <c r="Q16" i="12"/>
  <c r="I540" i="10"/>
  <c r="F521" i="10"/>
  <c r="F563" i="10" s="1"/>
  <c r="I563" i="10"/>
  <c r="I541" i="10"/>
  <c r="I282" i="10"/>
  <c r="F256" i="10"/>
  <c r="F282" i="10" s="1"/>
  <c r="K597" i="10"/>
  <c r="H597" i="10" s="1"/>
  <c r="H223" i="10"/>
  <c r="N597" i="10"/>
  <c r="G778" i="11"/>
  <c r="G772" i="11"/>
  <c r="O104" i="5"/>
  <c r="O196" i="5" s="1"/>
  <c r="N50" i="12"/>
  <c r="N66" i="12" s="1"/>
  <c r="N68" i="12" s="1"/>
  <c r="N59" i="12"/>
  <c r="L59" i="12"/>
  <c r="L50" i="12"/>
  <c r="L66" i="12" s="1"/>
  <c r="Q203" i="12"/>
  <c r="Q59" i="12"/>
  <c r="Q66" i="12"/>
  <c r="Q50" i="12"/>
  <c r="I809" i="10"/>
  <c r="L540" i="10"/>
  <c r="L564" i="10" s="1"/>
  <c r="N279" i="10"/>
  <c r="N256" i="10"/>
  <c r="H255" i="10"/>
  <c r="H279" i="10" s="1"/>
  <c r="P129" i="34"/>
  <c r="P130" i="34" s="1"/>
  <c r="P25" i="34"/>
  <c r="O127" i="34"/>
  <c r="O67" i="34"/>
  <c r="F370" i="10"/>
  <c r="F396" i="10" s="1"/>
  <c r="I396" i="10"/>
  <c r="W216" i="10"/>
  <c r="C68" i="11"/>
  <c r="B71" i="8"/>
  <c r="N767" i="11"/>
  <c r="U138" i="39"/>
  <c r="U71" i="39"/>
  <c r="N114" i="39"/>
  <c r="E228" i="54"/>
  <c r="I52" i="38"/>
  <c r="K52" i="38" s="1"/>
  <c r="P77" i="38"/>
  <c r="P78" i="38"/>
  <c r="N24" i="38"/>
  <c r="N28" i="38"/>
  <c r="F25" i="39"/>
  <c r="I216" i="10"/>
  <c r="Q558" i="10"/>
  <c r="Q521" i="10"/>
  <c r="N130" i="38"/>
  <c r="N6" i="38"/>
  <c r="N114" i="36"/>
  <c r="O106" i="34"/>
  <c r="O64" i="36"/>
  <c r="AE136" i="51"/>
  <c r="F28" i="35"/>
  <c r="P173" i="35"/>
  <c r="F25" i="35"/>
  <c r="O64" i="34"/>
  <c r="AC143" i="56"/>
  <c r="N142" i="38"/>
  <c r="N142" i="39"/>
  <c r="N142" i="36"/>
  <c r="N142" i="37"/>
  <c r="N142" i="16"/>
  <c r="N171" i="5"/>
  <c r="AC143" i="52"/>
  <c r="N142" i="34"/>
  <c r="N142" i="5"/>
  <c r="N51" i="5"/>
  <c r="AC143" i="53"/>
  <c r="N73" i="5"/>
  <c r="AC143" i="55"/>
  <c r="AC143" i="54"/>
  <c r="N142" i="35"/>
  <c r="AC143" i="51"/>
  <c r="AC143" i="50"/>
  <c r="AC143" i="26"/>
  <c r="H85" i="12"/>
  <c r="H94" i="12" s="1"/>
  <c r="H41" i="12"/>
  <c r="I24" i="12"/>
  <c r="I204" i="12"/>
  <c r="J204" i="12" s="1"/>
  <c r="I60" i="12"/>
  <c r="J60" i="12" s="1"/>
  <c r="I51" i="12"/>
  <c r="J51" i="12" s="1"/>
  <c r="J67" i="12" s="1"/>
  <c r="I56" i="12"/>
  <c r="J56" i="12" s="1"/>
  <c r="I16" i="12"/>
  <c r="I47" i="12"/>
  <c r="J47" i="12" s="1"/>
  <c r="J63" i="12" s="1"/>
  <c r="G95" i="12"/>
  <c r="P65" i="12"/>
  <c r="P49" i="12"/>
  <c r="P58" i="12"/>
  <c r="L47" i="12"/>
  <c r="L63" i="12" s="1"/>
  <c r="L56" i="12"/>
  <c r="L16" i="12"/>
  <c r="K204" i="12"/>
  <c r="K60" i="12"/>
  <c r="K51" i="12"/>
  <c r="K67" i="12" s="1"/>
  <c r="H29" i="12"/>
  <c r="H33" i="12" s="1"/>
  <c r="G231" i="12"/>
  <c r="F91" i="1"/>
  <c r="F112" i="1" s="1"/>
  <c r="G112" i="1"/>
  <c r="H628" i="11"/>
  <c r="H171" i="12"/>
  <c r="H219" i="12"/>
  <c r="H227" i="12" s="1"/>
  <c r="H235" i="12" s="1"/>
  <c r="H212" i="12"/>
  <c r="Q7" i="13"/>
  <c r="Q12" i="13" s="1"/>
  <c r="P12" i="13"/>
  <c r="R12" i="12"/>
  <c r="S12" i="12" s="1"/>
  <c r="K201" i="12"/>
  <c r="K48" i="12"/>
  <c r="K64" i="12" s="1"/>
  <c r="K68" i="12" s="1"/>
  <c r="K57" i="12"/>
  <c r="K16" i="12"/>
  <c r="P48" i="12"/>
  <c r="P64" i="12" s="1"/>
  <c r="P57" i="12"/>
  <c r="J15" i="1"/>
  <c r="G217" i="12"/>
  <c r="H612" i="11"/>
  <c r="H30" i="12"/>
  <c r="H210" i="12"/>
  <c r="H169" i="12"/>
  <c r="H217" i="12"/>
  <c r="H225" i="12" s="1"/>
  <c r="H233" i="12" s="1"/>
  <c r="J564" i="10"/>
  <c r="G540" i="10"/>
  <c r="G564" i="10" s="1"/>
  <c r="G558" i="10"/>
  <c r="G484" i="10"/>
  <c r="G510" i="10" s="1"/>
  <c r="M510" i="10"/>
  <c r="H236" i="10"/>
  <c r="H278" i="10" s="1"/>
  <c r="K278" i="10"/>
  <c r="K256" i="10"/>
  <c r="H256" i="10" s="1"/>
  <c r="G799" i="11"/>
  <c r="O107" i="5"/>
  <c r="G719" i="11"/>
  <c r="O41" i="5"/>
  <c r="O47" i="5" s="1"/>
  <c r="F50" i="10"/>
  <c r="I49" i="10"/>
  <c r="F49" i="10" s="1"/>
  <c r="H565" i="10"/>
  <c r="H451" i="10"/>
  <c r="H337" i="10"/>
  <c r="H280" i="10"/>
  <c r="H218" i="10"/>
  <c r="H394" i="10"/>
  <c r="H508" i="10"/>
  <c r="H643" i="11"/>
  <c r="X769" i="10"/>
  <c r="G427" i="10"/>
  <c r="G453" i="10" s="1"/>
  <c r="J453" i="10"/>
  <c r="H814" i="11"/>
  <c r="P108" i="5"/>
  <c r="N216" i="10"/>
  <c r="N194" i="10"/>
  <c r="H174" i="10"/>
  <c r="H216" i="10" s="1"/>
  <c r="G591" i="10"/>
  <c r="G781" i="11"/>
  <c r="O105" i="5"/>
  <c r="O220" i="5" s="1"/>
  <c r="K223" i="10"/>
  <c r="H34" i="10"/>
  <c r="R541" i="10"/>
  <c r="R567" i="10" s="1"/>
  <c r="Q450" i="10"/>
  <c r="Q449" i="10"/>
  <c r="Q427" i="10"/>
  <c r="S217" i="10"/>
  <c r="S216" i="10"/>
  <c r="S194" i="10"/>
  <c r="S220" i="10" s="1"/>
  <c r="K763" i="11"/>
  <c r="J768" i="11"/>
  <c r="R138" i="35"/>
  <c r="R71" i="35"/>
  <c r="R14" i="12"/>
  <c r="K50" i="12"/>
  <c r="K66" i="12" s="1"/>
  <c r="K203" i="12"/>
  <c r="K59" i="12"/>
  <c r="P59" i="12"/>
  <c r="P66" i="12" s="1"/>
  <c r="P50" i="12"/>
  <c r="I15" i="1"/>
  <c r="W563" i="10"/>
  <c r="W541" i="10"/>
  <c r="K563" i="10"/>
  <c r="K541" i="10"/>
  <c r="H521" i="10"/>
  <c r="J216" i="10"/>
  <c r="H110" i="12"/>
  <c r="F790" i="11"/>
  <c r="N106" i="5"/>
  <c r="N71" i="34"/>
  <c r="N138" i="34"/>
  <c r="H427" i="10"/>
  <c r="O111" i="39"/>
  <c r="O270" i="39" s="1"/>
  <c r="H426" i="10"/>
  <c r="H450" i="10" s="1"/>
  <c r="N62" i="39"/>
  <c r="N110" i="39"/>
  <c r="N244" i="39" s="1"/>
  <c r="N17" i="14"/>
  <c r="B508" i="11"/>
  <c r="B509" i="11" s="1"/>
  <c r="B510" i="11" s="1"/>
  <c r="B511" i="11" s="1"/>
  <c r="B512" i="11" s="1"/>
  <c r="B513" i="11" s="1"/>
  <c r="P62" i="38"/>
  <c r="P64" i="38" s="1"/>
  <c r="P8" i="38"/>
  <c r="P83" i="39"/>
  <c r="Q76" i="39" s="1"/>
  <c r="AL76" i="39"/>
  <c r="AE136" i="55"/>
  <c r="F28" i="39"/>
  <c r="P173" i="39"/>
  <c r="AE136" i="54"/>
  <c r="P173" i="38"/>
  <c r="F28" i="38"/>
  <c r="P114" i="38"/>
  <c r="P8" i="37"/>
  <c r="P63" i="37"/>
  <c r="P64" i="37" s="1"/>
  <c r="P117" i="37"/>
  <c r="P364" i="37" s="1"/>
  <c r="E228" i="53"/>
  <c r="I52" i="37"/>
  <c r="K52" i="37" s="1"/>
  <c r="N8" i="14"/>
  <c r="B78" i="1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AE136" i="53"/>
  <c r="F28" i="37"/>
  <c r="P173" i="37"/>
  <c r="O114" i="36"/>
  <c r="O8" i="36"/>
  <c r="P8" i="36"/>
  <c r="H156" i="12"/>
  <c r="H160" i="12"/>
  <c r="M49" i="12"/>
  <c r="M65" i="12" s="1"/>
  <c r="M58" i="12"/>
  <c r="G218" i="12"/>
  <c r="H613" i="11"/>
  <c r="P60" i="12"/>
  <c r="P67" i="12" s="1"/>
  <c r="P51" i="12"/>
  <c r="L49" i="12"/>
  <c r="L65" i="12" s="1"/>
  <c r="L58" i="12"/>
  <c r="H200" i="12"/>
  <c r="H63" i="12"/>
  <c r="H16" i="12"/>
  <c r="R11" i="12"/>
  <c r="S11" i="12" s="1"/>
  <c r="H168" i="12"/>
  <c r="O48" i="12"/>
  <c r="O64" i="12" s="1"/>
  <c r="O16" i="12"/>
  <c r="O57" i="12"/>
  <c r="I201" i="12"/>
  <c r="J201" i="12" s="1"/>
  <c r="I48" i="12"/>
  <c r="I64" i="12" s="1"/>
  <c r="I57" i="12"/>
  <c r="J57" i="12" s="1"/>
  <c r="H211" i="12"/>
  <c r="H170" i="12"/>
  <c r="H218" i="12"/>
  <c r="H226" i="12" s="1"/>
  <c r="H234" i="12" s="1"/>
  <c r="H799" i="11"/>
  <c r="P107" i="5"/>
  <c r="H109" i="12"/>
  <c r="O563" i="10"/>
  <c r="O541" i="10"/>
  <c r="O567" i="10" s="1"/>
  <c r="F484" i="10"/>
  <c r="F510" i="10" s="1"/>
  <c r="I510" i="10"/>
  <c r="J541" i="10"/>
  <c r="H591" i="10"/>
  <c r="H781" i="11"/>
  <c r="P105" i="5"/>
  <c r="P220" i="5" s="1"/>
  <c r="G174" i="10"/>
  <c r="G216" i="10" s="1"/>
  <c r="H108" i="12"/>
  <c r="H112" i="12" s="1"/>
  <c r="H540" i="10"/>
  <c r="H564" i="10" s="1"/>
  <c r="K564" i="10"/>
  <c r="R194" i="10"/>
  <c r="R220" i="10" s="1"/>
  <c r="R217" i="10"/>
  <c r="T563" i="10"/>
  <c r="T541" i="10"/>
  <c r="G370" i="10"/>
  <c r="G396" i="10" s="1"/>
  <c r="O27" i="39"/>
  <c r="O28" i="39" s="1"/>
  <c r="O27" i="38"/>
  <c r="O28" i="38" s="1"/>
  <c r="O27" i="37"/>
  <c r="O28" i="37" s="1"/>
  <c r="O27" i="36"/>
  <c r="O28" i="36" s="1"/>
  <c r="O27" i="16"/>
  <c r="O27" i="35"/>
  <c r="O28" i="35" s="1"/>
  <c r="O27" i="34"/>
  <c r="O27" i="5"/>
  <c r="O28" i="5" s="1"/>
  <c r="H49" i="10"/>
  <c r="R563" i="10"/>
  <c r="U450" i="10"/>
  <c r="U427" i="10"/>
  <c r="U453" i="10" s="1"/>
  <c r="U449" i="10"/>
  <c r="F850" i="11"/>
  <c r="N112" i="5"/>
  <c r="N294" i="5" s="1"/>
  <c r="Q71" i="34"/>
  <c r="Q138" i="34"/>
  <c r="I81" i="1"/>
  <c r="I79" i="1"/>
  <c r="I77" i="1"/>
  <c r="I78" i="1"/>
  <c r="O50" i="12"/>
  <c r="O66" i="12" s="1"/>
  <c r="O59" i="12"/>
  <c r="I203" i="12"/>
  <c r="J203" i="12" s="1"/>
  <c r="I66" i="12"/>
  <c r="I50" i="12"/>
  <c r="J50" i="12" s="1"/>
  <c r="I59" i="12"/>
  <c r="J59" i="12" s="1"/>
  <c r="H101" i="10"/>
  <c r="H102" i="10" s="1"/>
  <c r="P138" i="34"/>
  <c r="P71" i="34"/>
  <c r="R216" i="10"/>
  <c r="G506" i="10"/>
  <c r="G449" i="10"/>
  <c r="K534" i="11"/>
  <c r="P117" i="39"/>
  <c r="P364" i="39" s="1"/>
  <c r="J534" i="11"/>
  <c r="H588" i="11"/>
  <c r="O62" i="39"/>
  <c r="O64" i="39" s="1"/>
  <c r="O8" i="39"/>
  <c r="H790" i="11"/>
  <c r="P106" i="5"/>
  <c r="P78" i="39"/>
  <c r="P77" i="39"/>
  <c r="N28" i="39"/>
  <c r="N24" i="39"/>
  <c r="N63" i="39" s="1"/>
  <c r="F173" i="56"/>
  <c r="F216" i="10"/>
  <c r="P114" i="39"/>
  <c r="P112" i="37"/>
  <c r="P294" i="37" s="1"/>
  <c r="AB765" i="11"/>
  <c r="AI138" i="37"/>
  <c r="AI71" i="37"/>
  <c r="P64" i="39"/>
  <c r="F25" i="37"/>
  <c r="P8" i="35"/>
  <c r="P62" i="35"/>
  <c r="P64" i="35" s="1"/>
  <c r="P108" i="34"/>
  <c r="P112" i="36"/>
  <c r="P294" i="36" s="1"/>
  <c r="P116" i="35"/>
  <c r="O104" i="34"/>
  <c r="O196" i="34" s="1"/>
  <c r="F21" i="35"/>
  <c r="AL71" i="5"/>
  <c r="N8" i="35"/>
  <c r="AL86" i="37"/>
  <c r="P88" i="37"/>
  <c r="AL88" i="37" s="1"/>
  <c r="P93" i="36"/>
  <c r="Q86" i="36" s="1"/>
  <c r="P46" i="16"/>
  <c r="P133" i="16"/>
  <c r="N130" i="5"/>
  <c r="N46" i="16"/>
  <c r="P130" i="5"/>
  <c r="I42" i="11"/>
  <c r="I41" i="11" s="1"/>
  <c r="Z374" i="11"/>
  <c r="O133" i="5"/>
  <c r="N28" i="16"/>
  <c r="P93" i="38"/>
  <c r="Q86" i="38" s="1"/>
  <c r="C22" i="46"/>
  <c r="C22" i="47"/>
  <c r="C22" i="48"/>
  <c r="D15" i="49"/>
  <c r="C22" i="45"/>
  <c r="C22" i="44"/>
  <c r="X374" i="11"/>
  <c r="I45" i="11"/>
  <c r="I54" i="11" s="1"/>
  <c r="P374" i="11"/>
  <c r="N133" i="16"/>
  <c r="AA374" i="11"/>
  <c r="U157" i="11"/>
  <c r="N133" i="5"/>
  <c r="N134" i="5" s="1"/>
  <c r="N136" i="5" s="1"/>
  <c r="N140" i="5" s="1"/>
  <c r="I44" i="11"/>
  <c r="O46" i="16"/>
  <c r="O47" i="16" s="1"/>
  <c r="I46" i="11"/>
  <c r="O20" i="16"/>
  <c r="O130" i="5"/>
  <c r="N20" i="16"/>
  <c r="J43" i="11"/>
  <c r="J52" i="11" s="1"/>
  <c r="I52" i="11"/>
  <c r="T110" i="11"/>
  <c r="T109" i="11"/>
  <c r="T108" i="11"/>
  <c r="T107" i="11"/>
  <c r="T106" i="11"/>
  <c r="AA110" i="11"/>
  <c r="S110" i="11"/>
  <c r="AA109" i="11"/>
  <c r="S109" i="11"/>
  <c r="AA108" i="11"/>
  <c r="S108" i="11"/>
  <c r="AA107" i="11"/>
  <c r="S107" i="11"/>
  <c r="AA106" i="11"/>
  <c r="S106" i="11"/>
  <c r="Z110" i="11"/>
  <c r="R110" i="11"/>
  <c r="Z109" i="11"/>
  <c r="R109" i="11"/>
  <c r="Z108" i="11"/>
  <c r="R108" i="11"/>
  <c r="Z107" i="11"/>
  <c r="R107" i="11"/>
  <c r="Z106" i="11"/>
  <c r="R106" i="11"/>
  <c r="Y110" i="11"/>
  <c r="Q110" i="11"/>
  <c r="Y109" i="11"/>
  <c r="Q109" i="11"/>
  <c r="Y108" i="11"/>
  <c r="Q108" i="11"/>
  <c r="Y107" i="11"/>
  <c r="Q107" i="11"/>
  <c r="Y106" i="11"/>
  <c r="Q106" i="11"/>
  <c r="X110" i="11"/>
  <c r="X109" i="11"/>
  <c r="X108" i="11"/>
  <c r="X107" i="11"/>
  <c r="X106" i="11"/>
  <c r="AC110" i="11"/>
  <c r="U110" i="11"/>
  <c r="AC109" i="11"/>
  <c r="U109" i="11"/>
  <c r="AC108" i="11"/>
  <c r="U108" i="11"/>
  <c r="AC107" i="11"/>
  <c r="U107" i="11"/>
  <c r="AC106" i="11"/>
  <c r="U106" i="11"/>
  <c r="L96" i="11"/>
  <c r="W106" i="11"/>
  <c r="W107" i="11"/>
  <c r="V106" i="11"/>
  <c r="W108" i="11"/>
  <c r="V107" i="11"/>
  <c r="W109" i="11"/>
  <c r="V108" i="11"/>
  <c r="W110" i="11"/>
  <c r="V109" i="11"/>
  <c r="V110" i="11"/>
  <c r="R374" i="11"/>
  <c r="AC845" i="11"/>
  <c r="AC695" i="11"/>
  <c r="AC704" i="11" s="1"/>
  <c r="AC592" i="11"/>
  <c r="AC601" i="11" s="1"/>
  <c r="AC565" i="11"/>
  <c r="AC556" i="11"/>
  <c r="AC529" i="11"/>
  <c r="AC525" i="11"/>
  <c r="AK13" i="16" s="1"/>
  <c r="AK118" i="16" s="1"/>
  <c r="AK388" i="16" s="1"/>
  <c r="AK13" i="35"/>
  <c r="G759" i="11"/>
  <c r="O133" i="34"/>
  <c r="O134" i="34" s="1"/>
  <c r="O46" i="34"/>
  <c r="O47" i="34" s="1"/>
  <c r="AD137" i="50" s="1"/>
  <c r="G756" i="11"/>
  <c r="O133" i="37"/>
  <c r="O134" i="37" s="1"/>
  <c r="O136" i="37" s="1"/>
  <c r="O140" i="37" s="1"/>
  <c r="O46" i="37"/>
  <c r="O47" i="37" s="1"/>
  <c r="AD137" i="53" s="1"/>
  <c r="F759" i="11"/>
  <c r="N46" i="34"/>
  <c r="N47" i="34" s="1"/>
  <c r="AC137" i="50" s="1"/>
  <c r="N133" i="34"/>
  <c r="N134" i="34" s="1"/>
  <c r="N136" i="34" s="1"/>
  <c r="N140" i="34" s="1"/>
  <c r="F758" i="11"/>
  <c r="N133" i="39"/>
  <c r="N134" i="39" s="1"/>
  <c r="N136" i="39" s="1"/>
  <c r="N140" i="39" s="1"/>
  <c r="N46" i="39"/>
  <c r="N47" i="39" s="1"/>
  <c r="AC137" i="55" s="1"/>
  <c r="Z157" i="11"/>
  <c r="W309" i="11"/>
  <c r="W236" i="11"/>
  <c r="W354" i="11" s="1"/>
  <c r="AD333" i="11"/>
  <c r="H338" i="11"/>
  <c r="I333" i="11" s="1"/>
  <c r="K566" i="11"/>
  <c r="K570" i="11" s="1"/>
  <c r="J570" i="11"/>
  <c r="AD324" i="11"/>
  <c r="H329" i="11"/>
  <c r="I324" i="11" s="1"/>
  <c r="AD306" i="11"/>
  <c r="H311" i="11"/>
  <c r="I306" i="11" s="1"/>
  <c r="J45" i="11"/>
  <c r="J54" i="11" s="1"/>
  <c r="AC890" i="11"/>
  <c r="AB845" i="11"/>
  <c r="AC713" i="11"/>
  <c r="AB695" i="11"/>
  <c r="AB704" i="11" s="1"/>
  <c r="AC677" i="11"/>
  <c r="AK34" i="35" s="1"/>
  <c r="AC686" i="11"/>
  <c r="AC659" i="11"/>
  <c r="AC668" i="11"/>
  <c r="AC650" i="11"/>
  <c r="AB592" i="11"/>
  <c r="AC610" i="11"/>
  <c r="AB565" i="11"/>
  <c r="AB556" i="11"/>
  <c r="AC547" i="11"/>
  <c r="AB529" i="11"/>
  <c r="AB525" i="11"/>
  <c r="AJ13" i="16" s="1"/>
  <c r="AJ118" i="16" s="1"/>
  <c r="AJ388" i="16" s="1"/>
  <c r="AC538" i="11"/>
  <c r="AJ13" i="35"/>
  <c r="AC848" i="11"/>
  <c r="AC698" i="11"/>
  <c r="AC707" i="11" s="1"/>
  <c r="AK37" i="38" s="1"/>
  <c r="AC595" i="11"/>
  <c r="AC604" i="11" s="1"/>
  <c r="AC568" i="11"/>
  <c r="AC559" i="11"/>
  <c r="AC532" i="11"/>
  <c r="AK13" i="38"/>
  <c r="G757" i="11"/>
  <c r="O133" i="38"/>
  <c r="O134" i="38" s="1"/>
  <c r="O136" i="38" s="1"/>
  <c r="O140" i="38" s="1"/>
  <c r="O46" i="38"/>
  <c r="O47" i="38" s="1"/>
  <c r="AD137" i="54" s="1"/>
  <c r="F749" i="11"/>
  <c r="F754" i="11"/>
  <c r="N46" i="35"/>
  <c r="N47" i="35" s="1"/>
  <c r="AC137" i="51" s="1"/>
  <c r="N133" i="35"/>
  <c r="N134" i="35" s="1"/>
  <c r="N136" i="35" s="1"/>
  <c r="N140" i="35" s="1"/>
  <c r="F755" i="11"/>
  <c r="N46" i="36"/>
  <c r="N47" i="36" s="1"/>
  <c r="AC137" i="52" s="1"/>
  <c r="N133" i="36"/>
  <c r="N134" i="36" s="1"/>
  <c r="N136" i="36" s="1"/>
  <c r="N140" i="36" s="1"/>
  <c r="W336" i="11"/>
  <c r="W271" i="11"/>
  <c r="X157" i="11"/>
  <c r="V245" i="11"/>
  <c r="V309" i="11"/>
  <c r="V236" i="11"/>
  <c r="R245" i="11"/>
  <c r="I51" i="11"/>
  <c r="J42" i="11"/>
  <c r="K42" i="11" s="1"/>
  <c r="AB848" i="11"/>
  <c r="AC893" i="11"/>
  <c r="AC716" i="11"/>
  <c r="AC671" i="11"/>
  <c r="AC680" i="11"/>
  <c r="AC662" i="11"/>
  <c r="AC689" i="11"/>
  <c r="AB698" i="11"/>
  <c r="AB707" i="11" s="1"/>
  <c r="AJ37" i="38" s="1"/>
  <c r="AC653" i="11"/>
  <c r="AB595" i="11"/>
  <c r="AC613" i="11"/>
  <c r="AC541" i="11"/>
  <c r="AB568" i="11"/>
  <c r="AB559" i="11"/>
  <c r="AC550" i="11"/>
  <c r="AB532" i="11"/>
  <c r="AJ13" i="38"/>
  <c r="H756" i="11"/>
  <c r="P46" i="37"/>
  <c r="P133" i="37"/>
  <c r="P134" i="37" s="1"/>
  <c r="P136" i="37" s="1"/>
  <c r="P140" i="37" s="1"/>
  <c r="H757" i="11"/>
  <c r="P133" i="38"/>
  <c r="P134" i="38" s="1"/>
  <c r="P136" i="38" s="1"/>
  <c r="P140" i="38" s="1"/>
  <c r="P46" i="38"/>
  <c r="H755" i="11"/>
  <c r="P133" i="36"/>
  <c r="P134" i="36" s="1"/>
  <c r="P136" i="36" s="1"/>
  <c r="P140" i="36" s="1"/>
  <c r="P46" i="36"/>
  <c r="S157" i="11"/>
  <c r="U236" i="11"/>
  <c r="U309" i="11"/>
  <c r="X336" i="11"/>
  <c r="Z245" i="11"/>
  <c r="V374" i="11"/>
  <c r="AC846" i="11"/>
  <c r="AC696" i="11"/>
  <c r="AC705" i="11" s="1"/>
  <c r="AK37" i="36" s="1"/>
  <c r="AC593" i="11"/>
  <c r="AC602" i="11" s="1"/>
  <c r="AC566" i="11"/>
  <c r="AC557" i="11"/>
  <c r="AC530" i="11"/>
  <c r="AK13" i="36"/>
  <c r="H759" i="11"/>
  <c r="P46" i="34"/>
  <c r="P133" i="34"/>
  <c r="P134" i="34" s="1"/>
  <c r="P136" i="34" s="1"/>
  <c r="P140" i="34" s="1"/>
  <c r="G758" i="11"/>
  <c r="O133" i="39"/>
  <c r="O134" i="39" s="1"/>
  <c r="O136" i="39" s="1"/>
  <c r="O140" i="39" s="1"/>
  <c r="O46" i="39"/>
  <c r="O47" i="39" s="1"/>
  <c r="AD137" i="55" s="1"/>
  <c r="AC157" i="11"/>
  <c r="AA157" i="11"/>
  <c r="AC236" i="11"/>
  <c r="AC309" i="11"/>
  <c r="X236" i="11"/>
  <c r="X354" i="11" s="1"/>
  <c r="X309" i="11"/>
  <c r="T245" i="11"/>
  <c r="U245" i="11"/>
  <c r="S374" i="11"/>
  <c r="T374" i="11"/>
  <c r="AC891" i="11"/>
  <c r="AB846" i="11"/>
  <c r="AC737" i="11"/>
  <c r="AK43" i="39" s="1"/>
  <c r="AC734" i="11"/>
  <c r="AK43" i="36" s="1"/>
  <c r="AC733" i="11"/>
  <c r="AC735" i="11"/>
  <c r="AK43" i="37" s="1"/>
  <c r="AC714" i="11"/>
  <c r="AK41" i="36" s="1"/>
  <c r="AC678" i="11"/>
  <c r="AK34" i="36" s="1"/>
  <c r="AC736" i="11"/>
  <c r="AC687" i="11"/>
  <c r="AK35" i="36" s="1"/>
  <c r="AB696" i="11"/>
  <c r="AB705" i="11" s="1"/>
  <c r="AJ37" i="36" s="1"/>
  <c r="AC669" i="11"/>
  <c r="AK33" i="36" s="1"/>
  <c r="AC651" i="11"/>
  <c r="AC660" i="11"/>
  <c r="AK32" i="36" s="1"/>
  <c r="AB593" i="11"/>
  <c r="AC611" i="11"/>
  <c r="AB566" i="11"/>
  <c r="AB557" i="11"/>
  <c r="AC539" i="11"/>
  <c r="AB530" i="11"/>
  <c r="AC548" i="11"/>
  <c r="AJ13" i="36"/>
  <c r="AC849" i="11"/>
  <c r="AC699" i="11"/>
  <c r="AC708" i="11" s="1"/>
  <c r="AK37" i="39" s="1"/>
  <c r="AC596" i="11"/>
  <c r="AC605" i="11" s="1"/>
  <c r="AC569" i="11"/>
  <c r="AC560" i="11"/>
  <c r="AC533" i="11"/>
  <c r="AK13" i="39"/>
  <c r="W157" i="11"/>
  <c r="Q157" i="11"/>
  <c r="T236" i="11"/>
  <c r="T309" i="11"/>
  <c r="T157" i="11"/>
  <c r="Q245" i="11"/>
  <c r="S245" i="11"/>
  <c r="AC245" i="11"/>
  <c r="H320" i="11"/>
  <c r="I315" i="11" s="1"/>
  <c r="AD315" i="11"/>
  <c r="L570" i="11"/>
  <c r="D22" i="44"/>
  <c r="D22" i="47"/>
  <c r="D22" i="46"/>
  <c r="D22" i="48"/>
  <c r="E15" i="49"/>
  <c r="AB15" i="49"/>
  <c r="D22" i="45"/>
  <c r="AB374" i="11"/>
  <c r="AC894" i="11"/>
  <c r="AB849" i="11"/>
  <c r="AB699" i="11"/>
  <c r="AB708" i="11" s="1"/>
  <c r="AJ37" i="39" s="1"/>
  <c r="AC717" i="11"/>
  <c r="AK41" i="39" s="1"/>
  <c r="AC690" i="11"/>
  <c r="AK35" i="39" s="1"/>
  <c r="AC672" i="11"/>
  <c r="AK33" i="39" s="1"/>
  <c r="AC654" i="11"/>
  <c r="AC681" i="11"/>
  <c r="AK34" i="39" s="1"/>
  <c r="AC663" i="11"/>
  <c r="AK32" i="39" s="1"/>
  <c r="AB596" i="11"/>
  <c r="AC614" i="11"/>
  <c r="AB569" i="11"/>
  <c r="AC542" i="11"/>
  <c r="AB560" i="11"/>
  <c r="AB533" i="11"/>
  <c r="AC551" i="11"/>
  <c r="AJ13" i="39"/>
  <c r="G749" i="11"/>
  <c r="G754" i="11"/>
  <c r="O46" i="35"/>
  <c r="O47" i="35" s="1"/>
  <c r="AD137" i="51" s="1"/>
  <c r="O133" i="35"/>
  <c r="O134" i="35" s="1"/>
  <c r="O136" i="35" s="1"/>
  <c r="O140" i="35" s="1"/>
  <c r="Y157" i="11"/>
  <c r="Y245" i="11"/>
  <c r="AA245" i="11"/>
  <c r="O133" i="16"/>
  <c r="O134" i="16" s="1"/>
  <c r="O134" i="5"/>
  <c r="I53" i="11"/>
  <c r="J44" i="11"/>
  <c r="J53" i="11" s="1"/>
  <c r="F13" i="11"/>
  <c r="F52" i="6"/>
  <c r="F33" i="6"/>
  <c r="F42" i="6"/>
  <c r="E5" i="24"/>
  <c r="U374" i="11"/>
  <c r="Q374" i="11"/>
  <c r="AC847" i="11"/>
  <c r="AC697" i="11"/>
  <c r="AC706" i="11" s="1"/>
  <c r="AK37" i="37" s="1"/>
  <c r="AC594" i="11"/>
  <c r="AC603" i="11" s="1"/>
  <c r="AC567" i="11"/>
  <c r="AC558" i="11"/>
  <c r="AC531" i="11"/>
  <c r="AK13" i="37"/>
  <c r="F756" i="11"/>
  <c r="N133" i="37"/>
  <c r="N134" i="37" s="1"/>
  <c r="N136" i="37" s="1"/>
  <c r="N140" i="37" s="1"/>
  <c r="N46" i="37"/>
  <c r="N47" i="37" s="1"/>
  <c r="AC137" i="53" s="1"/>
  <c r="F757" i="11"/>
  <c r="N133" i="38"/>
  <c r="N134" i="38" s="1"/>
  <c r="N136" i="38" s="1"/>
  <c r="N140" i="38" s="1"/>
  <c r="N46" i="38"/>
  <c r="N47" i="38" s="1"/>
  <c r="AC137" i="54" s="1"/>
  <c r="S236" i="11"/>
  <c r="S309" i="11"/>
  <c r="Q236" i="11"/>
  <c r="Q309" i="11"/>
  <c r="R236" i="11"/>
  <c r="R309" i="11"/>
  <c r="L534" i="11"/>
  <c r="F22" i="47"/>
  <c r="F22" i="46"/>
  <c r="F22" i="45"/>
  <c r="F22" i="44"/>
  <c r="G15" i="49"/>
  <c r="F22" i="48"/>
  <c r="I55" i="11"/>
  <c r="J46" i="11"/>
  <c r="J55" i="11" s="1"/>
  <c r="AC374" i="11"/>
  <c r="W374" i="11"/>
  <c r="Y374" i="11"/>
  <c r="AC892" i="11"/>
  <c r="AB847" i="11"/>
  <c r="AC715" i="11"/>
  <c r="AK41" i="37" s="1"/>
  <c r="AB697" i="11"/>
  <c r="AB706" i="11" s="1"/>
  <c r="AJ37" i="37" s="1"/>
  <c r="AC670" i="11"/>
  <c r="AK33" i="37" s="1"/>
  <c r="AC679" i="11"/>
  <c r="AK34" i="37" s="1"/>
  <c r="AC661" i="11"/>
  <c r="AK32" i="37" s="1"/>
  <c r="AC688" i="11"/>
  <c r="AK35" i="37" s="1"/>
  <c r="AC652" i="11"/>
  <c r="AB594" i="11"/>
  <c r="AC612" i="11"/>
  <c r="AB567" i="11"/>
  <c r="AB558" i="11"/>
  <c r="AC549" i="11"/>
  <c r="AB531" i="11"/>
  <c r="AC540" i="11"/>
  <c r="AJ13" i="37"/>
  <c r="H754" i="11"/>
  <c r="H749" i="11"/>
  <c r="P133" i="35"/>
  <c r="P134" i="35" s="1"/>
  <c r="P136" i="35" s="1"/>
  <c r="P140" i="35" s="1"/>
  <c r="P46" i="35"/>
  <c r="H758" i="11"/>
  <c r="P133" i="39"/>
  <c r="P134" i="39" s="1"/>
  <c r="P136" i="39" s="1"/>
  <c r="P140" i="39" s="1"/>
  <c r="P46" i="39"/>
  <c r="G755" i="11"/>
  <c r="O46" i="36"/>
  <c r="O47" i="36" s="1"/>
  <c r="AD137" i="52" s="1"/>
  <c r="O133" i="36"/>
  <c r="O134" i="36" s="1"/>
  <c r="O136" i="36" s="1"/>
  <c r="O140" i="36" s="1"/>
  <c r="W245" i="11"/>
  <c r="V157" i="11"/>
  <c r="R157" i="11"/>
  <c r="AA236" i="11"/>
  <c r="AA309" i="11"/>
  <c r="X245" i="11"/>
  <c r="Y236" i="11"/>
  <c r="Y309" i="11"/>
  <c r="Z236" i="11"/>
  <c r="Z309" i="11"/>
  <c r="P88" i="16"/>
  <c r="AL88" i="16" s="1"/>
  <c r="P87" i="16"/>
  <c r="J67" i="5"/>
  <c r="J54" i="5"/>
  <c r="N53" i="16"/>
  <c r="AP21" i="16" s="1"/>
  <c r="N72" i="16"/>
  <c r="P134" i="16"/>
  <c r="N134" i="16"/>
  <c r="P47" i="16"/>
  <c r="F34" i="16" s="1"/>
  <c r="P72" i="16"/>
  <c r="P53" i="16"/>
  <c r="AR21" i="16" s="1"/>
  <c r="P91" i="16"/>
  <c r="P28" i="16"/>
  <c r="F25" i="16" s="1"/>
  <c r="P24" i="16"/>
  <c r="P63" i="16" s="1"/>
  <c r="H183" i="11"/>
  <c r="I179" i="11" s="1"/>
  <c r="H191" i="11"/>
  <c r="P106" i="16"/>
  <c r="P113" i="16"/>
  <c r="P317" i="16" s="1"/>
  <c r="P109" i="16"/>
  <c r="P116" i="16"/>
  <c r="P107" i="16"/>
  <c r="P105" i="16"/>
  <c r="P220" i="16" s="1"/>
  <c r="P112" i="16"/>
  <c r="P294" i="16" s="1"/>
  <c r="P110" i="16"/>
  <c r="P244" i="16" s="1"/>
  <c r="P115" i="16"/>
  <c r="P340" i="16" s="1"/>
  <c r="P111" i="16"/>
  <c r="P270" i="16" s="1"/>
  <c r="P117" i="16"/>
  <c r="P364" i="16" s="1"/>
  <c r="P108" i="16"/>
  <c r="P104" i="16"/>
  <c r="P196" i="16" s="1"/>
  <c r="N108" i="16"/>
  <c r="N104" i="16"/>
  <c r="N196" i="16" s="1"/>
  <c r="N118" i="16"/>
  <c r="N388" i="16" s="1"/>
  <c r="N115" i="16"/>
  <c r="N340" i="16" s="1"/>
  <c r="N111" i="16"/>
  <c r="N270" i="16" s="1"/>
  <c r="N106" i="16"/>
  <c r="N113" i="16"/>
  <c r="N317" i="16" s="1"/>
  <c r="N109" i="16"/>
  <c r="N116" i="16"/>
  <c r="N117" i="16"/>
  <c r="N364" i="16" s="1"/>
  <c r="N110" i="16"/>
  <c r="N244" i="16" s="1"/>
  <c r="N107" i="16"/>
  <c r="N105" i="16"/>
  <c r="N220" i="16" s="1"/>
  <c r="N112" i="16"/>
  <c r="N294" i="16" s="1"/>
  <c r="O72" i="16"/>
  <c r="O53" i="16"/>
  <c r="AQ21" i="16" s="1"/>
  <c r="N130" i="16"/>
  <c r="N6" i="16"/>
  <c r="F6" i="11" s="1"/>
  <c r="N62" i="16"/>
  <c r="N64" i="16" s="1"/>
  <c r="N8" i="16"/>
  <c r="F8" i="11" s="1"/>
  <c r="O24" i="16"/>
  <c r="O63" i="16" s="1"/>
  <c r="O28" i="16"/>
  <c r="F67" i="16" s="1"/>
  <c r="N47" i="16"/>
  <c r="N48" i="16" s="1"/>
  <c r="P134" i="5"/>
  <c r="P136" i="5" s="1"/>
  <c r="P140" i="5" s="1"/>
  <c r="E216" i="56"/>
  <c r="P148" i="16"/>
  <c r="P145" i="16"/>
  <c r="E216" i="26"/>
  <c r="O62" i="16"/>
  <c r="AD268" i="11"/>
  <c r="H273" i="11"/>
  <c r="I268" i="11" s="1"/>
  <c r="P81" i="16"/>
  <c r="F21" i="16"/>
  <c r="P20" i="16"/>
  <c r="O118" i="16"/>
  <c r="O388" i="16" s="1"/>
  <c r="O115" i="16"/>
  <c r="O340" i="16" s="1"/>
  <c r="O111" i="16"/>
  <c r="O270" i="16" s="1"/>
  <c r="O106" i="16"/>
  <c r="O113" i="16"/>
  <c r="O317" i="16" s="1"/>
  <c r="O109" i="16"/>
  <c r="O116" i="16"/>
  <c r="O107" i="16"/>
  <c r="O105" i="16"/>
  <c r="O220" i="16" s="1"/>
  <c r="O108" i="16"/>
  <c r="O104" i="16"/>
  <c r="O196" i="16" s="1"/>
  <c r="O110" i="16"/>
  <c r="O244" i="16" s="1"/>
  <c r="O117" i="16"/>
  <c r="O364" i="16" s="1"/>
  <c r="O112" i="16"/>
  <c r="O294" i="16" s="1"/>
  <c r="O130" i="16"/>
  <c r="O6" i="16"/>
  <c r="G6" i="11" s="1"/>
  <c r="P130" i="16"/>
  <c r="P6" i="16"/>
  <c r="H6" i="11" s="1"/>
  <c r="AC136" i="56"/>
  <c r="N173" i="16"/>
  <c r="AC136" i="26"/>
  <c r="P92" i="16"/>
  <c r="AL86" i="16"/>
  <c r="J66" i="12" l="1"/>
  <c r="M68" i="12"/>
  <c r="P68" i="12"/>
  <c r="AD136" i="55"/>
  <c r="O173" i="39"/>
  <c r="F67" i="39"/>
  <c r="I233" i="12"/>
  <c r="O68" i="12"/>
  <c r="L68" i="12"/>
  <c r="I47" i="11"/>
  <c r="AC765" i="11"/>
  <c r="AJ138" i="37"/>
  <c r="AJ71" i="37"/>
  <c r="AD141" i="56"/>
  <c r="AD141" i="53"/>
  <c r="AD141" i="55"/>
  <c r="AD141" i="54"/>
  <c r="O173" i="5"/>
  <c r="O48" i="5"/>
  <c r="AD141" i="52"/>
  <c r="AD141" i="51"/>
  <c r="AD141" i="50"/>
  <c r="AD141" i="26"/>
  <c r="F67" i="5"/>
  <c r="AD136" i="52"/>
  <c r="F67" i="36"/>
  <c r="O173" i="36"/>
  <c r="F866" i="11"/>
  <c r="N114" i="38"/>
  <c r="G832" i="11"/>
  <c r="O110" i="5"/>
  <c r="O244" i="5" s="1"/>
  <c r="O110" i="34"/>
  <c r="O244" i="34" s="1"/>
  <c r="G541" i="10"/>
  <c r="G567" i="10" s="1"/>
  <c r="J567" i="10"/>
  <c r="N64" i="39"/>
  <c r="R203" i="12"/>
  <c r="R50" i="12"/>
  <c r="R66" i="12" s="1"/>
  <c r="S66" i="12" s="1"/>
  <c r="R59" i="12"/>
  <c r="K768" i="11"/>
  <c r="L763" i="11"/>
  <c r="S71" i="35"/>
  <c r="S138" i="35"/>
  <c r="S138" i="5"/>
  <c r="S138" i="16"/>
  <c r="S71" i="16"/>
  <c r="H850" i="11"/>
  <c r="P112" i="5"/>
  <c r="P294" i="5" s="1"/>
  <c r="P112" i="34"/>
  <c r="P294" i="34" s="1"/>
  <c r="I210" i="12"/>
  <c r="I169" i="12"/>
  <c r="I217" i="12"/>
  <c r="I225" i="12" s="1"/>
  <c r="I171" i="12"/>
  <c r="I219" i="12"/>
  <c r="I227" i="12" s="1"/>
  <c r="I212" i="12"/>
  <c r="I235" i="12" s="1"/>
  <c r="G236" i="12"/>
  <c r="I63" i="12"/>
  <c r="AC144" i="51"/>
  <c r="AC144" i="56"/>
  <c r="N63" i="38"/>
  <c r="N64" i="38" s="1"/>
  <c r="N8" i="38"/>
  <c r="O767" i="11"/>
  <c r="V138" i="39"/>
  <c r="V71" i="39"/>
  <c r="O130" i="34"/>
  <c r="O136" i="34" s="1"/>
  <c r="O140" i="34" s="1"/>
  <c r="O6" i="34"/>
  <c r="I567" i="10"/>
  <c r="L541" i="10"/>
  <c r="L567" i="10" s="1"/>
  <c r="I167" i="12"/>
  <c r="I208" i="12"/>
  <c r="H172" i="12"/>
  <c r="J48" i="12"/>
  <c r="J64" i="12" s="1"/>
  <c r="H829" i="11"/>
  <c r="P110" i="37"/>
  <c r="P244" i="37" s="1"/>
  <c r="AK138" i="38"/>
  <c r="AK71" i="38"/>
  <c r="AL71" i="38" s="1"/>
  <c r="AD766" i="11"/>
  <c r="AL138" i="38" s="1"/>
  <c r="E22" i="44"/>
  <c r="E22" i="47"/>
  <c r="E22" i="46"/>
  <c r="E22" i="48"/>
  <c r="F15" i="49"/>
  <c r="E22" i="45"/>
  <c r="P47" i="5"/>
  <c r="G867" i="11"/>
  <c r="O114" i="39"/>
  <c r="G836" i="11"/>
  <c r="O111" i="35"/>
  <c r="O270" i="35" s="1"/>
  <c r="K220" i="10"/>
  <c r="H194" i="10"/>
  <c r="K224" i="10"/>
  <c r="H82" i="12"/>
  <c r="H91" i="12" s="1"/>
  <c r="H95" i="12" s="1"/>
  <c r="H38" i="12"/>
  <c r="I21" i="12"/>
  <c r="H216" i="12"/>
  <c r="H224" i="12" s="1"/>
  <c r="H209" i="12"/>
  <c r="AD136" i="53"/>
  <c r="O173" i="37"/>
  <c r="F67" i="37"/>
  <c r="I168" i="12"/>
  <c r="I216" i="12"/>
  <c r="I224" i="12" s="1"/>
  <c r="I209" i="12"/>
  <c r="H205" i="12"/>
  <c r="H220" i="12" s="1"/>
  <c r="H228" i="12" s="1"/>
  <c r="G827" i="11"/>
  <c r="O110" i="35"/>
  <c r="O244" i="35" s="1"/>
  <c r="G866" i="11"/>
  <c r="O114" i="38"/>
  <c r="H890" i="11"/>
  <c r="P117" i="35"/>
  <c r="P364" i="35" s="1"/>
  <c r="H832" i="11"/>
  <c r="P110" i="5"/>
  <c r="P244" i="5" s="1"/>
  <c r="P110" i="34"/>
  <c r="P244" i="34" s="1"/>
  <c r="H633" i="11"/>
  <c r="P84" i="35"/>
  <c r="P76" i="35"/>
  <c r="P84" i="16"/>
  <c r="P76" i="16"/>
  <c r="AL76" i="16" s="1"/>
  <c r="AC144" i="53"/>
  <c r="AC144" i="52"/>
  <c r="F827" i="11"/>
  <c r="N110" i="35"/>
  <c r="N244" i="35" s="1"/>
  <c r="P24" i="34"/>
  <c r="P91" i="34"/>
  <c r="P28" i="34"/>
  <c r="F25" i="34" s="1"/>
  <c r="N564" i="10"/>
  <c r="N563" i="10"/>
  <c r="N541" i="10"/>
  <c r="I119" i="12"/>
  <c r="I150" i="12" s="1"/>
  <c r="I158" i="12" s="1"/>
  <c r="I135" i="12"/>
  <c r="I127" i="12"/>
  <c r="I84" i="12"/>
  <c r="I93" i="12" s="1"/>
  <c r="I31" i="12"/>
  <c r="I40" i="12" s="1"/>
  <c r="I102" i="12"/>
  <c r="I110" i="12" s="1"/>
  <c r="F194" i="10"/>
  <c r="F220" i="10" s="1"/>
  <c r="I220" i="10"/>
  <c r="N42" i="6"/>
  <c r="N49" i="6" s="1"/>
  <c r="Q147" i="5"/>
  <c r="F427" i="10"/>
  <c r="F453" i="10" s="1"/>
  <c r="S14" i="12"/>
  <c r="S203" i="12" s="1"/>
  <c r="F865" i="11"/>
  <c r="N114" i="37"/>
  <c r="G831" i="11"/>
  <c r="O110" i="39"/>
  <c r="O244" i="39" s="1"/>
  <c r="G217" i="10"/>
  <c r="G748" i="11"/>
  <c r="G256" i="10"/>
  <c r="G282" i="10" s="1"/>
  <c r="J282" i="10"/>
  <c r="H827" i="11"/>
  <c r="P110" i="35"/>
  <c r="P244" i="35" s="1"/>
  <c r="H25" i="12"/>
  <c r="H86" i="12" s="1"/>
  <c r="AC136" i="55"/>
  <c r="N173" i="39"/>
  <c r="AD136" i="51"/>
  <c r="O173" i="35"/>
  <c r="F67" i="35"/>
  <c r="AD136" i="54"/>
  <c r="O173" i="38"/>
  <c r="F67" i="38"/>
  <c r="I211" i="12"/>
  <c r="I170" i="12"/>
  <c r="I218" i="12"/>
  <c r="I226" i="12" s="1"/>
  <c r="I234" i="12" s="1"/>
  <c r="H68" i="12"/>
  <c r="N27" i="14"/>
  <c r="N4" i="14"/>
  <c r="N21" i="14"/>
  <c r="B143" i="11"/>
  <c r="B144" i="11" s="1"/>
  <c r="B145" i="11" s="1"/>
  <c r="B146" i="11" s="1"/>
  <c r="B147" i="11" s="1"/>
  <c r="B148" i="11" s="1"/>
  <c r="B149" i="11" s="1"/>
  <c r="B150" i="11" s="1"/>
  <c r="B151" i="11" s="1"/>
  <c r="B152" i="11" s="1"/>
  <c r="B153" i="11" s="1"/>
  <c r="B154" i="11" s="1"/>
  <c r="B155" i="11" s="1"/>
  <c r="B156" i="11" s="1"/>
  <c r="B157" i="11" s="1"/>
  <c r="B158" i="11" s="1"/>
  <c r="B159" i="11" s="1"/>
  <c r="B160" i="11" s="1"/>
  <c r="B161" i="11" s="1"/>
  <c r="B162" i="11" s="1"/>
  <c r="B163" i="11" s="1"/>
  <c r="B164" i="11" s="1"/>
  <c r="B165" i="11" s="1"/>
  <c r="B166" i="11" s="1"/>
  <c r="B167" i="11" s="1"/>
  <c r="B168" i="11" s="1"/>
  <c r="B169" i="11" s="1"/>
  <c r="B170" i="11" s="1"/>
  <c r="B171" i="11" s="1"/>
  <c r="B172" i="11" s="1"/>
  <c r="B173" i="11" s="1"/>
  <c r="B174" i="11" s="1"/>
  <c r="B175" i="11" s="1"/>
  <c r="B176" i="11" s="1"/>
  <c r="B177" i="11" s="1"/>
  <c r="B178" i="11" s="1"/>
  <c r="B179" i="11" s="1"/>
  <c r="B180" i="11" s="1"/>
  <c r="B181" i="11" s="1"/>
  <c r="B182" i="11" s="1"/>
  <c r="B183" i="11" s="1"/>
  <c r="B184" i="11" s="1"/>
  <c r="B185" i="11" s="1"/>
  <c r="B186" i="11" s="1"/>
  <c r="B187" i="11" s="1"/>
  <c r="B188" i="11" s="1"/>
  <c r="B189" i="11" s="1"/>
  <c r="B190" i="11" s="1"/>
  <c r="B191" i="11" s="1"/>
  <c r="B192" i="11" s="1"/>
  <c r="B193" i="11" s="1"/>
  <c r="B194" i="11" s="1"/>
  <c r="B195" i="11" s="1"/>
  <c r="B196" i="11" s="1"/>
  <c r="B197" i="11" s="1"/>
  <c r="B198" i="11" s="1"/>
  <c r="B199" i="11" s="1"/>
  <c r="B200" i="11" s="1"/>
  <c r="B201" i="11" s="1"/>
  <c r="B202" i="11" s="1"/>
  <c r="B203" i="11" s="1"/>
  <c r="B204" i="11" s="1"/>
  <c r="B205" i="11" s="1"/>
  <c r="B206" i="11" s="1"/>
  <c r="B207" i="11" s="1"/>
  <c r="B208" i="11" s="1"/>
  <c r="B209" i="11" s="1"/>
  <c r="B210" i="11" s="1"/>
  <c r="B211" i="11" s="1"/>
  <c r="B212" i="11" s="1"/>
  <c r="B213" i="11" s="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6"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255" i="11" s="1"/>
  <c r="B256" i="11" s="1"/>
  <c r="B257" i="11" s="1"/>
  <c r="B258" i="11" s="1"/>
  <c r="B259" i="11" s="1"/>
  <c r="B260" i="11" s="1"/>
  <c r="B261" i="11" s="1"/>
  <c r="B262" i="11" s="1"/>
  <c r="B263" i="11" s="1"/>
  <c r="B264" i="11" s="1"/>
  <c r="B265" i="11" s="1"/>
  <c r="B266" i="11" s="1"/>
  <c r="B267" i="11" s="1"/>
  <c r="B268" i="11" s="1"/>
  <c r="B269" i="11" s="1"/>
  <c r="B270" i="11" s="1"/>
  <c r="B271" i="11" s="1"/>
  <c r="B272" i="11" s="1"/>
  <c r="B273" i="11" s="1"/>
  <c r="B274" i="11" s="1"/>
  <c r="B275" i="11" s="1"/>
  <c r="B276" i="11" s="1"/>
  <c r="B277" i="11" s="1"/>
  <c r="B278" i="11" s="1"/>
  <c r="B279" i="11" s="1"/>
  <c r="B280" i="11" s="1"/>
  <c r="B281" i="11" s="1"/>
  <c r="B282" i="11" s="1"/>
  <c r="B283" i="11" s="1"/>
  <c r="B284" i="11" s="1"/>
  <c r="B285" i="11" s="1"/>
  <c r="B286" i="11" s="1"/>
  <c r="B287" i="11" s="1"/>
  <c r="B288" i="11" s="1"/>
  <c r="B289" i="11" s="1"/>
  <c r="B290" i="11" s="1"/>
  <c r="B291" i="11" s="1"/>
  <c r="B292" i="11" s="1"/>
  <c r="B293" i="11" s="1"/>
  <c r="B294" i="11" s="1"/>
  <c r="B295" i="11" s="1"/>
  <c r="B296" i="11" s="1"/>
  <c r="B297" i="11" s="1"/>
  <c r="B298" i="11" s="1"/>
  <c r="B299" i="11" s="1"/>
  <c r="B300" i="11" s="1"/>
  <c r="B301" i="11" s="1"/>
  <c r="B302" i="11" s="1"/>
  <c r="B303" i="11" s="1"/>
  <c r="B304" i="11" s="1"/>
  <c r="B305" i="11" s="1"/>
  <c r="B306" i="11" s="1"/>
  <c r="B307" i="11" s="1"/>
  <c r="B308" i="11" s="1"/>
  <c r="B309" i="11" s="1"/>
  <c r="B310" i="11" s="1"/>
  <c r="B311" i="11" s="1"/>
  <c r="B312" i="11" s="1"/>
  <c r="B313" i="11" s="1"/>
  <c r="B314" i="11" s="1"/>
  <c r="B315" i="11" s="1"/>
  <c r="B316" i="11" s="1"/>
  <c r="B317" i="11" s="1"/>
  <c r="B318" i="11" s="1"/>
  <c r="B319" i="11" s="1"/>
  <c r="B320" i="11" s="1"/>
  <c r="B321" i="11" s="1"/>
  <c r="B322" i="11" s="1"/>
  <c r="B323" i="11" s="1"/>
  <c r="B324" i="11" s="1"/>
  <c r="B325" i="11" s="1"/>
  <c r="B326" i="11" s="1"/>
  <c r="B327" i="11" s="1"/>
  <c r="B328" i="11" s="1"/>
  <c r="B329" i="11" s="1"/>
  <c r="B330" i="11" s="1"/>
  <c r="B331" i="11" s="1"/>
  <c r="B332" i="11" s="1"/>
  <c r="B333" i="11" s="1"/>
  <c r="B334" i="11" s="1"/>
  <c r="B335" i="11" s="1"/>
  <c r="B336" i="11" s="1"/>
  <c r="B337" i="11" s="1"/>
  <c r="B338" i="11" s="1"/>
  <c r="B339" i="11" s="1"/>
  <c r="B340" i="11" s="1"/>
  <c r="B341" i="11" s="1"/>
  <c r="B342" i="11" s="1"/>
  <c r="B343" i="11" s="1"/>
  <c r="B344" i="11" s="1"/>
  <c r="B345" i="11" s="1"/>
  <c r="B346" i="11" s="1"/>
  <c r="B347" i="11" s="1"/>
  <c r="B348" i="11" s="1"/>
  <c r="B349" i="11" s="1"/>
  <c r="B350" i="11" s="1"/>
  <c r="B351" i="11" s="1"/>
  <c r="B352" i="11" s="1"/>
  <c r="B353" i="11" s="1"/>
  <c r="B354" i="11" s="1"/>
  <c r="B355" i="11" s="1"/>
  <c r="B356" i="11" s="1"/>
  <c r="B357" i="11" s="1"/>
  <c r="B358" i="11" s="1"/>
  <c r="B359" i="11" s="1"/>
  <c r="B360" i="11" s="1"/>
  <c r="B361" i="11" s="1"/>
  <c r="B362" i="11" s="1"/>
  <c r="B363" i="11" s="1"/>
  <c r="B364" i="11" s="1"/>
  <c r="B365" i="11" s="1"/>
  <c r="B366" i="11" s="1"/>
  <c r="B367" i="11" s="1"/>
  <c r="B368" i="11" s="1"/>
  <c r="B369" i="11" s="1"/>
  <c r="B370" i="11" s="1"/>
  <c r="B371" i="11" s="1"/>
  <c r="B372" i="11" s="1"/>
  <c r="B373" i="11" s="1"/>
  <c r="B374" i="11" s="1"/>
  <c r="B375" i="11" s="1"/>
  <c r="B376" i="11" s="1"/>
  <c r="B377" i="11" s="1"/>
  <c r="B378" i="11" s="1"/>
  <c r="B379" i="11" s="1"/>
  <c r="B380" i="11" s="1"/>
  <c r="B381" i="11" s="1"/>
  <c r="B382" i="11" s="1"/>
  <c r="B383" i="11" s="1"/>
  <c r="B384" i="11" s="1"/>
  <c r="B385" i="11" s="1"/>
  <c r="B386" i="11" s="1"/>
  <c r="B387" i="11" s="1"/>
  <c r="B388" i="11" s="1"/>
  <c r="B389" i="11" s="1"/>
  <c r="B390" i="11" s="1"/>
  <c r="B391" i="11" s="1"/>
  <c r="B392" i="11" s="1"/>
  <c r="B393" i="11" s="1"/>
  <c r="B394" i="11" s="1"/>
  <c r="B395" i="11" s="1"/>
  <c r="B396" i="11" s="1"/>
  <c r="B397" i="11" s="1"/>
  <c r="B398" i="11" s="1"/>
  <c r="B399" i="11" s="1"/>
  <c r="B400" i="11" s="1"/>
  <c r="B401" i="11" s="1"/>
  <c r="B402" i="11" s="1"/>
  <c r="B403" i="11" s="1"/>
  <c r="B404" i="11" s="1"/>
  <c r="B405" i="11" s="1"/>
  <c r="B406" i="11" s="1"/>
  <c r="B407" i="11" s="1"/>
  <c r="B408" i="11" s="1"/>
  <c r="B409" i="11" s="1"/>
  <c r="B410" i="11" s="1"/>
  <c r="B411" i="11" s="1"/>
  <c r="B412" i="11" s="1"/>
  <c r="B413" i="11" s="1"/>
  <c r="B414" i="11" s="1"/>
  <c r="B415" i="11" s="1"/>
  <c r="B416" i="11" s="1"/>
  <c r="B417" i="11" s="1"/>
  <c r="B418" i="11" s="1"/>
  <c r="B419" i="11" s="1"/>
  <c r="B420" i="11" s="1"/>
  <c r="B421" i="11" s="1"/>
  <c r="B422" i="11" s="1"/>
  <c r="B423" i="11" s="1"/>
  <c r="B424" i="11" s="1"/>
  <c r="B425" i="11" s="1"/>
  <c r="B426" i="11" s="1"/>
  <c r="B427" i="11" s="1"/>
  <c r="B428" i="11" s="1"/>
  <c r="B429" i="11" s="1"/>
  <c r="B430" i="11" s="1"/>
  <c r="B431" i="11" s="1"/>
  <c r="B432" i="11" s="1"/>
  <c r="B433" i="11" s="1"/>
  <c r="B434" i="11" s="1"/>
  <c r="B435" i="11" s="1"/>
  <c r="B436" i="11" s="1"/>
  <c r="B437" i="11" s="1"/>
  <c r="B438" i="11" s="1"/>
  <c r="B439" i="11" s="1"/>
  <c r="B440" i="11" s="1"/>
  <c r="B441" i="11" s="1"/>
  <c r="B442" i="11" s="1"/>
  <c r="B443" i="11" s="1"/>
  <c r="B444" i="11" s="1"/>
  <c r="B445" i="11" s="1"/>
  <c r="B446" i="11" s="1"/>
  <c r="H563" i="10"/>
  <c r="G830" i="11"/>
  <c r="O110" i="38"/>
  <c r="O244" i="38" s="1"/>
  <c r="N220" i="10"/>
  <c r="N224" i="10"/>
  <c r="G215" i="12"/>
  <c r="H215" i="12" s="1"/>
  <c r="H223" i="12" s="1"/>
  <c r="H231" i="12" s="1"/>
  <c r="H610" i="11"/>
  <c r="I67" i="12"/>
  <c r="S67" i="12" s="1"/>
  <c r="I85" i="12"/>
  <c r="I94" i="12" s="1"/>
  <c r="I120" i="12"/>
  <c r="I151" i="12" s="1"/>
  <c r="I159" i="12" s="1"/>
  <c r="I128" i="12"/>
  <c r="I32" i="12"/>
  <c r="I103" i="12"/>
  <c r="I111" i="12" s="1"/>
  <c r="I41" i="12"/>
  <c r="I136" i="12"/>
  <c r="J24" i="12"/>
  <c r="AC144" i="26"/>
  <c r="AC144" i="54"/>
  <c r="N7" i="5"/>
  <c r="N54" i="5"/>
  <c r="L12" i="6" s="1"/>
  <c r="P83" i="38"/>
  <c r="Q76" i="38" s="1"/>
  <c r="C77" i="11"/>
  <c r="B72" i="8"/>
  <c r="H449" i="10"/>
  <c r="H208" i="12"/>
  <c r="P147" i="34"/>
  <c r="E216" i="50"/>
  <c r="F829" i="11"/>
  <c r="N110" i="37"/>
  <c r="N244" i="37" s="1"/>
  <c r="F836" i="11"/>
  <c r="N111" i="35"/>
  <c r="N270" i="35" s="1"/>
  <c r="J220" i="10"/>
  <c r="G194" i="10"/>
  <c r="G220" i="10" s="1"/>
  <c r="H836" i="11"/>
  <c r="P111" i="35"/>
  <c r="P270" i="35" s="1"/>
  <c r="F832" i="11"/>
  <c r="N110" i="5"/>
  <c r="N244" i="5" s="1"/>
  <c r="N110" i="34"/>
  <c r="N244" i="34" s="1"/>
  <c r="F830" i="11"/>
  <c r="N110" i="38"/>
  <c r="N244" i="38" s="1"/>
  <c r="F839" i="11"/>
  <c r="N111" i="38"/>
  <c r="N270" i="38" s="1"/>
  <c r="R200" i="12"/>
  <c r="S200" i="12" s="1"/>
  <c r="R16" i="12"/>
  <c r="R47" i="12"/>
  <c r="R63" i="12" s="1"/>
  <c r="R56" i="12"/>
  <c r="N8" i="39"/>
  <c r="R71" i="34"/>
  <c r="R138" i="34"/>
  <c r="G839" i="11"/>
  <c r="O111" i="38"/>
  <c r="O270" i="38" s="1"/>
  <c r="H828" i="11"/>
  <c r="P110" i="36"/>
  <c r="P244" i="36" s="1"/>
  <c r="AD142" i="56"/>
  <c r="AD142" i="53"/>
  <c r="AD142" i="55"/>
  <c r="AD142" i="54"/>
  <c r="O172" i="5"/>
  <c r="AD142" i="52"/>
  <c r="AD142" i="51"/>
  <c r="AD142" i="50"/>
  <c r="AD142" i="26"/>
  <c r="R201" i="12"/>
  <c r="S201" i="12" s="1"/>
  <c r="R57" i="12"/>
  <c r="R48" i="12"/>
  <c r="R64" i="12" s="1"/>
  <c r="S64" i="12" s="1"/>
  <c r="G220" i="12"/>
  <c r="H615" i="11"/>
  <c r="J68" i="12"/>
  <c r="I200" i="12"/>
  <c r="J200" i="12" s="1"/>
  <c r="AC144" i="50"/>
  <c r="AC144" i="55"/>
  <c r="Q541" i="10"/>
  <c r="H541" i="10" s="1"/>
  <c r="Q563" i="10"/>
  <c r="AC136" i="54"/>
  <c r="N173" i="38"/>
  <c r="H831" i="11"/>
  <c r="P110" i="39"/>
  <c r="P244" i="39" s="1"/>
  <c r="O28" i="34"/>
  <c r="F67" i="34" s="1"/>
  <c r="O53" i="34"/>
  <c r="AQ21" i="34" s="1"/>
  <c r="AD4" i="50" s="1"/>
  <c r="O72" i="34"/>
  <c r="H895" i="11"/>
  <c r="H889" i="11"/>
  <c r="P117" i="5"/>
  <c r="P364" i="5" s="1"/>
  <c r="P117" i="34"/>
  <c r="P364" i="34" s="1"/>
  <c r="F540" i="10"/>
  <c r="F564" i="10" s="1"/>
  <c r="I564" i="10"/>
  <c r="I22" i="12"/>
  <c r="H39" i="12"/>
  <c r="H42" i="12" s="1"/>
  <c r="H83" i="12"/>
  <c r="H92" i="12" s="1"/>
  <c r="G563" i="10"/>
  <c r="R204" i="12"/>
  <c r="S204" i="12" s="1"/>
  <c r="R60" i="12"/>
  <c r="R51" i="12"/>
  <c r="R67" i="12" s="1"/>
  <c r="Q224" i="10"/>
  <c r="Q220" i="10"/>
  <c r="F838" i="11"/>
  <c r="N111" i="37"/>
  <c r="N270" i="37" s="1"/>
  <c r="F217" i="10"/>
  <c r="F748" i="11"/>
  <c r="J809" i="10"/>
  <c r="J812" i="10"/>
  <c r="H217" i="10"/>
  <c r="H748" i="11"/>
  <c r="R202" i="12"/>
  <c r="S202" i="12" s="1"/>
  <c r="R49" i="12"/>
  <c r="R65" i="12"/>
  <c r="R58" i="12"/>
  <c r="I65" i="12"/>
  <c r="S65" i="12" s="1"/>
  <c r="I116" i="12"/>
  <c r="I132" i="12"/>
  <c r="I124" i="12"/>
  <c r="I28" i="12"/>
  <c r="I99" i="12"/>
  <c r="I107" i="12" s="1"/>
  <c r="I81" i="12"/>
  <c r="I90" i="12" s="1"/>
  <c r="J20" i="12"/>
  <c r="P93" i="37"/>
  <c r="Q86" i="37" s="1"/>
  <c r="AJ117" i="16"/>
  <c r="AJ364" i="16" s="1"/>
  <c r="AJ147" i="16"/>
  <c r="AJ112" i="16"/>
  <c r="AJ294" i="16" s="1"/>
  <c r="X271" i="11"/>
  <c r="AK112" i="16"/>
  <c r="AK294" i="16" s="1"/>
  <c r="AK147" i="16"/>
  <c r="AK117" i="16"/>
  <c r="AK364" i="16" s="1"/>
  <c r="AJ37" i="35"/>
  <c r="AJ37" i="16"/>
  <c r="AK37" i="35"/>
  <c r="AK37" i="16"/>
  <c r="O172" i="16"/>
  <c r="AD137" i="56"/>
  <c r="AD137" i="26"/>
  <c r="F36" i="16"/>
  <c r="F31" i="16"/>
  <c r="Q354" i="11"/>
  <c r="Q271" i="11"/>
  <c r="S354" i="11"/>
  <c r="S271" i="11"/>
  <c r="AA354" i="11"/>
  <c r="AA271" i="11"/>
  <c r="Z354" i="11"/>
  <c r="Z271" i="11"/>
  <c r="R354" i="11"/>
  <c r="R271" i="11"/>
  <c r="N136" i="16"/>
  <c r="N140" i="16" s="1"/>
  <c r="Y354" i="11"/>
  <c r="Y271" i="11"/>
  <c r="AC354" i="11"/>
  <c r="AC271" i="11"/>
  <c r="T354" i="11"/>
  <c r="T271" i="11"/>
  <c r="U354" i="11"/>
  <c r="U271" i="11"/>
  <c r="AB709" i="11"/>
  <c r="AC570" i="11"/>
  <c r="V354" i="11"/>
  <c r="V271" i="11"/>
  <c r="O64" i="16"/>
  <c r="O136" i="5"/>
  <c r="O140" i="5" s="1"/>
  <c r="F41" i="16"/>
  <c r="I198" i="11"/>
  <c r="I216" i="11" s="1"/>
  <c r="I109" i="11"/>
  <c r="I81" i="11"/>
  <c r="I426" i="11"/>
  <c r="I523" i="11"/>
  <c r="I511" i="11"/>
  <c r="I234" i="11"/>
  <c r="I336" i="11" s="1"/>
  <c r="I146" i="11"/>
  <c r="N172" i="38"/>
  <c r="N48" i="38"/>
  <c r="AC138" i="54" s="1"/>
  <c r="K44" i="11"/>
  <c r="K53" i="11" s="1"/>
  <c r="AC882" i="11"/>
  <c r="AC782" i="11"/>
  <c r="AC575" i="11"/>
  <c r="AK23" i="36"/>
  <c r="AK112" i="36"/>
  <c r="AK294" i="36" s="1"/>
  <c r="AK118" i="36"/>
  <c r="AK388" i="36" s="1"/>
  <c r="AK117" i="36"/>
  <c r="AK364" i="36" s="1"/>
  <c r="AK147" i="36"/>
  <c r="P47" i="37"/>
  <c r="AC745" i="11"/>
  <c r="AK31" i="38"/>
  <c r="K51" i="11"/>
  <c r="O172" i="38"/>
  <c r="O48" i="38"/>
  <c r="AD138" i="54" s="1"/>
  <c r="AK147" i="38"/>
  <c r="AK118" i="38"/>
  <c r="AK388" i="38" s="1"/>
  <c r="AK117" i="38"/>
  <c r="AK364" i="38" s="1"/>
  <c r="AK112" i="38"/>
  <c r="AK294" i="38" s="1"/>
  <c r="AJ112" i="35"/>
  <c r="AJ294" i="35" s="1"/>
  <c r="AJ147" i="35"/>
  <c r="AJ118" i="35"/>
  <c r="AJ388" i="35" s="1"/>
  <c r="AJ117" i="35"/>
  <c r="AJ364" i="35" s="1"/>
  <c r="AC718" i="11"/>
  <c r="AK41" i="35"/>
  <c r="J198" i="11"/>
  <c r="F232" i="54"/>
  <c r="F176" i="54"/>
  <c r="J137" i="11"/>
  <c r="V111" i="11"/>
  <c r="S111" i="11"/>
  <c r="AJ147" i="38"/>
  <c r="AJ118" i="38"/>
  <c r="AJ388" i="38" s="1"/>
  <c r="AJ117" i="38"/>
  <c r="AJ364" i="38" s="1"/>
  <c r="AJ112" i="38"/>
  <c r="AJ294" i="38" s="1"/>
  <c r="AK147" i="37"/>
  <c r="AK112" i="37"/>
  <c r="AK294" i="37" s="1"/>
  <c r="AK118" i="37"/>
  <c r="AK388" i="37" s="1"/>
  <c r="AK117" i="37"/>
  <c r="AK364" i="37" s="1"/>
  <c r="D23" i="46"/>
  <c r="AB16" i="49"/>
  <c r="D23" i="45"/>
  <c r="E16" i="49"/>
  <c r="D23" i="47"/>
  <c r="D23" i="48"/>
  <c r="D23" i="44"/>
  <c r="O172" i="39"/>
  <c r="O48" i="39"/>
  <c r="AD138" i="55" s="1"/>
  <c r="P47" i="36"/>
  <c r="AC881" i="11"/>
  <c r="AC781" i="11"/>
  <c r="AC574" i="11"/>
  <c r="AC583" i="11" s="1"/>
  <c r="AC543" i="11"/>
  <c r="AK23" i="35"/>
  <c r="N172" i="34"/>
  <c r="N48" i="34"/>
  <c r="AC138" i="50" s="1"/>
  <c r="AC709" i="11"/>
  <c r="AA111" i="11"/>
  <c r="I196" i="11"/>
  <c r="I214" i="11" s="1"/>
  <c r="I317" i="11" s="1"/>
  <c r="I424" i="11"/>
  <c r="I107" i="11"/>
  <c r="I79" i="11"/>
  <c r="I509" i="11"/>
  <c r="I144" i="11"/>
  <c r="I521" i="11"/>
  <c r="I232" i="11"/>
  <c r="I318" i="11" s="1"/>
  <c r="AC743" i="11"/>
  <c r="AK31" i="36"/>
  <c r="Z111" i="11"/>
  <c r="O172" i="36"/>
  <c r="O48" i="36"/>
  <c r="AD138" i="52" s="1"/>
  <c r="J199" i="11"/>
  <c r="F176" i="55"/>
  <c r="F232" i="55"/>
  <c r="J138" i="11"/>
  <c r="I197" i="11"/>
  <c r="I215" i="11" s="1"/>
  <c r="I108" i="11"/>
  <c r="I80" i="11"/>
  <c r="I425" i="11"/>
  <c r="I233" i="11"/>
  <c r="I327" i="11" s="1"/>
  <c r="I145" i="11"/>
  <c r="I510" i="11"/>
  <c r="I522" i="11"/>
  <c r="AK147" i="39"/>
  <c r="AK112" i="39"/>
  <c r="AK294" i="39" s="1"/>
  <c r="AK118" i="39"/>
  <c r="AK388" i="39" s="1"/>
  <c r="AK117" i="39"/>
  <c r="AK364" i="39" s="1"/>
  <c r="AK35" i="38"/>
  <c r="I195" i="11"/>
  <c r="I213" i="11" s="1"/>
  <c r="I423" i="11"/>
  <c r="I106" i="11"/>
  <c r="I56" i="11"/>
  <c r="I180" i="11" s="1"/>
  <c r="I78" i="11"/>
  <c r="I508" i="11"/>
  <c r="I143" i="11"/>
  <c r="I231" i="11"/>
  <c r="I520" i="11"/>
  <c r="N172" i="36"/>
  <c r="N48" i="36"/>
  <c r="AC138" i="52" s="1"/>
  <c r="AC895" i="11"/>
  <c r="AB850" i="11"/>
  <c r="AC749" i="11"/>
  <c r="AC739" i="11"/>
  <c r="AC719" i="11"/>
  <c r="AC674" i="11"/>
  <c r="AC683" i="11"/>
  <c r="AC692" i="11"/>
  <c r="AC682" i="11"/>
  <c r="AC665" i="11"/>
  <c r="AC656" i="11"/>
  <c r="AB606" i="11"/>
  <c r="AB597" i="11"/>
  <c r="AC615" i="11"/>
  <c r="AB552" i="11"/>
  <c r="AB561" i="11"/>
  <c r="AJ99" i="39"/>
  <c r="AJ99" i="38"/>
  <c r="AJ99" i="36"/>
  <c r="AJ99" i="37"/>
  <c r="AJ99" i="35"/>
  <c r="AJ99" i="34"/>
  <c r="AJ13" i="34"/>
  <c r="AJ99" i="16"/>
  <c r="AJ13" i="5"/>
  <c r="AC742" i="11"/>
  <c r="AC655" i="11"/>
  <c r="AK31" i="16" s="1"/>
  <c r="AK31" i="35"/>
  <c r="U111" i="11"/>
  <c r="J196" i="11"/>
  <c r="J205" i="11" s="1"/>
  <c r="J214" i="11" s="1"/>
  <c r="J317" i="11" s="1"/>
  <c r="F232" i="52"/>
  <c r="F176" i="52"/>
  <c r="J135" i="11"/>
  <c r="P47" i="35"/>
  <c r="AE137" i="51" s="1"/>
  <c r="O172" i="35"/>
  <c r="O48" i="35"/>
  <c r="AD138" i="51" s="1"/>
  <c r="F46" i="16"/>
  <c r="K46" i="11"/>
  <c r="N172" i="37"/>
  <c r="N48" i="37"/>
  <c r="AC138" i="53" s="1"/>
  <c r="AJ118" i="39"/>
  <c r="AJ388" i="39" s="1"/>
  <c r="AJ117" i="39"/>
  <c r="AJ364" i="39" s="1"/>
  <c r="AJ112" i="39"/>
  <c r="AJ294" i="39" s="1"/>
  <c r="AJ147" i="39"/>
  <c r="AK43" i="38"/>
  <c r="AK32" i="38"/>
  <c r="AB534" i="11"/>
  <c r="AC673" i="11"/>
  <c r="AK33" i="35"/>
  <c r="O172" i="37"/>
  <c r="O48" i="37"/>
  <c r="AD138" i="53" s="1"/>
  <c r="AK147" i="35"/>
  <c r="AK118" i="35"/>
  <c r="AK388" i="35" s="1"/>
  <c r="AK112" i="35"/>
  <c r="AK294" i="35" s="1"/>
  <c r="AK117" i="35"/>
  <c r="AK364" i="35" s="1"/>
  <c r="L42" i="11"/>
  <c r="W111" i="11"/>
  <c r="AC111" i="11"/>
  <c r="X111" i="11"/>
  <c r="T111" i="11"/>
  <c r="K43" i="11"/>
  <c r="O136" i="16"/>
  <c r="O140" i="16" s="1"/>
  <c r="AC785" i="11"/>
  <c r="AC885" i="11"/>
  <c r="AC578" i="11"/>
  <c r="AC587" i="11" s="1"/>
  <c r="AK23" i="39"/>
  <c r="P136" i="16"/>
  <c r="P140" i="16" s="1"/>
  <c r="P47" i="39"/>
  <c r="AE137" i="55" s="1"/>
  <c r="P47" i="38"/>
  <c r="AE137" i="54" s="1"/>
  <c r="AC884" i="11"/>
  <c r="AC784" i="11"/>
  <c r="AC577" i="11"/>
  <c r="AC586" i="11" s="1"/>
  <c r="AK23" i="38"/>
  <c r="AK23" i="16"/>
  <c r="AK34" i="38"/>
  <c r="AK34" i="16"/>
  <c r="AC664" i="11"/>
  <c r="AK32" i="16" s="1"/>
  <c r="AK32" i="35"/>
  <c r="AC850" i="11"/>
  <c r="AC606" i="11"/>
  <c r="AC597" i="11"/>
  <c r="AC552" i="11"/>
  <c r="AC561" i="11"/>
  <c r="AK99" i="39"/>
  <c r="AK99" i="38"/>
  <c r="AK99" i="36"/>
  <c r="AK99" i="37"/>
  <c r="AK99" i="35"/>
  <c r="AK13" i="34"/>
  <c r="AK99" i="34"/>
  <c r="AK99" i="16"/>
  <c r="AK13" i="5"/>
  <c r="Q111" i="11"/>
  <c r="J197" i="11"/>
  <c r="F232" i="53"/>
  <c r="F176" i="53"/>
  <c r="J136" i="11"/>
  <c r="I199" i="11"/>
  <c r="I217" i="11" s="1"/>
  <c r="I344" i="11" s="1"/>
  <c r="I110" i="11"/>
  <c r="I82" i="11"/>
  <c r="I427" i="11"/>
  <c r="I524" i="11"/>
  <c r="I235" i="11"/>
  <c r="I345" i="11" s="1"/>
  <c r="I147" i="11"/>
  <c r="I512" i="11"/>
  <c r="AJ147" i="36"/>
  <c r="AJ112" i="36"/>
  <c r="AJ294" i="36" s="1"/>
  <c r="AJ118" i="36"/>
  <c r="AJ388" i="36" s="1"/>
  <c r="AJ117" i="36"/>
  <c r="AJ364" i="36" s="1"/>
  <c r="P47" i="34"/>
  <c r="AE137" i="50" s="1"/>
  <c r="AK33" i="38"/>
  <c r="AK33" i="16"/>
  <c r="N48" i="35"/>
  <c r="AC138" i="51" s="1"/>
  <c r="N172" i="35"/>
  <c r="AC691" i="11"/>
  <c r="AK35" i="16" s="1"/>
  <c r="AK35" i="35"/>
  <c r="K45" i="11"/>
  <c r="N172" i="39"/>
  <c r="N48" i="39"/>
  <c r="AC138" i="55" s="1"/>
  <c r="AC534" i="11"/>
  <c r="Y111" i="11"/>
  <c r="F23" i="46"/>
  <c r="F23" i="45"/>
  <c r="G16" i="49"/>
  <c r="F23" i="48"/>
  <c r="F23" i="47"/>
  <c r="F23" i="44"/>
  <c r="AC738" i="11"/>
  <c r="AK43" i="16" s="1"/>
  <c r="AK43" i="35"/>
  <c r="P93" i="16"/>
  <c r="Q86" i="16" s="1"/>
  <c r="AJ147" i="37"/>
  <c r="AJ112" i="37"/>
  <c r="AJ294" i="37" s="1"/>
  <c r="AJ118" i="37"/>
  <c r="AJ388" i="37" s="1"/>
  <c r="AJ117" i="37"/>
  <c r="AJ364" i="37" s="1"/>
  <c r="AC744" i="11"/>
  <c r="AK31" i="37"/>
  <c r="F33" i="16"/>
  <c r="AC883" i="11"/>
  <c r="AC783" i="11"/>
  <c r="AC576" i="11"/>
  <c r="AK23" i="37"/>
  <c r="AC746" i="11"/>
  <c r="AK31" i="39"/>
  <c r="AK41" i="38"/>
  <c r="AK41" i="16"/>
  <c r="J51" i="11"/>
  <c r="J41" i="11"/>
  <c r="J47" i="11"/>
  <c r="AB570" i="11"/>
  <c r="O172" i="34"/>
  <c r="O48" i="34"/>
  <c r="AD138" i="50" s="1"/>
  <c r="L99" i="11"/>
  <c r="L100" i="11"/>
  <c r="L101" i="11"/>
  <c r="M96" i="11"/>
  <c r="L98" i="11"/>
  <c r="L97" i="11"/>
  <c r="R111" i="11"/>
  <c r="AE137" i="56"/>
  <c r="P172" i="16"/>
  <c r="F47" i="16"/>
  <c r="F44" i="16"/>
  <c r="F42" i="16"/>
  <c r="F40" i="16"/>
  <c r="F45" i="16"/>
  <c r="F39" i="16"/>
  <c r="AE137" i="26"/>
  <c r="F38" i="16"/>
  <c r="F37" i="16"/>
  <c r="F43" i="16"/>
  <c r="AD4" i="56"/>
  <c r="AD4" i="26"/>
  <c r="AC138" i="56"/>
  <c r="N171" i="16"/>
  <c r="N73" i="16"/>
  <c r="N51" i="16"/>
  <c r="AC138" i="26"/>
  <c r="AC137" i="56"/>
  <c r="N172" i="16"/>
  <c r="AC137" i="26"/>
  <c r="AC4" i="56"/>
  <c r="AC4" i="26"/>
  <c r="F32" i="16"/>
  <c r="P82" i="16"/>
  <c r="AD136" i="56"/>
  <c r="O173" i="16"/>
  <c r="O48" i="16"/>
  <c r="AD136" i="26"/>
  <c r="AE136" i="56"/>
  <c r="P173" i="16"/>
  <c r="P48" i="16"/>
  <c r="F28" i="16"/>
  <c r="AE136" i="26"/>
  <c r="AE4" i="56"/>
  <c r="AE4" i="26"/>
  <c r="O8" i="16"/>
  <c r="G8" i="11" s="1"/>
  <c r="P62" i="16"/>
  <c r="P64" i="16" s="1"/>
  <c r="P8" i="16"/>
  <c r="H8" i="11" s="1"/>
  <c r="I187" i="11"/>
  <c r="AD187" i="11" s="1"/>
  <c r="H9" i="11"/>
  <c r="P95" i="37"/>
  <c r="P96" i="37" s="1"/>
  <c r="P9" i="39"/>
  <c r="P95" i="38"/>
  <c r="P96" i="38" s="1"/>
  <c r="P9" i="34"/>
  <c r="P9" i="37"/>
  <c r="P95" i="36"/>
  <c r="P96" i="36" s="1"/>
  <c r="P9" i="38"/>
  <c r="P95" i="35"/>
  <c r="P96" i="35" s="1"/>
  <c r="P95" i="39"/>
  <c r="P96" i="39" s="1"/>
  <c r="P95" i="16"/>
  <c r="P96" i="16" s="1"/>
  <c r="P9" i="36"/>
  <c r="P95" i="34"/>
  <c r="P96" i="34" s="1"/>
  <c r="P9" i="35"/>
  <c r="P9" i="16"/>
  <c r="P9" i="5"/>
  <c r="F35" i="16"/>
  <c r="R68" i="12" l="1"/>
  <c r="S63" i="12"/>
  <c r="S68" i="12" s="1"/>
  <c r="I134" i="12"/>
  <c r="I126" i="12"/>
  <c r="I83" i="12"/>
  <c r="I92" i="12" s="1"/>
  <c r="I118" i="12"/>
  <c r="I30" i="12"/>
  <c r="J22" i="12" s="1"/>
  <c r="I101" i="12"/>
  <c r="I109" i="12" s="1"/>
  <c r="G863" i="11"/>
  <c r="O114" i="35"/>
  <c r="O114" i="16"/>
  <c r="F868" i="11"/>
  <c r="N114" i="5"/>
  <c r="N114" i="34"/>
  <c r="P92" i="34"/>
  <c r="P93" i="34"/>
  <c r="Q86" i="34" s="1"/>
  <c r="Q87" i="34" s="1"/>
  <c r="P77" i="16"/>
  <c r="P78" i="16"/>
  <c r="AE142" i="56"/>
  <c r="F43" i="5"/>
  <c r="F34" i="5"/>
  <c r="AE142" i="55"/>
  <c r="AE142" i="54"/>
  <c r="F47" i="5"/>
  <c r="F36" i="5"/>
  <c r="F33" i="5"/>
  <c r="P172" i="5"/>
  <c r="AE142" i="52"/>
  <c r="F46" i="5"/>
  <c r="F44" i="5"/>
  <c r="F39" i="5"/>
  <c r="F37" i="5"/>
  <c r="AE142" i="53"/>
  <c r="AE142" i="26"/>
  <c r="AE142" i="51"/>
  <c r="AE142" i="50"/>
  <c r="P48" i="5"/>
  <c r="F32" i="5"/>
  <c r="F40" i="5"/>
  <c r="F35" i="5"/>
  <c r="F31" i="5"/>
  <c r="F45" i="5"/>
  <c r="F38" i="5"/>
  <c r="F42" i="5"/>
  <c r="P767" i="11"/>
  <c r="W71" i="39"/>
  <c r="W138" i="39"/>
  <c r="J169" i="12"/>
  <c r="J217" i="12"/>
  <c r="J225" i="12" s="1"/>
  <c r="J210" i="12"/>
  <c r="J233" i="12" s="1"/>
  <c r="S138" i="34"/>
  <c r="S71" i="34"/>
  <c r="AK71" i="37"/>
  <c r="AL71" i="37" s="1"/>
  <c r="AK138" i="37"/>
  <c r="P83" i="16"/>
  <c r="Q76" i="16" s="1"/>
  <c r="H900" i="11"/>
  <c r="P118" i="36"/>
  <c r="P388" i="36" s="1"/>
  <c r="J211" i="12"/>
  <c r="J170" i="12"/>
  <c r="J218" i="12"/>
  <c r="J226" i="12" s="1"/>
  <c r="J234" i="12" s="1"/>
  <c r="J23" i="12"/>
  <c r="P63" i="34"/>
  <c r="P64" i="34" s="1"/>
  <c r="P8" i="34"/>
  <c r="AL76" i="35"/>
  <c r="H232" i="12"/>
  <c r="I232" i="12" s="1"/>
  <c r="H899" i="11"/>
  <c r="P118" i="35"/>
  <c r="P388" i="35" s="1"/>
  <c r="P118" i="16"/>
  <c r="P388" i="16" s="1"/>
  <c r="F41" i="5"/>
  <c r="I215" i="12"/>
  <c r="I223" i="12" s="1"/>
  <c r="I231" i="12" s="1"/>
  <c r="F541" i="10"/>
  <c r="F567" i="10" s="1"/>
  <c r="I68" i="12"/>
  <c r="AD765" i="11"/>
  <c r="AL138" i="37" s="1"/>
  <c r="S16" i="12"/>
  <c r="I37" i="12"/>
  <c r="H865" i="11"/>
  <c r="P114" i="37"/>
  <c r="AD136" i="50"/>
  <c r="O173" i="34"/>
  <c r="J144" i="12"/>
  <c r="J120" i="12"/>
  <c r="J128" i="12"/>
  <c r="J136" i="12"/>
  <c r="J103" i="12"/>
  <c r="J111" i="12" s="1"/>
  <c r="J41" i="12"/>
  <c r="K24" i="12"/>
  <c r="J85" i="12"/>
  <c r="J94" i="12" s="1"/>
  <c r="J32" i="12"/>
  <c r="H864" i="11"/>
  <c r="P114" i="36"/>
  <c r="G841" i="11"/>
  <c r="O111" i="5"/>
  <c r="O270" i="5" s="1"/>
  <c r="O111" i="34"/>
  <c r="O270" i="34" s="1"/>
  <c r="P78" i="35"/>
  <c r="P77" i="35"/>
  <c r="P83" i="35" s="1"/>
  <c r="Q76" i="35" s="1"/>
  <c r="I117" i="12"/>
  <c r="I133" i="12"/>
  <c r="I29" i="12"/>
  <c r="I38" i="12" s="1"/>
  <c r="I100" i="12"/>
  <c r="I108" i="12" s="1"/>
  <c r="I112" i="12" s="1"/>
  <c r="J21" i="12"/>
  <c r="I125" i="12"/>
  <c r="I82" i="12"/>
  <c r="I91" i="12" s="1"/>
  <c r="I95" i="12" s="1"/>
  <c r="H220" i="10"/>
  <c r="H219" i="10"/>
  <c r="H224" i="10"/>
  <c r="J167" i="12"/>
  <c r="J215" i="12"/>
  <c r="J223" i="12" s="1"/>
  <c r="J208" i="12"/>
  <c r="I172" i="12"/>
  <c r="J171" i="12"/>
  <c r="J219" i="12"/>
  <c r="J227" i="12" s="1"/>
  <c r="J235" i="12" s="1"/>
  <c r="J212" i="12"/>
  <c r="AD143" i="56"/>
  <c r="O142" i="39"/>
  <c r="O142" i="38"/>
  <c r="O142" i="36"/>
  <c r="O142" i="37"/>
  <c r="O142" i="34"/>
  <c r="O142" i="5"/>
  <c r="O51" i="5"/>
  <c r="AD143" i="53"/>
  <c r="O73" i="5"/>
  <c r="AD143" i="55"/>
  <c r="AD143" i="54"/>
  <c r="O142" i="35"/>
  <c r="O142" i="16"/>
  <c r="O171" i="5"/>
  <c r="AD143" i="52"/>
  <c r="AD143" i="51"/>
  <c r="AD143" i="50"/>
  <c r="AD143" i="26"/>
  <c r="J116" i="12"/>
  <c r="J132" i="12"/>
  <c r="J124" i="12"/>
  <c r="J99" i="12"/>
  <c r="J107" i="12" s="1"/>
  <c r="J37" i="12"/>
  <c r="J140" i="12"/>
  <c r="J81" i="12"/>
  <c r="J90" i="12" s="1"/>
  <c r="J28" i="12"/>
  <c r="I25" i="12"/>
  <c r="I86" i="12" s="1"/>
  <c r="I147" i="12"/>
  <c r="I155" i="12" s="1"/>
  <c r="H841" i="11"/>
  <c r="P111" i="5"/>
  <c r="P270" i="5" s="1"/>
  <c r="P111" i="34"/>
  <c r="P270" i="34" s="1"/>
  <c r="F841" i="11"/>
  <c r="N111" i="5"/>
  <c r="N270" i="5" s="1"/>
  <c r="N111" i="34"/>
  <c r="N270" i="34" s="1"/>
  <c r="H901" i="11"/>
  <c r="P118" i="37"/>
  <c r="P388" i="37" s="1"/>
  <c r="G868" i="11"/>
  <c r="O114" i="5"/>
  <c r="O114" i="34"/>
  <c r="O8" i="14"/>
  <c r="C86" i="11"/>
  <c r="B73" i="8"/>
  <c r="F863" i="11"/>
  <c r="N114" i="35"/>
  <c r="N114" i="16"/>
  <c r="AE136" i="50"/>
  <c r="P173" i="34"/>
  <c r="F28" i="34"/>
  <c r="F21" i="34"/>
  <c r="P76" i="34"/>
  <c r="P84" i="34"/>
  <c r="J168" i="12"/>
  <c r="J216" i="12"/>
  <c r="J224" i="12" s="1"/>
  <c r="J209" i="12"/>
  <c r="H863" i="11"/>
  <c r="P114" i="35"/>
  <c r="P114" i="16"/>
  <c r="L768" i="11"/>
  <c r="M763" i="11"/>
  <c r="T138" i="35"/>
  <c r="T71" i="35"/>
  <c r="T138" i="5"/>
  <c r="T138" i="16"/>
  <c r="T71" i="16"/>
  <c r="L44" i="11"/>
  <c r="L53" i="11" s="1"/>
  <c r="L197" i="11" s="1"/>
  <c r="J81" i="11"/>
  <c r="J408" i="11" s="1"/>
  <c r="J426" i="11" s="1"/>
  <c r="AJ37" i="5"/>
  <c r="AJ37" i="34"/>
  <c r="AK37" i="34"/>
  <c r="AK37" i="5"/>
  <c r="F46" i="36"/>
  <c r="AE137" i="52"/>
  <c r="F46" i="37"/>
  <c r="AE137" i="53"/>
  <c r="J82" i="11"/>
  <c r="J467" i="11" s="1"/>
  <c r="J80" i="11"/>
  <c r="J126" i="11" s="1"/>
  <c r="I283" i="11"/>
  <c r="Q67" i="39" s="1"/>
  <c r="M42" i="11"/>
  <c r="N42" i="11" s="1"/>
  <c r="I280" i="11"/>
  <c r="Q67" i="36" s="1"/>
  <c r="J457" i="11"/>
  <c r="R12" i="38"/>
  <c r="I700" i="11"/>
  <c r="I486" i="11"/>
  <c r="I477" i="11"/>
  <c r="I468" i="11"/>
  <c r="I459" i="11"/>
  <c r="I504" i="11"/>
  <c r="I495" i="11"/>
  <c r="I200" i="11"/>
  <c r="I410" i="11"/>
  <c r="I129" i="11"/>
  <c r="I209" i="11"/>
  <c r="I139" i="11"/>
  <c r="I717" i="11"/>
  <c r="I672" i="11"/>
  <c r="I681" i="11"/>
  <c r="I690" i="11"/>
  <c r="I663" i="11"/>
  <c r="I654" i="11"/>
  <c r="I560" i="11"/>
  <c r="I542" i="11"/>
  <c r="I551" i="11"/>
  <c r="Q13" i="39"/>
  <c r="J524" i="11"/>
  <c r="AK105" i="38"/>
  <c r="AK220" i="38" s="1"/>
  <c r="AK90" i="38"/>
  <c r="AK90" i="39"/>
  <c r="AK105" i="39"/>
  <c r="AK220" i="39" s="1"/>
  <c r="O171" i="37"/>
  <c r="O51" i="37"/>
  <c r="O73" i="37"/>
  <c r="I115" i="11"/>
  <c r="I170" i="11" s="1"/>
  <c r="I258" i="11" s="1"/>
  <c r="I83" i="11"/>
  <c r="Q12" i="35"/>
  <c r="I87" i="11"/>
  <c r="I443" i="11"/>
  <c r="J443" i="11" s="1"/>
  <c r="K443" i="11" s="1"/>
  <c r="L443" i="11" s="1"/>
  <c r="M443" i="11" s="1"/>
  <c r="N443" i="11" s="1"/>
  <c r="O443" i="11" s="1"/>
  <c r="P443" i="11" s="1"/>
  <c r="Q443" i="11" s="1"/>
  <c r="R443" i="11" s="1"/>
  <c r="S443" i="11" s="1"/>
  <c r="T443" i="11" s="1"/>
  <c r="U443" i="11" s="1"/>
  <c r="V443" i="11" s="1"/>
  <c r="W443" i="11" s="1"/>
  <c r="X443" i="11" s="1"/>
  <c r="Y443" i="11" s="1"/>
  <c r="Z443" i="11" s="1"/>
  <c r="AA443" i="11" s="1"/>
  <c r="AB443" i="11" s="1"/>
  <c r="AC443" i="11" s="1"/>
  <c r="Q19" i="37"/>
  <c r="I116" i="11"/>
  <c r="I171" i="11" s="1"/>
  <c r="Q12" i="36"/>
  <c r="I88" i="11"/>
  <c r="AC886" i="11"/>
  <c r="AC786" i="11"/>
  <c r="AK23" i="34"/>
  <c r="AK23" i="5"/>
  <c r="AK105" i="5" s="1"/>
  <c r="AK220" i="5" s="1"/>
  <c r="O51" i="39"/>
  <c r="O73" i="39"/>
  <c r="O171" i="39"/>
  <c r="K195" i="11"/>
  <c r="F233" i="51"/>
  <c r="F177" i="51"/>
  <c r="Q132" i="38"/>
  <c r="Q36" i="38"/>
  <c r="I335" i="11"/>
  <c r="I282" i="11" s="1"/>
  <c r="Q67" i="38" s="1"/>
  <c r="Q53" i="38" s="1"/>
  <c r="J110" i="11"/>
  <c r="J119" i="11" s="1"/>
  <c r="J195" i="11"/>
  <c r="J134" i="11"/>
  <c r="K134" i="11" s="1"/>
  <c r="J78" i="11"/>
  <c r="J56" i="11"/>
  <c r="F232" i="51"/>
  <c r="F176" i="51"/>
  <c r="N51" i="39"/>
  <c r="N73" i="39"/>
  <c r="N171" i="39"/>
  <c r="N51" i="35"/>
  <c r="N73" i="35"/>
  <c r="N171" i="35"/>
  <c r="P172" i="34"/>
  <c r="F40" i="34"/>
  <c r="P48" i="34"/>
  <c r="AE138" i="50" s="1"/>
  <c r="F47" i="34"/>
  <c r="F38" i="34"/>
  <c r="F43" i="34"/>
  <c r="F31" i="34"/>
  <c r="F41" i="34"/>
  <c r="F32" i="34"/>
  <c r="F42" i="34"/>
  <c r="F33" i="34"/>
  <c r="F45" i="34"/>
  <c r="F34" i="34"/>
  <c r="F44" i="34"/>
  <c r="F36" i="34"/>
  <c r="F35" i="34"/>
  <c r="F39" i="34"/>
  <c r="F37" i="34"/>
  <c r="AK112" i="5"/>
  <c r="AK294" i="5" s="1"/>
  <c r="AK118" i="5"/>
  <c r="AK388" i="5" s="1"/>
  <c r="AK117" i="5"/>
  <c r="AK364" i="5" s="1"/>
  <c r="AI42" i="6"/>
  <c r="AI52" i="6" s="1"/>
  <c r="AK25" i="38"/>
  <c r="AK129" i="38"/>
  <c r="F42" i="38"/>
  <c r="F32" i="38"/>
  <c r="F40" i="38"/>
  <c r="F33" i="38"/>
  <c r="F34" i="38"/>
  <c r="P48" i="38"/>
  <c r="AE138" i="54" s="1"/>
  <c r="F39" i="38"/>
  <c r="F35" i="38"/>
  <c r="F47" i="38"/>
  <c r="F36" i="38"/>
  <c r="F45" i="38"/>
  <c r="F38" i="38"/>
  <c r="P172" i="38"/>
  <c r="F44" i="38"/>
  <c r="F41" i="38"/>
  <c r="F31" i="38"/>
  <c r="F43" i="38"/>
  <c r="F37" i="38"/>
  <c r="AK129" i="39"/>
  <c r="AK25" i="39"/>
  <c r="F44" i="35"/>
  <c r="F41" i="35"/>
  <c r="F31" i="35"/>
  <c r="P48" i="35"/>
  <c r="AE138" i="51" s="1"/>
  <c r="F42" i="35"/>
  <c r="F32" i="35"/>
  <c r="F34" i="35"/>
  <c r="F39" i="35"/>
  <c r="F35" i="35"/>
  <c r="F43" i="35"/>
  <c r="F36" i="35"/>
  <c r="F33" i="35"/>
  <c r="F40" i="35"/>
  <c r="P172" i="35"/>
  <c r="F45" i="35"/>
  <c r="F38" i="35"/>
  <c r="F47" i="35"/>
  <c r="F37" i="35"/>
  <c r="J208" i="11"/>
  <c r="J217" i="11" s="1"/>
  <c r="J344" i="11" s="1"/>
  <c r="I442" i="11"/>
  <c r="J442" i="11" s="1"/>
  <c r="K442" i="11" s="1"/>
  <c r="L442" i="11" s="1"/>
  <c r="M442" i="11" s="1"/>
  <c r="N442" i="11" s="1"/>
  <c r="O442" i="11" s="1"/>
  <c r="P442" i="11" s="1"/>
  <c r="Q442" i="11" s="1"/>
  <c r="R442" i="11" s="1"/>
  <c r="S442" i="11" s="1"/>
  <c r="T442" i="11" s="1"/>
  <c r="U442" i="11" s="1"/>
  <c r="V442" i="11" s="1"/>
  <c r="W442" i="11" s="1"/>
  <c r="X442" i="11" s="1"/>
  <c r="Y442" i="11" s="1"/>
  <c r="Z442" i="11" s="1"/>
  <c r="AA442" i="11" s="1"/>
  <c r="AB442" i="11" s="1"/>
  <c r="AC442" i="11" s="1"/>
  <c r="Q19" i="36"/>
  <c r="AC579" i="11"/>
  <c r="AK25" i="16" s="1"/>
  <c r="AK129" i="35"/>
  <c r="AK25" i="35"/>
  <c r="I444" i="11"/>
  <c r="J444" i="11" s="1"/>
  <c r="K444" i="11" s="1"/>
  <c r="L444" i="11" s="1"/>
  <c r="M444" i="11" s="1"/>
  <c r="N444" i="11" s="1"/>
  <c r="O444" i="11" s="1"/>
  <c r="P444" i="11" s="1"/>
  <c r="Q444" i="11" s="1"/>
  <c r="R444" i="11" s="1"/>
  <c r="S444" i="11" s="1"/>
  <c r="T444" i="11" s="1"/>
  <c r="U444" i="11" s="1"/>
  <c r="V444" i="11" s="1"/>
  <c r="W444" i="11" s="1"/>
  <c r="X444" i="11" s="1"/>
  <c r="Y444" i="11" s="1"/>
  <c r="Z444" i="11" s="1"/>
  <c r="AA444" i="11" s="1"/>
  <c r="AB444" i="11" s="1"/>
  <c r="AC444" i="11" s="1"/>
  <c r="Q19" i="38"/>
  <c r="AC840" i="11"/>
  <c r="AK133" i="39"/>
  <c r="AK46" i="39"/>
  <c r="AK105" i="37"/>
  <c r="AK220" i="37" s="1"/>
  <c r="AK90" i="37"/>
  <c r="AK35" i="34"/>
  <c r="AK35" i="5"/>
  <c r="F46" i="34"/>
  <c r="I119" i="11"/>
  <c r="I174" i="11" s="1"/>
  <c r="I262" i="11" s="1"/>
  <c r="I343" i="11" s="1"/>
  <c r="I347" i="11" s="1"/>
  <c r="J342" i="11" s="1"/>
  <c r="Q12" i="39"/>
  <c r="I91" i="11"/>
  <c r="F46" i="38"/>
  <c r="N51" i="37"/>
  <c r="N171" i="37"/>
  <c r="N73" i="37"/>
  <c r="F46" i="35"/>
  <c r="AC747" i="11"/>
  <c r="AK31" i="5"/>
  <c r="AK31" i="34"/>
  <c r="I686" i="11"/>
  <c r="I650" i="11"/>
  <c r="I677" i="11"/>
  <c r="I659" i="11"/>
  <c r="I713" i="11"/>
  <c r="I668" i="11"/>
  <c r="I556" i="11"/>
  <c r="I547" i="11"/>
  <c r="I538" i="11"/>
  <c r="I525" i="11"/>
  <c r="Q13" i="35"/>
  <c r="J520" i="11"/>
  <c r="I111" i="11"/>
  <c r="I679" i="11"/>
  <c r="I688" i="11"/>
  <c r="I715" i="11"/>
  <c r="I670" i="11"/>
  <c r="I652" i="11"/>
  <c r="I661" i="11"/>
  <c r="I558" i="11"/>
  <c r="I549" i="11"/>
  <c r="I540" i="11"/>
  <c r="Q13" i="37"/>
  <c r="J522" i="11"/>
  <c r="F45" i="36"/>
  <c r="F38" i="36"/>
  <c r="F43" i="36"/>
  <c r="F44" i="36"/>
  <c r="F41" i="36"/>
  <c r="F31" i="36"/>
  <c r="F42" i="36"/>
  <c r="F32" i="36"/>
  <c r="F40" i="36"/>
  <c r="F33" i="36"/>
  <c r="F47" i="36"/>
  <c r="F36" i="36"/>
  <c r="F35" i="36"/>
  <c r="P48" i="36"/>
  <c r="AE138" i="52" s="1"/>
  <c r="P172" i="36"/>
  <c r="F34" i="36"/>
  <c r="F39" i="36"/>
  <c r="F37" i="36"/>
  <c r="I445" i="11"/>
  <c r="J445" i="11" s="1"/>
  <c r="K445" i="11" s="1"/>
  <c r="L445" i="11" s="1"/>
  <c r="M445" i="11" s="1"/>
  <c r="N445" i="11" s="1"/>
  <c r="O445" i="11" s="1"/>
  <c r="P445" i="11" s="1"/>
  <c r="Q445" i="11" s="1"/>
  <c r="R445" i="11" s="1"/>
  <c r="S445" i="11" s="1"/>
  <c r="T445" i="11" s="1"/>
  <c r="U445" i="11" s="1"/>
  <c r="V445" i="11" s="1"/>
  <c r="W445" i="11" s="1"/>
  <c r="X445" i="11" s="1"/>
  <c r="Y445" i="11" s="1"/>
  <c r="Z445" i="11" s="1"/>
  <c r="AA445" i="11" s="1"/>
  <c r="AB445" i="11" s="1"/>
  <c r="AC445" i="11" s="1"/>
  <c r="Q19" i="39"/>
  <c r="N73" i="36"/>
  <c r="N171" i="36"/>
  <c r="N51" i="36"/>
  <c r="M100" i="11"/>
  <c r="M101" i="11"/>
  <c r="M99" i="11"/>
  <c r="M98" i="11"/>
  <c r="M97" i="11"/>
  <c r="AK129" i="37"/>
  <c r="AK25" i="37"/>
  <c r="K54" i="11"/>
  <c r="J206" i="11"/>
  <c r="J215" i="11" s="1"/>
  <c r="J326" i="11" s="1"/>
  <c r="P172" i="39"/>
  <c r="F42" i="39"/>
  <c r="F32" i="39"/>
  <c r="F40" i="39"/>
  <c r="F33" i="39"/>
  <c r="F34" i="39"/>
  <c r="P48" i="39"/>
  <c r="AE138" i="55" s="1"/>
  <c r="F39" i="39"/>
  <c r="F35" i="39"/>
  <c r="F47" i="39"/>
  <c r="F36" i="39"/>
  <c r="F45" i="39"/>
  <c r="F38" i="39"/>
  <c r="F44" i="39"/>
  <c r="F41" i="39"/>
  <c r="F31" i="39"/>
  <c r="F43" i="39"/>
  <c r="F37" i="39"/>
  <c r="L33" i="11"/>
  <c r="L69" i="11"/>
  <c r="AC836" i="11"/>
  <c r="AK46" i="35"/>
  <c r="AK133" i="35"/>
  <c r="L51" i="11"/>
  <c r="I441" i="11"/>
  <c r="J441" i="11" s="1"/>
  <c r="K441" i="11" s="1"/>
  <c r="L441" i="11" s="1"/>
  <c r="M441" i="11" s="1"/>
  <c r="N441" i="11" s="1"/>
  <c r="O441" i="11" s="1"/>
  <c r="P441" i="11" s="1"/>
  <c r="Q441" i="11" s="1"/>
  <c r="R441" i="11" s="1"/>
  <c r="S441" i="11" s="1"/>
  <c r="T441" i="11" s="1"/>
  <c r="U441" i="11" s="1"/>
  <c r="V441" i="11" s="1"/>
  <c r="W441" i="11" s="1"/>
  <c r="X441" i="11" s="1"/>
  <c r="Y441" i="11" s="1"/>
  <c r="Z441" i="11" s="1"/>
  <c r="AA441" i="11" s="1"/>
  <c r="AB441" i="11" s="1"/>
  <c r="AC441" i="11" s="1"/>
  <c r="I428" i="11"/>
  <c r="Q19" i="16" s="1"/>
  <c r="Q19" i="35"/>
  <c r="L62" i="11"/>
  <c r="I218" i="11"/>
  <c r="I353" i="11" s="1"/>
  <c r="I326" i="11"/>
  <c r="I281" i="11" s="1"/>
  <c r="Q67" i="37" s="1"/>
  <c r="I733" i="11"/>
  <c r="I735" i="11"/>
  <c r="I737" i="11"/>
  <c r="I736" i="11"/>
  <c r="I734" i="11"/>
  <c r="I714" i="11"/>
  <c r="I687" i="11"/>
  <c r="I651" i="11"/>
  <c r="I678" i="11"/>
  <c r="I660" i="11"/>
  <c r="I669" i="11"/>
  <c r="I557" i="11"/>
  <c r="I548" i="11"/>
  <c r="I539" i="11"/>
  <c r="Q13" i="36"/>
  <c r="J521" i="11"/>
  <c r="N171" i="34"/>
  <c r="N51" i="34"/>
  <c r="N73" i="34"/>
  <c r="J207" i="11"/>
  <c r="J216" i="11" s="1"/>
  <c r="O171" i="38"/>
  <c r="O51" i="38"/>
  <c r="O73" i="38"/>
  <c r="AC839" i="11"/>
  <c r="AK133" i="38"/>
  <c r="AK46" i="38"/>
  <c r="AK133" i="5"/>
  <c r="AK133" i="16"/>
  <c r="AK46" i="16"/>
  <c r="K197" i="11"/>
  <c r="F233" i="53"/>
  <c r="K136" i="11"/>
  <c r="I118" i="11"/>
  <c r="I173" i="11" s="1"/>
  <c r="I261" i="11" s="1"/>
  <c r="Q12" i="38"/>
  <c r="I90" i="11"/>
  <c r="J90" i="11" s="1"/>
  <c r="Q12" i="16"/>
  <c r="O42" i="11"/>
  <c r="AC585" i="11"/>
  <c r="Q132" i="39"/>
  <c r="Q36" i="39"/>
  <c r="AK147" i="34"/>
  <c r="AK112" i="34"/>
  <c r="AK294" i="34" s="1"/>
  <c r="AK118" i="34"/>
  <c r="AK388" i="34" s="1"/>
  <c r="AK117" i="34"/>
  <c r="AK364" i="34" s="1"/>
  <c r="F46" i="39"/>
  <c r="K55" i="11"/>
  <c r="AK147" i="5"/>
  <c r="AJ112" i="5"/>
  <c r="AJ294" i="5" s="1"/>
  <c r="AJ118" i="5"/>
  <c r="AJ388" i="5" s="1"/>
  <c r="AJ117" i="5"/>
  <c r="AJ364" i="5" s="1"/>
  <c r="AH42" i="6"/>
  <c r="AH52" i="6" s="1"/>
  <c r="AK34" i="34"/>
  <c r="AK34" i="5"/>
  <c r="I309" i="11"/>
  <c r="I236" i="11"/>
  <c r="I271" i="11" s="1"/>
  <c r="I308" i="11"/>
  <c r="Q132" i="37"/>
  <c r="Q36" i="37"/>
  <c r="I361" i="11"/>
  <c r="I873" i="11"/>
  <c r="L46" i="11"/>
  <c r="L45" i="11"/>
  <c r="AK105" i="36"/>
  <c r="AK220" i="36" s="1"/>
  <c r="AK90" i="36"/>
  <c r="AC838" i="11"/>
  <c r="AK133" i="37"/>
  <c r="AK46" i="37"/>
  <c r="K52" i="11"/>
  <c r="L43" i="11"/>
  <c r="L35" i="11"/>
  <c r="L71" i="11"/>
  <c r="M33" i="11"/>
  <c r="M51" i="11"/>
  <c r="I364" i="11"/>
  <c r="I876" i="11"/>
  <c r="AK33" i="34"/>
  <c r="AK33" i="5"/>
  <c r="I872" i="11"/>
  <c r="I360" i="11"/>
  <c r="I148" i="11"/>
  <c r="I362" i="11"/>
  <c r="I874" i="11"/>
  <c r="O171" i="36"/>
  <c r="O51" i="36"/>
  <c r="O73" i="36"/>
  <c r="Q36" i="36"/>
  <c r="Q132" i="36"/>
  <c r="K47" i="11"/>
  <c r="AK129" i="36"/>
  <c r="AK25" i="36"/>
  <c r="N171" i="38"/>
  <c r="N51" i="38"/>
  <c r="N73" i="38"/>
  <c r="I875" i="11"/>
  <c r="I363" i="11"/>
  <c r="I182" i="11"/>
  <c r="I183" i="11" s="1"/>
  <c r="I117" i="11"/>
  <c r="Q12" i="37"/>
  <c r="I89" i="11"/>
  <c r="J89" i="11" s="1"/>
  <c r="I716" i="11"/>
  <c r="I689" i="11"/>
  <c r="I680" i="11"/>
  <c r="I653" i="11"/>
  <c r="I671" i="11"/>
  <c r="I848" i="11" s="1"/>
  <c r="I662" i="11"/>
  <c r="I559" i="11"/>
  <c r="I550" i="11"/>
  <c r="I541" i="11"/>
  <c r="Q13" i="38"/>
  <c r="Q13" i="16"/>
  <c r="J523" i="11"/>
  <c r="N96" i="11"/>
  <c r="O51" i="34"/>
  <c r="O73" i="34"/>
  <c r="O171" i="34"/>
  <c r="AK43" i="34"/>
  <c r="AK43" i="5"/>
  <c r="AK32" i="34"/>
  <c r="AK32" i="5"/>
  <c r="AK105" i="16"/>
  <c r="AK220" i="16" s="1"/>
  <c r="AK90" i="16"/>
  <c r="O73" i="35"/>
  <c r="O171" i="35"/>
  <c r="O51" i="35"/>
  <c r="J79" i="11"/>
  <c r="AJ147" i="34"/>
  <c r="AJ112" i="34"/>
  <c r="AJ294" i="34" s="1"/>
  <c r="AJ118" i="34"/>
  <c r="AJ388" i="34" s="1"/>
  <c r="AJ117" i="34"/>
  <c r="AJ364" i="34" s="1"/>
  <c r="I513" i="11"/>
  <c r="Q132" i="5" s="1"/>
  <c r="Q132" i="35"/>
  <c r="Q36" i="35"/>
  <c r="AC837" i="11"/>
  <c r="AK46" i="36"/>
  <c r="AK133" i="36"/>
  <c r="AK105" i="35"/>
  <c r="AK220" i="35" s="1"/>
  <c r="AK90" i="35"/>
  <c r="AK41" i="34"/>
  <c r="AK41" i="5"/>
  <c r="K41" i="11"/>
  <c r="P172" i="37"/>
  <c r="F42" i="37"/>
  <c r="F32" i="37"/>
  <c r="F40" i="37"/>
  <c r="F33" i="37"/>
  <c r="F34" i="37"/>
  <c r="P48" i="37"/>
  <c r="AE138" i="53" s="1"/>
  <c r="F39" i="37"/>
  <c r="F35" i="37"/>
  <c r="F47" i="37"/>
  <c r="F36" i="37"/>
  <c r="F44" i="37"/>
  <c r="F41" i="37"/>
  <c r="F31" i="37"/>
  <c r="F45" i="37"/>
  <c r="F38" i="37"/>
  <c r="F43" i="37"/>
  <c r="F37" i="37"/>
  <c r="AC584" i="11"/>
  <c r="AC139" i="56"/>
  <c r="AC139" i="52"/>
  <c r="AE138" i="56"/>
  <c r="P171" i="16"/>
  <c r="P73" i="16"/>
  <c r="P51" i="16"/>
  <c r="AE138" i="26"/>
  <c r="AC139" i="51"/>
  <c r="AD138" i="56"/>
  <c r="AD139" i="56" s="1"/>
  <c r="O171" i="16"/>
  <c r="O73" i="16"/>
  <c r="O51" i="16"/>
  <c r="AD139" i="50"/>
  <c r="AD139" i="53"/>
  <c r="AD139" i="52"/>
  <c r="AD138" i="26"/>
  <c r="AD139" i="26" s="1"/>
  <c r="AC139" i="54"/>
  <c r="AC139" i="53"/>
  <c r="AC139" i="50"/>
  <c r="N54" i="16"/>
  <c r="AP20" i="16"/>
  <c r="N7" i="16"/>
  <c r="F7" i="11" s="1"/>
  <c r="AD139" i="55"/>
  <c r="AC139" i="55"/>
  <c r="AC139" i="26"/>
  <c r="J83" i="12" l="1"/>
  <c r="J92" i="12" s="1"/>
  <c r="J118" i="12"/>
  <c r="J101" i="12"/>
  <c r="J109" i="12" s="1"/>
  <c r="J112" i="12" s="1"/>
  <c r="J134" i="12"/>
  <c r="J39" i="12"/>
  <c r="J142" i="12"/>
  <c r="J126" i="12"/>
  <c r="J30" i="12"/>
  <c r="K22" i="12"/>
  <c r="J25" i="12"/>
  <c r="J86" i="12" s="1"/>
  <c r="J231" i="12"/>
  <c r="I236" i="12"/>
  <c r="AL76" i="34"/>
  <c r="AD144" i="50"/>
  <c r="K219" i="12"/>
  <c r="K227" i="12" s="1"/>
  <c r="K235" i="12" s="1"/>
  <c r="K212" i="12"/>
  <c r="K171" i="12"/>
  <c r="K215" i="12"/>
  <c r="K223" i="12" s="1"/>
  <c r="K208" i="12"/>
  <c r="J172" i="12"/>
  <c r="K167" i="12"/>
  <c r="J232" i="12"/>
  <c r="K217" i="12"/>
  <c r="K225" i="12" s="1"/>
  <c r="K233" i="12" s="1"/>
  <c r="K210" i="12"/>
  <c r="K169" i="12"/>
  <c r="F234" i="53"/>
  <c r="J476" i="11"/>
  <c r="C96" i="11"/>
  <c r="B74" i="8"/>
  <c r="J33" i="12"/>
  <c r="AD144" i="51"/>
  <c r="AD144" i="53"/>
  <c r="AD144" i="56"/>
  <c r="I205" i="12"/>
  <c r="I220" i="12" s="1"/>
  <c r="I228" i="12" s="1"/>
  <c r="H904" i="11"/>
  <c r="H898" i="11"/>
  <c r="P118" i="5"/>
  <c r="P388" i="5" s="1"/>
  <c r="P118" i="34"/>
  <c r="P388" i="34" s="1"/>
  <c r="K128" i="12"/>
  <c r="K136" i="12"/>
  <c r="K103" i="12"/>
  <c r="K111" i="12" s="1"/>
  <c r="K85" i="12"/>
  <c r="K94" i="12" s="1"/>
  <c r="K144" i="12"/>
  <c r="K120" i="12"/>
  <c r="K151" i="12" s="1"/>
  <c r="K159" i="12" s="1"/>
  <c r="K32" i="12"/>
  <c r="K41" i="12" s="1"/>
  <c r="J135" i="12"/>
  <c r="J127" i="12"/>
  <c r="J84" i="12"/>
  <c r="J93" i="12" s="1"/>
  <c r="J95" i="12" s="1"/>
  <c r="J143" i="12"/>
  <c r="J102" i="12"/>
  <c r="J110" i="12" s="1"/>
  <c r="J119" i="12"/>
  <c r="J150" i="12" s="1"/>
  <c r="J158" i="12" s="1"/>
  <c r="J40" i="12"/>
  <c r="J31" i="12"/>
  <c r="K23" i="12" s="1"/>
  <c r="I39" i="12"/>
  <c r="I42" i="12" s="1"/>
  <c r="I149" i="12"/>
  <c r="I157" i="12" s="1"/>
  <c r="I33" i="12"/>
  <c r="M44" i="11"/>
  <c r="M768" i="11"/>
  <c r="N763" i="11"/>
  <c r="U138" i="35"/>
  <c r="U71" i="35"/>
  <c r="U138" i="16"/>
  <c r="U138" i="5"/>
  <c r="U71" i="16"/>
  <c r="K216" i="12"/>
  <c r="K224" i="12" s="1"/>
  <c r="K209" i="12"/>
  <c r="K168" i="12"/>
  <c r="J147" i="12"/>
  <c r="J155" i="12" s="1"/>
  <c r="AD144" i="52"/>
  <c r="AE144" i="54"/>
  <c r="AD144" i="54"/>
  <c r="O54" i="5"/>
  <c r="M12" i="6" s="1"/>
  <c r="O7" i="5"/>
  <c r="H859" i="11"/>
  <c r="P113" i="5"/>
  <c r="P317" i="5" s="1"/>
  <c r="P113" i="34"/>
  <c r="P317" i="34" s="1"/>
  <c r="J141" i="12"/>
  <c r="J117" i="12"/>
  <c r="J133" i="12"/>
  <c r="J125" i="12"/>
  <c r="J100" i="12"/>
  <c r="J108" i="12" s="1"/>
  <c r="J82" i="12"/>
  <c r="J91" i="12" s="1"/>
  <c r="J38" i="12"/>
  <c r="J42" i="12" s="1"/>
  <c r="K21" i="12"/>
  <c r="J29" i="12"/>
  <c r="J151" i="12"/>
  <c r="J159" i="12" s="1"/>
  <c r="H236" i="12"/>
  <c r="T138" i="34"/>
  <c r="T71" i="34"/>
  <c r="P78" i="34"/>
  <c r="P77" i="34"/>
  <c r="P83" i="34" s="1"/>
  <c r="Q76" i="34" s="1"/>
  <c r="K20" i="12"/>
  <c r="AD144" i="26"/>
  <c r="AD144" i="55"/>
  <c r="H868" i="11"/>
  <c r="P114" i="5"/>
  <c r="P114" i="34"/>
  <c r="I148" i="12"/>
  <c r="I156" i="12" s="1"/>
  <c r="I160" i="12" s="1"/>
  <c r="K218" i="12"/>
  <c r="K226" i="12" s="1"/>
  <c r="K234" i="12" s="1"/>
  <c r="K170" i="12"/>
  <c r="K211" i="12"/>
  <c r="Q767" i="11"/>
  <c r="X138" i="39"/>
  <c r="X71" i="39"/>
  <c r="AE143" i="56"/>
  <c r="AE144" i="56" s="1"/>
  <c r="P142" i="39"/>
  <c r="P142" i="38"/>
  <c r="P142" i="37"/>
  <c r="P142" i="36"/>
  <c r="P73" i="5"/>
  <c r="AE143" i="55"/>
  <c r="AE144" i="55" s="1"/>
  <c r="AE143" i="54"/>
  <c r="P142" i="35"/>
  <c r="P142" i="16"/>
  <c r="P171" i="5"/>
  <c r="AE143" i="52"/>
  <c r="AE144" i="52" s="1"/>
  <c r="P142" i="34"/>
  <c r="P142" i="5"/>
  <c r="P51" i="5"/>
  <c r="AE143" i="53"/>
  <c r="AE144" i="53" s="1"/>
  <c r="AE143" i="26"/>
  <c r="AE144" i="26" s="1"/>
  <c r="AE143" i="51"/>
  <c r="AE144" i="51" s="1"/>
  <c r="AE143" i="50"/>
  <c r="AE144" i="50" s="1"/>
  <c r="J681" i="11"/>
  <c r="R34" i="39" s="1"/>
  <c r="J407" i="11"/>
  <c r="J425" i="11" s="1"/>
  <c r="J474" i="11"/>
  <c r="R12" i="39"/>
  <c r="R148" i="39" s="1"/>
  <c r="J128" i="11"/>
  <c r="J91" i="11"/>
  <c r="J458" i="11"/>
  <c r="J503" i="11" s="1"/>
  <c r="J512" i="11" s="1"/>
  <c r="J456" i="11"/>
  <c r="J409" i="11"/>
  <c r="J427" i="11" s="1"/>
  <c r="L41" i="11"/>
  <c r="J466" i="11"/>
  <c r="J475" i="11"/>
  <c r="J127" i="11"/>
  <c r="J109" i="11"/>
  <c r="F221" i="54" s="1"/>
  <c r="G221" i="54" s="1"/>
  <c r="AC588" i="11"/>
  <c r="R12" i="37"/>
  <c r="R145" i="37" s="1"/>
  <c r="J108" i="11"/>
  <c r="K80" i="11" s="1"/>
  <c r="J465" i="11"/>
  <c r="J661" i="11"/>
  <c r="R32" i="37" s="1"/>
  <c r="J687" i="11"/>
  <c r="R35" i="36" s="1"/>
  <c r="J680" i="11"/>
  <c r="R34" i="38" s="1"/>
  <c r="M43" i="11"/>
  <c r="M34" i="11" s="1"/>
  <c r="J539" i="11"/>
  <c r="J650" i="11"/>
  <c r="AK129" i="16"/>
  <c r="J736" i="11"/>
  <c r="R43" i="38" s="1"/>
  <c r="I436" i="11"/>
  <c r="I777" i="11" s="1"/>
  <c r="J713" i="11"/>
  <c r="R41" i="35" s="1"/>
  <c r="I434" i="11"/>
  <c r="I775" i="11" s="1"/>
  <c r="AE139" i="26"/>
  <c r="AE139" i="54"/>
  <c r="J669" i="11"/>
  <c r="R33" i="36" s="1"/>
  <c r="J734" i="11"/>
  <c r="R43" i="36" s="1"/>
  <c r="J670" i="11"/>
  <c r="R33" i="37" s="1"/>
  <c r="J538" i="11"/>
  <c r="J686" i="11"/>
  <c r="R35" i="35" s="1"/>
  <c r="J678" i="11"/>
  <c r="R34" i="36" s="1"/>
  <c r="J679" i="11"/>
  <c r="R34" i="37" s="1"/>
  <c r="J733" i="11"/>
  <c r="J689" i="11"/>
  <c r="R35" i="38" s="1"/>
  <c r="J671" i="11"/>
  <c r="J848" i="11" s="1"/>
  <c r="Q132" i="16"/>
  <c r="Q36" i="16"/>
  <c r="N33" i="11"/>
  <c r="N51" i="11"/>
  <c r="N195" i="11" s="1"/>
  <c r="N231" i="11" s="1"/>
  <c r="J688" i="11"/>
  <c r="R35" i="37" s="1"/>
  <c r="AK129" i="5"/>
  <c r="F176" i="26"/>
  <c r="J180" i="11"/>
  <c r="F232" i="26"/>
  <c r="J668" i="11"/>
  <c r="J845" i="11" s="1"/>
  <c r="I845" i="11"/>
  <c r="J714" i="11"/>
  <c r="R41" i="36" s="1"/>
  <c r="I435" i="11"/>
  <c r="I776" i="11" s="1"/>
  <c r="J690" i="11"/>
  <c r="R35" i="39" s="1"/>
  <c r="AE139" i="55"/>
  <c r="AE139" i="53"/>
  <c r="I270" i="11"/>
  <c r="I275" i="11" s="1"/>
  <c r="Q72" i="38"/>
  <c r="Q115" i="38"/>
  <c r="Q340" i="38" s="1"/>
  <c r="J335" i="11"/>
  <c r="I259" i="11"/>
  <c r="I316" i="11" s="1"/>
  <c r="I320" i="11" s="1"/>
  <c r="J315" i="11" s="1"/>
  <c r="I370" i="11"/>
  <c r="I576" i="11"/>
  <c r="I585" i="11" s="1"/>
  <c r="Q23" i="37"/>
  <c r="J698" i="11"/>
  <c r="J550" i="11"/>
  <c r="J559" i="11"/>
  <c r="R13" i="38"/>
  <c r="F166" i="54" s="1"/>
  <c r="K523" i="11"/>
  <c r="Q43" i="39"/>
  <c r="AE139" i="51"/>
  <c r="Q132" i="34"/>
  <c r="Q36" i="5"/>
  <c r="Q36" i="34"/>
  <c r="O54" i="34"/>
  <c r="O7" i="34"/>
  <c r="AQ20" i="34"/>
  <c r="AD3" i="50" s="1"/>
  <c r="I745" i="11"/>
  <c r="Q31" i="38"/>
  <c r="I372" i="11"/>
  <c r="I381" i="11" s="1"/>
  <c r="AK91" i="36"/>
  <c r="AK92" i="36" s="1"/>
  <c r="AK24" i="36"/>
  <c r="AK63" i="36" s="1"/>
  <c r="O54" i="36"/>
  <c r="O7" i="36"/>
  <c r="AQ20" i="36"/>
  <c r="AD3" i="52" s="1"/>
  <c r="O33" i="11"/>
  <c r="O51" i="11"/>
  <c r="I575" i="11"/>
  <c r="I584" i="11" s="1"/>
  <c r="Q23" i="36"/>
  <c r="Q33" i="36"/>
  <c r="Q112" i="36" s="1"/>
  <c r="Q294" i="36" s="1"/>
  <c r="L47" i="11"/>
  <c r="Q80" i="39"/>
  <c r="P171" i="36"/>
  <c r="P51" i="36"/>
  <c r="P73" i="36"/>
  <c r="Q147" i="37"/>
  <c r="Q32" i="37"/>
  <c r="I369" i="11"/>
  <c r="I543" i="11"/>
  <c r="I574" i="11"/>
  <c r="I583" i="11" s="1"/>
  <c r="Q23" i="35"/>
  <c r="N44" i="11"/>
  <c r="AP20" i="35"/>
  <c r="AC3" i="51" s="1"/>
  <c r="N54" i="35"/>
  <c r="N7" i="35"/>
  <c r="J204" i="11"/>
  <c r="J213" i="11" s="1"/>
  <c r="Q148" i="36"/>
  <c r="Q145" i="36"/>
  <c r="Q80" i="37"/>
  <c r="P42" i="11"/>
  <c r="Q42" i="11" s="1"/>
  <c r="AQ20" i="37"/>
  <c r="AD3" i="53" s="1"/>
  <c r="O7" i="37"/>
  <c r="O54" i="37"/>
  <c r="Q34" i="39"/>
  <c r="J146" i="11"/>
  <c r="J234" i="11"/>
  <c r="N7" i="38"/>
  <c r="AP20" i="38"/>
  <c r="AC3" i="54" s="1"/>
  <c r="N54" i="38"/>
  <c r="I664" i="11"/>
  <c r="Q32" i="35"/>
  <c r="J540" i="11"/>
  <c r="I744" i="11"/>
  <c r="Q31" i="37"/>
  <c r="I487" i="11"/>
  <c r="I478" i="11"/>
  <c r="I505" i="11"/>
  <c r="I496" i="11"/>
  <c r="J659" i="11"/>
  <c r="AC841" i="11"/>
  <c r="AK133" i="34"/>
  <c r="AK46" i="34"/>
  <c r="Q148" i="35"/>
  <c r="Q145" i="35"/>
  <c r="Q147" i="39"/>
  <c r="I746" i="11"/>
  <c r="Q31" i="39"/>
  <c r="Q33" i="39"/>
  <c r="Q112" i="39" s="1"/>
  <c r="Q294" i="39" s="1"/>
  <c r="J233" i="11"/>
  <c r="J145" i="11"/>
  <c r="M46" i="11"/>
  <c r="N46" i="11" s="1"/>
  <c r="J575" i="11"/>
  <c r="J782" i="11" s="1"/>
  <c r="R23" i="36"/>
  <c r="Q32" i="36"/>
  <c r="Q147" i="16"/>
  <c r="Q148" i="37"/>
  <c r="Q145" i="37"/>
  <c r="L34" i="11"/>
  <c r="L70" i="11"/>
  <c r="I279" i="11"/>
  <c r="Q148" i="16"/>
  <c r="Q145" i="16"/>
  <c r="N54" i="34"/>
  <c r="N7" i="34"/>
  <c r="AP20" i="34"/>
  <c r="AC3" i="50" s="1"/>
  <c r="J660" i="11"/>
  <c r="R32" i="36" s="1"/>
  <c r="R43" i="35"/>
  <c r="Q43" i="37"/>
  <c r="Q80" i="35"/>
  <c r="J652" i="11"/>
  <c r="J715" i="11"/>
  <c r="R41" i="37" s="1"/>
  <c r="I307" i="11"/>
  <c r="Q34" i="35"/>
  <c r="N7" i="37"/>
  <c r="AP20" i="37"/>
  <c r="AC3" i="53" s="1"/>
  <c r="N54" i="37"/>
  <c r="AK129" i="34"/>
  <c r="AK25" i="5"/>
  <c r="AK24" i="5" s="1"/>
  <c r="AK63" i="5" s="1"/>
  <c r="AK25" i="34"/>
  <c r="AK91" i="16"/>
  <c r="AK92" i="16" s="1"/>
  <c r="AK24" i="16"/>
  <c r="AK63" i="16" s="1"/>
  <c r="I227" i="11"/>
  <c r="I102" i="11"/>
  <c r="I84" i="11"/>
  <c r="Q100" i="39"/>
  <c r="Q100" i="38"/>
  <c r="Q100" i="36"/>
  <c r="Q100" i="37"/>
  <c r="Q100" i="34"/>
  <c r="Q100" i="35"/>
  <c r="Q100" i="16"/>
  <c r="Q12" i="34"/>
  <c r="Q12" i="5"/>
  <c r="J654" i="11"/>
  <c r="J672" i="11"/>
  <c r="R33" i="39" s="1"/>
  <c r="J117" i="11"/>
  <c r="J435" i="11"/>
  <c r="J776" i="11" s="1"/>
  <c r="R19" i="38"/>
  <c r="AK24" i="35"/>
  <c r="AK63" i="35" s="1"/>
  <c r="AK91" i="35"/>
  <c r="J699" i="11"/>
  <c r="J551" i="11"/>
  <c r="J560" i="11"/>
  <c r="R13" i="39"/>
  <c r="F166" i="55" s="1"/>
  <c r="K524" i="11"/>
  <c r="F236" i="51"/>
  <c r="N60" i="11"/>
  <c r="J653" i="11"/>
  <c r="AD139" i="54"/>
  <c r="Q147" i="38"/>
  <c r="K196" i="11"/>
  <c r="F233" i="52"/>
  <c r="F177" i="52"/>
  <c r="L52" i="11"/>
  <c r="K199" i="11"/>
  <c r="K82" i="11"/>
  <c r="F233" i="55"/>
  <c r="F177" i="55"/>
  <c r="K138" i="11"/>
  <c r="L55" i="11"/>
  <c r="Q34" i="36"/>
  <c r="J735" i="11"/>
  <c r="R43" i="37" s="1"/>
  <c r="L233" i="11"/>
  <c r="L327" i="11" s="1"/>
  <c r="Q33" i="37"/>
  <c r="Q112" i="37" s="1"/>
  <c r="Q294" i="37" s="1"/>
  <c r="I847" i="11"/>
  <c r="J695" i="11"/>
  <c r="J547" i="11"/>
  <c r="J525" i="11"/>
  <c r="R13" i="16" s="1"/>
  <c r="J556" i="11"/>
  <c r="R13" i="35"/>
  <c r="F166" i="51" s="1"/>
  <c r="K520" i="11"/>
  <c r="I742" i="11"/>
  <c r="I655" i="11"/>
  <c r="Q31" i="16" s="1"/>
  <c r="Q31" i="35"/>
  <c r="P171" i="38"/>
  <c r="P51" i="38"/>
  <c r="P73" i="38"/>
  <c r="I396" i="11"/>
  <c r="I120" i="11"/>
  <c r="Q41" i="39"/>
  <c r="J502" i="11"/>
  <c r="J511" i="11" s="1"/>
  <c r="I397" i="11"/>
  <c r="Q94" i="36" s="1"/>
  <c r="I92" i="11"/>
  <c r="J87" i="11"/>
  <c r="Q34" i="38"/>
  <c r="I334" i="11"/>
  <c r="I338" i="11" s="1"/>
  <c r="J333" i="11" s="1"/>
  <c r="P171" i="37"/>
  <c r="P51" i="37"/>
  <c r="P73" i="37"/>
  <c r="J464" i="11"/>
  <c r="J455" i="11"/>
  <c r="J406" i="11"/>
  <c r="J424" i="11" s="1"/>
  <c r="J473" i="11"/>
  <c r="J107" i="11"/>
  <c r="K79" i="11" s="1"/>
  <c r="J125" i="11"/>
  <c r="R12" i="36"/>
  <c r="I577" i="11"/>
  <c r="I784" i="11" s="1"/>
  <c r="Q23" i="38"/>
  <c r="Q23" i="16"/>
  <c r="Q32" i="38"/>
  <c r="Q32" i="16"/>
  <c r="Q35" i="38"/>
  <c r="Q79" i="36"/>
  <c r="Q79" i="37"/>
  <c r="Q79" i="39"/>
  <c r="Q79" i="38"/>
  <c r="Q79" i="35"/>
  <c r="Q79" i="34"/>
  <c r="Q79" i="16"/>
  <c r="M195" i="11"/>
  <c r="M231" i="11" s="1"/>
  <c r="F235" i="51"/>
  <c r="F179" i="51"/>
  <c r="M60" i="11"/>
  <c r="I384" i="11"/>
  <c r="I354" i="11"/>
  <c r="I284" i="11" s="1"/>
  <c r="Q67" i="34" s="1"/>
  <c r="Q115" i="34" s="1"/>
  <c r="Q340" i="34" s="1"/>
  <c r="Q148" i="38"/>
  <c r="Q145" i="38"/>
  <c r="K206" i="11"/>
  <c r="L206" i="11" s="1"/>
  <c r="L215" i="11" s="1"/>
  <c r="L326" i="11" s="1"/>
  <c r="I743" i="11"/>
  <c r="Q31" i="36"/>
  <c r="J737" i="11"/>
  <c r="R43" i="39" s="1"/>
  <c r="I738" i="11"/>
  <c r="Q43" i="35"/>
  <c r="I432" i="11"/>
  <c r="P51" i="39"/>
  <c r="P73" i="39"/>
  <c r="P171" i="39"/>
  <c r="M35" i="11"/>
  <c r="M53" i="11"/>
  <c r="K198" i="11"/>
  <c r="K81" i="11"/>
  <c r="F177" i="54"/>
  <c r="F233" i="54"/>
  <c r="K137" i="11"/>
  <c r="L54" i="11"/>
  <c r="Q147" i="35"/>
  <c r="R31" i="35"/>
  <c r="P73" i="35"/>
  <c r="P171" i="35"/>
  <c r="P51" i="35"/>
  <c r="P73" i="34"/>
  <c r="P171" i="34"/>
  <c r="P51" i="34"/>
  <c r="F176" i="56"/>
  <c r="F232" i="56"/>
  <c r="J495" i="11"/>
  <c r="J486" i="11"/>
  <c r="J200" i="11"/>
  <c r="E133" i="45"/>
  <c r="E133" i="44"/>
  <c r="E133" i="46"/>
  <c r="F232" i="50"/>
  <c r="E133" i="48"/>
  <c r="E133" i="47"/>
  <c r="F176" i="50"/>
  <c r="J139" i="11"/>
  <c r="J209" i="11"/>
  <c r="I578" i="11"/>
  <c r="Q23" i="39"/>
  <c r="Q32" i="39"/>
  <c r="J717" i="11"/>
  <c r="R41" i="39" s="1"/>
  <c r="J434" i="11"/>
  <c r="R19" i="37"/>
  <c r="Q34" i="37"/>
  <c r="J436" i="11"/>
  <c r="R19" i="39"/>
  <c r="AE139" i="50"/>
  <c r="J541" i="11"/>
  <c r="J662" i="11"/>
  <c r="J716" i="11"/>
  <c r="L37" i="11"/>
  <c r="L73" i="11"/>
  <c r="I399" i="11"/>
  <c r="J696" i="11"/>
  <c r="J548" i="11"/>
  <c r="J557" i="11"/>
  <c r="R13" i="36"/>
  <c r="F166" i="52" s="1"/>
  <c r="K521" i="11"/>
  <c r="Q35" i="36"/>
  <c r="Q43" i="36"/>
  <c r="I846" i="11"/>
  <c r="I446" i="11"/>
  <c r="J446" i="11" s="1"/>
  <c r="K446" i="11" s="1"/>
  <c r="L446" i="11" s="1"/>
  <c r="M446" i="11" s="1"/>
  <c r="N446" i="11" s="1"/>
  <c r="O446" i="11" s="1"/>
  <c r="P446" i="11" s="1"/>
  <c r="Q446" i="11" s="1"/>
  <c r="R446" i="11" s="1"/>
  <c r="S446" i="11" s="1"/>
  <c r="T446" i="11" s="1"/>
  <c r="U446" i="11" s="1"/>
  <c r="V446" i="11" s="1"/>
  <c r="W446" i="11" s="1"/>
  <c r="X446" i="11" s="1"/>
  <c r="Y446" i="11" s="1"/>
  <c r="Z446" i="11" s="1"/>
  <c r="AA446" i="11" s="1"/>
  <c r="AB446" i="11" s="1"/>
  <c r="AC446" i="11" s="1"/>
  <c r="Q19" i="34"/>
  <c r="Q19" i="5"/>
  <c r="I172" i="11"/>
  <c r="I175" i="11" s="1"/>
  <c r="I188" i="11" s="1"/>
  <c r="Q41" i="37"/>
  <c r="I739" i="11"/>
  <c r="I692" i="11"/>
  <c r="I719" i="11"/>
  <c r="I682" i="11"/>
  <c r="Q34" i="16" s="1"/>
  <c r="I674" i="11"/>
  <c r="I656" i="11"/>
  <c r="I665" i="11"/>
  <c r="I683" i="11"/>
  <c r="I561" i="11"/>
  <c r="I552" i="11"/>
  <c r="Q99" i="39"/>
  <c r="Q99" i="38"/>
  <c r="Q99" i="37"/>
  <c r="Q99" i="36"/>
  <c r="Q99" i="35"/>
  <c r="Q99" i="34"/>
  <c r="Q101" i="34" s="1"/>
  <c r="Q13" i="5"/>
  <c r="Q13" i="34"/>
  <c r="Q99" i="16"/>
  <c r="I749" i="11"/>
  <c r="J749" i="11" s="1"/>
  <c r="I673" i="11"/>
  <c r="Q33" i="16" s="1"/>
  <c r="Q112" i="16" s="1"/>
  <c r="Q294" i="16" s="1"/>
  <c r="Q33" i="35"/>
  <c r="Q112" i="35" s="1"/>
  <c r="Q294" i="35" s="1"/>
  <c r="J677" i="11"/>
  <c r="R34" i="35" s="1"/>
  <c r="Q145" i="39"/>
  <c r="Q148" i="39"/>
  <c r="Q80" i="16"/>
  <c r="Q80" i="36"/>
  <c r="AK24" i="39"/>
  <c r="AK63" i="39" s="1"/>
  <c r="AK91" i="39"/>
  <c r="AK92" i="39" s="1"/>
  <c r="AK24" i="38"/>
  <c r="AK63" i="38" s="1"/>
  <c r="AK91" i="38"/>
  <c r="AK92" i="38" s="1"/>
  <c r="N7" i="39"/>
  <c r="AP20" i="39"/>
  <c r="AC3" i="55" s="1"/>
  <c r="N54" i="39"/>
  <c r="J472" i="11"/>
  <c r="J463" i="11"/>
  <c r="J454" i="11"/>
  <c r="J405" i="11"/>
  <c r="J423" i="11" s="1"/>
  <c r="J106" i="11"/>
  <c r="K78" i="11" s="1"/>
  <c r="J83" i="11"/>
  <c r="R12" i="16" s="1"/>
  <c r="R145" i="16" s="1"/>
  <c r="J124" i="11"/>
  <c r="R12" i="35"/>
  <c r="J147" i="11"/>
  <c r="J235" i="11"/>
  <c r="AK105" i="34"/>
  <c r="AK220" i="34" s="1"/>
  <c r="AK90" i="34"/>
  <c r="J542" i="11"/>
  <c r="J663" i="11"/>
  <c r="R32" i="39" s="1"/>
  <c r="I849" i="11"/>
  <c r="AK92" i="35"/>
  <c r="L195" i="11"/>
  <c r="F234" i="51"/>
  <c r="F178" i="51"/>
  <c r="L60" i="11"/>
  <c r="AK24" i="37"/>
  <c r="AK63" i="37" s="1"/>
  <c r="AK91" i="37"/>
  <c r="AK92" i="37" s="1"/>
  <c r="Q41" i="36"/>
  <c r="Q128" i="39"/>
  <c r="Q21" i="39"/>
  <c r="O54" i="35"/>
  <c r="O7" i="35"/>
  <c r="AQ20" i="35"/>
  <c r="AD3" i="51" s="1"/>
  <c r="N101" i="11"/>
  <c r="N97" i="11"/>
  <c r="N100" i="11"/>
  <c r="N99" i="11"/>
  <c r="N98" i="11"/>
  <c r="O96" i="11"/>
  <c r="Q33" i="38"/>
  <c r="Q41" i="38"/>
  <c r="J179" i="11"/>
  <c r="I189" i="11"/>
  <c r="I190" i="11"/>
  <c r="I378" i="11"/>
  <c r="I365" i="11"/>
  <c r="L36" i="11"/>
  <c r="L72" i="11"/>
  <c r="M45" i="11"/>
  <c r="N45" i="11" s="1"/>
  <c r="I373" i="11"/>
  <c r="I382" i="11" s="1"/>
  <c r="O7" i="38"/>
  <c r="O54" i="38"/>
  <c r="AQ20" i="38"/>
  <c r="AD3" i="54" s="1"/>
  <c r="Q147" i="36"/>
  <c r="J651" i="11"/>
  <c r="Q43" i="38"/>
  <c r="Q43" i="16"/>
  <c r="K135" i="11"/>
  <c r="N54" i="36"/>
  <c r="AP20" i="36"/>
  <c r="AC3" i="52" s="1"/>
  <c r="N7" i="36"/>
  <c r="J847" i="11"/>
  <c r="J697" i="11"/>
  <c r="J549" i="11"/>
  <c r="J558" i="11"/>
  <c r="R13" i="37"/>
  <c r="F166" i="53" s="1"/>
  <c r="K522" i="11"/>
  <c r="Q35" i="37"/>
  <c r="J574" i="11"/>
  <c r="J583" i="11" s="1"/>
  <c r="R23" i="35"/>
  <c r="I718" i="11"/>
  <c r="Q41" i="16" s="1"/>
  <c r="Q41" i="35"/>
  <c r="I691" i="11"/>
  <c r="J692" i="11" s="1"/>
  <c r="Q35" i="35"/>
  <c r="I400" i="11"/>
  <c r="Q94" i="39" s="1"/>
  <c r="Q80" i="38"/>
  <c r="I433" i="11"/>
  <c r="J174" i="11"/>
  <c r="F221" i="55"/>
  <c r="G221" i="55" s="1"/>
  <c r="K56" i="11"/>
  <c r="F233" i="26" s="1"/>
  <c r="AQ20" i="39"/>
  <c r="AD3" i="55" s="1"/>
  <c r="O54" i="39"/>
  <c r="O7" i="39"/>
  <c r="J88" i="11"/>
  <c r="Q35" i="39"/>
  <c r="R148" i="38"/>
  <c r="R145" i="38"/>
  <c r="AE139" i="56"/>
  <c r="AE139" i="52"/>
  <c r="AD139" i="51"/>
  <c r="AC3" i="56"/>
  <c r="AC3" i="26"/>
  <c r="O54" i="16"/>
  <c r="O7" i="16"/>
  <c r="G7" i="11" s="1"/>
  <c r="AQ20" i="16"/>
  <c r="P54" i="16"/>
  <c r="P7" i="16"/>
  <c r="H7" i="11" s="1"/>
  <c r="AR20" i="16"/>
  <c r="Q115" i="36"/>
  <c r="Q340" i="36" s="1"/>
  <c r="Q72" i="36"/>
  <c r="Q53" i="36"/>
  <c r="Q115" i="39"/>
  <c r="Q340" i="39" s="1"/>
  <c r="Q72" i="39"/>
  <c r="Q53" i="39"/>
  <c r="AS21" i="38"/>
  <c r="AF4" i="54" s="1"/>
  <c r="Q115" i="37"/>
  <c r="Q340" i="37" s="1"/>
  <c r="Q72" i="37"/>
  <c r="Q53" i="37"/>
  <c r="Q235" i="12" l="1"/>
  <c r="K143" i="12"/>
  <c r="K102" i="12"/>
  <c r="K110" i="12" s="1"/>
  <c r="K119" i="12"/>
  <c r="K135" i="12"/>
  <c r="K127" i="12"/>
  <c r="K84" i="12"/>
  <c r="K93" i="12" s="1"/>
  <c r="K31" i="12"/>
  <c r="L23" i="12" s="1"/>
  <c r="J205" i="12"/>
  <c r="J220" i="12" s="1"/>
  <c r="J228" i="12" s="1"/>
  <c r="K220" i="12"/>
  <c r="K228" i="12" s="1"/>
  <c r="K231" i="12"/>
  <c r="J236" i="12"/>
  <c r="R767" i="11"/>
  <c r="Y138" i="39"/>
  <c r="Y71" i="39"/>
  <c r="J148" i="12"/>
  <c r="J156" i="12" s="1"/>
  <c r="J160" i="12" s="1"/>
  <c r="U71" i="34"/>
  <c r="U138" i="34"/>
  <c r="L24" i="12"/>
  <c r="Q210" i="12"/>
  <c r="Q169" i="12"/>
  <c r="Q217" i="12"/>
  <c r="Q225" i="12" s="1"/>
  <c r="Q233" i="12" s="1"/>
  <c r="K232" i="12"/>
  <c r="J149" i="12"/>
  <c r="J157" i="12" s="1"/>
  <c r="R145" i="39"/>
  <c r="R148" i="37"/>
  <c r="K132" i="12"/>
  <c r="K124" i="12"/>
  <c r="K99" i="12"/>
  <c r="K107" i="12" s="1"/>
  <c r="K140" i="12"/>
  <c r="K81" i="12"/>
  <c r="K90" i="12" s="1"/>
  <c r="L20" i="12"/>
  <c r="K25" i="12"/>
  <c r="K86" i="12" s="1"/>
  <c r="K116" i="12"/>
  <c r="K147" i="12" s="1"/>
  <c r="K155" i="12" s="1"/>
  <c r="K28" i="12"/>
  <c r="K37" i="12"/>
  <c r="C105" i="11"/>
  <c r="B75" i="8"/>
  <c r="K83" i="12"/>
  <c r="K92" i="12" s="1"/>
  <c r="K118" i="12"/>
  <c r="K101" i="12"/>
  <c r="K109" i="12" s="1"/>
  <c r="K142" i="12"/>
  <c r="K134" i="12"/>
  <c r="K126" i="12"/>
  <c r="K30" i="12"/>
  <c r="L22" i="12" s="1"/>
  <c r="P54" i="5"/>
  <c r="N12" i="6" s="1"/>
  <c r="P7" i="5"/>
  <c r="N768" i="11"/>
  <c r="O763" i="11"/>
  <c r="V138" i="35"/>
  <c r="V71" i="35"/>
  <c r="V138" i="5"/>
  <c r="V138" i="16"/>
  <c r="V71" i="16"/>
  <c r="K204" i="11"/>
  <c r="L204" i="11" s="1"/>
  <c r="M204" i="11" s="1"/>
  <c r="M213" i="11" s="1"/>
  <c r="J656" i="11"/>
  <c r="Q211" i="12"/>
  <c r="Q170" i="12"/>
  <c r="Q218" i="12"/>
  <c r="Q226" i="12" s="1"/>
  <c r="Q234" i="12" s="1"/>
  <c r="K141" i="12"/>
  <c r="K117" i="12"/>
  <c r="K133" i="12"/>
  <c r="K125" i="12"/>
  <c r="K100" i="12"/>
  <c r="K108" i="12" s="1"/>
  <c r="K82" i="12"/>
  <c r="K91" i="12" s="1"/>
  <c r="K29" i="12"/>
  <c r="L21" i="12" s="1"/>
  <c r="K38" i="12"/>
  <c r="Q209" i="12"/>
  <c r="Q168" i="12"/>
  <c r="Q216" i="12"/>
  <c r="Q224" i="12" s="1"/>
  <c r="K172" i="12"/>
  <c r="Q167" i="12"/>
  <c r="Q208" i="12"/>
  <c r="Q215" i="12"/>
  <c r="Q223" i="12" s="1"/>
  <c r="Q171" i="12"/>
  <c r="Q212" i="12"/>
  <c r="Q219" i="12"/>
  <c r="Q227" i="12" s="1"/>
  <c r="F221" i="53"/>
  <c r="G221" i="53" s="1"/>
  <c r="J129" i="11"/>
  <c r="J118" i="11"/>
  <c r="J173" i="11" s="1"/>
  <c r="R132" i="39"/>
  <c r="R36" i="39"/>
  <c r="J501" i="11"/>
  <c r="J510" i="11" s="1"/>
  <c r="R36" i="37" s="1"/>
  <c r="L38" i="11"/>
  <c r="J477" i="11"/>
  <c r="R33" i="38"/>
  <c r="R112" i="38" s="1"/>
  <c r="R294" i="38" s="1"/>
  <c r="F180" i="51"/>
  <c r="E147" i="51"/>
  <c r="M52" i="11"/>
  <c r="N43" i="11"/>
  <c r="N52" i="11" s="1"/>
  <c r="Q21" i="37"/>
  <c r="Q104" i="37" s="1"/>
  <c r="Q196" i="37" s="1"/>
  <c r="Q128" i="37"/>
  <c r="R33" i="35"/>
  <c r="J665" i="11"/>
  <c r="J655" i="11"/>
  <c r="R31" i="34" s="1"/>
  <c r="K662" i="11"/>
  <c r="K668" i="11"/>
  <c r="K715" i="11"/>
  <c r="S41" i="37" s="1"/>
  <c r="I758" i="11"/>
  <c r="I903" i="11" s="1"/>
  <c r="I756" i="11"/>
  <c r="I865" i="11" s="1"/>
  <c r="K716" i="11"/>
  <c r="S41" i="38" s="1"/>
  <c r="L56" i="11"/>
  <c r="F234" i="56" s="1"/>
  <c r="Q101" i="16"/>
  <c r="J846" i="11"/>
  <c r="M309" i="11"/>
  <c r="AB241" i="11"/>
  <c r="M241" i="11"/>
  <c r="N241" i="11"/>
  <c r="M107" i="11"/>
  <c r="O107" i="11"/>
  <c r="N107" i="11"/>
  <c r="N309" i="11"/>
  <c r="AB243" i="11"/>
  <c r="N243" i="11"/>
  <c r="M243" i="11"/>
  <c r="O109" i="11"/>
  <c r="M109" i="11"/>
  <c r="N109" i="11"/>
  <c r="N244" i="11"/>
  <c r="M244" i="11"/>
  <c r="M110" i="11"/>
  <c r="N110" i="11"/>
  <c r="O110" i="11"/>
  <c r="J156" i="11"/>
  <c r="J373" i="11"/>
  <c r="AB240" i="11"/>
  <c r="M240" i="11"/>
  <c r="N240" i="11"/>
  <c r="N106" i="11"/>
  <c r="M106" i="11"/>
  <c r="O106" i="11"/>
  <c r="K671" i="11"/>
  <c r="S33" i="38" s="1"/>
  <c r="N242" i="11"/>
  <c r="M242" i="11"/>
  <c r="N108" i="11"/>
  <c r="O108" i="11"/>
  <c r="M108" i="11"/>
  <c r="I781" i="11"/>
  <c r="I783" i="11"/>
  <c r="F172" i="51"/>
  <c r="I782" i="11"/>
  <c r="K680" i="11"/>
  <c r="S34" i="38" s="1"/>
  <c r="I586" i="11"/>
  <c r="I595" i="11" s="1"/>
  <c r="K540" i="11"/>
  <c r="K661" i="11"/>
  <c r="S32" i="37" s="1"/>
  <c r="R148" i="16"/>
  <c r="K180" i="11"/>
  <c r="K89" i="11"/>
  <c r="AB242" i="11"/>
  <c r="Q35" i="16"/>
  <c r="Q128" i="38"/>
  <c r="M41" i="11"/>
  <c r="J115" i="11"/>
  <c r="J849" i="11"/>
  <c r="K688" i="11"/>
  <c r="S35" i="37" s="1"/>
  <c r="L522" i="11"/>
  <c r="J700" i="11"/>
  <c r="Q101" i="39"/>
  <c r="J683" i="11"/>
  <c r="L523" i="11"/>
  <c r="L524" i="11"/>
  <c r="L74" i="11"/>
  <c r="J682" i="11"/>
  <c r="R34" i="16" s="1"/>
  <c r="I785" i="11"/>
  <c r="K678" i="11"/>
  <c r="L521" i="11"/>
  <c r="J468" i="11"/>
  <c r="Q101" i="35"/>
  <c r="J410" i="11"/>
  <c r="I757" i="11"/>
  <c r="I902" i="11" s="1"/>
  <c r="K713" i="11"/>
  <c r="S41" i="35" s="1"/>
  <c r="L520" i="11"/>
  <c r="J718" i="11"/>
  <c r="R41" i="34" s="1"/>
  <c r="J781" i="11"/>
  <c r="K652" i="11"/>
  <c r="S31" i="37" s="1"/>
  <c r="Q101" i="37"/>
  <c r="O46" i="11"/>
  <c r="O37" i="11" s="1"/>
  <c r="Q21" i="38"/>
  <c r="Q104" i="38" s="1"/>
  <c r="Q196" i="38" s="1"/>
  <c r="K689" i="11"/>
  <c r="J116" i="11"/>
  <c r="J171" i="11" s="1"/>
  <c r="K91" i="11"/>
  <c r="AB244" i="11"/>
  <c r="J691" i="11"/>
  <c r="R35" i="16" s="1"/>
  <c r="Q67" i="5"/>
  <c r="Q6" i="5" s="1"/>
  <c r="Q72" i="5"/>
  <c r="Q67" i="16"/>
  <c r="Q72" i="34"/>
  <c r="Q53" i="34"/>
  <c r="AS21" i="34" s="1"/>
  <c r="AF4" i="50" s="1"/>
  <c r="K215" i="11"/>
  <c r="K326" i="11" s="1"/>
  <c r="N36" i="11"/>
  <c r="N54" i="11"/>
  <c r="S32" i="38"/>
  <c r="J261" i="11"/>
  <c r="J334" i="11" s="1"/>
  <c r="J155" i="11"/>
  <c r="J372" i="11"/>
  <c r="I594" i="11"/>
  <c r="S34" i="36"/>
  <c r="J592" i="11"/>
  <c r="R80" i="39"/>
  <c r="Q20" i="39"/>
  <c r="Q81" i="39"/>
  <c r="Q82" i="39" s="1"/>
  <c r="J578" i="11"/>
  <c r="R23" i="39"/>
  <c r="J227" i="11"/>
  <c r="J84" i="11"/>
  <c r="J102" i="11"/>
  <c r="R100" i="39"/>
  <c r="R100" i="38"/>
  <c r="R100" i="36"/>
  <c r="R100" i="37"/>
  <c r="R100" i="35"/>
  <c r="R100" i="34"/>
  <c r="R100" i="16"/>
  <c r="R12" i="34"/>
  <c r="R12" i="5"/>
  <c r="Q101" i="36"/>
  <c r="J739" i="11"/>
  <c r="R147" i="36"/>
  <c r="R112" i="36"/>
  <c r="R294" i="36" s="1"/>
  <c r="K687" i="11"/>
  <c r="L687" i="11" s="1"/>
  <c r="T35" i="36" s="1"/>
  <c r="K736" i="11"/>
  <c r="Q94" i="38"/>
  <c r="Q94" i="16"/>
  <c r="R128" i="39"/>
  <c r="R21" i="39"/>
  <c r="R128" i="37"/>
  <c r="R21" i="37"/>
  <c r="R104" i="37" s="1"/>
  <c r="R196" i="37" s="1"/>
  <c r="Q90" i="39"/>
  <c r="K475" i="11"/>
  <c r="K466" i="11"/>
  <c r="K457" i="11"/>
  <c r="K408" i="11"/>
  <c r="K426" i="11" s="1"/>
  <c r="K109" i="11"/>
  <c r="K118" i="11" s="1"/>
  <c r="K127" i="11"/>
  <c r="S12" i="38"/>
  <c r="L243" i="11"/>
  <c r="I754" i="11"/>
  <c r="I437" i="11"/>
  <c r="Q21" i="35"/>
  <c r="Q128" i="35"/>
  <c r="I773" i="11"/>
  <c r="I827" i="11"/>
  <c r="R148" i="36"/>
  <c r="R145" i="36"/>
  <c r="R132" i="38"/>
  <c r="R36" i="38"/>
  <c r="S33" i="35"/>
  <c r="K208" i="11"/>
  <c r="L208" i="11" s="1"/>
  <c r="K205" i="11"/>
  <c r="L205" i="11" s="1"/>
  <c r="K699" i="11"/>
  <c r="K708" i="11" s="1"/>
  <c r="S37" i="39" s="1"/>
  <c r="K551" i="11"/>
  <c r="K560" i="11"/>
  <c r="S13" i="39"/>
  <c r="F167" i="55" s="1"/>
  <c r="K663" i="11"/>
  <c r="S32" i="39" s="1"/>
  <c r="R90" i="36"/>
  <c r="M37" i="11"/>
  <c r="M55" i="11"/>
  <c r="I593" i="11"/>
  <c r="Q90" i="37"/>
  <c r="I191" i="11"/>
  <c r="K651" i="11"/>
  <c r="F233" i="56"/>
  <c r="F177" i="56"/>
  <c r="K495" i="11"/>
  <c r="K486" i="11"/>
  <c r="K200" i="11"/>
  <c r="E134" i="47"/>
  <c r="E134" i="48"/>
  <c r="E134" i="46"/>
  <c r="E134" i="44"/>
  <c r="F177" i="50"/>
  <c r="E134" i="45"/>
  <c r="F233" i="50"/>
  <c r="K139" i="11"/>
  <c r="Q41" i="34"/>
  <c r="Q41" i="5"/>
  <c r="L213" i="11"/>
  <c r="L231" i="11"/>
  <c r="K472" i="11"/>
  <c r="K463" i="11"/>
  <c r="K454" i="11"/>
  <c r="K405" i="11"/>
  <c r="K423" i="11" s="1"/>
  <c r="K106" i="11"/>
  <c r="K115" i="11" s="1"/>
  <c r="K124" i="11"/>
  <c r="K83" i="11"/>
  <c r="S12" i="16" s="1"/>
  <c r="S12" i="35"/>
  <c r="L240" i="11"/>
  <c r="J111" i="11"/>
  <c r="F221" i="51"/>
  <c r="G221" i="51" s="1"/>
  <c r="K669" i="11"/>
  <c r="K737" i="11"/>
  <c r="S43" i="39" s="1"/>
  <c r="J777" i="11"/>
  <c r="M196" i="11"/>
  <c r="M232" i="11" s="1"/>
  <c r="M318" i="11" s="1"/>
  <c r="F235" i="52"/>
  <c r="F179" i="52"/>
  <c r="M61" i="11"/>
  <c r="J775" i="11"/>
  <c r="K207" i="11"/>
  <c r="L207" i="11" s="1"/>
  <c r="Q90" i="16"/>
  <c r="K538" i="11"/>
  <c r="L538" i="11" s="1"/>
  <c r="K659" i="11"/>
  <c r="L659" i="11" s="1"/>
  <c r="L199" i="11"/>
  <c r="F234" i="55"/>
  <c r="F178" i="55"/>
  <c r="L64" i="11"/>
  <c r="L196" i="11"/>
  <c r="F234" i="52"/>
  <c r="F178" i="52"/>
  <c r="L61" i="11"/>
  <c r="R112" i="39"/>
  <c r="R294" i="39" s="1"/>
  <c r="R147" i="39"/>
  <c r="K654" i="11"/>
  <c r="R148" i="5"/>
  <c r="O33" i="6"/>
  <c r="I311" i="11"/>
  <c r="J306" i="11" s="1"/>
  <c r="O45" i="11"/>
  <c r="J738" i="11"/>
  <c r="R43" i="16" s="1"/>
  <c r="R25" i="36"/>
  <c r="R129" i="36"/>
  <c r="J362" i="11"/>
  <c r="J874" i="11"/>
  <c r="Q32" i="5"/>
  <c r="Q32" i="34"/>
  <c r="Q25" i="36"/>
  <c r="Q105" i="36" s="1"/>
  <c r="Q220" i="36" s="1"/>
  <c r="Q129" i="36"/>
  <c r="M47" i="11"/>
  <c r="I893" i="11"/>
  <c r="I839" i="11"/>
  <c r="Q133" i="38"/>
  <c r="Q134" i="38" s="1"/>
  <c r="Q46" i="38"/>
  <c r="J673" i="11"/>
  <c r="J850" i="11" s="1"/>
  <c r="K464" i="11"/>
  <c r="K455" i="11"/>
  <c r="K406" i="11"/>
  <c r="K424" i="11" s="1"/>
  <c r="K473" i="11"/>
  <c r="K107" i="11"/>
  <c r="K116" i="11" s="1"/>
  <c r="K125" i="11"/>
  <c r="S12" i="36"/>
  <c r="L241" i="11"/>
  <c r="J363" i="11"/>
  <c r="J875" i="11"/>
  <c r="Q33" i="5"/>
  <c r="Q112" i="5" s="1"/>
  <c r="Q294" i="5" s="1"/>
  <c r="Q33" i="34"/>
  <c r="Q112" i="34" s="1"/>
  <c r="Q294" i="34" s="1"/>
  <c r="J262" i="11"/>
  <c r="J343" i="11" s="1"/>
  <c r="J345" i="11"/>
  <c r="J283" i="11" s="1"/>
  <c r="R67" i="39" s="1"/>
  <c r="J428" i="11"/>
  <c r="R19" i="16" s="1"/>
  <c r="R80" i="16" s="1"/>
  <c r="J432" i="11"/>
  <c r="J773" i="11" s="1"/>
  <c r="R19" i="35"/>
  <c r="Q101" i="38"/>
  <c r="Q34" i="5"/>
  <c r="Q34" i="34"/>
  <c r="I850" i="11"/>
  <c r="K539" i="11"/>
  <c r="K660" i="11"/>
  <c r="K735" i="11"/>
  <c r="N37" i="11"/>
  <c r="N55" i="11"/>
  <c r="Q129" i="39"/>
  <c r="Q25" i="39"/>
  <c r="I831" i="11"/>
  <c r="M197" i="11"/>
  <c r="M233" i="11" s="1"/>
  <c r="M327" i="11" s="1"/>
  <c r="F179" i="53"/>
  <c r="F235" i="53"/>
  <c r="M62" i="11"/>
  <c r="L260" i="11"/>
  <c r="L325" i="11" s="1"/>
  <c r="M206" i="11"/>
  <c r="Q90" i="38"/>
  <c r="J144" i="11"/>
  <c r="J232" i="11"/>
  <c r="AR20" i="37"/>
  <c r="AE3" i="53" s="1"/>
  <c r="P7" i="37"/>
  <c r="P54" i="37"/>
  <c r="J561" i="11"/>
  <c r="J552" i="11"/>
  <c r="R99" i="39"/>
  <c r="R99" i="38"/>
  <c r="R99" i="37"/>
  <c r="R99" i="36"/>
  <c r="R99" i="35"/>
  <c r="R99" i="34"/>
  <c r="R101" i="34" s="1"/>
  <c r="R13" i="34"/>
  <c r="F166" i="50" s="1"/>
  <c r="R13" i="5"/>
  <c r="R99" i="16"/>
  <c r="K686" i="11"/>
  <c r="L686" i="11" s="1"/>
  <c r="N34" i="11"/>
  <c r="I398" i="11"/>
  <c r="Q94" i="37" s="1"/>
  <c r="K542" i="11"/>
  <c r="K672" i="11"/>
  <c r="S33" i="39" s="1"/>
  <c r="Q148" i="34"/>
  <c r="Q145" i="34"/>
  <c r="I830" i="11"/>
  <c r="J584" i="11"/>
  <c r="J593" i="11" s="1"/>
  <c r="J327" i="11"/>
  <c r="I892" i="11"/>
  <c r="I838" i="11"/>
  <c r="Q46" i="37"/>
  <c r="Q133" i="37"/>
  <c r="Q134" i="37" s="1"/>
  <c r="K698" i="11"/>
  <c r="K707" i="11" s="1"/>
  <c r="S37" i="38" s="1"/>
  <c r="K550" i="11"/>
  <c r="K559" i="11"/>
  <c r="S13" i="38"/>
  <c r="F167" i="54" s="1"/>
  <c r="R128" i="38"/>
  <c r="R21" i="38"/>
  <c r="R90" i="35"/>
  <c r="J876" i="11"/>
  <c r="J364" i="11"/>
  <c r="J499" i="11"/>
  <c r="R34" i="5"/>
  <c r="R34" i="34"/>
  <c r="K734" i="11"/>
  <c r="L734" i="11" s="1"/>
  <c r="T43" i="36" s="1"/>
  <c r="I587" i="11"/>
  <c r="J742" i="11"/>
  <c r="Q43" i="34"/>
  <c r="Q43" i="5"/>
  <c r="F221" i="52"/>
  <c r="G221" i="52" s="1"/>
  <c r="AR20" i="38"/>
  <c r="AE3" i="54" s="1"/>
  <c r="P54" i="38"/>
  <c r="P7" i="38"/>
  <c r="K690" i="11"/>
  <c r="J744" i="11"/>
  <c r="R31" i="37"/>
  <c r="J664" i="11"/>
  <c r="R32" i="35"/>
  <c r="J576" i="11"/>
  <c r="J783" i="11" s="1"/>
  <c r="R23" i="37"/>
  <c r="Q90" i="35"/>
  <c r="Q104" i="39"/>
  <c r="Q196" i="39" s="1"/>
  <c r="I379" i="11"/>
  <c r="R147" i="16"/>
  <c r="F166" i="26"/>
  <c r="F166" i="56"/>
  <c r="Q25" i="37"/>
  <c r="Q105" i="37" s="1"/>
  <c r="Q220" i="37" s="1"/>
  <c r="Q129" i="37"/>
  <c r="I829" i="11"/>
  <c r="R80" i="37"/>
  <c r="P54" i="34"/>
  <c r="P7" i="34"/>
  <c r="AR20" i="34"/>
  <c r="AE3" i="50" s="1"/>
  <c r="I891" i="11"/>
  <c r="I837" i="11"/>
  <c r="Q133" i="36"/>
  <c r="Q134" i="36" s="1"/>
  <c r="Q46" i="36"/>
  <c r="K576" i="11"/>
  <c r="K783" i="11" s="1"/>
  <c r="S23" i="37"/>
  <c r="I755" i="11"/>
  <c r="Q128" i="36"/>
  <c r="Q21" i="36"/>
  <c r="I828" i="11"/>
  <c r="I774" i="11"/>
  <c r="J543" i="11"/>
  <c r="L715" i="11"/>
  <c r="T41" i="37" s="1"/>
  <c r="K697" i="11"/>
  <c r="K706" i="11" s="1"/>
  <c r="S37" i="37" s="1"/>
  <c r="L652" i="11"/>
  <c r="L661" i="11"/>
  <c r="T32" i="37" s="1"/>
  <c r="K549" i="11"/>
  <c r="K558" i="11"/>
  <c r="L540" i="11"/>
  <c r="S13" i="37"/>
  <c r="F167" i="53" s="1"/>
  <c r="K670" i="11"/>
  <c r="K847" i="11" s="1"/>
  <c r="Q147" i="34"/>
  <c r="R41" i="38"/>
  <c r="R41" i="16"/>
  <c r="L198" i="11"/>
  <c r="F178" i="54"/>
  <c r="F234" i="54"/>
  <c r="F234" i="26"/>
  <c r="L63" i="11"/>
  <c r="L180" i="11"/>
  <c r="L181" i="11" s="1"/>
  <c r="I747" i="11"/>
  <c r="Q133" i="16" s="1"/>
  <c r="Q134" i="16" s="1"/>
  <c r="Q31" i="5"/>
  <c r="Q31" i="34"/>
  <c r="K677" i="11"/>
  <c r="S34" i="35" s="1"/>
  <c r="K681" i="11"/>
  <c r="AK91" i="34"/>
  <c r="AK92" i="34" s="1"/>
  <c r="AK24" i="34"/>
  <c r="AK63" i="34" s="1"/>
  <c r="J172" i="11"/>
  <c r="N35" i="11"/>
  <c r="N53" i="11"/>
  <c r="O44" i="11"/>
  <c r="P44" i="11" s="1"/>
  <c r="R147" i="38"/>
  <c r="Q35" i="5"/>
  <c r="Q35" i="34"/>
  <c r="L486" i="11"/>
  <c r="E135" i="46"/>
  <c r="F234" i="50"/>
  <c r="R147" i="35"/>
  <c r="R112" i="35"/>
  <c r="R294" i="35" s="1"/>
  <c r="K476" i="11"/>
  <c r="K467" i="11"/>
  <c r="K458" i="11"/>
  <c r="K409" i="11"/>
  <c r="K427" i="11" s="1"/>
  <c r="K110" i="11"/>
  <c r="K128" i="11"/>
  <c r="S12" i="39"/>
  <c r="L244" i="11"/>
  <c r="J745" i="11"/>
  <c r="R31" i="38"/>
  <c r="R31" i="16"/>
  <c r="J746" i="11"/>
  <c r="R31" i="39"/>
  <c r="K88" i="11"/>
  <c r="R112" i="37"/>
  <c r="R294" i="37" s="1"/>
  <c r="R147" i="37"/>
  <c r="K679" i="11"/>
  <c r="L32" i="11"/>
  <c r="Q89" i="39"/>
  <c r="Q97" i="39" s="1"/>
  <c r="I877" i="11"/>
  <c r="Q127" i="16"/>
  <c r="Q127" i="37"/>
  <c r="Q127" i="5"/>
  <c r="Q89" i="37"/>
  <c r="Q97" i="37" s="1"/>
  <c r="Q127" i="34"/>
  <c r="Q89" i="34"/>
  <c r="Q89" i="38"/>
  <c r="Q97" i="38" s="1"/>
  <c r="Q89" i="36"/>
  <c r="Q127" i="38"/>
  <c r="Q127" i="39"/>
  <c r="Q127" i="36"/>
  <c r="Q89" i="35"/>
  <c r="Q89" i="16"/>
  <c r="Q97" i="16" s="1"/>
  <c r="Q127" i="35"/>
  <c r="R145" i="35"/>
  <c r="R148" i="35"/>
  <c r="O42" i="6"/>
  <c r="R147" i="5"/>
  <c r="I260" i="11"/>
  <c r="I371" i="11"/>
  <c r="R32" i="38"/>
  <c r="R32" i="16"/>
  <c r="P54" i="35"/>
  <c r="AR20" i="35"/>
  <c r="AE3" i="51" s="1"/>
  <c r="P7" i="35"/>
  <c r="P96" i="11"/>
  <c r="Q96" i="11" s="1"/>
  <c r="Q129" i="38"/>
  <c r="Q25" i="38"/>
  <c r="Q129" i="16"/>
  <c r="J433" i="11"/>
  <c r="J774" i="11" s="1"/>
  <c r="R19" i="36"/>
  <c r="Q33" i="11"/>
  <c r="Q51" i="11"/>
  <c r="I401" i="11"/>
  <c r="Q94" i="35"/>
  <c r="I890" i="11"/>
  <c r="I836" i="11"/>
  <c r="Q133" i="35"/>
  <c r="Q134" i="35" s="1"/>
  <c r="Q46" i="35"/>
  <c r="K474" i="11"/>
  <c r="K465" i="11"/>
  <c r="K456" i="11"/>
  <c r="K407" i="11"/>
  <c r="K425" i="11" s="1"/>
  <c r="K126" i="11"/>
  <c r="K108" i="11"/>
  <c r="K117" i="11" s="1"/>
  <c r="S12" i="37"/>
  <c r="L242" i="11"/>
  <c r="K717" i="11"/>
  <c r="S41" i="39" s="1"/>
  <c r="I894" i="11"/>
  <c r="I840" i="11"/>
  <c r="Q133" i="39"/>
  <c r="Q134" i="39" s="1"/>
  <c r="Q46" i="39"/>
  <c r="Q20" i="37"/>
  <c r="R42" i="11"/>
  <c r="P33" i="11"/>
  <c r="P51" i="11"/>
  <c r="I579" i="11"/>
  <c r="Q25" i="16" s="1"/>
  <c r="Q105" i="16" s="1"/>
  <c r="Q220" i="16" s="1"/>
  <c r="Q129" i="35"/>
  <c r="Q25" i="35"/>
  <c r="O195" i="11"/>
  <c r="O231" i="11" s="1"/>
  <c r="F237" i="51"/>
  <c r="F181" i="51"/>
  <c r="F182" i="51" s="1"/>
  <c r="O60" i="11"/>
  <c r="K653" i="11"/>
  <c r="J400" i="11"/>
  <c r="R94" i="39" s="1"/>
  <c r="K696" i="11"/>
  <c r="K705" i="11" s="1"/>
  <c r="S37" i="36" s="1"/>
  <c r="K548" i="11"/>
  <c r="K557" i="11"/>
  <c r="S13" i="36"/>
  <c r="F167" i="52" s="1"/>
  <c r="K733" i="11"/>
  <c r="L733" i="11" s="1"/>
  <c r="J399" i="11"/>
  <c r="I592" i="11"/>
  <c r="P54" i="36"/>
  <c r="P7" i="36"/>
  <c r="AR20" i="36"/>
  <c r="AE3" i="52" s="1"/>
  <c r="R25" i="35"/>
  <c r="R105" i="35" s="1"/>
  <c r="R220" i="35" s="1"/>
  <c r="R129" i="35"/>
  <c r="J743" i="11"/>
  <c r="R31" i="36"/>
  <c r="M36" i="11"/>
  <c r="M54" i="11"/>
  <c r="M56" i="11" s="1"/>
  <c r="O97" i="11"/>
  <c r="O240" i="11" s="1"/>
  <c r="O98" i="11"/>
  <c r="O241" i="11" s="1"/>
  <c r="O101" i="11"/>
  <c r="O244" i="11" s="1"/>
  <c r="O100" i="11"/>
  <c r="O243" i="11" s="1"/>
  <c r="O99" i="11"/>
  <c r="O242" i="11" s="1"/>
  <c r="J231" i="11"/>
  <c r="J143" i="11"/>
  <c r="J674" i="11"/>
  <c r="J719" i="11"/>
  <c r="Q80" i="34"/>
  <c r="K714" i="11"/>
  <c r="J577" i="11"/>
  <c r="R23" i="38"/>
  <c r="R23" i="16"/>
  <c r="J459" i="11"/>
  <c r="AR20" i="39"/>
  <c r="AE3" i="55" s="1"/>
  <c r="P54" i="39"/>
  <c r="P7" i="39"/>
  <c r="J500" i="11"/>
  <c r="J509" i="11" s="1"/>
  <c r="J92" i="11"/>
  <c r="K87" i="11"/>
  <c r="K845" i="11"/>
  <c r="L713" i="11"/>
  <c r="K695" i="11"/>
  <c r="K704" i="11" s="1"/>
  <c r="L668" i="11"/>
  <c r="K547" i="11"/>
  <c r="K556" i="11"/>
  <c r="K525" i="11"/>
  <c r="S13" i="16" s="1"/>
  <c r="S13" i="35"/>
  <c r="F167" i="51" s="1"/>
  <c r="K650" i="11"/>
  <c r="L650" i="11" s="1"/>
  <c r="K90" i="11"/>
  <c r="Q112" i="38"/>
  <c r="Q294" i="38" s="1"/>
  <c r="R80" i="38"/>
  <c r="R104" i="38"/>
  <c r="R196" i="38" s="1"/>
  <c r="Q67" i="35"/>
  <c r="J336" i="11"/>
  <c r="J308" i="11"/>
  <c r="J218" i="11"/>
  <c r="Q23" i="34"/>
  <c r="Q23" i="5"/>
  <c r="Q90" i="36"/>
  <c r="K541" i="11"/>
  <c r="S35" i="38"/>
  <c r="AE3" i="56"/>
  <c r="AE3" i="26"/>
  <c r="AD3" i="56"/>
  <c r="AD3" i="26"/>
  <c r="AS21" i="39"/>
  <c r="AF4" i="55" s="1"/>
  <c r="AS21" i="37"/>
  <c r="AF4" i="53" s="1"/>
  <c r="AS21" i="36"/>
  <c r="AF4" i="52" s="1"/>
  <c r="L102" i="12" l="1"/>
  <c r="L110" i="12" s="1"/>
  <c r="L119" i="12"/>
  <c r="L135" i="12"/>
  <c r="L127" i="12"/>
  <c r="L84" i="12"/>
  <c r="L93" i="12" s="1"/>
  <c r="L31" i="12"/>
  <c r="L40" i="12" s="1"/>
  <c r="L143" i="12"/>
  <c r="L133" i="12"/>
  <c r="L125" i="12"/>
  <c r="L100" i="12"/>
  <c r="L108" i="12" s="1"/>
  <c r="L82" i="12"/>
  <c r="L91" i="12" s="1"/>
  <c r="L141" i="12"/>
  <c r="L29" i="12"/>
  <c r="L38" i="12" s="1"/>
  <c r="L117" i="12"/>
  <c r="L118" i="12"/>
  <c r="L101" i="12"/>
  <c r="L109" i="12" s="1"/>
  <c r="L142" i="12"/>
  <c r="L134" i="12"/>
  <c r="L126" i="12"/>
  <c r="L30" i="12"/>
  <c r="M22" i="12"/>
  <c r="L83" i="12"/>
  <c r="L92" i="12" s="1"/>
  <c r="L39" i="12"/>
  <c r="C114" i="11"/>
  <c r="B76" i="8"/>
  <c r="K112" i="12"/>
  <c r="R210" i="12"/>
  <c r="R169" i="12"/>
  <c r="R217" i="12"/>
  <c r="R225" i="12" s="1"/>
  <c r="R233" i="12" s="1"/>
  <c r="O43" i="11"/>
  <c r="F178" i="50"/>
  <c r="E135" i="44"/>
  <c r="L495" i="11"/>
  <c r="R41" i="5"/>
  <c r="N41" i="11"/>
  <c r="R168" i="12"/>
  <c r="R216" i="12"/>
  <c r="R224" i="12" s="1"/>
  <c r="R209" i="12"/>
  <c r="R211" i="12"/>
  <c r="R170" i="12"/>
  <c r="R218" i="12"/>
  <c r="R226" i="12" s="1"/>
  <c r="R234" i="12" s="1"/>
  <c r="K149" i="12"/>
  <c r="K157" i="12" s="1"/>
  <c r="L99" i="12"/>
  <c r="L107" i="12" s="1"/>
  <c r="L140" i="12"/>
  <c r="L81" i="12"/>
  <c r="L90" i="12" s="1"/>
  <c r="L116" i="12"/>
  <c r="L147" i="12" s="1"/>
  <c r="L155" i="12" s="1"/>
  <c r="L25" i="12"/>
  <c r="L86" i="12" s="1"/>
  <c r="L124" i="12"/>
  <c r="L28" i="12"/>
  <c r="L37" i="12"/>
  <c r="L132" i="12"/>
  <c r="S767" i="11"/>
  <c r="Z138" i="39"/>
  <c r="Z71" i="39"/>
  <c r="K150" i="12"/>
  <c r="K158" i="12" s="1"/>
  <c r="E135" i="48"/>
  <c r="E135" i="45"/>
  <c r="F178" i="56"/>
  <c r="L258" i="11"/>
  <c r="N47" i="11"/>
  <c r="R167" i="12"/>
  <c r="R215" i="12"/>
  <c r="R223" i="12" s="1"/>
  <c r="R208" i="12"/>
  <c r="Q172" i="12"/>
  <c r="K148" i="12"/>
  <c r="K156" i="12" s="1"/>
  <c r="O768" i="11"/>
  <c r="P763" i="11"/>
  <c r="W71" i="35"/>
  <c r="W138" i="35"/>
  <c r="W138" i="16"/>
  <c r="W71" i="16"/>
  <c r="W138" i="5"/>
  <c r="K39" i="12"/>
  <c r="K42" i="12" s="1"/>
  <c r="K33" i="12"/>
  <c r="K95" i="12"/>
  <c r="Q232" i="12"/>
  <c r="R232" i="12" s="1"/>
  <c r="L136" i="12"/>
  <c r="L103" i="12"/>
  <c r="L111" i="12" s="1"/>
  <c r="L85" i="12"/>
  <c r="L94" i="12" s="1"/>
  <c r="L144" i="12"/>
  <c r="L120" i="12"/>
  <c r="L32" i="12"/>
  <c r="L41" i="12" s="1"/>
  <c r="M24" i="12"/>
  <c r="L128" i="12"/>
  <c r="E135" i="47"/>
  <c r="L200" i="11"/>
  <c r="R101" i="36"/>
  <c r="K213" i="11"/>
  <c r="K308" i="11" s="1"/>
  <c r="R171" i="12"/>
  <c r="R219" i="12"/>
  <c r="R227" i="12" s="1"/>
  <c r="R235" i="12" s="1"/>
  <c r="R212" i="12"/>
  <c r="Q220" i="12"/>
  <c r="Q228" i="12" s="1"/>
  <c r="K205" i="12"/>
  <c r="V71" i="34"/>
  <c r="V138" i="34"/>
  <c r="K160" i="12"/>
  <c r="K236" i="12"/>
  <c r="Q231" i="12"/>
  <c r="K40" i="12"/>
  <c r="R132" i="37"/>
  <c r="L678" i="11"/>
  <c r="T34" i="36" s="1"/>
  <c r="L651" i="11"/>
  <c r="L736" i="11"/>
  <c r="R31" i="5"/>
  <c r="L714" i="11"/>
  <c r="T41" i="36" s="1"/>
  <c r="L737" i="11"/>
  <c r="T43" i="39" s="1"/>
  <c r="L660" i="11"/>
  <c r="T32" i="36" s="1"/>
  <c r="L669" i="11"/>
  <c r="T33" i="36" s="1"/>
  <c r="L539" i="11"/>
  <c r="J120" i="11"/>
  <c r="J121" i="11" s="1"/>
  <c r="Q20" i="38"/>
  <c r="I866" i="11"/>
  <c r="Q81" i="37"/>
  <c r="Q82" i="37" s="1"/>
  <c r="I867" i="11"/>
  <c r="K846" i="11"/>
  <c r="J170" i="11"/>
  <c r="L690" i="11"/>
  <c r="T35" i="39" s="1"/>
  <c r="Q81" i="38"/>
  <c r="Q82" i="38" s="1"/>
  <c r="R101" i="37"/>
  <c r="I901" i="11"/>
  <c r="L671" i="11"/>
  <c r="K848" i="11"/>
  <c r="R101" i="35"/>
  <c r="L716" i="11"/>
  <c r="T41" i="38" s="1"/>
  <c r="L662" i="11"/>
  <c r="T32" i="38" s="1"/>
  <c r="L689" i="11"/>
  <c r="R101" i="38"/>
  <c r="L680" i="11"/>
  <c r="R35" i="34"/>
  <c r="O245" i="11"/>
  <c r="F226" i="53"/>
  <c r="G226" i="53" s="1"/>
  <c r="M182" i="11"/>
  <c r="F224" i="51"/>
  <c r="G224" i="51" s="1"/>
  <c r="F224" i="26"/>
  <c r="G224" i="26" s="1"/>
  <c r="M111" i="11"/>
  <c r="F225" i="54"/>
  <c r="G225" i="54" s="1"/>
  <c r="O309" i="11"/>
  <c r="F225" i="53"/>
  <c r="G225" i="53" s="1"/>
  <c r="N182" i="11"/>
  <c r="N111" i="11"/>
  <c r="F225" i="51"/>
  <c r="G225" i="51" s="1"/>
  <c r="F226" i="55"/>
  <c r="G226" i="55" s="1"/>
  <c r="F224" i="54"/>
  <c r="G224" i="54" s="1"/>
  <c r="S37" i="35"/>
  <c r="S37" i="16"/>
  <c r="K709" i="11"/>
  <c r="F225" i="55"/>
  <c r="G225" i="55" s="1"/>
  <c r="F226" i="54"/>
  <c r="G226" i="54" s="1"/>
  <c r="N245" i="11"/>
  <c r="F224" i="55"/>
  <c r="G224" i="55" s="1"/>
  <c r="F225" i="52"/>
  <c r="G225" i="52" s="1"/>
  <c r="M245" i="11"/>
  <c r="F226" i="52"/>
  <c r="G226" i="52" s="1"/>
  <c r="F224" i="52"/>
  <c r="G224" i="52" s="1"/>
  <c r="F224" i="53"/>
  <c r="G224" i="53" s="1"/>
  <c r="O182" i="11"/>
  <c r="O111" i="11"/>
  <c r="F226" i="51"/>
  <c r="G226" i="51" s="1"/>
  <c r="J756" i="11"/>
  <c r="J865" i="11" s="1"/>
  <c r="L80" i="11"/>
  <c r="L407" i="11" s="1"/>
  <c r="K585" i="11"/>
  <c r="K594" i="11" s="1"/>
  <c r="K603" i="11" s="1"/>
  <c r="K477" i="11"/>
  <c r="AB245" i="11"/>
  <c r="L688" i="11"/>
  <c r="T35" i="37" s="1"/>
  <c r="F221" i="26"/>
  <c r="G221" i="26" s="1"/>
  <c r="J182" i="11"/>
  <c r="J183" i="11" s="1"/>
  <c r="K179" i="11" s="1"/>
  <c r="P46" i="11"/>
  <c r="P55" i="11" s="1"/>
  <c r="K501" i="11"/>
  <c r="K510" i="11" s="1"/>
  <c r="S132" i="37" s="1"/>
  <c r="Q133" i="5"/>
  <c r="Q134" i="5" s="1"/>
  <c r="J396" i="11"/>
  <c r="K459" i="11"/>
  <c r="M522" i="11"/>
  <c r="M715" i="11" s="1"/>
  <c r="U41" i="37" s="1"/>
  <c r="T13" i="37"/>
  <c r="F168" i="53" s="1"/>
  <c r="L549" i="11"/>
  <c r="L558" i="11"/>
  <c r="L697" i="11"/>
  <c r="L706" i="11" s="1"/>
  <c r="T37" i="37" s="1"/>
  <c r="M524" i="11"/>
  <c r="L699" i="11"/>
  <c r="L708" i="11" s="1"/>
  <c r="T37" i="39" s="1"/>
  <c r="L551" i="11"/>
  <c r="L560" i="11"/>
  <c r="T13" i="39"/>
  <c r="F168" i="55" s="1"/>
  <c r="K718" i="11"/>
  <c r="S41" i="16" s="1"/>
  <c r="K468" i="11"/>
  <c r="R35" i="5"/>
  <c r="M521" i="11"/>
  <c r="M734" i="11" s="1"/>
  <c r="L696" i="11"/>
  <c r="L705" i="11" s="1"/>
  <c r="T37" i="36" s="1"/>
  <c r="L557" i="11"/>
  <c r="T13" i="36"/>
  <c r="F168" i="52" s="1"/>
  <c r="L548" i="11"/>
  <c r="L846" i="11"/>
  <c r="J398" i="11"/>
  <c r="R94" i="37" s="1"/>
  <c r="Q46" i="16"/>
  <c r="L681" i="11"/>
  <c r="T34" i="39" s="1"/>
  <c r="L65" i="11"/>
  <c r="K665" i="11"/>
  <c r="R101" i="16"/>
  <c r="R101" i="39"/>
  <c r="M523" i="11"/>
  <c r="L848" i="11"/>
  <c r="L550" i="11"/>
  <c r="L698" i="11"/>
  <c r="L707" i="11" s="1"/>
  <c r="T37" i="38" s="1"/>
  <c r="T13" i="38"/>
  <c r="F168" i="54" s="1"/>
  <c r="L559" i="11"/>
  <c r="K700" i="11"/>
  <c r="I786" i="11"/>
  <c r="K674" i="11"/>
  <c r="R33" i="16"/>
  <c r="R112" i="16" s="1"/>
  <c r="R294" i="16" s="1"/>
  <c r="L672" i="11"/>
  <c r="L849" i="11" s="1"/>
  <c r="Q128" i="5"/>
  <c r="Q128" i="16"/>
  <c r="Q130" i="16" s="1"/>
  <c r="Q136" i="16" s="1"/>
  <c r="Q140" i="16" s="1"/>
  <c r="Q21" i="16"/>
  <c r="J758" i="11"/>
  <c r="J867" i="11" s="1"/>
  <c r="O55" i="11"/>
  <c r="E147" i="55" s="1"/>
  <c r="J747" i="11"/>
  <c r="M520" i="11"/>
  <c r="M650" i="11" s="1"/>
  <c r="L845" i="11"/>
  <c r="L547" i="11"/>
  <c r="L695" i="11"/>
  <c r="L525" i="11"/>
  <c r="L556" i="11"/>
  <c r="T13" i="35"/>
  <c r="F168" i="51" s="1"/>
  <c r="K500" i="11"/>
  <c r="K509" i="11" s="1"/>
  <c r="S132" i="36" s="1"/>
  <c r="Q129" i="5"/>
  <c r="K673" i="11"/>
  <c r="S33" i="16" s="1"/>
  <c r="J587" i="11"/>
  <c r="J596" i="11" s="1"/>
  <c r="Q53" i="5"/>
  <c r="J785" i="11"/>
  <c r="Q115" i="5"/>
  <c r="Q340" i="5" s="1"/>
  <c r="Q115" i="16"/>
  <c r="Q340" i="16" s="1"/>
  <c r="Q72" i="16"/>
  <c r="Q53" i="16"/>
  <c r="AS21" i="16" s="1"/>
  <c r="AF4" i="56" s="1"/>
  <c r="J353" i="11"/>
  <c r="J270" i="11"/>
  <c r="M215" i="11"/>
  <c r="M326" i="11" s="1"/>
  <c r="J338" i="11"/>
  <c r="K333" i="11" s="1"/>
  <c r="K217" i="11"/>
  <c r="K344" i="11" s="1"/>
  <c r="F235" i="56"/>
  <c r="F179" i="56"/>
  <c r="M486" i="11"/>
  <c r="M487" i="11" s="1"/>
  <c r="M495" i="11"/>
  <c r="M200" i="11"/>
  <c r="E136" i="47"/>
  <c r="E136" i="48"/>
  <c r="E136" i="46"/>
  <c r="E136" i="44"/>
  <c r="E136" i="45"/>
  <c r="F179" i="50"/>
  <c r="F235" i="50"/>
  <c r="M308" i="11"/>
  <c r="R94" i="35"/>
  <c r="K850" i="11"/>
  <c r="K552" i="11"/>
  <c r="K561" i="11"/>
  <c r="S99" i="39"/>
  <c r="S99" i="38"/>
  <c r="S99" i="37"/>
  <c r="S99" i="35"/>
  <c r="S99" i="36"/>
  <c r="S99" i="34"/>
  <c r="S13" i="34"/>
  <c r="F167" i="50" s="1"/>
  <c r="S13" i="5"/>
  <c r="S99" i="16"/>
  <c r="R129" i="38"/>
  <c r="R25" i="38"/>
  <c r="R105" i="38" s="1"/>
  <c r="R220" i="38" s="1"/>
  <c r="Q97" i="35"/>
  <c r="F222" i="55"/>
  <c r="T31" i="37"/>
  <c r="I596" i="11"/>
  <c r="I597" i="11" s="1"/>
  <c r="I615" i="11" s="1"/>
  <c r="S35" i="36"/>
  <c r="K577" i="11"/>
  <c r="K586" i="11" s="1"/>
  <c r="K595" i="11" s="1"/>
  <c r="S23" i="38"/>
  <c r="Q90" i="34"/>
  <c r="T35" i="35"/>
  <c r="J586" i="11"/>
  <c r="J837" i="11"/>
  <c r="R133" i="36"/>
  <c r="R46" i="36"/>
  <c r="J891" i="11"/>
  <c r="Q25" i="34"/>
  <c r="Q105" i="34" s="1"/>
  <c r="Q220" i="34" s="1"/>
  <c r="Q25" i="5"/>
  <c r="Q105" i="5" s="1"/>
  <c r="Q220" i="5" s="1"/>
  <c r="Q129" i="34"/>
  <c r="P195" i="11"/>
  <c r="P231" i="11" s="1"/>
  <c r="P134" i="11"/>
  <c r="P60" i="11"/>
  <c r="L456" i="11"/>
  <c r="L465" i="11"/>
  <c r="L474" i="11"/>
  <c r="L126" i="11"/>
  <c r="T12" i="37"/>
  <c r="L108" i="11"/>
  <c r="M80" i="11" s="1"/>
  <c r="Q195" i="11"/>
  <c r="Q134" i="11"/>
  <c r="Q60" i="11"/>
  <c r="Q6" i="36"/>
  <c r="Q130" i="36"/>
  <c r="Q136" i="36" s="1"/>
  <c r="Q140" i="36" s="1"/>
  <c r="S34" i="37"/>
  <c r="J840" i="11"/>
  <c r="R133" i="39"/>
  <c r="R134" i="39" s="1"/>
  <c r="R46" i="39"/>
  <c r="R47" i="39" s="1"/>
  <c r="AG137" i="55" s="1"/>
  <c r="J894" i="11"/>
  <c r="K119" i="11"/>
  <c r="K174" i="11" s="1"/>
  <c r="N197" i="11"/>
  <c r="N233" i="11" s="1"/>
  <c r="N327" i="11" s="1"/>
  <c r="F180" i="53"/>
  <c r="F236" i="53"/>
  <c r="N62" i="11"/>
  <c r="Q47" i="5"/>
  <c r="L576" i="11"/>
  <c r="L585" i="11" s="1"/>
  <c r="L594" i="11" s="1"/>
  <c r="L603" i="11" s="1"/>
  <c r="T23" i="37"/>
  <c r="L679" i="11"/>
  <c r="T34" i="37" s="1"/>
  <c r="R90" i="37"/>
  <c r="J508" i="11"/>
  <c r="J754" i="11" s="1"/>
  <c r="J504" i="11"/>
  <c r="S147" i="5"/>
  <c r="P42" i="6"/>
  <c r="K683" i="11"/>
  <c r="J318" i="11"/>
  <c r="Q91" i="39"/>
  <c r="Q24" i="39"/>
  <c r="Q8" i="39" s="1"/>
  <c r="Q28" i="39"/>
  <c r="AF136" i="55" s="1"/>
  <c r="S32" i="36"/>
  <c r="K171" i="11"/>
  <c r="K259" i="11" s="1"/>
  <c r="K316" i="11" s="1"/>
  <c r="F222" i="52"/>
  <c r="K744" i="11"/>
  <c r="R43" i="34"/>
  <c r="R43" i="5"/>
  <c r="L79" i="11"/>
  <c r="L88" i="11" s="1"/>
  <c r="L235" i="11"/>
  <c r="L345" i="11" s="1"/>
  <c r="L217" i="11"/>
  <c r="L344" i="11" s="1"/>
  <c r="S148" i="35"/>
  <c r="S145" i="35"/>
  <c r="K209" i="11"/>
  <c r="K410" i="11"/>
  <c r="K743" i="11"/>
  <c r="S31" i="36"/>
  <c r="I611" i="11"/>
  <c r="I620" i="11" s="1"/>
  <c r="I602" i="11"/>
  <c r="M199" i="11"/>
  <c r="M235" i="11" s="1"/>
  <c r="M345" i="11" s="1"/>
  <c r="F179" i="55"/>
  <c r="F235" i="55"/>
  <c r="M64" i="11"/>
  <c r="L542" i="11"/>
  <c r="K146" i="11"/>
  <c r="K234" i="11"/>
  <c r="R81" i="39"/>
  <c r="R82" i="39" s="1"/>
  <c r="R20" i="39"/>
  <c r="R148" i="34"/>
  <c r="R145" i="34"/>
  <c r="L89" i="11"/>
  <c r="J601" i="11"/>
  <c r="N198" i="11"/>
  <c r="N234" i="11" s="1"/>
  <c r="N336" i="11" s="1"/>
  <c r="F236" i="54"/>
  <c r="F180" i="54"/>
  <c r="N63" i="11"/>
  <c r="T31" i="35"/>
  <c r="O34" i="11"/>
  <c r="O52" i="11"/>
  <c r="O47" i="11"/>
  <c r="O41" i="11"/>
  <c r="Q47" i="36"/>
  <c r="AF137" i="52" s="1"/>
  <c r="L245" i="11"/>
  <c r="S148" i="38"/>
  <c r="S145" i="38"/>
  <c r="J784" i="11"/>
  <c r="Q97" i="11"/>
  <c r="Q98" i="11"/>
  <c r="Q99" i="11"/>
  <c r="Q100" i="11"/>
  <c r="Q101" i="11"/>
  <c r="Q62" i="37"/>
  <c r="Q130" i="39"/>
  <c r="Q136" i="39" s="1"/>
  <c r="Q140" i="39" s="1"/>
  <c r="Q6" i="39"/>
  <c r="I832" i="11"/>
  <c r="K436" i="11"/>
  <c r="S19" i="39"/>
  <c r="I895" i="11"/>
  <c r="I841" i="11"/>
  <c r="Q46" i="34"/>
  <c r="Q133" i="34"/>
  <c r="Q134" i="34" s="1"/>
  <c r="Q81" i="36"/>
  <c r="Q82" i="36" s="1"/>
  <c r="Q20" i="36"/>
  <c r="Q104" i="36"/>
  <c r="Q196" i="36" s="1"/>
  <c r="S129" i="37"/>
  <c r="S25" i="37"/>
  <c r="S105" i="37" s="1"/>
  <c r="S220" i="37" s="1"/>
  <c r="R129" i="37"/>
  <c r="R25" i="37"/>
  <c r="R105" i="37" s="1"/>
  <c r="R220" i="37" s="1"/>
  <c r="J281" i="11"/>
  <c r="R67" i="37" s="1"/>
  <c r="N196" i="11"/>
  <c r="N232" i="11" s="1"/>
  <c r="F236" i="52"/>
  <c r="F180" i="52"/>
  <c r="N61" i="11"/>
  <c r="N56" i="11"/>
  <c r="F180" i="26" s="1"/>
  <c r="R147" i="34"/>
  <c r="J873" i="11"/>
  <c r="J361" i="11"/>
  <c r="J828" i="11"/>
  <c r="K575" i="11"/>
  <c r="K782" i="11" s="1"/>
  <c r="S23" i="36"/>
  <c r="R80" i="35"/>
  <c r="J282" i="11"/>
  <c r="Q47" i="16"/>
  <c r="O36" i="11"/>
  <c r="O54" i="11"/>
  <c r="L232" i="11"/>
  <c r="L318" i="11" s="1"/>
  <c r="L214" i="11"/>
  <c r="L317" i="11" s="1"/>
  <c r="L309" i="11"/>
  <c r="L262" i="11"/>
  <c r="L343" i="11" s="1"/>
  <c r="M208" i="11"/>
  <c r="Q20" i="35"/>
  <c r="Q81" i="35"/>
  <c r="Q82" i="35" s="1"/>
  <c r="Q104" i="35"/>
  <c r="Q196" i="35" s="1"/>
  <c r="K173" i="11"/>
  <c r="K399" i="11" s="1"/>
  <c r="F222" i="54"/>
  <c r="R104" i="39"/>
  <c r="R196" i="39" s="1"/>
  <c r="J755" i="11"/>
  <c r="R21" i="36"/>
  <c r="R104" i="36" s="1"/>
  <c r="R196" i="36" s="1"/>
  <c r="R128" i="36"/>
  <c r="T41" i="35"/>
  <c r="R24" i="35"/>
  <c r="R63" i="35" s="1"/>
  <c r="R91" i="35"/>
  <c r="R92" i="35" s="1"/>
  <c r="P37" i="11"/>
  <c r="Q47" i="39"/>
  <c r="AF137" i="55" s="1"/>
  <c r="S148" i="37"/>
  <c r="S145" i="37"/>
  <c r="Q47" i="35"/>
  <c r="AF137" i="51" s="1"/>
  <c r="Q24" i="16"/>
  <c r="Q91" i="16"/>
  <c r="Q92" i="16" s="1"/>
  <c r="Q28" i="16"/>
  <c r="I380" i="11"/>
  <c r="I383" i="11" s="1"/>
  <c r="I385" i="11" s="1"/>
  <c r="Q6" i="38"/>
  <c r="Q130" i="38"/>
  <c r="Q136" i="38" s="1"/>
  <c r="Q140" i="38" s="1"/>
  <c r="Q130" i="37"/>
  <c r="Q136" i="37" s="1"/>
  <c r="Q140" i="37" s="1"/>
  <c r="Q6" i="37"/>
  <c r="K503" i="11"/>
  <c r="K512" i="11" s="1"/>
  <c r="J260" i="11"/>
  <c r="J325" i="11" s="1"/>
  <c r="J371" i="11"/>
  <c r="J380" i="11" s="1"/>
  <c r="J154" i="11"/>
  <c r="J585" i="11"/>
  <c r="J588" i="11" s="1"/>
  <c r="J382" i="11"/>
  <c r="R81" i="38"/>
  <c r="R82" i="38" s="1"/>
  <c r="R20" i="38"/>
  <c r="I374" i="11"/>
  <c r="J602" i="11"/>
  <c r="N38" i="11"/>
  <c r="N32" i="11"/>
  <c r="K692" i="11"/>
  <c r="J437" i="11"/>
  <c r="J778" i="11" s="1"/>
  <c r="R128" i="35"/>
  <c r="R21" i="35"/>
  <c r="R104" i="35" s="1"/>
  <c r="R196" i="35" s="1"/>
  <c r="J381" i="11"/>
  <c r="K433" i="11"/>
  <c r="K774" i="11" s="1"/>
  <c r="S19" i="36"/>
  <c r="Q47" i="38"/>
  <c r="AF137" i="54" s="1"/>
  <c r="Q24" i="36"/>
  <c r="Q91" i="36"/>
  <c r="Q92" i="36" s="1"/>
  <c r="Q28" i="36"/>
  <c r="AF136" i="52" s="1"/>
  <c r="K664" i="11"/>
  <c r="S32" i="16" s="1"/>
  <c r="S32" i="35"/>
  <c r="J152" i="11"/>
  <c r="K227" i="11"/>
  <c r="K102" i="11"/>
  <c r="K84" i="11"/>
  <c r="S100" i="39"/>
  <c r="S100" i="38"/>
  <c r="S100" i="37"/>
  <c r="S100" i="36"/>
  <c r="S100" i="35"/>
  <c r="S100" i="34"/>
  <c r="S12" i="34"/>
  <c r="S12" i="5"/>
  <c r="S100" i="16"/>
  <c r="L308" i="11"/>
  <c r="Q95" i="36"/>
  <c r="Q96" i="36" s="1"/>
  <c r="J187" i="11"/>
  <c r="Q95" i="37"/>
  <c r="Q96" i="37" s="1"/>
  <c r="Q95" i="16"/>
  <c r="Q96" i="16" s="1"/>
  <c r="Q95" i="35"/>
  <c r="Q96" i="35" s="1"/>
  <c r="Q95" i="39"/>
  <c r="Q96" i="39" s="1"/>
  <c r="Q95" i="38"/>
  <c r="Q96" i="38" s="1"/>
  <c r="Q95" i="34"/>
  <c r="Q96" i="34" s="1"/>
  <c r="J175" i="11"/>
  <c r="J188" i="11" s="1"/>
  <c r="Q62" i="39"/>
  <c r="O199" i="11"/>
  <c r="O235" i="11" s="1"/>
  <c r="O345" i="11" s="1"/>
  <c r="F238" i="51"/>
  <c r="S36" i="37"/>
  <c r="J259" i="11"/>
  <c r="J316" i="11" s="1"/>
  <c r="R24" i="36"/>
  <c r="R63" i="36" s="1"/>
  <c r="R91" i="36"/>
  <c r="R92" i="36" s="1"/>
  <c r="J872" i="11"/>
  <c r="J827" i="11"/>
  <c r="J360" i="11"/>
  <c r="J148" i="11"/>
  <c r="J579" i="11"/>
  <c r="R25" i="16" s="1"/>
  <c r="R105" i="16" s="1"/>
  <c r="R220" i="16" s="1"/>
  <c r="I610" i="11"/>
  <c r="I619" i="11" s="1"/>
  <c r="I601" i="11"/>
  <c r="T43" i="35"/>
  <c r="K745" i="11"/>
  <c r="S31" i="38"/>
  <c r="P97" i="11"/>
  <c r="P240" i="11" s="1"/>
  <c r="AD240" i="11" s="1"/>
  <c r="P98" i="11"/>
  <c r="P241" i="11" s="1"/>
  <c r="AD241" i="11" s="1"/>
  <c r="P99" i="11"/>
  <c r="P242" i="11" s="1"/>
  <c r="AD242" i="11" s="1"/>
  <c r="P101" i="11"/>
  <c r="P244" i="11" s="1"/>
  <c r="P100" i="11"/>
  <c r="P243" i="11" s="1"/>
  <c r="AD243" i="11" s="1"/>
  <c r="R96" i="11"/>
  <c r="S96" i="11" s="1"/>
  <c r="I325" i="11"/>
  <c r="I329" i="11" s="1"/>
  <c r="J324" i="11" s="1"/>
  <c r="I263" i="11"/>
  <c r="Q87" i="36"/>
  <c r="Q97" i="36"/>
  <c r="Q6" i="16"/>
  <c r="I6" i="11" s="1"/>
  <c r="J839" i="11"/>
  <c r="R133" i="38"/>
  <c r="R134" i="38" s="1"/>
  <c r="R46" i="38"/>
  <c r="R47" i="38" s="1"/>
  <c r="AG137" i="54" s="1"/>
  <c r="R133" i="16"/>
  <c r="R133" i="5"/>
  <c r="R46" i="16"/>
  <c r="J893" i="11"/>
  <c r="S34" i="39"/>
  <c r="L234" i="11"/>
  <c r="L216" i="11"/>
  <c r="J838" i="11"/>
  <c r="R46" i="37"/>
  <c r="R47" i="37" s="1"/>
  <c r="AG137" i="53" s="1"/>
  <c r="R133" i="37"/>
  <c r="R134" i="37" s="1"/>
  <c r="J892" i="11"/>
  <c r="S43" i="36"/>
  <c r="J831" i="11"/>
  <c r="L653" i="11"/>
  <c r="M653" i="11" s="1"/>
  <c r="Q62" i="38"/>
  <c r="K719" i="11"/>
  <c r="R19" i="34"/>
  <c r="R19" i="5"/>
  <c r="J347" i="11"/>
  <c r="K342" i="11" s="1"/>
  <c r="J830" i="11"/>
  <c r="R33" i="5"/>
  <c r="R33" i="34"/>
  <c r="R112" i="34" s="1"/>
  <c r="R294" i="34" s="1"/>
  <c r="K574" i="11"/>
  <c r="K543" i="11"/>
  <c r="S23" i="16" s="1"/>
  <c r="S23" i="35"/>
  <c r="J369" i="11"/>
  <c r="K231" i="11"/>
  <c r="K143" i="11"/>
  <c r="K129" i="11"/>
  <c r="R105" i="36"/>
  <c r="R220" i="36" s="1"/>
  <c r="L717" i="11"/>
  <c r="T41" i="39" s="1"/>
  <c r="I759" i="11"/>
  <c r="Q21" i="5"/>
  <c r="Q128" i="34"/>
  <c r="Q130" i="34" s="1"/>
  <c r="Q21" i="34"/>
  <c r="I778" i="11"/>
  <c r="K435" i="11"/>
  <c r="K776" i="11" s="1"/>
  <c r="S19" i="38"/>
  <c r="Q105" i="39"/>
  <c r="Q220" i="39" s="1"/>
  <c r="Q46" i="11"/>
  <c r="R132" i="36"/>
  <c r="R134" i="36" s="1"/>
  <c r="R36" i="36"/>
  <c r="S90" i="37"/>
  <c r="S43" i="37"/>
  <c r="K746" i="11"/>
  <c r="S31" i="39"/>
  <c r="S147" i="39"/>
  <c r="S112" i="39"/>
  <c r="S294" i="39" s="1"/>
  <c r="M205" i="11"/>
  <c r="M214" i="11" s="1"/>
  <c r="L259" i="11"/>
  <c r="L316" i="11" s="1"/>
  <c r="S148" i="5"/>
  <c r="P33" i="6"/>
  <c r="P43" i="11"/>
  <c r="K742" i="11"/>
  <c r="K655" i="11"/>
  <c r="L656" i="11" s="1"/>
  <c r="S31" i="35"/>
  <c r="T33" i="35"/>
  <c r="S41" i="36"/>
  <c r="J309" i="11"/>
  <c r="J279" i="11" s="1"/>
  <c r="J236" i="11"/>
  <c r="J271" i="11" s="1"/>
  <c r="M198" i="11"/>
  <c r="M234" i="11" s="1"/>
  <c r="M336" i="11" s="1"/>
  <c r="F235" i="26"/>
  <c r="F235" i="54"/>
  <c r="F179" i="26"/>
  <c r="F179" i="54"/>
  <c r="M63" i="11"/>
  <c r="M180" i="11"/>
  <c r="F172" i="54"/>
  <c r="I588" i="11"/>
  <c r="K738" i="11"/>
  <c r="S43" i="35"/>
  <c r="L743" i="11"/>
  <c r="T31" i="36"/>
  <c r="T43" i="38"/>
  <c r="K172" i="11"/>
  <c r="K260" i="11" s="1"/>
  <c r="K325" i="11" s="1"/>
  <c r="F222" i="53"/>
  <c r="F177" i="53"/>
  <c r="Q91" i="38"/>
  <c r="Q92" i="38" s="1"/>
  <c r="Q24" i="38"/>
  <c r="Q8" i="38" s="1"/>
  <c r="Q28" i="38"/>
  <c r="AF136" i="54" s="1"/>
  <c r="AD244" i="11"/>
  <c r="L209" i="11"/>
  <c r="O35" i="11"/>
  <c r="O53" i="11"/>
  <c r="F172" i="53" s="1"/>
  <c r="Q44" i="11"/>
  <c r="L81" i="11"/>
  <c r="I864" i="11"/>
  <c r="I900" i="11"/>
  <c r="J370" i="11"/>
  <c r="J757" i="11"/>
  <c r="S147" i="16"/>
  <c r="F167" i="26"/>
  <c r="S112" i="16"/>
  <c r="S294" i="16" s="1"/>
  <c r="F167" i="56"/>
  <c r="Q47" i="37"/>
  <c r="AF137" i="53" s="1"/>
  <c r="K739" i="11"/>
  <c r="Q105" i="38"/>
  <c r="Q220" i="38" s="1"/>
  <c r="N199" i="11"/>
  <c r="N235" i="11" s="1"/>
  <c r="N345" i="11" s="1"/>
  <c r="F180" i="55"/>
  <c r="F236" i="55"/>
  <c r="N64" i="11"/>
  <c r="J829" i="11"/>
  <c r="P45" i="11"/>
  <c r="K216" i="11"/>
  <c r="K170" i="11"/>
  <c r="K258" i="11" s="1"/>
  <c r="K111" i="11"/>
  <c r="K182" i="11" s="1"/>
  <c r="K183" i="11" s="1"/>
  <c r="F222" i="51"/>
  <c r="L78" i="11"/>
  <c r="L87" i="11" s="1"/>
  <c r="K849" i="11"/>
  <c r="I863" i="11"/>
  <c r="I899" i="11"/>
  <c r="K502" i="11"/>
  <c r="K511" i="11" s="1"/>
  <c r="Q92" i="39"/>
  <c r="Q87" i="16"/>
  <c r="R90" i="39"/>
  <c r="P35" i="11"/>
  <c r="P53" i="11"/>
  <c r="S147" i="37"/>
  <c r="T33" i="38"/>
  <c r="K682" i="11"/>
  <c r="L82" i="11"/>
  <c r="J841" i="11"/>
  <c r="R46" i="34"/>
  <c r="R133" i="34"/>
  <c r="J895" i="11"/>
  <c r="Q72" i="35"/>
  <c r="Q53" i="35"/>
  <c r="Q115" i="35"/>
  <c r="Q340" i="35" s="1"/>
  <c r="S112" i="35"/>
  <c r="S294" i="35" s="1"/>
  <c r="S147" i="35"/>
  <c r="L677" i="11"/>
  <c r="K92" i="11"/>
  <c r="K266" i="11" s="1"/>
  <c r="R90" i="16"/>
  <c r="M32" i="11"/>
  <c r="M38" i="11"/>
  <c r="S147" i="36"/>
  <c r="Q24" i="35"/>
  <c r="Q28" i="35"/>
  <c r="AF136" i="51" s="1"/>
  <c r="Q91" i="35"/>
  <c r="Q92" i="35" s="1"/>
  <c r="K145" i="11"/>
  <c r="K233" i="11"/>
  <c r="Q130" i="35"/>
  <c r="Q136" i="35" s="1"/>
  <c r="Q140" i="35" s="1"/>
  <c r="Q6" i="35"/>
  <c r="Q97" i="34"/>
  <c r="Q87" i="39"/>
  <c r="S148" i="39"/>
  <c r="S145" i="39"/>
  <c r="I613" i="11"/>
  <c r="I622" i="11" s="1"/>
  <c r="I604" i="11"/>
  <c r="L670" i="11"/>
  <c r="T33" i="37" s="1"/>
  <c r="Q105" i="35"/>
  <c r="Q220" i="35" s="1"/>
  <c r="S35" i="39"/>
  <c r="J153" i="11"/>
  <c r="L307" i="11"/>
  <c r="S147" i="38"/>
  <c r="S112" i="38"/>
  <c r="S294" i="38" s="1"/>
  <c r="T35" i="38"/>
  <c r="T35" i="16"/>
  <c r="K578" i="11"/>
  <c r="K785" i="11" s="1"/>
  <c r="S23" i="39"/>
  <c r="K749" i="11"/>
  <c r="M260" i="11"/>
  <c r="M325" i="11" s="1"/>
  <c r="N206" i="11"/>
  <c r="S148" i="36"/>
  <c r="S145" i="36"/>
  <c r="O49" i="6"/>
  <c r="J397" i="11"/>
  <c r="R94" i="36" s="1"/>
  <c r="L261" i="11"/>
  <c r="M207" i="11"/>
  <c r="F221" i="56"/>
  <c r="G221" i="56" s="1"/>
  <c r="J487" i="11"/>
  <c r="J478" i="11"/>
  <c r="J505" i="11"/>
  <c r="J496" i="11"/>
  <c r="E122" i="44"/>
  <c r="F122" i="44" s="1"/>
  <c r="E122" i="47"/>
  <c r="F122" i="47" s="1"/>
  <c r="E122" i="48"/>
  <c r="F122" i="48" s="1"/>
  <c r="E122" i="45"/>
  <c r="F122" i="45" s="1"/>
  <c r="F221" i="50"/>
  <c r="G221" i="50" s="1"/>
  <c r="E122" i="46"/>
  <c r="F122" i="46" s="1"/>
  <c r="K432" i="11"/>
  <c r="K773" i="11" s="1"/>
  <c r="K428" i="11"/>
  <c r="S19" i="16" s="1"/>
  <c r="S19" i="35"/>
  <c r="L663" i="11"/>
  <c r="R20" i="37"/>
  <c r="R81" i="37"/>
  <c r="R82" i="37" s="1"/>
  <c r="Q87" i="38"/>
  <c r="R129" i="39"/>
  <c r="R25" i="39"/>
  <c r="I612" i="11"/>
  <c r="I621" i="11" s="1"/>
  <c r="I603" i="11"/>
  <c r="L574" i="11"/>
  <c r="L781" i="11" s="1"/>
  <c r="T23" i="35"/>
  <c r="T32" i="35"/>
  <c r="R90" i="38"/>
  <c r="R94" i="38"/>
  <c r="R94" i="16"/>
  <c r="L575" i="11"/>
  <c r="L584" i="11" s="1"/>
  <c r="L593" i="11" s="1"/>
  <c r="L602" i="11" s="1"/>
  <c r="T23" i="36"/>
  <c r="L735" i="11"/>
  <c r="T43" i="37" s="1"/>
  <c r="R33" i="11"/>
  <c r="R51" i="11"/>
  <c r="S42" i="11"/>
  <c r="K434" i="11"/>
  <c r="S19" i="37"/>
  <c r="Q87" i="35"/>
  <c r="R80" i="36"/>
  <c r="Q6" i="34"/>
  <c r="K235" i="11"/>
  <c r="K147" i="11"/>
  <c r="S33" i="37"/>
  <c r="J786" i="11"/>
  <c r="R23" i="34"/>
  <c r="R23" i="5"/>
  <c r="Q91" i="37"/>
  <c r="Q92" i="37" s="1"/>
  <c r="Q24" i="37"/>
  <c r="Q28" i="37"/>
  <c r="AF136" i="53" s="1"/>
  <c r="R32" i="5"/>
  <c r="R32" i="34"/>
  <c r="J836" i="11"/>
  <c r="R46" i="35"/>
  <c r="R133" i="35"/>
  <c r="J890" i="11"/>
  <c r="N204" i="11"/>
  <c r="M258" i="11"/>
  <c r="L541" i="11"/>
  <c r="T34" i="38"/>
  <c r="Q87" i="37"/>
  <c r="K691" i="11"/>
  <c r="S35" i="16" s="1"/>
  <c r="S35" i="35"/>
  <c r="K656" i="11"/>
  <c r="R115" i="39"/>
  <c r="R340" i="39" s="1"/>
  <c r="R53" i="39"/>
  <c r="R72" i="39"/>
  <c r="K144" i="11"/>
  <c r="K232" i="11"/>
  <c r="K318" i="11" s="1"/>
  <c r="S33" i="36"/>
  <c r="J258" i="11"/>
  <c r="K499" i="11"/>
  <c r="L654" i="11"/>
  <c r="M654" i="11" s="1"/>
  <c r="K214" i="11"/>
  <c r="S148" i="16"/>
  <c r="S145" i="16"/>
  <c r="S43" i="38"/>
  <c r="S43" i="16"/>
  <c r="J605" i="11"/>
  <c r="L151" i="12" l="1"/>
  <c r="L159" i="12" s="1"/>
  <c r="R172" i="12"/>
  <c r="R205" i="12" s="1"/>
  <c r="L42" i="12"/>
  <c r="M85" i="12"/>
  <c r="M94" i="12" s="1"/>
  <c r="M144" i="12"/>
  <c r="M120" i="12"/>
  <c r="M128" i="12"/>
  <c r="M103" i="12"/>
  <c r="M111" i="12" s="1"/>
  <c r="M32" i="12"/>
  <c r="M136" i="12"/>
  <c r="M41" i="12"/>
  <c r="N24" i="12"/>
  <c r="Q205" i="12"/>
  <c r="R220" i="12"/>
  <c r="R228" i="12" s="1"/>
  <c r="AA71" i="39"/>
  <c r="T767" i="11"/>
  <c r="AA138" i="39"/>
  <c r="L33" i="12"/>
  <c r="L95" i="12"/>
  <c r="M142" i="12"/>
  <c r="M134" i="12"/>
  <c r="M126" i="12"/>
  <c r="M83" i="12"/>
  <c r="M92" i="12" s="1"/>
  <c r="M101" i="12"/>
  <c r="M109" i="12" s="1"/>
  <c r="M30" i="12"/>
  <c r="N22" i="12" s="1"/>
  <c r="M39" i="12"/>
  <c r="M118" i="12"/>
  <c r="L148" i="12"/>
  <c r="L156" i="12" s="1"/>
  <c r="L160" i="12" s="1"/>
  <c r="Q236" i="12"/>
  <c r="R231" i="12"/>
  <c r="R236" i="12" s="1"/>
  <c r="P768" i="11"/>
  <c r="Q763" i="11"/>
  <c r="X138" i="35"/>
  <c r="X71" i="35"/>
  <c r="X138" i="5"/>
  <c r="X138" i="16"/>
  <c r="X71" i="16"/>
  <c r="M20" i="12"/>
  <c r="C123" i="11"/>
  <c r="B77" i="8"/>
  <c r="M21" i="12"/>
  <c r="M23" i="12"/>
  <c r="L150" i="12"/>
  <c r="L158" i="12" s="1"/>
  <c r="W138" i="34"/>
  <c r="W71" i="34"/>
  <c r="L112" i="12"/>
  <c r="L149" i="12"/>
  <c r="L157" i="12" s="1"/>
  <c r="M680" i="11"/>
  <c r="O64" i="11"/>
  <c r="F181" i="55"/>
  <c r="F237" i="55"/>
  <c r="F172" i="55"/>
  <c r="M496" i="11"/>
  <c r="J901" i="11"/>
  <c r="L691" i="11"/>
  <c r="T35" i="34" s="1"/>
  <c r="J903" i="11"/>
  <c r="K370" i="11"/>
  <c r="S36" i="36"/>
  <c r="M659" i="11"/>
  <c r="U32" i="35" s="1"/>
  <c r="M678" i="11"/>
  <c r="U34" i="36" s="1"/>
  <c r="M663" i="11"/>
  <c r="U32" i="39" s="1"/>
  <c r="M660" i="11"/>
  <c r="U32" i="36" s="1"/>
  <c r="M677" i="11"/>
  <c r="U34" i="35" s="1"/>
  <c r="P309" i="11"/>
  <c r="S37" i="5"/>
  <c r="S37" i="34"/>
  <c r="S112" i="36"/>
  <c r="S294" i="36" s="1"/>
  <c r="F226" i="26"/>
  <c r="G226" i="26" s="1"/>
  <c r="F226" i="56"/>
  <c r="G226" i="56" s="1"/>
  <c r="E127" i="46"/>
  <c r="F127" i="46" s="1"/>
  <c r="E127" i="45"/>
  <c r="F127" i="45" s="1"/>
  <c r="E127" i="47"/>
  <c r="F127" i="47" s="1"/>
  <c r="E127" i="48"/>
  <c r="F127" i="48" s="1"/>
  <c r="F226" i="50"/>
  <c r="G226" i="50" s="1"/>
  <c r="E127" i="44"/>
  <c r="F127" i="44" s="1"/>
  <c r="F225" i="26"/>
  <c r="G225" i="26" s="1"/>
  <c r="E126" i="48"/>
  <c r="F126" i="48" s="1"/>
  <c r="E126" i="45"/>
  <c r="F126" i="45" s="1"/>
  <c r="E126" i="46"/>
  <c r="F126" i="46" s="1"/>
  <c r="F225" i="50"/>
  <c r="G225" i="50" s="1"/>
  <c r="F225" i="56"/>
  <c r="G225" i="56" s="1"/>
  <c r="E126" i="44"/>
  <c r="F126" i="44" s="1"/>
  <c r="E126" i="47"/>
  <c r="F126" i="47" s="1"/>
  <c r="E125" i="47"/>
  <c r="F125" i="47" s="1"/>
  <c r="E125" i="48"/>
  <c r="F125" i="48" s="1"/>
  <c r="E125" i="44"/>
  <c r="F125" i="44" s="1"/>
  <c r="F224" i="50"/>
  <c r="G224" i="50" s="1"/>
  <c r="F224" i="56"/>
  <c r="G224" i="56" s="1"/>
  <c r="E125" i="46"/>
  <c r="F125" i="46" s="1"/>
  <c r="E125" i="45"/>
  <c r="F125" i="45" s="1"/>
  <c r="K155" i="11"/>
  <c r="K373" i="11"/>
  <c r="K371" i="11"/>
  <c r="P245" i="11"/>
  <c r="N318" i="11"/>
  <c r="N236" i="11"/>
  <c r="Q130" i="5"/>
  <c r="Q136" i="5" s="1"/>
  <c r="Q140" i="5" s="1"/>
  <c r="M236" i="11"/>
  <c r="S112" i="37"/>
  <c r="S294" i="37" s="1"/>
  <c r="AT21" i="39"/>
  <c r="AG4" i="55" s="1"/>
  <c r="E176" i="55"/>
  <c r="AF4" i="26"/>
  <c r="M661" i="11"/>
  <c r="U32" i="37" s="1"/>
  <c r="M668" i="11"/>
  <c r="M688" i="11"/>
  <c r="U35" i="37" s="1"/>
  <c r="L664" i="11"/>
  <c r="T32" i="16" s="1"/>
  <c r="J611" i="11"/>
  <c r="Q136" i="34"/>
  <c r="Q140" i="34" s="1"/>
  <c r="M651" i="11"/>
  <c r="U31" i="36" s="1"/>
  <c r="L783" i="11"/>
  <c r="M733" i="11"/>
  <c r="U43" i="35" s="1"/>
  <c r="M652" i="11"/>
  <c r="U31" i="37" s="1"/>
  <c r="M689" i="11"/>
  <c r="U35" i="38" s="1"/>
  <c r="M736" i="11"/>
  <c r="U43" i="38" s="1"/>
  <c r="L236" i="11"/>
  <c r="L354" i="11" s="1"/>
  <c r="M737" i="11"/>
  <c r="U43" i="39" s="1"/>
  <c r="F236" i="26"/>
  <c r="F177" i="26"/>
  <c r="K372" i="11"/>
  <c r="U34" i="38"/>
  <c r="U31" i="38"/>
  <c r="U43" i="36"/>
  <c r="K156" i="11"/>
  <c r="F222" i="26"/>
  <c r="T112" i="35"/>
  <c r="T294" i="35" s="1"/>
  <c r="T147" i="35"/>
  <c r="Q104" i="16"/>
  <c r="Q196" i="16" s="1"/>
  <c r="Q81" i="16"/>
  <c r="Q82" i="16" s="1"/>
  <c r="Q20" i="16"/>
  <c r="N524" i="11"/>
  <c r="N654" i="11" s="1"/>
  <c r="M533" i="11"/>
  <c r="M542" i="11" s="1"/>
  <c r="M569" i="11"/>
  <c r="U13" i="39"/>
  <c r="F169" i="55" s="1"/>
  <c r="M699" i="11"/>
  <c r="M708" i="11" s="1"/>
  <c r="U37" i="39" s="1"/>
  <c r="L704" i="11"/>
  <c r="L700" i="11"/>
  <c r="L738" i="11"/>
  <c r="T43" i="16" s="1"/>
  <c r="K120" i="11"/>
  <c r="K121" i="11" s="1"/>
  <c r="S33" i="5"/>
  <c r="S112" i="5" s="1"/>
  <c r="S294" i="5" s="1"/>
  <c r="M672" i="11"/>
  <c r="U33" i="39" s="1"/>
  <c r="N522" i="11"/>
  <c r="N688" i="11" s="1"/>
  <c r="U13" i="37"/>
  <c r="F169" i="53" s="1"/>
  <c r="M697" i="11"/>
  <c r="M706" i="11" s="1"/>
  <c r="U37" i="37" s="1"/>
  <c r="M567" i="11"/>
  <c r="M531" i="11"/>
  <c r="M540" i="11" s="1"/>
  <c r="Q93" i="39"/>
  <c r="R86" i="39" s="1"/>
  <c r="K396" i="11"/>
  <c r="N180" i="11"/>
  <c r="N181" i="11" s="1"/>
  <c r="S33" i="34"/>
  <c r="S112" i="34" s="1"/>
  <c r="S294" i="34" s="1"/>
  <c r="U31" i="35"/>
  <c r="M669" i="11"/>
  <c r="M846" i="11" s="1"/>
  <c r="M714" i="11"/>
  <c r="U31" i="39"/>
  <c r="N65" i="11"/>
  <c r="J401" i="11"/>
  <c r="T33" i="39"/>
  <c r="T112" i="39" s="1"/>
  <c r="T294" i="39" s="1"/>
  <c r="N523" i="11"/>
  <c r="N653" i="11" s="1"/>
  <c r="U13" i="38"/>
  <c r="F169" i="54" s="1"/>
  <c r="M698" i="11"/>
  <c r="M707" i="11" s="1"/>
  <c r="U37" i="38" s="1"/>
  <c r="M568" i="11"/>
  <c r="M532" i="11"/>
  <c r="M541" i="11" s="1"/>
  <c r="N521" i="11"/>
  <c r="N678" i="11" s="1"/>
  <c r="M566" i="11"/>
  <c r="M696" i="11"/>
  <c r="M705" i="11" s="1"/>
  <c r="U37" i="36" s="1"/>
  <c r="M530" i="11"/>
  <c r="M539" i="11" s="1"/>
  <c r="U13" i="36"/>
  <c r="F169" i="52" s="1"/>
  <c r="M681" i="11"/>
  <c r="M679" i="11"/>
  <c r="U34" i="37" s="1"/>
  <c r="L682" i="11"/>
  <c r="T34" i="16" s="1"/>
  <c r="S34" i="16"/>
  <c r="R129" i="5"/>
  <c r="L719" i="11"/>
  <c r="N520" i="11"/>
  <c r="M529" i="11"/>
  <c r="M547" i="11" s="1"/>
  <c r="M525" i="11"/>
  <c r="M692" i="11" s="1"/>
  <c r="M845" i="11"/>
  <c r="M695" i="11"/>
  <c r="U13" i="35"/>
  <c r="F169" i="51" s="1"/>
  <c r="M565" i="11"/>
  <c r="M671" i="11"/>
  <c r="M735" i="11"/>
  <c r="U43" i="37" s="1"/>
  <c r="L847" i="11"/>
  <c r="M670" i="11"/>
  <c r="U33" i="37" s="1"/>
  <c r="L782" i="11"/>
  <c r="S31" i="16"/>
  <c r="R128" i="16"/>
  <c r="R128" i="5"/>
  <c r="R21" i="16"/>
  <c r="R129" i="16"/>
  <c r="S41" i="5"/>
  <c r="M713" i="11"/>
  <c r="M686" i="11"/>
  <c r="T112" i="38"/>
  <c r="T294" i="38" s="1"/>
  <c r="T147" i="38"/>
  <c r="M687" i="11"/>
  <c r="T147" i="36"/>
  <c r="T112" i="36"/>
  <c r="T294" i="36" s="1"/>
  <c r="M717" i="11"/>
  <c r="M690" i="11"/>
  <c r="T147" i="37"/>
  <c r="T112" i="37"/>
  <c r="T294" i="37" s="1"/>
  <c r="L655" i="11"/>
  <c r="T31" i="34" s="1"/>
  <c r="L674" i="11"/>
  <c r="S41" i="34"/>
  <c r="U33" i="35"/>
  <c r="T13" i="16"/>
  <c r="T99" i="36"/>
  <c r="T99" i="37"/>
  <c r="T99" i="35"/>
  <c r="T99" i="34"/>
  <c r="L552" i="11"/>
  <c r="T13" i="34"/>
  <c r="F168" i="50" s="1"/>
  <c r="L561" i="11"/>
  <c r="T99" i="16"/>
  <c r="T99" i="38"/>
  <c r="T99" i="39"/>
  <c r="T13" i="5"/>
  <c r="M662" i="11"/>
  <c r="M716" i="11"/>
  <c r="T147" i="39"/>
  <c r="I352" i="11"/>
  <c r="I356" i="11" s="1"/>
  <c r="J351" i="11" s="1"/>
  <c r="I269" i="11"/>
  <c r="I273" i="11" s="1"/>
  <c r="J268" i="11" s="1"/>
  <c r="J189" i="11"/>
  <c r="J190" i="11"/>
  <c r="J275" i="11"/>
  <c r="J320" i="11"/>
  <c r="K315" i="11" s="1"/>
  <c r="J329" i="11"/>
  <c r="K324" i="11" s="1"/>
  <c r="L218" i="11"/>
  <c r="L353" i="11" s="1"/>
  <c r="N215" i="11"/>
  <c r="N326" i="11" s="1"/>
  <c r="M317" i="11"/>
  <c r="S98" i="11"/>
  <c r="S99" i="11"/>
  <c r="S100" i="11"/>
  <c r="S101" i="11"/>
  <c r="S97" i="11"/>
  <c r="T96" i="11"/>
  <c r="U96" i="11" s="1"/>
  <c r="R90" i="34"/>
  <c r="Q110" i="36"/>
  <c r="Q244" i="36" s="1"/>
  <c r="Q48" i="36"/>
  <c r="AF138" i="52" s="1"/>
  <c r="Q173" i="36"/>
  <c r="R62" i="38"/>
  <c r="K508" i="11"/>
  <c r="K754" i="11" s="1"/>
  <c r="K504" i="11"/>
  <c r="K505" i="11" s="1"/>
  <c r="L577" i="11"/>
  <c r="L784" i="11" s="1"/>
  <c r="T23" i="38"/>
  <c r="K831" i="11"/>
  <c r="K364" i="11"/>
  <c r="K876" i="11"/>
  <c r="S33" i="11"/>
  <c r="S51" i="11"/>
  <c r="T42" i="11"/>
  <c r="R62" i="37"/>
  <c r="S19" i="5"/>
  <c r="S19" i="34"/>
  <c r="K874" i="11"/>
  <c r="K829" i="11"/>
  <c r="K362" i="11"/>
  <c r="T34" i="35"/>
  <c r="F222" i="56"/>
  <c r="K487" i="11"/>
  <c r="K478" i="11"/>
  <c r="K496" i="11"/>
  <c r="E123" i="46"/>
  <c r="E123" i="45"/>
  <c r="E123" i="47"/>
  <c r="E123" i="48"/>
  <c r="F222" i="50"/>
  <c r="E123" i="44"/>
  <c r="L475" i="11"/>
  <c r="L457" i="11"/>
  <c r="L408" i="11"/>
  <c r="L466" i="11"/>
  <c r="L127" i="11"/>
  <c r="T12" i="38"/>
  <c r="L109" i="11"/>
  <c r="L179" i="11"/>
  <c r="S43" i="34"/>
  <c r="S43" i="5"/>
  <c r="P34" i="11"/>
  <c r="P52" i="11"/>
  <c r="P47" i="11"/>
  <c r="Q43" i="11"/>
  <c r="P41" i="11"/>
  <c r="S23" i="34"/>
  <c r="S23" i="5"/>
  <c r="R172" i="38"/>
  <c r="R111" i="38"/>
  <c r="R270" i="38" s="1"/>
  <c r="R117" i="38"/>
  <c r="R364" i="38" s="1"/>
  <c r="K398" i="11"/>
  <c r="S94" i="37" s="1"/>
  <c r="K175" i="11"/>
  <c r="G222" i="26"/>
  <c r="R91" i="37"/>
  <c r="R92" i="37" s="1"/>
  <c r="R24" i="37"/>
  <c r="R63" i="37" s="1"/>
  <c r="R28" i="37"/>
  <c r="AG136" i="53" s="1"/>
  <c r="S80" i="39"/>
  <c r="L578" i="11"/>
  <c r="L785" i="11" s="1"/>
  <c r="T23" i="39"/>
  <c r="K837" i="11"/>
  <c r="S133" i="36"/>
  <c r="S134" i="36" s="1"/>
  <c r="S46" i="36"/>
  <c r="K891" i="11"/>
  <c r="K153" i="11"/>
  <c r="L501" i="11"/>
  <c r="L510" i="11" s="1"/>
  <c r="R47" i="36"/>
  <c r="AG137" i="52" s="1"/>
  <c r="L744" i="11"/>
  <c r="S147" i="34"/>
  <c r="Q37" i="11"/>
  <c r="Q55" i="11"/>
  <c r="R46" i="11"/>
  <c r="S46" i="11" s="1"/>
  <c r="Q81" i="34"/>
  <c r="Q82" i="34" s="1"/>
  <c r="Q20" i="34"/>
  <c r="Q104" i="34"/>
  <c r="Q196" i="34" s="1"/>
  <c r="K579" i="11"/>
  <c r="K786" i="11" s="1"/>
  <c r="S25" i="35"/>
  <c r="S105" i="35" s="1"/>
  <c r="S220" i="35" s="1"/>
  <c r="S129" i="35"/>
  <c r="R111" i="37"/>
  <c r="R270" i="37" s="1"/>
  <c r="R172" i="37"/>
  <c r="R117" i="37"/>
  <c r="R364" i="37" s="1"/>
  <c r="G222" i="54"/>
  <c r="Q47" i="34"/>
  <c r="AF137" i="50" s="1"/>
  <c r="K758" i="11"/>
  <c r="K867" i="11" s="1"/>
  <c r="S21" i="39"/>
  <c r="S104" i="39" s="1"/>
  <c r="S196" i="39" s="1"/>
  <c r="S128" i="39"/>
  <c r="L742" i="11"/>
  <c r="F238" i="55"/>
  <c r="R112" i="5"/>
  <c r="R294" i="5" s="1"/>
  <c r="AF142" i="56"/>
  <c r="AF142" i="55"/>
  <c r="AF142" i="53"/>
  <c r="Q172" i="5"/>
  <c r="Q111" i="5"/>
  <c r="Q270" i="5" s="1"/>
  <c r="AF142" i="54"/>
  <c r="AF142" i="26"/>
  <c r="AF142" i="50"/>
  <c r="AF142" i="52"/>
  <c r="AF142" i="51"/>
  <c r="Q117" i="5"/>
  <c r="Q364" i="5" s="1"/>
  <c r="F223" i="53"/>
  <c r="G223" i="53" s="1"/>
  <c r="F178" i="53"/>
  <c r="S90" i="16"/>
  <c r="S101" i="34"/>
  <c r="T43" i="34"/>
  <c r="T43" i="5"/>
  <c r="R67" i="38"/>
  <c r="R28" i="38" s="1"/>
  <c r="AG136" i="54" s="1"/>
  <c r="K838" i="11"/>
  <c r="S46" i="37"/>
  <c r="S133" i="37"/>
  <c r="S134" i="37" s="1"/>
  <c r="K892" i="11"/>
  <c r="L425" i="11"/>
  <c r="L136" i="11"/>
  <c r="L145" i="11" s="1"/>
  <c r="K345" i="11"/>
  <c r="K317" i="11"/>
  <c r="K280" i="11" s="1"/>
  <c r="S67" i="36" s="1"/>
  <c r="K218" i="11"/>
  <c r="K353" i="11" s="1"/>
  <c r="J307" i="11"/>
  <c r="J263" i="11"/>
  <c r="S35" i="34"/>
  <c r="S35" i="5"/>
  <c r="O204" i="11"/>
  <c r="N258" i="11"/>
  <c r="N213" i="11"/>
  <c r="Q63" i="37"/>
  <c r="Q64" i="37" s="1"/>
  <c r="R195" i="11"/>
  <c r="R134" i="11"/>
  <c r="R60" i="11"/>
  <c r="T90" i="35"/>
  <c r="I630" i="11"/>
  <c r="R67" i="35"/>
  <c r="J866" i="11"/>
  <c r="J902" i="11"/>
  <c r="Q35" i="11"/>
  <c r="Q53" i="11"/>
  <c r="L673" i="11"/>
  <c r="T33" i="16" s="1"/>
  <c r="K583" i="11"/>
  <c r="L745" i="11"/>
  <c r="T31" i="38"/>
  <c r="T31" i="16"/>
  <c r="R97" i="11"/>
  <c r="R98" i="11"/>
  <c r="R99" i="11"/>
  <c r="R100" i="11"/>
  <c r="R101" i="11"/>
  <c r="I628" i="11"/>
  <c r="S94" i="38"/>
  <c r="S94" i="16"/>
  <c r="Q63" i="36"/>
  <c r="R20" i="35"/>
  <c r="R81" i="35"/>
  <c r="R82" i="35" s="1"/>
  <c r="Q63" i="16"/>
  <c r="Q172" i="39"/>
  <c r="Q111" i="39"/>
  <c r="Q270" i="39" s="1"/>
  <c r="Q117" i="39"/>
  <c r="Q364" i="39" s="1"/>
  <c r="L718" i="11"/>
  <c r="T41" i="16" s="1"/>
  <c r="K261" i="11"/>
  <c r="K188" i="11"/>
  <c r="S24" i="37"/>
  <c r="S63" i="37" s="1"/>
  <c r="S91" i="37"/>
  <c r="S92" i="37" s="1"/>
  <c r="K777" i="11"/>
  <c r="R62" i="39"/>
  <c r="F182" i="55"/>
  <c r="G222" i="52"/>
  <c r="T90" i="37"/>
  <c r="K400" i="11"/>
  <c r="S94" i="39" s="1"/>
  <c r="T148" i="37"/>
  <c r="T145" i="37"/>
  <c r="S90" i="38"/>
  <c r="S101" i="36"/>
  <c r="L692" i="11"/>
  <c r="T90" i="36"/>
  <c r="L334" i="11"/>
  <c r="K327" i="11"/>
  <c r="K840" i="11"/>
  <c r="S46" i="39"/>
  <c r="S133" i="39"/>
  <c r="K894" i="11"/>
  <c r="AF136" i="56"/>
  <c r="Q173" i="16"/>
  <c r="AF136" i="26"/>
  <c r="Q48" i="16"/>
  <c r="Q110" i="16"/>
  <c r="Q244" i="16" s="1"/>
  <c r="M262" i="11"/>
  <c r="M343" i="11" s="1"/>
  <c r="N208" i="11"/>
  <c r="N217" i="11" s="1"/>
  <c r="N344" i="11" s="1"/>
  <c r="Q111" i="36"/>
  <c r="Q270" i="36" s="1"/>
  <c r="Q172" i="36"/>
  <c r="Q117" i="36"/>
  <c r="Q364" i="36" s="1"/>
  <c r="M307" i="11"/>
  <c r="T129" i="36"/>
  <c r="T25" i="36"/>
  <c r="T105" i="36" s="1"/>
  <c r="T220" i="36" s="1"/>
  <c r="K437" i="11"/>
  <c r="K778" i="11" s="1"/>
  <c r="S21" i="35"/>
  <c r="S104" i="35" s="1"/>
  <c r="S196" i="35" s="1"/>
  <c r="S128" i="35"/>
  <c r="N260" i="11"/>
  <c r="N325" i="11" s="1"/>
  <c r="O206" i="11"/>
  <c r="K307" i="11"/>
  <c r="L746" i="11"/>
  <c r="T31" i="39"/>
  <c r="Q93" i="37"/>
  <c r="R86" i="37" s="1"/>
  <c r="S80" i="37"/>
  <c r="L543" i="11"/>
  <c r="T23" i="16" s="1"/>
  <c r="I631" i="11"/>
  <c r="Q173" i="35"/>
  <c r="Q48" i="35"/>
  <c r="AF138" i="51" s="1"/>
  <c r="Q110" i="35"/>
  <c r="Q244" i="35" s="1"/>
  <c r="S34" i="34"/>
  <c r="S34" i="5"/>
  <c r="K335" i="11"/>
  <c r="R44" i="11"/>
  <c r="K154" i="11"/>
  <c r="M181" i="11"/>
  <c r="M216" i="11"/>
  <c r="P49" i="6"/>
  <c r="Q20" i="5"/>
  <c r="Q104" i="5"/>
  <c r="Q196" i="5" s="1"/>
  <c r="K872" i="11"/>
  <c r="K360" i="11"/>
  <c r="K148" i="11"/>
  <c r="K190" i="11" s="1"/>
  <c r="K781" i="11"/>
  <c r="R129" i="34"/>
  <c r="R25" i="34"/>
  <c r="R25" i="5"/>
  <c r="R105" i="5" s="1"/>
  <c r="R220" i="5" s="1"/>
  <c r="L90" i="11"/>
  <c r="O198" i="11"/>
  <c r="O234" i="11" s="1"/>
  <c r="O336" i="11" s="1"/>
  <c r="F181" i="54"/>
  <c r="F182" i="54" s="1"/>
  <c r="F237" i="54"/>
  <c r="O63" i="11"/>
  <c r="Q8" i="37"/>
  <c r="AD245" i="11"/>
  <c r="L473" i="11"/>
  <c r="L464" i="11"/>
  <c r="L455" i="11"/>
  <c r="L406" i="11"/>
  <c r="L125" i="11"/>
  <c r="T12" i="36"/>
  <c r="L107" i="11"/>
  <c r="L117" i="11"/>
  <c r="L172" i="11" s="1"/>
  <c r="L371" i="11" s="1"/>
  <c r="J595" i="11"/>
  <c r="S25" i="38"/>
  <c r="S105" i="38" s="1"/>
  <c r="S220" i="38" s="1"/>
  <c r="S129" i="38"/>
  <c r="S129" i="16"/>
  <c r="S129" i="5"/>
  <c r="S25" i="16"/>
  <c r="S105" i="16" s="1"/>
  <c r="S220" i="16" s="1"/>
  <c r="K397" i="11"/>
  <c r="S94" i="36" s="1"/>
  <c r="R24" i="16"/>
  <c r="R63" i="16" s="1"/>
  <c r="R91" i="16"/>
  <c r="R92" i="16" s="1"/>
  <c r="S101" i="35"/>
  <c r="L749" i="11"/>
  <c r="M749" i="11" s="1"/>
  <c r="S80" i="35"/>
  <c r="G222" i="51"/>
  <c r="R115" i="37"/>
  <c r="R340" i="37" s="1"/>
  <c r="R53" i="37"/>
  <c r="R72" i="37"/>
  <c r="Q63" i="39"/>
  <c r="Q64" i="39" s="1"/>
  <c r="T147" i="5"/>
  <c r="Q42" i="6"/>
  <c r="Q48" i="37"/>
  <c r="AF138" i="53" s="1"/>
  <c r="Q110" i="37"/>
  <c r="Q244" i="37" s="1"/>
  <c r="Q173" i="37"/>
  <c r="K756" i="11"/>
  <c r="S21" i="37"/>
  <c r="S104" i="37" s="1"/>
  <c r="S196" i="37" s="1"/>
  <c r="S128" i="37"/>
  <c r="T129" i="35"/>
  <c r="T25" i="35"/>
  <c r="T105" i="35" s="1"/>
  <c r="T220" i="35" s="1"/>
  <c r="R91" i="39"/>
  <c r="R92" i="39" s="1"/>
  <c r="R24" i="39"/>
  <c r="R63" i="39" s="1"/>
  <c r="R28" i="39"/>
  <c r="AG136" i="55" s="1"/>
  <c r="T32" i="39"/>
  <c r="S90" i="39"/>
  <c r="Q63" i="35"/>
  <c r="P197" i="11"/>
  <c r="P233" i="11" s="1"/>
  <c r="P327" i="11" s="1"/>
  <c r="P62" i="11"/>
  <c r="R105" i="39"/>
  <c r="R220" i="39" s="1"/>
  <c r="L472" i="11"/>
  <c r="L463" i="11"/>
  <c r="L454" i="11"/>
  <c r="L405" i="11"/>
  <c r="L124" i="11"/>
  <c r="L83" i="11"/>
  <c r="T12" i="16" s="1"/>
  <c r="T12" i="35"/>
  <c r="L106" i="11"/>
  <c r="Q111" i="37"/>
  <c r="Q270" i="37" s="1"/>
  <c r="Q172" i="37"/>
  <c r="Q117" i="37"/>
  <c r="Q364" i="37" s="1"/>
  <c r="M65" i="11"/>
  <c r="S80" i="16"/>
  <c r="I868" i="11"/>
  <c r="I904" i="11"/>
  <c r="K309" i="11"/>
  <c r="K279" i="11" s="1"/>
  <c r="S67" i="35" s="1"/>
  <c r="K236" i="11"/>
  <c r="K271" i="11" s="1"/>
  <c r="Q172" i="38"/>
  <c r="Q111" i="38"/>
  <c r="Q270" i="38" s="1"/>
  <c r="Q117" i="38"/>
  <c r="Q364" i="38" s="1"/>
  <c r="R21" i="5"/>
  <c r="R20" i="5" s="1"/>
  <c r="R128" i="34"/>
  <c r="R21" i="34"/>
  <c r="P199" i="11"/>
  <c r="P235" i="11" s="1"/>
  <c r="P345" i="11" s="1"/>
  <c r="P64" i="11"/>
  <c r="P138" i="11"/>
  <c r="S90" i="36"/>
  <c r="K336" i="11"/>
  <c r="M217" i="11"/>
  <c r="M344" i="11" s="1"/>
  <c r="T129" i="37"/>
  <c r="T25" i="37"/>
  <c r="T105" i="37" s="1"/>
  <c r="T220" i="37" s="1"/>
  <c r="R111" i="39"/>
  <c r="R270" i="39" s="1"/>
  <c r="R172" i="39"/>
  <c r="R117" i="39"/>
  <c r="R364" i="39" s="1"/>
  <c r="K604" i="11"/>
  <c r="R91" i="38"/>
  <c r="R92" i="38" s="1"/>
  <c r="R24" i="38"/>
  <c r="R63" i="38" s="1"/>
  <c r="S101" i="37"/>
  <c r="L683" i="11"/>
  <c r="L739" i="11"/>
  <c r="K775" i="11"/>
  <c r="L583" i="11"/>
  <c r="L592" i="11" s="1"/>
  <c r="L601" i="11" s="1"/>
  <c r="S129" i="39"/>
  <c r="S25" i="39"/>
  <c r="Q93" i="16"/>
  <c r="R86" i="16" s="1"/>
  <c r="K152" i="11"/>
  <c r="P36" i="11"/>
  <c r="P54" i="11"/>
  <c r="Q45" i="11"/>
  <c r="R45" i="11" s="1"/>
  <c r="Q110" i="38"/>
  <c r="Q244" i="38" s="1"/>
  <c r="Q48" i="38"/>
  <c r="AF138" i="54" s="1"/>
  <c r="Q173" i="38"/>
  <c r="G222" i="53"/>
  <c r="L837" i="11"/>
  <c r="T46" i="36"/>
  <c r="T133" i="36"/>
  <c r="L891" i="11"/>
  <c r="J384" i="11"/>
  <c r="J354" i="11"/>
  <c r="J284" i="11" s="1"/>
  <c r="R67" i="34" s="1"/>
  <c r="K747" i="11"/>
  <c r="S133" i="5" s="1"/>
  <c r="S31" i="34"/>
  <c r="S31" i="5"/>
  <c r="S80" i="38"/>
  <c r="J374" i="11"/>
  <c r="R80" i="34"/>
  <c r="K839" i="11"/>
  <c r="S133" i="38"/>
  <c r="S46" i="38"/>
  <c r="K893" i="11"/>
  <c r="R79" i="34"/>
  <c r="R79" i="38"/>
  <c r="R79" i="37"/>
  <c r="R79" i="35"/>
  <c r="R79" i="36"/>
  <c r="R79" i="39"/>
  <c r="R79" i="16"/>
  <c r="S32" i="34"/>
  <c r="S32" i="5"/>
  <c r="S80" i="36"/>
  <c r="J863" i="11"/>
  <c r="J899" i="11"/>
  <c r="Q172" i="35"/>
  <c r="Q111" i="35"/>
  <c r="Q270" i="35" s="1"/>
  <c r="Q117" i="35"/>
  <c r="Q364" i="35" s="1"/>
  <c r="R20" i="36"/>
  <c r="R81" i="36"/>
  <c r="R82" i="36" s="1"/>
  <c r="Q8" i="35"/>
  <c r="Q62" i="35"/>
  <c r="S25" i="36"/>
  <c r="S129" i="36"/>
  <c r="J379" i="11"/>
  <c r="F236" i="56"/>
  <c r="F180" i="56"/>
  <c r="N486" i="11"/>
  <c r="N487" i="11" s="1"/>
  <c r="N200" i="11"/>
  <c r="N495" i="11"/>
  <c r="N496" i="11" s="1"/>
  <c r="E137" i="45"/>
  <c r="E137" i="44"/>
  <c r="E137" i="46"/>
  <c r="E137" i="48"/>
  <c r="F236" i="50"/>
  <c r="E137" i="47"/>
  <c r="F180" i="50"/>
  <c r="Q62" i="36"/>
  <c r="Q8" i="36"/>
  <c r="O196" i="11"/>
  <c r="O232" i="11" s="1"/>
  <c r="F237" i="52"/>
  <c r="F181" i="52"/>
  <c r="F182" i="52" s="1"/>
  <c r="O61" i="11"/>
  <c r="E147" i="52"/>
  <c r="O56" i="11"/>
  <c r="O180" i="11" s="1"/>
  <c r="F172" i="52"/>
  <c r="J610" i="11"/>
  <c r="K363" i="11"/>
  <c r="K830" i="11"/>
  <c r="K875" i="11"/>
  <c r="J280" i="11"/>
  <c r="R67" i="36" s="1"/>
  <c r="Q24" i="5"/>
  <c r="Q28" i="5"/>
  <c r="K784" i="11"/>
  <c r="I614" i="11"/>
  <c r="I605" i="11"/>
  <c r="I606" i="11" s="1"/>
  <c r="G222" i="55"/>
  <c r="S101" i="38"/>
  <c r="M474" i="11"/>
  <c r="M465" i="11"/>
  <c r="M407" i="11"/>
  <c r="M456" i="11"/>
  <c r="M126" i="11"/>
  <c r="M117" i="11"/>
  <c r="U12" i="37"/>
  <c r="L263" i="11"/>
  <c r="L352" i="11" s="1"/>
  <c r="AS21" i="35"/>
  <c r="AF4" i="51" s="1"/>
  <c r="S132" i="38"/>
  <c r="S36" i="38"/>
  <c r="S90" i="35"/>
  <c r="L336" i="11"/>
  <c r="L271" i="11"/>
  <c r="S148" i="34"/>
  <c r="S145" i="34"/>
  <c r="S132" i="39"/>
  <c r="S36" i="39"/>
  <c r="S94" i="35"/>
  <c r="K873" i="11"/>
  <c r="K828" i="11"/>
  <c r="K361" i="11"/>
  <c r="K379" i="11" s="1"/>
  <c r="Q93" i="35"/>
  <c r="R86" i="35" s="1"/>
  <c r="T32" i="34"/>
  <c r="T32" i="5"/>
  <c r="L476" i="11"/>
  <c r="L467" i="11"/>
  <c r="L458" i="11"/>
  <c r="L409" i="11"/>
  <c r="L128" i="11"/>
  <c r="T12" i="39"/>
  <c r="L110" i="11"/>
  <c r="L91" i="11"/>
  <c r="Q93" i="38"/>
  <c r="R86" i="38" s="1"/>
  <c r="N207" i="11"/>
  <c r="N216" i="11" s="1"/>
  <c r="N335" i="11" s="1"/>
  <c r="M261" i="11"/>
  <c r="K587" i="11"/>
  <c r="K369" i="11"/>
  <c r="O197" i="11"/>
  <c r="O233" i="11" s="1"/>
  <c r="O327" i="11" s="1"/>
  <c r="F237" i="53"/>
  <c r="F181" i="53"/>
  <c r="O62" i="11"/>
  <c r="E147" i="53"/>
  <c r="Q63" i="38"/>
  <c r="Q64" i="38" s="1"/>
  <c r="K836" i="11"/>
  <c r="S133" i="35"/>
  <c r="S46" i="35"/>
  <c r="K890" i="11"/>
  <c r="M259" i="11"/>
  <c r="M316" i="11" s="1"/>
  <c r="N205" i="11"/>
  <c r="N214" i="11" s="1"/>
  <c r="N317" i="11" s="1"/>
  <c r="K757" i="11"/>
  <c r="S21" i="38"/>
  <c r="S104" i="38" s="1"/>
  <c r="S196" i="38" s="1"/>
  <c r="S128" i="38"/>
  <c r="S128" i="5"/>
  <c r="S128" i="16"/>
  <c r="S21" i="16"/>
  <c r="S104" i="16" s="1"/>
  <c r="S196" i="16" s="1"/>
  <c r="L335" i="11"/>
  <c r="Q93" i="36"/>
  <c r="R86" i="36" s="1"/>
  <c r="J378" i="11"/>
  <c r="J365" i="11"/>
  <c r="T148" i="5"/>
  <c r="Q33" i="6"/>
  <c r="K755" i="11"/>
  <c r="S21" i="36"/>
  <c r="S104" i="36" s="1"/>
  <c r="S196" i="36" s="1"/>
  <c r="S128" i="36"/>
  <c r="J594" i="11"/>
  <c r="J864" i="11"/>
  <c r="J900" i="11"/>
  <c r="AF137" i="56"/>
  <c r="AF137" i="26"/>
  <c r="Q172" i="16"/>
  <c r="Q111" i="16"/>
  <c r="Q270" i="16" s="1"/>
  <c r="Q117" i="16"/>
  <c r="Q364" i="16" s="1"/>
  <c r="K584" i="11"/>
  <c r="E147" i="54"/>
  <c r="O32" i="11"/>
  <c r="O38" i="11"/>
  <c r="M89" i="11"/>
  <c r="I629" i="11"/>
  <c r="Q110" i="39"/>
  <c r="Q244" i="39" s="1"/>
  <c r="Q173" i="39"/>
  <c r="Q48" i="39"/>
  <c r="AF138" i="55" s="1"/>
  <c r="J513" i="11"/>
  <c r="R36" i="35"/>
  <c r="R132" i="35"/>
  <c r="R134" i="35" s="1"/>
  <c r="N80" i="11"/>
  <c r="Q24" i="34"/>
  <c r="Q91" i="34"/>
  <c r="Q92" i="34" s="1"/>
  <c r="Q28" i="34"/>
  <c r="AF136" i="50" s="1"/>
  <c r="K262" i="11"/>
  <c r="K343" i="11" s="1"/>
  <c r="S101" i="16"/>
  <c r="S101" i="39"/>
  <c r="L665" i="11"/>
  <c r="N83" i="12" l="1"/>
  <c r="N92" i="12" s="1"/>
  <c r="N118" i="12"/>
  <c r="N101" i="12"/>
  <c r="N109" i="12" s="1"/>
  <c r="N39" i="12"/>
  <c r="N142" i="12"/>
  <c r="N126" i="12"/>
  <c r="N30" i="12"/>
  <c r="O22" i="12"/>
  <c r="N134" i="12"/>
  <c r="M119" i="12"/>
  <c r="M135" i="12"/>
  <c r="M127" i="12"/>
  <c r="M84" i="12"/>
  <c r="M93" i="12" s="1"/>
  <c r="M143" i="12"/>
  <c r="M102" i="12"/>
  <c r="M110" i="12" s="1"/>
  <c r="M31" i="12"/>
  <c r="M40" i="12" s="1"/>
  <c r="M140" i="12"/>
  <c r="M116" i="12"/>
  <c r="M147" i="12" s="1"/>
  <c r="M155" i="12" s="1"/>
  <c r="M132" i="12"/>
  <c r="M124" i="12"/>
  <c r="M99" i="12"/>
  <c r="M107" i="12" s="1"/>
  <c r="M81" i="12"/>
  <c r="M90" i="12" s="1"/>
  <c r="M28" i="12"/>
  <c r="M37" i="12"/>
  <c r="N20" i="12"/>
  <c r="M25" i="12"/>
  <c r="M86" i="12" s="1"/>
  <c r="M141" i="12"/>
  <c r="M117" i="12"/>
  <c r="M100" i="12"/>
  <c r="M108" i="12" s="1"/>
  <c r="M29" i="12"/>
  <c r="M38" i="12" s="1"/>
  <c r="M125" i="12"/>
  <c r="M82" i="12"/>
  <c r="M91" i="12" s="1"/>
  <c r="M133" i="12"/>
  <c r="M151" i="12"/>
  <c r="M159" i="12" s="1"/>
  <c r="Q768" i="11"/>
  <c r="R763" i="11"/>
  <c r="Y138" i="35"/>
  <c r="Y71" i="35"/>
  <c r="Y138" i="16"/>
  <c r="Y71" i="16"/>
  <c r="Y138" i="5"/>
  <c r="C132" i="11"/>
  <c r="B78" i="8"/>
  <c r="X138" i="34"/>
  <c r="X71" i="34"/>
  <c r="M149" i="12"/>
  <c r="M157" i="12" s="1"/>
  <c r="U767" i="11"/>
  <c r="AB138" i="39"/>
  <c r="AB71" i="39"/>
  <c r="N144" i="12"/>
  <c r="N120" i="12"/>
  <c r="N128" i="12"/>
  <c r="N136" i="12"/>
  <c r="N103" i="12"/>
  <c r="N111" i="12" s="1"/>
  <c r="N41" i="12"/>
  <c r="O24" i="12"/>
  <c r="N85" i="12"/>
  <c r="N94" i="12" s="1"/>
  <c r="N32" i="12"/>
  <c r="E147" i="56"/>
  <c r="K374" i="11"/>
  <c r="T35" i="5"/>
  <c r="F227" i="53"/>
  <c r="G227" i="53" s="1"/>
  <c r="M551" i="11"/>
  <c r="N659" i="11"/>
  <c r="V32" i="35" s="1"/>
  <c r="S134" i="39"/>
  <c r="T31" i="5"/>
  <c r="M354" i="11"/>
  <c r="M271" i="11"/>
  <c r="N354" i="11"/>
  <c r="N271" i="11"/>
  <c r="T34" i="34"/>
  <c r="M656" i="11"/>
  <c r="N663" i="11"/>
  <c r="V32" i="39" s="1"/>
  <c r="N650" i="11"/>
  <c r="V31" i="35" s="1"/>
  <c r="M550" i="11"/>
  <c r="T34" i="5"/>
  <c r="L579" i="11"/>
  <c r="T25" i="5" s="1"/>
  <c r="N661" i="11"/>
  <c r="V32" i="37" s="1"/>
  <c r="M682" i="11"/>
  <c r="U34" i="34" s="1"/>
  <c r="M739" i="11"/>
  <c r="M425" i="11"/>
  <c r="M136" i="11"/>
  <c r="M145" i="11" s="1"/>
  <c r="M655" i="11"/>
  <c r="U31" i="34" s="1"/>
  <c r="L119" i="11"/>
  <c r="L174" i="11" s="1"/>
  <c r="M743" i="11"/>
  <c r="U46" i="36" s="1"/>
  <c r="M665" i="11"/>
  <c r="N671" i="11"/>
  <c r="V33" i="38" s="1"/>
  <c r="N669" i="11"/>
  <c r="V33" i="36" s="1"/>
  <c r="M548" i="11"/>
  <c r="M559" i="11"/>
  <c r="T37" i="35"/>
  <c r="T37" i="16"/>
  <c r="N716" i="11"/>
  <c r="V41" i="38" s="1"/>
  <c r="L587" i="11"/>
  <c r="L596" i="11" s="1"/>
  <c r="L605" i="11" s="1"/>
  <c r="M745" i="11"/>
  <c r="U133" i="38" s="1"/>
  <c r="M683" i="11"/>
  <c r="N734" i="11"/>
  <c r="V43" i="36" s="1"/>
  <c r="O318" i="11"/>
  <c r="O236" i="11"/>
  <c r="L115" i="11"/>
  <c r="L170" i="11" s="1"/>
  <c r="L369" i="11" s="1"/>
  <c r="L116" i="11"/>
  <c r="L171" i="11" s="1"/>
  <c r="K347" i="11"/>
  <c r="L342" i="11" s="1"/>
  <c r="AT21" i="37"/>
  <c r="AG4" i="53" s="1"/>
  <c r="E176" i="53"/>
  <c r="L270" i="11"/>
  <c r="N733" i="11"/>
  <c r="V43" i="35" s="1"/>
  <c r="M557" i="11"/>
  <c r="N652" i="11"/>
  <c r="V31" i="37" s="1"/>
  <c r="N660" i="11"/>
  <c r="V32" i="36" s="1"/>
  <c r="M847" i="11"/>
  <c r="K401" i="11"/>
  <c r="N737" i="11"/>
  <c r="V43" i="39" s="1"/>
  <c r="S133" i="16"/>
  <c r="N677" i="11"/>
  <c r="V34" i="35" s="1"/>
  <c r="N714" i="11"/>
  <c r="V41" i="36" s="1"/>
  <c r="N736" i="11"/>
  <c r="V43" i="38" s="1"/>
  <c r="N715" i="11"/>
  <c r="V41" i="37" s="1"/>
  <c r="M79" i="11"/>
  <c r="M88" i="11" s="1"/>
  <c r="S46" i="16"/>
  <c r="M560" i="11"/>
  <c r="M78" i="11"/>
  <c r="U12" i="35" s="1"/>
  <c r="M570" i="11"/>
  <c r="L92" i="11"/>
  <c r="O80" i="11"/>
  <c r="P80" i="11" s="1"/>
  <c r="P108" i="11" s="1"/>
  <c r="F181" i="26"/>
  <c r="M578" i="11"/>
  <c r="M785" i="11" s="1"/>
  <c r="U23" i="39"/>
  <c r="M575" i="11"/>
  <c r="M782" i="11" s="1"/>
  <c r="U23" i="36"/>
  <c r="V35" i="37"/>
  <c r="U35" i="39"/>
  <c r="R104" i="16"/>
  <c r="R196" i="16" s="1"/>
  <c r="R81" i="16"/>
  <c r="R82" i="16" s="1"/>
  <c r="R20" i="16"/>
  <c r="R62" i="16" s="1"/>
  <c r="U31" i="16"/>
  <c r="M576" i="11"/>
  <c r="M783" i="11" s="1"/>
  <c r="U23" i="37"/>
  <c r="Q8" i="16"/>
  <c r="I8" i="11" s="1"/>
  <c r="Q62" i="16"/>
  <c r="Q64" i="16" s="1"/>
  <c r="N89" i="11"/>
  <c r="O65" i="11"/>
  <c r="M674" i="11"/>
  <c r="M664" i="11"/>
  <c r="U41" i="39"/>
  <c r="U35" i="35"/>
  <c r="M691" i="11"/>
  <c r="N686" i="11"/>
  <c r="O520" i="11"/>
  <c r="V13" i="35"/>
  <c r="F170" i="51" s="1"/>
  <c r="N695" i="11"/>
  <c r="N525" i="11"/>
  <c r="N749" i="11" s="1"/>
  <c r="N529" i="11"/>
  <c r="N547" i="11" s="1"/>
  <c r="N565" i="11"/>
  <c r="V34" i="36"/>
  <c r="O521" i="11"/>
  <c r="V13" i="36"/>
  <c r="F170" i="52" s="1"/>
  <c r="N566" i="11"/>
  <c r="N696" i="11"/>
  <c r="N705" i="11" s="1"/>
  <c r="V37" i="36" s="1"/>
  <c r="N530" i="11"/>
  <c r="N557" i="11" s="1"/>
  <c r="M746" i="11"/>
  <c r="M742" i="11"/>
  <c r="M558" i="11"/>
  <c r="U147" i="37"/>
  <c r="U112" i="37"/>
  <c r="U294" i="37" s="1"/>
  <c r="F237" i="26"/>
  <c r="K903" i="11"/>
  <c r="M718" i="11"/>
  <c r="U41" i="35"/>
  <c r="U147" i="35"/>
  <c r="U112" i="35"/>
  <c r="U294" i="35" s="1"/>
  <c r="U34" i="39"/>
  <c r="M577" i="11"/>
  <c r="M784" i="11" s="1"/>
  <c r="U23" i="38"/>
  <c r="N679" i="11"/>
  <c r="N690" i="11"/>
  <c r="V35" i="39" s="1"/>
  <c r="V31" i="39"/>
  <c r="F182" i="53"/>
  <c r="U41" i="38"/>
  <c r="L850" i="11"/>
  <c r="U13" i="16"/>
  <c r="U13" i="34"/>
  <c r="F169" i="50" s="1"/>
  <c r="U99" i="16"/>
  <c r="N665" i="11"/>
  <c r="U99" i="39"/>
  <c r="U13" i="5"/>
  <c r="U99" i="38"/>
  <c r="U99" i="36"/>
  <c r="U99" i="37"/>
  <c r="U99" i="34"/>
  <c r="U99" i="35"/>
  <c r="V31" i="38"/>
  <c r="O523" i="11"/>
  <c r="O653" i="11" s="1"/>
  <c r="N698" i="11"/>
  <c r="N707" i="11" s="1"/>
  <c r="V37" i="38" s="1"/>
  <c r="N568" i="11"/>
  <c r="N532" i="11"/>
  <c r="N848" i="11"/>
  <c r="V13" i="38"/>
  <c r="F170" i="54" s="1"/>
  <c r="M744" i="11"/>
  <c r="M738" i="11"/>
  <c r="M549" i="11"/>
  <c r="L709" i="11"/>
  <c r="U32" i="38"/>
  <c r="M704" i="11"/>
  <c r="M700" i="11"/>
  <c r="N717" i="11"/>
  <c r="V41" i="39" s="1"/>
  <c r="N672" i="11"/>
  <c r="V33" i="39" s="1"/>
  <c r="U147" i="5"/>
  <c r="R42" i="6"/>
  <c r="U35" i="36"/>
  <c r="U33" i="38"/>
  <c r="U112" i="38" s="1"/>
  <c r="U294" i="38" s="1"/>
  <c r="M534" i="11"/>
  <c r="M561" i="11" s="1"/>
  <c r="M538" i="11"/>
  <c r="M848" i="11"/>
  <c r="U41" i="36"/>
  <c r="N670" i="11"/>
  <c r="N847" i="11" s="1"/>
  <c r="R132" i="16"/>
  <c r="R134" i="16" s="1"/>
  <c r="R132" i="5"/>
  <c r="R134" i="5" s="1"/>
  <c r="R36" i="16"/>
  <c r="R47" i="16" s="1"/>
  <c r="F172" i="26"/>
  <c r="E147" i="26"/>
  <c r="T147" i="16"/>
  <c r="T112" i="16"/>
  <c r="T294" i="16" s="1"/>
  <c r="F168" i="26"/>
  <c r="F168" i="56"/>
  <c r="N713" i="11"/>
  <c r="N668" i="11"/>
  <c r="N687" i="11"/>
  <c r="V35" i="36" s="1"/>
  <c r="N651" i="11"/>
  <c r="N689" i="11"/>
  <c r="U147" i="38"/>
  <c r="U33" i="36"/>
  <c r="U112" i="36" s="1"/>
  <c r="U294" i="36" s="1"/>
  <c r="O522" i="11"/>
  <c r="N697" i="11"/>
  <c r="N706" i="11" s="1"/>
  <c r="V37" i="37" s="1"/>
  <c r="N567" i="11"/>
  <c r="N531" i="11"/>
  <c r="N540" i="11" s="1"/>
  <c r="V13" i="37"/>
  <c r="F170" i="53" s="1"/>
  <c r="M849" i="11"/>
  <c r="N681" i="11"/>
  <c r="V34" i="39" s="1"/>
  <c r="U34" i="16"/>
  <c r="U34" i="5"/>
  <c r="T147" i="34"/>
  <c r="M719" i="11"/>
  <c r="M673" i="11"/>
  <c r="M850" i="11" s="1"/>
  <c r="M556" i="11"/>
  <c r="U147" i="36"/>
  <c r="N735" i="11"/>
  <c r="N680" i="11"/>
  <c r="N662" i="11"/>
  <c r="V32" i="38" s="1"/>
  <c r="U147" i="39"/>
  <c r="U112" i="39"/>
  <c r="U294" i="39" s="1"/>
  <c r="O524" i="11"/>
  <c r="N699" i="11"/>
  <c r="N708" i="11" s="1"/>
  <c r="V37" i="39" s="1"/>
  <c r="V13" i="39"/>
  <c r="F170" i="55" s="1"/>
  <c r="N849" i="11"/>
  <c r="N569" i="11"/>
  <c r="N533" i="11"/>
  <c r="N542" i="11" s="1"/>
  <c r="J191" i="11"/>
  <c r="K187" i="11" s="1"/>
  <c r="K270" i="11"/>
  <c r="K275" i="11" s="1"/>
  <c r="S67" i="5" s="1"/>
  <c r="L269" i="11"/>
  <c r="R67" i="16"/>
  <c r="R72" i="16" s="1"/>
  <c r="R72" i="5"/>
  <c r="R67" i="5"/>
  <c r="R28" i="5" s="1"/>
  <c r="R89" i="35"/>
  <c r="R97" i="35" s="1"/>
  <c r="R89" i="38"/>
  <c r="R97" i="38" s="1"/>
  <c r="R89" i="37"/>
  <c r="R97" i="37" s="1"/>
  <c r="R127" i="36"/>
  <c r="R127" i="35"/>
  <c r="J877" i="11"/>
  <c r="R127" i="34"/>
  <c r="R6" i="34" s="1"/>
  <c r="R127" i="37"/>
  <c r="R89" i="39"/>
  <c r="R127" i="5"/>
  <c r="R130" i="5" s="1"/>
  <c r="R89" i="16"/>
  <c r="R97" i="16" s="1"/>
  <c r="R89" i="36"/>
  <c r="R97" i="36" s="1"/>
  <c r="R89" i="34"/>
  <c r="R97" i="34" s="1"/>
  <c r="R127" i="16"/>
  <c r="R127" i="39"/>
  <c r="R127" i="38"/>
  <c r="R8" i="16"/>
  <c r="J8" i="11" s="1"/>
  <c r="O215" i="11"/>
  <c r="O326" i="11" s="1"/>
  <c r="K320" i="11"/>
  <c r="L315" i="11" s="1"/>
  <c r="M218" i="11"/>
  <c r="M353" i="11" s="1"/>
  <c r="K263" i="11"/>
  <c r="K352" i="11" s="1"/>
  <c r="K863" i="11"/>
  <c r="K899" i="11"/>
  <c r="R36" i="11"/>
  <c r="R54" i="11"/>
  <c r="S45" i="11"/>
  <c r="R48" i="38"/>
  <c r="AG138" i="54" s="1"/>
  <c r="R110" i="38"/>
  <c r="R244" i="38" s="1"/>
  <c r="R173" i="38"/>
  <c r="S37" i="11"/>
  <c r="S55" i="11"/>
  <c r="T46" i="11"/>
  <c r="L251" i="11"/>
  <c r="L154" i="11"/>
  <c r="T148" i="39"/>
  <c r="T145" i="39"/>
  <c r="Q51" i="38"/>
  <c r="Q118" i="38"/>
  <c r="Q388" i="38" s="1"/>
  <c r="Q114" i="38"/>
  <c r="Q113" i="38"/>
  <c r="Q317" i="38" s="1"/>
  <c r="Q171" i="38"/>
  <c r="Q73" i="38"/>
  <c r="Q62" i="5"/>
  <c r="Q8" i="5"/>
  <c r="T23" i="34"/>
  <c r="T23" i="5"/>
  <c r="Q197" i="11"/>
  <c r="Q62" i="11"/>
  <c r="Q136" i="11"/>
  <c r="L362" i="11"/>
  <c r="L380" i="11" s="1"/>
  <c r="L874" i="11"/>
  <c r="Q199" i="11"/>
  <c r="Q64" i="11"/>
  <c r="Q138" i="11"/>
  <c r="T90" i="39"/>
  <c r="F223" i="54"/>
  <c r="K380" i="11"/>
  <c r="Q113" i="36"/>
  <c r="Q317" i="36" s="1"/>
  <c r="Q73" i="36"/>
  <c r="Q114" i="36"/>
  <c r="Q118" i="36"/>
  <c r="Q388" i="36" s="1"/>
  <c r="Q171" i="36"/>
  <c r="Q51" i="36"/>
  <c r="Q63" i="34"/>
  <c r="J612" i="11"/>
  <c r="J603" i="11"/>
  <c r="J597" i="11"/>
  <c r="J615" i="11" s="1"/>
  <c r="U145" i="37"/>
  <c r="U148" i="37"/>
  <c r="AF141" i="56"/>
  <c r="AF141" i="52"/>
  <c r="Q110" i="5"/>
  <c r="Q244" i="5" s="1"/>
  <c r="AF141" i="26"/>
  <c r="Q48" i="5"/>
  <c r="AF141" i="50"/>
  <c r="Q173" i="5"/>
  <c r="AF141" i="54"/>
  <c r="AF141" i="53"/>
  <c r="AF141" i="51"/>
  <c r="AF141" i="55"/>
  <c r="R62" i="36"/>
  <c r="R64" i="36" s="1"/>
  <c r="R8" i="36"/>
  <c r="S47" i="38"/>
  <c r="AH137" i="54" s="1"/>
  <c r="L129" i="11"/>
  <c r="J613" i="11"/>
  <c r="J604" i="11"/>
  <c r="O181" i="11"/>
  <c r="R24" i="34"/>
  <c r="R63" i="34" s="1"/>
  <c r="R91" i="34"/>
  <c r="R92" i="34" s="1"/>
  <c r="R28" i="34"/>
  <c r="AG136" i="50" s="1"/>
  <c r="R62" i="35"/>
  <c r="R64" i="35" s="1"/>
  <c r="R8" i="35"/>
  <c r="U100" i="11"/>
  <c r="U101" i="11"/>
  <c r="U99" i="11"/>
  <c r="U98" i="11"/>
  <c r="U97" i="11"/>
  <c r="V96" i="11"/>
  <c r="N307" i="11"/>
  <c r="S72" i="36"/>
  <c r="S115" i="36"/>
  <c r="S340" i="36" s="1"/>
  <c r="S53" i="36"/>
  <c r="E177" i="52" s="1"/>
  <c r="L434" i="11"/>
  <c r="L775" i="11" s="1"/>
  <c r="T19" i="37"/>
  <c r="Q62" i="34"/>
  <c r="Q8" i="34"/>
  <c r="T129" i="39"/>
  <c r="T25" i="39"/>
  <c r="T105" i="39" s="1"/>
  <c r="T220" i="39" s="1"/>
  <c r="R173" i="37"/>
  <c r="R48" i="37"/>
  <c r="AG138" i="53" s="1"/>
  <c r="R110" i="37"/>
  <c r="R244" i="37" s="1"/>
  <c r="T145" i="16"/>
  <c r="T148" i="16"/>
  <c r="T90" i="38"/>
  <c r="T99" i="11"/>
  <c r="T100" i="11"/>
  <c r="T101" i="11"/>
  <c r="T98" i="11"/>
  <c r="T97" i="11"/>
  <c r="K593" i="11"/>
  <c r="Q64" i="36"/>
  <c r="R24" i="5"/>
  <c r="R63" i="5" s="1"/>
  <c r="M172" i="11"/>
  <c r="F237" i="56"/>
  <c r="F181" i="56"/>
  <c r="F182" i="56" s="1"/>
  <c r="O486" i="11"/>
  <c r="O487" i="11" s="1"/>
  <c r="O495" i="11"/>
  <c r="O496" i="11" s="1"/>
  <c r="O200" i="11"/>
  <c r="E138" i="47"/>
  <c r="E139" i="47" s="1"/>
  <c r="E138" i="48"/>
  <c r="E139" i="48" s="1"/>
  <c r="E138" i="46"/>
  <c r="E139" i="46" s="1"/>
  <c r="E138" i="44"/>
  <c r="E139" i="44" s="1"/>
  <c r="F181" i="50"/>
  <c r="F182" i="50" s="1"/>
  <c r="E138" i="45"/>
  <c r="F237" i="50"/>
  <c r="E147" i="50"/>
  <c r="S24" i="39"/>
  <c r="S63" i="39" s="1"/>
  <c r="S91" i="39"/>
  <c r="S92" i="39" s="1"/>
  <c r="R81" i="34"/>
  <c r="R82" i="34" s="1"/>
  <c r="R20" i="34"/>
  <c r="L423" i="11"/>
  <c r="L134" i="11"/>
  <c r="L143" i="11" s="1"/>
  <c r="L410" i="11"/>
  <c r="S105" i="39"/>
  <c r="S220" i="39" s="1"/>
  <c r="T129" i="34"/>
  <c r="L424" i="11"/>
  <c r="L135" i="11"/>
  <c r="L144" i="11" s="1"/>
  <c r="R35" i="11"/>
  <c r="R53" i="11"/>
  <c r="S44" i="11"/>
  <c r="Q113" i="35"/>
  <c r="Q317" i="35" s="1"/>
  <c r="Q51" i="35"/>
  <c r="Q73" i="35"/>
  <c r="Q114" i="35"/>
  <c r="Q171" i="35"/>
  <c r="Q118" i="35"/>
  <c r="Q388" i="35" s="1"/>
  <c r="T91" i="36"/>
  <c r="T92" i="36" s="1"/>
  <c r="T24" i="36"/>
  <c r="T63" i="36" s="1"/>
  <c r="N262" i="11"/>
  <c r="N343" i="11" s="1"/>
  <c r="O208" i="11"/>
  <c r="S47" i="39"/>
  <c r="AH137" i="55" s="1"/>
  <c r="T41" i="34"/>
  <c r="T41" i="5"/>
  <c r="P204" i="11"/>
  <c r="O258" i="11"/>
  <c r="O213" i="11"/>
  <c r="L838" i="11"/>
  <c r="T46" i="37"/>
  <c r="T133" i="37"/>
  <c r="L892" i="11"/>
  <c r="F238" i="54"/>
  <c r="T145" i="38"/>
  <c r="T148" i="38"/>
  <c r="F123" i="44"/>
  <c r="R64" i="37"/>
  <c r="T25" i="38"/>
  <c r="T105" i="38" s="1"/>
  <c r="T220" i="38" s="1"/>
  <c r="T129" i="38"/>
  <c r="T129" i="16"/>
  <c r="T129" i="5"/>
  <c r="T25" i="16"/>
  <c r="T105" i="16" s="1"/>
  <c r="T220" i="16" s="1"/>
  <c r="R105" i="34"/>
  <c r="R220" i="34" s="1"/>
  <c r="F172" i="50"/>
  <c r="S128" i="34"/>
  <c r="S21" i="5"/>
  <c r="S20" i="5" s="1"/>
  <c r="S21" i="34"/>
  <c r="K334" i="11"/>
  <c r="K338" i="11" s="1"/>
  <c r="L333" i="11" s="1"/>
  <c r="I809" i="11"/>
  <c r="Q84" i="35"/>
  <c r="I881" i="11"/>
  <c r="Q9" i="35"/>
  <c r="K513" i="11"/>
  <c r="K759" i="11" s="1"/>
  <c r="S36" i="35"/>
  <c r="S47" i="35" s="1"/>
  <c r="AH137" i="51" s="1"/>
  <c r="S132" i="35"/>
  <c r="S134" i="35" s="1"/>
  <c r="P198" i="11"/>
  <c r="P234" i="11" s="1"/>
  <c r="P336" i="11" s="1"/>
  <c r="P63" i="11"/>
  <c r="S20" i="36"/>
  <c r="S81" i="36"/>
  <c r="S82" i="36" s="1"/>
  <c r="K866" i="11"/>
  <c r="K902" i="11"/>
  <c r="L427" i="11"/>
  <c r="L138" i="11"/>
  <c r="L147" i="11" s="1"/>
  <c r="Q63" i="5"/>
  <c r="S91" i="36"/>
  <c r="S92" i="36" s="1"/>
  <c r="S24" i="36"/>
  <c r="S28" i="36"/>
  <c r="S105" i="36"/>
  <c r="S220" i="36" s="1"/>
  <c r="L499" i="11"/>
  <c r="L459" i="11"/>
  <c r="S24" i="16"/>
  <c r="S91" i="16"/>
  <c r="S92" i="16" s="1"/>
  <c r="L500" i="11"/>
  <c r="L509" i="11" s="1"/>
  <c r="K189" i="11"/>
  <c r="S127" i="35" s="1"/>
  <c r="S79" i="34"/>
  <c r="AL79" i="34" s="1"/>
  <c r="S79" i="16"/>
  <c r="AL79" i="16" s="1"/>
  <c r="S79" i="39"/>
  <c r="AL79" i="39" s="1"/>
  <c r="S79" i="36"/>
  <c r="AL79" i="36" s="1"/>
  <c r="S79" i="38"/>
  <c r="AL79" i="38" s="1"/>
  <c r="S79" i="37"/>
  <c r="AL79" i="37" s="1"/>
  <c r="S79" i="35"/>
  <c r="AL79" i="35" s="1"/>
  <c r="AF138" i="56"/>
  <c r="AF139" i="56" s="1"/>
  <c r="Q114" i="16"/>
  <c r="AF139" i="53"/>
  <c r="Q118" i="16"/>
  <c r="Q388" i="16" s="1"/>
  <c r="AF139" i="55"/>
  <c r="Q113" i="16"/>
  <c r="Q317" i="16" s="1"/>
  <c r="AF139" i="51"/>
  <c r="Q51" i="16"/>
  <c r="AF138" i="26"/>
  <c r="AF139" i="26" s="1"/>
  <c r="Q73" i="16"/>
  <c r="AF139" i="54"/>
  <c r="Q171" i="16"/>
  <c r="AF139" i="52"/>
  <c r="F238" i="52"/>
  <c r="L839" i="11"/>
  <c r="T46" i="38"/>
  <c r="T133" i="38"/>
  <c r="L893" i="11"/>
  <c r="I811" i="11"/>
  <c r="Q84" i="37"/>
  <c r="I883" i="11"/>
  <c r="Q9" i="37"/>
  <c r="S81" i="39"/>
  <c r="S82" i="39" s="1"/>
  <c r="S20" i="39"/>
  <c r="L118" i="11"/>
  <c r="L173" i="11" s="1"/>
  <c r="G222" i="50"/>
  <c r="R8" i="37"/>
  <c r="L586" i="11"/>
  <c r="Q36" i="11"/>
  <c r="Q54" i="11"/>
  <c r="T91" i="35"/>
  <c r="T92" i="35" s="1"/>
  <c r="T24" i="35"/>
  <c r="T63" i="35" s="1"/>
  <c r="N308" i="11"/>
  <c r="N218" i="11"/>
  <c r="N353" i="11" s="1"/>
  <c r="T90" i="16"/>
  <c r="Q118" i="39"/>
  <c r="Q388" i="39" s="1"/>
  <c r="Q114" i="39"/>
  <c r="Q73" i="39"/>
  <c r="Q51" i="39"/>
  <c r="Q113" i="39"/>
  <c r="Q317" i="39" s="1"/>
  <c r="Q171" i="39"/>
  <c r="N474" i="11"/>
  <c r="N465" i="11"/>
  <c r="N456" i="11"/>
  <c r="N407" i="11"/>
  <c r="N117" i="11"/>
  <c r="N126" i="11"/>
  <c r="O126" i="11" s="1"/>
  <c r="V12" i="37"/>
  <c r="K864" i="11"/>
  <c r="K900" i="11"/>
  <c r="J383" i="11"/>
  <c r="J385" i="11" s="1"/>
  <c r="K596" i="11"/>
  <c r="L503" i="11"/>
  <c r="L512" i="11" s="1"/>
  <c r="M501" i="11"/>
  <c r="M510" i="11" s="1"/>
  <c r="R47" i="35"/>
  <c r="AG137" i="51" s="1"/>
  <c r="T24" i="37"/>
  <c r="T91" i="37"/>
  <c r="T92" i="37" s="1"/>
  <c r="R62" i="5"/>
  <c r="M405" i="11"/>
  <c r="M134" i="11" s="1"/>
  <c r="M124" i="11"/>
  <c r="M115" i="11"/>
  <c r="N78" i="11"/>
  <c r="L468" i="11"/>
  <c r="L398" i="11"/>
  <c r="T94" i="37" s="1"/>
  <c r="K378" i="11"/>
  <c r="K365" i="11"/>
  <c r="P206" i="11"/>
  <c r="P215" i="11" s="1"/>
  <c r="P326" i="11" s="1"/>
  <c r="O260" i="11"/>
  <c r="O325" i="11" s="1"/>
  <c r="M263" i="11"/>
  <c r="M352" i="11" s="1"/>
  <c r="R64" i="39"/>
  <c r="K588" i="11"/>
  <c r="K592" i="11"/>
  <c r="S47" i="37"/>
  <c r="AH137" i="53" s="1"/>
  <c r="S47" i="36"/>
  <c r="AH137" i="52" s="1"/>
  <c r="Q34" i="11"/>
  <c r="Q52" i="11"/>
  <c r="Q47" i="11"/>
  <c r="Q41" i="11"/>
  <c r="R43" i="11"/>
  <c r="F123" i="48"/>
  <c r="G222" i="56"/>
  <c r="R132" i="34"/>
  <c r="R134" i="34" s="1"/>
  <c r="R36" i="5"/>
  <c r="R36" i="34"/>
  <c r="J832" i="11"/>
  <c r="S20" i="38"/>
  <c r="S81" i="38"/>
  <c r="S82" i="38" s="1"/>
  <c r="F172" i="56"/>
  <c r="M473" i="11"/>
  <c r="Q49" i="6"/>
  <c r="O205" i="11"/>
  <c r="N259" i="11"/>
  <c r="N316" i="11" s="1"/>
  <c r="F238" i="53"/>
  <c r="M334" i="11"/>
  <c r="S134" i="38"/>
  <c r="M434" i="11"/>
  <c r="U19" i="37"/>
  <c r="I623" i="11"/>
  <c r="J614" i="11"/>
  <c r="K381" i="11"/>
  <c r="Q64" i="35"/>
  <c r="R104" i="34"/>
  <c r="R196" i="34" s="1"/>
  <c r="K841" i="11"/>
  <c r="S46" i="34"/>
  <c r="S133" i="34"/>
  <c r="K895" i="11"/>
  <c r="M87" i="11"/>
  <c r="J759" i="11"/>
  <c r="R104" i="5"/>
  <c r="R196" i="5" s="1"/>
  <c r="L111" i="11"/>
  <c r="F223" i="26" s="1"/>
  <c r="F223" i="51"/>
  <c r="L477" i="11"/>
  <c r="R110" i="39"/>
  <c r="R244" i="39" s="1"/>
  <c r="R173" i="39"/>
  <c r="R48" i="39"/>
  <c r="AG138" i="55" s="1"/>
  <c r="S20" i="37"/>
  <c r="S81" i="37"/>
  <c r="S82" i="37" s="1"/>
  <c r="Q113" i="37"/>
  <c r="Q317" i="37" s="1"/>
  <c r="Q171" i="37"/>
  <c r="Q114" i="37"/>
  <c r="Q73" i="37"/>
  <c r="Q51" i="37"/>
  <c r="Q118" i="37"/>
  <c r="Q388" i="37" s="1"/>
  <c r="K827" i="11"/>
  <c r="K282" i="11"/>
  <c r="S67" i="38" s="1"/>
  <c r="I812" i="11"/>
  <c r="Q84" i="38"/>
  <c r="I884" i="11"/>
  <c r="Q9" i="38"/>
  <c r="R64" i="16"/>
  <c r="R8" i="39"/>
  <c r="R172" i="36"/>
  <c r="R111" i="36"/>
  <c r="R270" i="36" s="1"/>
  <c r="R117" i="36"/>
  <c r="R364" i="36" s="1"/>
  <c r="F123" i="47"/>
  <c r="T33" i="11"/>
  <c r="T51" i="11"/>
  <c r="U42" i="11"/>
  <c r="R64" i="38"/>
  <c r="Q93" i="34"/>
  <c r="R86" i="34" s="1"/>
  <c r="F223" i="55"/>
  <c r="Q110" i="34"/>
  <c r="Q244" i="34" s="1"/>
  <c r="Q173" i="34"/>
  <c r="Q48" i="34"/>
  <c r="AF138" i="50" s="1"/>
  <c r="AF139" i="50" s="1"/>
  <c r="I810" i="11"/>
  <c r="Q84" i="36"/>
  <c r="I882" i="11"/>
  <c r="Q9" i="36"/>
  <c r="S20" i="16"/>
  <c r="S81" i="16"/>
  <c r="S82" i="16" s="1"/>
  <c r="O207" i="11"/>
  <c r="N261" i="11"/>
  <c r="R72" i="36"/>
  <c r="R53" i="36"/>
  <c r="R115" i="36"/>
  <c r="R340" i="36" s="1"/>
  <c r="R28" i="36"/>
  <c r="AG136" i="52" s="1"/>
  <c r="J619" i="11"/>
  <c r="J628" i="11" s="1"/>
  <c r="F238" i="56"/>
  <c r="J620" i="11"/>
  <c r="J629" i="11" s="1"/>
  <c r="R115" i="34"/>
  <c r="R340" i="34" s="1"/>
  <c r="R53" i="34"/>
  <c r="R72" i="34"/>
  <c r="K384" i="11"/>
  <c r="K354" i="11"/>
  <c r="T148" i="35"/>
  <c r="T145" i="35"/>
  <c r="K865" i="11"/>
  <c r="K901" i="11"/>
  <c r="F223" i="52"/>
  <c r="M335" i="11"/>
  <c r="T33" i="34"/>
  <c r="T112" i="34" s="1"/>
  <c r="T294" i="34" s="1"/>
  <c r="T33" i="5"/>
  <c r="T112" i="5" s="1"/>
  <c r="T294" i="5" s="1"/>
  <c r="J269" i="11"/>
  <c r="J273" i="11" s="1"/>
  <c r="K268" i="11" s="1"/>
  <c r="J352" i="11"/>
  <c r="J356" i="11" s="1"/>
  <c r="K351" i="11" s="1"/>
  <c r="K283" i="11"/>
  <c r="S67" i="39" s="1"/>
  <c r="R53" i="16"/>
  <c r="L836" i="11"/>
  <c r="T133" i="35"/>
  <c r="T46" i="35"/>
  <c r="L890" i="11"/>
  <c r="Q111" i="34"/>
  <c r="Q270" i="34" s="1"/>
  <c r="Q172" i="34"/>
  <c r="Q117" i="34"/>
  <c r="Q364" i="34" s="1"/>
  <c r="S91" i="35"/>
  <c r="S92" i="35" s="1"/>
  <c r="S24" i="35"/>
  <c r="S28" i="35"/>
  <c r="T36" i="37"/>
  <c r="T132" i="37"/>
  <c r="T134" i="37" s="1"/>
  <c r="P196" i="11"/>
  <c r="P232" i="11" s="1"/>
  <c r="P61" i="11"/>
  <c r="P56" i="11"/>
  <c r="P180" i="11" s="1"/>
  <c r="K877" i="11"/>
  <c r="S89" i="35"/>
  <c r="S89" i="36"/>
  <c r="S89" i="38"/>
  <c r="S127" i="5"/>
  <c r="S130" i="5" s="1"/>
  <c r="S89" i="37"/>
  <c r="S89" i="39"/>
  <c r="S89" i="34"/>
  <c r="S89" i="16"/>
  <c r="L426" i="11"/>
  <c r="L137" i="11"/>
  <c r="L146" i="11" s="1"/>
  <c r="F123" i="45"/>
  <c r="K382" i="11"/>
  <c r="R8" i="38"/>
  <c r="M81" i="11"/>
  <c r="M90" i="11" s="1"/>
  <c r="S115" i="35"/>
  <c r="S340" i="35" s="1"/>
  <c r="S72" i="35"/>
  <c r="S53" i="35"/>
  <c r="E177" i="51" s="1"/>
  <c r="L227" i="11"/>
  <c r="L102" i="11"/>
  <c r="L84" i="11"/>
  <c r="T100" i="39"/>
  <c r="T101" i="39" s="1"/>
  <c r="T100" i="38"/>
  <c r="T101" i="38" s="1"/>
  <c r="T100" i="37"/>
  <c r="T101" i="37" s="1"/>
  <c r="T100" i="36"/>
  <c r="T101" i="36" s="1"/>
  <c r="T12" i="34"/>
  <c r="T100" i="34"/>
  <c r="T101" i="34" s="1"/>
  <c r="T12" i="5"/>
  <c r="T100" i="35"/>
  <c r="T101" i="35" s="1"/>
  <c r="T100" i="16"/>
  <c r="T101" i="16" s="1"/>
  <c r="S91" i="38"/>
  <c r="S92" i="38" s="1"/>
  <c r="S24" i="38"/>
  <c r="T145" i="36"/>
  <c r="T148" i="36"/>
  <c r="M82" i="11"/>
  <c r="M91" i="11" s="1"/>
  <c r="L840" i="11"/>
  <c r="T133" i="39"/>
  <c r="T46" i="39"/>
  <c r="L894" i="11"/>
  <c r="S81" i="35"/>
  <c r="S82" i="35" s="1"/>
  <c r="S20" i="35"/>
  <c r="K281" i="11"/>
  <c r="S67" i="37" s="1"/>
  <c r="R115" i="35"/>
  <c r="R340" i="35" s="1"/>
  <c r="R53" i="35"/>
  <c r="E176" i="51" s="1"/>
  <c r="R72" i="35"/>
  <c r="R28" i="35"/>
  <c r="AG136" i="51" s="1"/>
  <c r="J311" i="11"/>
  <c r="K306" i="11" s="1"/>
  <c r="K311" i="11" s="1"/>
  <c r="L306" i="11" s="1"/>
  <c r="R115" i="38"/>
  <c r="R340" i="38" s="1"/>
  <c r="R72" i="38"/>
  <c r="R53" i="38"/>
  <c r="S129" i="34"/>
  <c r="S25" i="34"/>
  <c r="S105" i="34" s="1"/>
  <c r="S220" i="34" s="1"/>
  <c r="S25" i="5"/>
  <c r="R37" i="11"/>
  <c r="R55" i="11"/>
  <c r="K329" i="11"/>
  <c r="L324" i="11" s="1"/>
  <c r="S90" i="34"/>
  <c r="P32" i="11"/>
  <c r="P38" i="11"/>
  <c r="L502" i="11"/>
  <c r="L511" i="11" s="1"/>
  <c r="F123" i="46"/>
  <c r="S104" i="34"/>
  <c r="S196" i="34" s="1"/>
  <c r="S80" i="34"/>
  <c r="S195" i="11"/>
  <c r="S134" i="11"/>
  <c r="S60" i="11"/>
  <c r="O128" i="12" l="1"/>
  <c r="O136" i="12"/>
  <c r="O103" i="12"/>
  <c r="O111" i="12" s="1"/>
  <c r="O85" i="12"/>
  <c r="O94" i="12" s="1"/>
  <c r="O32" i="12"/>
  <c r="P24" i="12" s="1"/>
  <c r="O120" i="12"/>
  <c r="O151" i="12" s="1"/>
  <c r="O159" i="12" s="1"/>
  <c r="O144" i="12"/>
  <c r="S763" i="11"/>
  <c r="R768" i="11"/>
  <c r="Z138" i="35"/>
  <c r="Z71" i="35"/>
  <c r="Z71" i="16"/>
  <c r="Z138" i="5"/>
  <c r="Z138" i="16"/>
  <c r="M95" i="12"/>
  <c r="O83" i="12"/>
  <c r="O92" i="12" s="1"/>
  <c r="O118" i="12"/>
  <c r="O101" i="12"/>
  <c r="O109" i="12" s="1"/>
  <c r="O142" i="12"/>
  <c r="O134" i="12"/>
  <c r="O126" i="12"/>
  <c r="O30" i="12"/>
  <c r="P22" i="12"/>
  <c r="O39" i="12"/>
  <c r="N151" i="12"/>
  <c r="N159" i="12" s="1"/>
  <c r="V767" i="11"/>
  <c r="AC138" i="39"/>
  <c r="AC71" i="39"/>
  <c r="Y71" i="34"/>
  <c r="Y138" i="34"/>
  <c r="N21" i="12"/>
  <c r="N116" i="12"/>
  <c r="N132" i="12"/>
  <c r="N124" i="12"/>
  <c r="N99" i="12"/>
  <c r="N107" i="12" s="1"/>
  <c r="N140" i="12"/>
  <c r="N37" i="12"/>
  <c r="N28" i="12"/>
  <c r="N81" i="12"/>
  <c r="N90" i="12" s="1"/>
  <c r="M112" i="12"/>
  <c r="C142" i="11"/>
  <c r="B79" i="8"/>
  <c r="M148" i="12"/>
  <c r="M156" i="12" s="1"/>
  <c r="M160" i="12" s="1"/>
  <c r="M42" i="12"/>
  <c r="N23" i="12"/>
  <c r="M150" i="12"/>
  <c r="M158" i="12" s="1"/>
  <c r="N149" i="12"/>
  <c r="N157" i="12" s="1"/>
  <c r="M33" i="12"/>
  <c r="O713" i="11"/>
  <c r="R28" i="16"/>
  <c r="M454" i="11"/>
  <c r="M463" i="11"/>
  <c r="M472" i="11"/>
  <c r="P65" i="11"/>
  <c r="O89" i="11"/>
  <c r="P89" i="11" s="1"/>
  <c r="O117" i="11"/>
  <c r="O474" i="11"/>
  <c r="P474" i="11" s="1"/>
  <c r="N559" i="11"/>
  <c r="U133" i="36"/>
  <c r="O715" i="11"/>
  <c r="W41" i="37" s="1"/>
  <c r="L786" i="11"/>
  <c r="O663" i="11"/>
  <c r="M552" i="11"/>
  <c r="O734" i="11"/>
  <c r="W43" i="36" s="1"/>
  <c r="E142" i="52" s="1"/>
  <c r="M837" i="11"/>
  <c r="O465" i="11"/>
  <c r="M891" i="11"/>
  <c r="O407" i="11"/>
  <c r="O425" i="11" s="1"/>
  <c r="T25" i="34"/>
  <c r="T91" i="34" s="1"/>
  <c r="N739" i="11"/>
  <c r="N656" i="11"/>
  <c r="W12" i="37"/>
  <c r="W145" i="37" s="1"/>
  <c r="O456" i="11"/>
  <c r="N655" i="11"/>
  <c r="V31" i="5" s="1"/>
  <c r="N846" i="11"/>
  <c r="M893" i="11"/>
  <c r="N683" i="11"/>
  <c r="M839" i="11"/>
  <c r="N556" i="11"/>
  <c r="O354" i="11"/>
  <c r="O271" i="11"/>
  <c r="U12" i="36"/>
  <c r="U145" i="36" s="1"/>
  <c r="M116" i="11"/>
  <c r="N79" i="11"/>
  <c r="N88" i="11" s="1"/>
  <c r="M125" i="11"/>
  <c r="L120" i="11"/>
  <c r="M406" i="11"/>
  <c r="N744" i="11"/>
  <c r="N838" i="11" s="1"/>
  <c r="M455" i="11"/>
  <c r="M464" i="11"/>
  <c r="O681" i="11"/>
  <c r="W34" i="39" s="1"/>
  <c r="M362" i="11"/>
  <c r="M874" i="11"/>
  <c r="R8" i="5"/>
  <c r="R64" i="5"/>
  <c r="O654" i="11"/>
  <c r="W31" i="39" s="1"/>
  <c r="E138" i="55" s="1"/>
  <c r="O677" i="11"/>
  <c r="W34" i="35" s="1"/>
  <c r="U46" i="38"/>
  <c r="U31" i="5"/>
  <c r="N719" i="11"/>
  <c r="R87" i="16"/>
  <c r="R93" i="16" s="1"/>
  <c r="S86" i="16" s="1"/>
  <c r="S87" i="16" s="1"/>
  <c r="S93" i="16" s="1"/>
  <c r="T86" i="16" s="1"/>
  <c r="K832" i="11"/>
  <c r="O690" i="11"/>
  <c r="W35" i="39" s="1"/>
  <c r="N682" i="11"/>
  <c r="V34" i="34" s="1"/>
  <c r="N692" i="11"/>
  <c r="O659" i="11"/>
  <c r="W32" i="35" s="1"/>
  <c r="E139" i="51" s="1"/>
  <c r="O136" i="11"/>
  <c r="O145" i="11" s="1"/>
  <c r="O362" i="11" s="1"/>
  <c r="O670" i="11"/>
  <c r="W33" i="37" s="1"/>
  <c r="M135" i="11"/>
  <c r="L397" i="11"/>
  <c r="T94" i="36" s="1"/>
  <c r="N425" i="11"/>
  <c r="N434" i="11" s="1"/>
  <c r="N775" i="11" s="1"/>
  <c r="N136" i="11"/>
  <c r="N145" i="11" s="1"/>
  <c r="O688" i="11"/>
  <c r="W35" i="37" s="1"/>
  <c r="T37" i="34"/>
  <c r="T37" i="5"/>
  <c r="P318" i="11"/>
  <c r="P236" i="11"/>
  <c r="M251" i="11"/>
  <c r="M328" i="11" s="1"/>
  <c r="M281" i="11" s="1"/>
  <c r="U67" i="37" s="1"/>
  <c r="U53" i="37" s="1"/>
  <c r="E179" i="53" s="1"/>
  <c r="M371" i="11"/>
  <c r="O717" i="11"/>
  <c r="W41" i="39" s="1"/>
  <c r="N548" i="11"/>
  <c r="O733" i="11"/>
  <c r="M154" i="11"/>
  <c r="L372" i="11"/>
  <c r="L373" i="11"/>
  <c r="AH136" i="51"/>
  <c r="L396" i="11"/>
  <c r="M829" i="11"/>
  <c r="M709" i="11"/>
  <c r="U37" i="16"/>
  <c r="U37" i="35"/>
  <c r="L747" i="11"/>
  <c r="L370" i="11"/>
  <c r="AT21" i="34"/>
  <c r="AG4" i="50" s="1"/>
  <c r="E176" i="50"/>
  <c r="G176" i="50" s="1"/>
  <c r="K269" i="11"/>
  <c r="K273" i="11" s="1"/>
  <c r="L268" i="11" s="1"/>
  <c r="AT21" i="38"/>
  <c r="AG4" i="54" s="1"/>
  <c r="E176" i="54"/>
  <c r="G176" i="54" s="1"/>
  <c r="S28" i="38"/>
  <c r="S110" i="38" s="1"/>
  <c r="S244" i="38" s="1"/>
  <c r="AH136" i="52"/>
  <c r="R87" i="36"/>
  <c r="R93" i="36" s="1"/>
  <c r="S86" i="36" s="1"/>
  <c r="S87" i="36" s="1"/>
  <c r="S93" i="36" s="1"/>
  <c r="T86" i="36" s="1"/>
  <c r="AT21" i="36"/>
  <c r="AG4" i="52" s="1"/>
  <c r="E176" i="52"/>
  <c r="R115" i="16"/>
  <c r="R340" i="16" s="1"/>
  <c r="O672" i="11"/>
  <c r="W33" i="39" s="1"/>
  <c r="E140" i="55" s="1"/>
  <c r="O679" i="11"/>
  <c r="W34" i="37" s="1"/>
  <c r="O652" i="11"/>
  <c r="W31" i="37" s="1"/>
  <c r="E138" i="53" s="1"/>
  <c r="M775" i="11"/>
  <c r="M585" i="11"/>
  <c r="M594" i="11" s="1"/>
  <c r="M587" i="11"/>
  <c r="M596" i="11" s="1"/>
  <c r="M605" i="11" s="1"/>
  <c r="O661" i="11"/>
  <c r="W32" i="37" s="1"/>
  <c r="E139" i="53" s="1"/>
  <c r="N551" i="11"/>
  <c r="N558" i="11"/>
  <c r="P117" i="11"/>
  <c r="X12" i="37"/>
  <c r="M83" i="11"/>
  <c r="M84" i="11" s="1"/>
  <c r="R95" i="35"/>
  <c r="R96" i="35" s="1"/>
  <c r="R95" i="38"/>
  <c r="R96" i="38" s="1"/>
  <c r="F178" i="26"/>
  <c r="F182" i="26" s="1"/>
  <c r="L182" i="11"/>
  <c r="L183" i="11" s="1"/>
  <c r="M179" i="11" s="1"/>
  <c r="M183" i="11" s="1"/>
  <c r="P465" i="11"/>
  <c r="N270" i="11"/>
  <c r="Q80" i="11"/>
  <c r="N578" i="11"/>
  <c r="N785" i="11" s="1"/>
  <c r="V23" i="39"/>
  <c r="V31" i="16"/>
  <c r="W31" i="38"/>
  <c r="E138" i="54" s="1"/>
  <c r="W41" i="35"/>
  <c r="M143" i="11"/>
  <c r="M872" i="11" s="1"/>
  <c r="M398" i="11"/>
  <c r="U94" i="37" s="1"/>
  <c r="L829" i="11"/>
  <c r="P407" i="11"/>
  <c r="L400" i="11"/>
  <c r="T94" i="39" s="1"/>
  <c r="R87" i="35"/>
  <c r="R93" i="35" s="1"/>
  <c r="S86" i="35" s="1"/>
  <c r="S87" i="35" s="1"/>
  <c r="S93" i="35" s="1"/>
  <c r="T86" i="35" s="1"/>
  <c r="R95" i="37"/>
  <c r="R96" i="37" s="1"/>
  <c r="P524" i="11"/>
  <c r="O699" i="11"/>
  <c r="O708" i="11" s="1"/>
  <c r="W37" i="39" s="1"/>
  <c r="W13" i="39"/>
  <c r="F171" i="55" s="1"/>
  <c r="O569" i="11"/>
  <c r="O533" i="11"/>
  <c r="O542" i="11" s="1"/>
  <c r="V34" i="38"/>
  <c r="U33" i="16"/>
  <c r="U112" i="16" s="1"/>
  <c r="U294" i="16" s="1"/>
  <c r="U33" i="5"/>
  <c r="U112" i="5" s="1"/>
  <c r="U294" i="5" s="1"/>
  <c r="U33" i="34"/>
  <c r="U112" i="34" s="1"/>
  <c r="U294" i="34" s="1"/>
  <c r="P522" i="11"/>
  <c r="O567" i="11"/>
  <c r="O697" i="11"/>
  <c r="O706" i="11" s="1"/>
  <c r="W37" i="37" s="1"/>
  <c r="O531" i="11"/>
  <c r="O540" i="11" s="1"/>
  <c r="W13" i="37"/>
  <c r="F171" i="53" s="1"/>
  <c r="F169" i="56"/>
  <c r="U147" i="16"/>
  <c r="F169" i="26"/>
  <c r="U90" i="38"/>
  <c r="U46" i="39"/>
  <c r="M840" i="11"/>
  <c r="U133" i="39"/>
  <c r="M894" i="11"/>
  <c r="O736" i="11"/>
  <c r="O687" i="11"/>
  <c r="W35" i="36" s="1"/>
  <c r="N691" i="11"/>
  <c r="V35" i="35"/>
  <c r="N539" i="11"/>
  <c r="P523" i="11"/>
  <c r="P653" i="11" s="1"/>
  <c r="O698" i="11"/>
  <c r="O707" i="11" s="1"/>
  <c r="W37" i="38" s="1"/>
  <c r="O568" i="11"/>
  <c r="W13" i="38"/>
  <c r="F171" i="54" s="1"/>
  <c r="O532" i="11"/>
  <c r="R95" i="16"/>
  <c r="R96" i="16" s="1"/>
  <c r="V112" i="39"/>
  <c r="V294" i="39" s="1"/>
  <c r="V147" i="39"/>
  <c r="N549" i="11"/>
  <c r="V31" i="36"/>
  <c r="N743" i="11"/>
  <c r="V33" i="37"/>
  <c r="O662" i="11"/>
  <c r="W32" i="38" s="1"/>
  <c r="E139" i="54" s="1"/>
  <c r="O671" i="11"/>
  <c r="O660" i="11"/>
  <c r="N738" i="11"/>
  <c r="N534" i="11"/>
  <c r="N561" i="11" s="1"/>
  <c r="U35" i="16"/>
  <c r="U35" i="5"/>
  <c r="U35" i="34"/>
  <c r="V35" i="38"/>
  <c r="V34" i="16"/>
  <c r="V147" i="37"/>
  <c r="N550" i="11"/>
  <c r="N745" i="11"/>
  <c r="O735" i="11"/>
  <c r="W43" i="37" s="1"/>
  <c r="O737" i="11"/>
  <c r="O650" i="11"/>
  <c r="O686" i="11"/>
  <c r="U90" i="37"/>
  <c r="N664" i="11"/>
  <c r="U90" i="36"/>
  <c r="L175" i="11"/>
  <c r="S132" i="16"/>
  <c r="S134" i="16" s="1"/>
  <c r="S36" i="16"/>
  <c r="S47" i="16" s="1"/>
  <c r="S132" i="5"/>
  <c r="S134" i="5" s="1"/>
  <c r="S136" i="5" s="1"/>
  <c r="S140" i="5" s="1"/>
  <c r="R130" i="34"/>
  <c r="R136" i="34" s="1"/>
  <c r="R140" i="34" s="1"/>
  <c r="N560" i="11"/>
  <c r="O689" i="11"/>
  <c r="W35" i="38" s="1"/>
  <c r="N674" i="11"/>
  <c r="N746" i="11"/>
  <c r="U41" i="16"/>
  <c r="U41" i="5"/>
  <c r="U41" i="34"/>
  <c r="O651" i="11"/>
  <c r="V112" i="36"/>
  <c r="V294" i="36" s="1"/>
  <c r="V147" i="36"/>
  <c r="V147" i="35"/>
  <c r="U129" i="37"/>
  <c r="U25" i="37"/>
  <c r="U105" i="37" s="1"/>
  <c r="U220" i="37" s="1"/>
  <c r="N541" i="11"/>
  <c r="M584" i="11"/>
  <c r="U129" i="36"/>
  <c r="U25" i="36"/>
  <c r="U105" i="36" s="1"/>
  <c r="U220" i="36" s="1"/>
  <c r="M586" i="11"/>
  <c r="M595" i="11" s="1"/>
  <c r="U25" i="38"/>
  <c r="U129" i="38"/>
  <c r="S72" i="5"/>
  <c r="N673" i="11"/>
  <c r="N850" i="11" s="1"/>
  <c r="V33" i="35"/>
  <c r="V112" i="35" s="1"/>
  <c r="V294" i="35" s="1"/>
  <c r="U147" i="34"/>
  <c r="O678" i="11"/>
  <c r="O669" i="11"/>
  <c r="O846" i="11" s="1"/>
  <c r="O668" i="11"/>
  <c r="O845" i="11" s="1"/>
  <c r="L595" i="11"/>
  <c r="N704" i="11"/>
  <c r="N700" i="11"/>
  <c r="L588" i="11"/>
  <c r="T105" i="5"/>
  <c r="T220" i="5" s="1"/>
  <c r="P126" i="11"/>
  <c r="R87" i="37"/>
  <c r="R93" i="37" s="1"/>
  <c r="S86" i="37" s="1"/>
  <c r="S87" i="37" s="1"/>
  <c r="S93" i="37" s="1"/>
  <c r="T86" i="37" s="1"/>
  <c r="R136" i="5"/>
  <c r="R140" i="5" s="1"/>
  <c r="R95" i="34"/>
  <c r="R96" i="34" s="1"/>
  <c r="N718" i="11"/>
  <c r="V41" i="35"/>
  <c r="R172" i="16"/>
  <c r="AG137" i="26"/>
  <c r="R117" i="16"/>
  <c r="R364" i="16" s="1"/>
  <c r="AG137" i="56"/>
  <c r="R111" i="16"/>
  <c r="R270" i="16" s="1"/>
  <c r="U43" i="16"/>
  <c r="U43" i="34"/>
  <c r="U43" i="5"/>
  <c r="O716" i="11"/>
  <c r="O680" i="11"/>
  <c r="W34" i="38" s="1"/>
  <c r="S42" i="6"/>
  <c r="V147" i="5"/>
  <c r="O714" i="11"/>
  <c r="V13" i="16"/>
  <c r="V99" i="37"/>
  <c r="V99" i="34"/>
  <c r="V13" i="34"/>
  <c r="F170" i="50" s="1"/>
  <c r="V99" i="35"/>
  <c r="V99" i="16"/>
  <c r="V99" i="39"/>
  <c r="V13" i="5"/>
  <c r="V99" i="36"/>
  <c r="V99" i="38"/>
  <c r="U32" i="16"/>
  <c r="U32" i="34"/>
  <c r="U32" i="5"/>
  <c r="U90" i="39"/>
  <c r="M423" i="11"/>
  <c r="V43" i="37"/>
  <c r="V147" i="38"/>
  <c r="V112" i="38"/>
  <c r="V294" i="38" s="1"/>
  <c r="T47" i="37"/>
  <c r="T172" i="37" s="1"/>
  <c r="E139" i="45"/>
  <c r="W32" i="39"/>
  <c r="E139" i="55" s="1"/>
  <c r="M543" i="11"/>
  <c r="M574" i="11"/>
  <c r="M781" i="11" s="1"/>
  <c r="U23" i="35"/>
  <c r="N538" i="11"/>
  <c r="N576" i="11"/>
  <c r="N585" i="11" s="1"/>
  <c r="N594" i="11" s="1"/>
  <c r="V23" i="37"/>
  <c r="U46" i="37"/>
  <c r="U133" i="37"/>
  <c r="M838" i="11"/>
  <c r="M892" i="11"/>
  <c r="V34" i="37"/>
  <c r="F238" i="26"/>
  <c r="M836" i="11"/>
  <c r="U46" i="35"/>
  <c r="U133" i="35"/>
  <c r="M890" i="11"/>
  <c r="W43" i="35"/>
  <c r="E142" i="51" s="1"/>
  <c r="P521" i="11"/>
  <c r="O696" i="11"/>
  <c r="O705" i="11" s="1"/>
  <c r="W37" i="36" s="1"/>
  <c r="O566" i="11"/>
  <c r="O530" i="11"/>
  <c r="O557" i="11" s="1"/>
  <c r="W13" i="36"/>
  <c r="F171" i="52" s="1"/>
  <c r="N570" i="11"/>
  <c r="N845" i="11"/>
  <c r="P520" i="11"/>
  <c r="O529" i="11"/>
  <c r="O695" i="11"/>
  <c r="W13" i="35"/>
  <c r="F171" i="51" s="1"/>
  <c r="O565" i="11"/>
  <c r="O525" i="11"/>
  <c r="O749" i="11" s="1"/>
  <c r="M747" i="11"/>
  <c r="U25" i="39"/>
  <c r="U129" i="39"/>
  <c r="R95" i="36"/>
  <c r="R96" i="36" s="1"/>
  <c r="M269" i="11"/>
  <c r="R95" i="39"/>
  <c r="R96" i="39" s="1"/>
  <c r="R97" i="39"/>
  <c r="R87" i="39"/>
  <c r="R93" i="39" s="1"/>
  <c r="S86" i="39" s="1"/>
  <c r="S87" i="39" s="1"/>
  <c r="S93" i="39" s="1"/>
  <c r="T86" i="39" s="1"/>
  <c r="R130" i="38"/>
  <c r="R136" i="38" s="1"/>
  <c r="R140" i="38" s="1"/>
  <c r="R6" i="38"/>
  <c r="R6" i="37"/>
  <c r="R130" i="37"/>
  <c r="R136" i="37" s="1"/>
  <c r="R140" i="37" s="1"/>
  <c r="R6" i="39"/>
  <c r="R130" i="39"/>
  <c r="R136" i="39" s="1"/>
  <c r="R140" i="39" s="1"/>
  <c r="R115" i="5"/>
  <c r="R340" i="5" s="1"/>
  <c r="R53" i="5"/>
  <c r="R6" i="5"/>
  <c r="M270" i="11"/>
  <c r="R130" i="16"/>
  <c r="R136" i="16" s="1"/>
  <c r="R140" i="16" s="1"/>
  <c r="R6" i="16"/>
  <c r="J6" i="11" s="1"/>
  <c r="R87" i="38"/>
  <c r="R93" i="38" s="1"/>
  <c r="S86" i="38" s="1"/>
  <c r="S87" i="38" s="1"/>
  <c r="S93" i="38" s="1"/>
  <c r="T86" i="38" s="1"/>
  <c r="R6" i="35"/>
  <c r="R130" i="35"/>
  <c r="R136" i="35" s="1"/>
  <c r="R140" i="35" s="1"/>
  <c r="R130" i="36"/>
  <c r="R136" i="36" s="1"/>
  <c r="R140" i="36" s="1"/>
  <c r="R6" i="36"/>
  <c r="K356" i="11"/>
  <c r="L351" i="11" s="1"/>
  <c r="N263" i="11"/>
  <c r="N352" i="11" s="1"/>
  <c r="S127" i="34"/>
  <c r="S130" i="34" s="1"/>
  <c r="U100" i="39"/>
  <c r="U101" i="39" s="1"/>
  <c r="M209" i="11"/>
  <c r="R84" i="35"/>
  <c r="J881" i="11"/>
  <c r="R9" i="35"/>
  <c r="J809" i="11"/>
  <c r="R84" i="36"/>
  <c r="J882" i="11"/>
  <c r="R9" i="36"/>
  <c r="J810" i="11"/>
  <c r="S6" i="35"/>
  <c r="S130" i="35"/>
  <c r="S136" i="35" s="1"/>
  <c r="S140" i="35" s="1"/>
  <c r="S62" i="35"/>
  <c r="S8" i="35"/>
  <c r="U145" i="35"/>
  <c r="U148" i="35"/>
  <c r="S63" i="16"/>
  <c r="S63" i="38"/>
  <c r="S24" i="5"/>
  <c r="S63" i="5" s="1"/>
  <c r="S28" i="5"/>
  <c r="S28" i="37"/>
  <c r="S53" i="37"/>
  <c r="E177" i="53" s="1"/>
  <c r="S115" i="37"/>
  <c r="S340" i="37" s="1"/>
  <c r="S72" i="37"/>
  <c r="P486" i="11"/>
  <c r="P495" i="11"/>
  <c r="P200" i="11"/>
  <c r="S105" i="5"/>
  <c r="S220" i="5" s="1"/>
  <c r="U33" i="11"/>
  <c r="U51" i="11"/>
  <c r="V42" i="11"/>
  <c r="S115" i="38"/>
  <c r="S340" i="38" s="1"/>
  <c r="S72" i="38"/>
  <c r="S53" i="38"/>
  <c r="E177" i="54" s="1"/>
  <c r="U80" i="37"/>
  <c r="N463" i="11"/>
  <c r="N405" i="11"/>
  <c r="N134" i="11" s="1"/>
  <c r="N454" i="11"/>
  <c r="N472" i="11"/>
  <c r="N124" i="11"/>
  <c r="N115" i="11"/>
  <c r="V12" i="35"/>
  <c r="O78" i="11"/>
  <c r="T63" i="37"/>
  <c r="U36" i="37"/>
  <c r="U132" i="37"/>
  <c r="S62" i="5"/>
  <c r="T24" i="34"/>
  <c r="T63" i="34" s="1"/>
  <c r="R62" i="34"/>
  <c r="R64" i="34" s="1"/>
  <c r="R8" i="34"/>
  <c r="S104" i="5"/>
  <c r="S196" i="5" s="1"/>
  <c r="J606" i="11"/>
  <c r="Q54" i="36"/>
  <c r="AS20" i="36"/>
  <c r="AF3" i="52" s="1"/>
  <c r="Q7" i="36"/>
  <c r="R113" i="38"/>
  <c r="R317" i="38" s="1"/>
  <c r="R73" i="38"/>
  <c r="R114" i="38"/>
  <c r="R51" i="38"/>
  <c r="E166" i="54" s="1"/>
  <c r="R118" i="38"/>
  <c r="R388" i="38" s="1"/>
  <c r="R171" i="38"/>
  <c r="T134" i="11"/>
  <c r="T195" i="11"/>
  <c r="T60" i="11"/>
  <c r="N473" i="11"/>
  <c r="N116" i="11"/>
  <c r="V12" i="36"/>
  <c r="L872" i="11"/>
  <c r="L360" i="11"/>
  <c r="L148" i="11"/>
  <c r="F238" i="50"/>
  <c r="S111" i="35"/>
  <c r="S270" i="35" s="1"/>
  <c r="S172" i="35"/>
  <c r="S117" i="35"/>
  <c r="S364" i="35" s="1"/>
  <c r="R34" i="11"/>
  <c r="R52" i="11"/>
  <c r="R47" i="11"/>
  <c r="R41" i="11"/>
  <c r="S43" i="11"/>
  <c r="Q54" i="16"/>
  <c r="AS20" i="16"/>
  <c r="Q7" i="16"/>
  <c r="I7" i="11" s="1"/>
  <c r="K868" i="11"/>
  <c r="K904" i="11"/>
  <c r="T24" i="16"/>
  <c r="T63" i="16" s="1"/>
  <c r="T91" i="16"/>
  <c r="T92" i="16" s="1"/>
  <c r="R197" i="11"/>
  <c r="R62" i="11"/>
  <c r="R136" i="11"/>
  <c r="J622" i="11"/>
  <c r="K613" i="11"/>
  <c r="S172" i="38"/>
  <c r="S111" i="38"/>
  <c r="S270" i="38" s="1"/>
  <c r="S117" i="38"/>
  <c r="S364" i="38" s="1"/>
  <c r="Q64" i="5"/>
  <c r="L328" i="11"/>
  <c r="L329" i="11" s="1"/>
  <c r="M324" i="11" s="1"/>
  <c r="R110" i="35"/>
  <c r="R244" i="35" s="1"/>
  <c r="R173" i="35"/>
  <c r="R48" i="35"/>
  <c r="AG138" i="51" s="1"/>
  <c r="AG136" i="56"/>
  <c r="R48" i="16"/>
  <c r="R110" i="16"/>
  <c r="R244" i="16" s="1"/>
  <c r="AG136" i="26"/>
  <c r="R173" i="16"/>
  <c r="AT21" i="35"/>
  <c r="AG4" i="51" s="1"/>
  <c r="S127" i="38"/>
  <c r="S127" i="37"/>
  <c r="N334" i="11"/>
  <c r="S8" i="37"/>
  <c r="S62" i="37"/>
  <c r="G223" i="51"/>
  <c r="F227" i="51"/>
  <c r="G227" i="51" s="1"/>
  <c r="M92" i="11"/>
  <c r="N87" i="11"/>
  <c r="K284" i="11"/>
  <c r="S53" i="5"/>
  <c r="S58" i="5" s="1"/>
  <c r="S115" i="5"/>
  <c r="S340" i="5" s="1"/>
  <c r="S6" i="5"/>
  <c r="M170" i="11"/>
  <c r="V145" i="37"/>
  <c r="V148" i="37"/>
  <c r="L508" i="11"/>
  <c r="L504" i="11"/>
  <c r="L505" i="11" s="1"/>
  <c r="S110" i="36"/>
  <c r="S244" i="36" s="1"/>
  <c r="S173" i="36"/>
  <c r="S48" i="36"/>
  <c r="AH138" i="52" s="1"/>
  <c r="P181" i="11"/>
  <c r="T24" i="39"/>
  <c r="T91" i="39"/>
  <c r="T92" i="39" s="1"/>
  <c r="T80" i="37"/>
  <c r="V101" i="11"/>
  <c r="V97" i="11"/>
  <c r="V100" i="11"/>
  <c r="V98" i="11"/>
  <c r="V99" i="11"/>
  <c r="W96" i="11"/>
  <c r="G223" i="26"/>
  <c r="F227" i="26"/>
  <c r="G227" i="26" s="1"/>
  <c r="T37" i="11"/>
  <c r="T55" i="11"/>
  <c r="U46" i="11"/>
  <c r="S91" i="34"/>
  <c r="S92" i="34" s="1"/>
  <c r="S24" i="34"/>
  <c r="S63" i="34" s="1"/>
  <c r="S97" i="38"/>
  <c r="Q77" i="36"/>
  <c r="Q78" i="36"/>
  <c r="O259" i="11"/>
  <c r="O316" i="11" s="1"/>
  <c r="P205" i="11"/>
  <c r="P214" i="11" s="1"/>
  <c r="P317" i="11" s="1"/>
  <c r="AG141" i="56"/>
  <c r="AG141" i="50"/>
  <c r="R173" i="5"/>
  <c r="AG141" i="55"/>
  <c r="AG141" i="51"/>
  <c r="AG141" i="52"/>
  <c r="AG141" i="54"/>
  <c r="AG141" i="53"/>
  <c r="AG141" i="26"/>
  <c r="R73" i="37"/>
  <c r="R171" i="37"/>
  <c r="R114" i="37"/>
  <c r="R118" i="37"/>
  <c r="R388" i="37" s="1"/>
  <c r="R51" i="37"/>
  <c r="E166" i="53" s="1"/>
  <c r="R113" i="37"/>
  <c r="R317" i="37" s="1"/>
  <c r="M476" i="11"/>
  <c r="M467" i="11"/>
  <c r="M458" i="11"/>
  <c r="M409" i="11"/>
  <c r="M128" i="11"/>
  <c r="M119" i="11"/>
  <c r="U12" i="39"/>
  <c r="N82" i="11"/>
  <c r="N91" i="11" s="1"/>
  <c r="M475" i="11"/>
  <c r="M477" i="11" s="1"/>
  <c r="M478" i="11" s="1"/>
  <c r="M466" i="11"/>
  <c r="M457" i="11"/>
  <c r="M408" i="11"/>
  <c r="M127" i="11"/>
  <c r="M118" i="11"/>
  <c r="M120" i="11" s="1"/>
  <c r="U12" i="38"/>
  <c r="U12" i="16"/>
  <c r="N81" i="11"/>
  <c r="N90" i="11" s="1"/>
  <c r="S97" i="16"/>
  <c r="S97" i="36"/>
  <c r="U148" i="5"/>
  <c r="R33" i="6"/>
  <c r="R49" i="6" s="1"/>
  <c r="S97" i="34"/>
  <c r="S97" i="35"/>
  <c r="E176" i="56"/>
  <c r="G176" i="56" s="1"/>
  <c r="G176" i="55"/>
  <c r="AT21" i="16"/>
  <c r="G176" i="53"/>
  <c r="E176" i="26"/>
  <c r="G176" i="26" s="1"/>
  <c r="R48" i="36"/>
  <c r="AG138" i="52" s="1"/>
  <c r="R110" i="36"/>
  <c r="R244" i="36" s="1"/>
  <c r="R173" i="36"/>
  <c r="O261" i="11"/>
  <c r="P207" i="11"/>
  <c r="P216" i="11" s="1"/>
  <c r="P335" i="11" s="1"/>
  <c r="G223" i="55"/>
  <c r="F227" i="55"/>
  <c r="G227" i="55" s="1"/>
  <c r="Q78" i="38"/>
  <c r="Q77" i="38"/>
  <c r="R51" i="39"/>
  <c r="E166" i="55" s="1"/>
  <c r="R73" i="39"/>
  <c r="R171" i="39"/>
  <c r="R113" i="39"/>
  <c r="R317" i="39" s="1"/>
  <c r="R118" i="39"/>
  <c r="R388" i="39" s="1"/>
  <c r="R114" i="39"/>
  <c r="F223" i="56"/>
  <c r="L496" i="11"/>
  <c r="L478" i="11"/>
  <c r="L487" i="11"/>
  <c r="E124" i="44"/>
  <c r="E124" i="47"/>
  <c r="E124" i="48"/>
  <c r="E124" i="45"/>
  <c r="E124" i="46"/>
  <c r="F223" i="50"/>
  <c r="R47" i="34"/>
  <c r="L399" i="11"/>
  <c r="S63" i="36"/>
  <c r="S36" i="34"/>
  <c r="S132" i="34"/>
  <c r="S134" i="34" s="1"/>
  <c r="S36" i="5"/>
  <c r="S47" i="5" s="1"/>
  <c r="S111" i="39"/>
  <c r="S270" i="39" s="1"/>
  <c r="S172" i="39"/>
  <c r="S117" i="39"/>
  <c r="S364" i="39" s="1"/>
  <c r="K602" i="11"/>
  <c r="K611" i="11"/>
  <c r="L756" i="11"/>
  <c r="T21" i="37"/>
  <c r="T128" i="37"/>
  <c r="R173" i="34"/>
  <c r="G223" i="54"/>
  <c r="F227" i="54"/>
  <c r="G227" i="54" s="1"/>
  <c r="S199" i="11"/>
  <c r="S64" i="11"/>
  <c r="S138" i="11"/>
  <c r="J868" i="11"/>
  <c r="J904" i="11"/>
  <c r="S172" i="36"/>
  <c r="S111" i="36"/>
  <c r="S270" i="36" s="1"/>
  <c r="S117" i="36"/>
  <c r="S364" i="36" s="1"/>
  <c r="R172" i="35"/>
  <c r="R111" i="35"/>
  <c r="R270" i="35" s="1"/>
  <c r="R117" i="35"/>
  <c r="R364" i="35" s="1"/>
  <c r="T24" i="5"/>
  <c r="T63" i="5" s="1"/>
  <c r="L875" i="11"/>
  <c r="L363" i="11"/>
  <c r="S127" i="36"/>
  <c r="S127" i="16"/>
  <c r="S28" i="39"/>
  <c r="S115" i="39"/>
  <c r="S340" i="39" s="1"/>
  <c r="S53" i="39"/>
  <c r="E177" i="55" s="1"/>
  <c r="S72" i="39"/>
  <c r="Q51" i="34"/>
  <c r="Q73" i="34"/>
  <c r="Q171" i="34"/>
  <c r="Q118" i="34"/>
  <c r="Q388" i="34" s="1"/>
  <c r="Q113" i="34"/>
  <c r="Q317" i="34" s="1"/>
  <c r="Q114" i="34"/>
  <c r="L253" i="11"/>
  <c r="L156" i="11"/>
  <c r="AS20" i="37"/>
  <c r="AF3" i="53" s="1"/>
  <c r="Q7" i="37"/>
  <c r="Q54" i="37"/>
  <c r="L249" i="11"/>
  <c r="L152" i="11"/>
  <c r="R47" i="5"/>
  <c r="R110" i="5" s="1"/>
  <c r="R244" i="5" s="1"/>
  <c r="Q196" i="11"/>
  <c r="Q61" i="11"/>
  <c r="Q135" i="11"/>
  <c r="Q56" i="11"/>
  <c r="S172" i="37"/>
  <c r="S111" i="37"/>
  <c r="S270" i="37" s="1"/>
  <c r="S117" i="37"/>
  <c r="S364" i="37" s="1"/>
  <c r="M432" i="11"/>
  <c r="U19" i="35"/>
  <c r="T132" i="39"/>
  <c r="T134" i="39" s="1"/>
  <c r="T36" i="39"/>
  <c r="N172" i="11"/>
  <c r="N398" i="11" s="1"/>
  <c r="V94" i="37" s="1"/>
  <c r="AS20" i="39"/>
  <c r="AF3" i="55" s="1"/>
  <c r="Q54" i="39"/>
  <c r="Q7" i="39"/>
  <c r="S62" i="39"/>
  <c r="S8" i="39"/>
  <c r="T132" i="36"/>
  <c r="T134" i="36" s="1"/>
  <c r="T36" i="36"/>
  <c r="S62" i="36"/>
  <c r="S8" i="36"/>
  <c r="O308" i="11"/>
  <c r="O262" i="11"/>
  <c r="O343" i="11" s="1"/>
  <c r="P208" i="11"/>
  <c r="O217" i="11"/>
  <c r="O344" i="11" s="1"/>
  <c r="O216" i="11"/>
  <c r="O79" i="11"/>
  <c r="O88" i="11" s="1"/>
  <c r="AF143" i="56"/>
  <c r="Q142" i="5"/>
  <c r="AF143" i="54"/>
  <c r="AF144" i="54" s="1"/>
  <c r="Q142" i="16"/>
  <c r="AF143" i="53"/>
  <c r="AF144" i="53" s="1"/>
  <c r="Q142" i="36"/>
  <c r="Q142" i="35"/>
  <c r="Q142" i="39"/>
  <c r="Q171" i="5"/>
  <c r="AF143" i="55"/>
  <c r="AF144" i="55" s="1"/>
  <c r="AF143" i="26"/>
  <c r="AF144" i="26" s="1"/>
  <c r="Q142" i="38"/>
  <c r="Q114" i="5"/>
  <c r="AF143" i="51"/>
  <c r="AF144" i="51" s="1"/>
  <c r="Q118" i="5"/>
  <c r="Q388" i="5" s="1"/>
  <c r="Q73" i="5"/>
  <c r="Q142" i="37"/>
  <c r="Q51" i="5"/>
  <c r="AF143" i="52"/>
  <c r="AF144" i="52" s="1"/>
  <c r="Q142" i="34"/>
  <c r="Q113" i="5"/>
  <c r="Q317" i="5" s="1"/>
  <c r="AF143" i="50"/>
  <c r="AF144" i="50" s="1"/>
  <c r="L252" i="11"/>
  <c r="L155" i="11"/>
  <c r="T105" i="34"/>
  <c r="T220" i="34" s="1"/>
  <c r="T90" i="34"/>
  <c r="S36" i="11"/>
  <c r="S54" i="11"/>
  <c r="T45" i="11"/>
  <c r="M756" i="11"/>
  <c r="U21" i="37"/>
  <c r="U104" i="37" s="1"/>
  <c r="U196" i="37" s="1"/>
  <c r="U128" i="37"/>
  <c r="K610" i="11"/>
  <c r="K601" i="11"/>
  <c r="K597" i="11"/>
  <c r="K615" i="11" s="1"/>
  <c r="S35" i="11"/>
  <c r="S53" i="11"/>
  <c r="T44" i="11"/>
  <c r="J621" i="11"/>
  <c r="K612" i="11"/>
  <c r="Q54" i="38"/>
  <c r="Q7" i="38"/>
  <c r="AS20" i="38"/>
  <c r="AF3" i="54" s="1"/>
  <c r="T132" i="38"/>
  <c r="T134" i="38" s="1"/>
  <c r="T36" i="38"/>
  <c r="T47" i="38" s="1"/>
  <c r="R199" i="11"/>
  <c r="R138" i="11"/>
  <c r="R64" i="11"/>
  <c r="T148" i="34"/>
  <c r="T145" i="34"/>
  <c r="L435" i="11"/>
  <c r="T19" i="38"/>
  <c r="S97" i="39"/>
  <c r="S110" i="35"/>
  <c r="S244" i="35" s="1"/>
  <c r="S173" i="35"/>
  <c r="S48" i="35"/>
  <c r="AH138" i="51" s="1"/>
  <c r="G223" i="52"/>
  <c r="F227" i="52"/>
  <c r="G227" i="52" s="1"/>
  <c r="S8" i="16"/>
  <c r="K8" i="11" s="1"/>
  <c r="S62" i="16"/>
  <c r="R87" i="34"/>
  <c r="R93" i="34" s="1"/>
  <c r="S86" i="34" s="1"/>
  <c r="M171" i="11"/>
  <c r="L121" i="11"/>
  <c r="Q38" i="11"/>
  <c r="Q32" i="11"/>
  <c r="K383" i="11"/>
  <c r="K385" i="11" s="1"/>
  <c r="M499" i="11"/>
  <c r="Q78" i="37"/>
  <c r="Q77" i="37"/>
  <c r="L876" i="11"/>
  <c r="L364" i="11"/>
  <c r="T91" i="38"/>
  <c r="T92" i="38" s="1"/>
  <c r="T24" i="38"/>
  <c r="T63" i="38" s="1"/>
  <c r="O307" i="11"/>
  <c r="L361" i="11"/>
  <c r="L873" i="11"/>
  <c r="L139" i="11"/>
  <c r="L188" i="11" s="1"/>
  <c r="S58" i="36"/>
  <c r="AU21" i="36"/>
  <c r="AH4" i="52" s="1"/>
  <c r="X148" i="37"/>
  <c r="X145" i="37"/>
  <c r="R198" i="11"/>
  <c r="R63" i="11"/>
  <c r="R137" i="11"/>
  <c r="Q198" i="11"/>
  <c r="Q180" i="11"/>
  <c r="Q63" i="11"/>
  <c r="Q137" i="11"/>
  <c r="S58" i="35"/>
  <c r="AU21" i="35"/>
  <c r="AH4" i="51" s="1"/>
  <c r="S127" i="39"/>
  <c r="S97" i="37"/>
  <c r="S63" i="35"/>
  <c r="L153" i="11"/>
  <c r="L250" i="11"/>
  <c r="I632" i="11"/>
  <c r="J623" i="11" s="1"/>
  <c r="I624" i="11"/>
  <c r="S8" i="38"/>
  <c r="S62" i="38"/>
  <c r="Q206" i="11"/>
  <c r="Q215" i="11" s="1"/>
  <c r="Q326" i="11" s="1"/>
  <c r="P260" i="11"/>
  <c r="P325" i="11" s="1"/>
  <c r="K614" i="11"/>
  <c r="K605" i="11"/>
  <c r="N501" i="11"/>
  <c r="N510" i="11" s="1"/>
  <c r="O214" i="11"/>
  <c r="O317" i="11" s="1"/>
  <c r="L436" i="11"/>
  <c r="L777" i="11" s="1"/>
  <c r="T19" i="39"/>
  <c r="Q78" i="35"/>
  <c r="Q77" i="35"/>
  <c r="S81" i="34"/>
  <c r="S82" i="34" s="1"/>
  <c r="S20" i="34"/>
  <c r="Q204" i="11"/>
  <c r="P258" i="11"/>
  <c r="P213" i="11"/>
  <c r="AS20" i="35"/>
  <c r="AF3" i="51" s="1"/>
  <c r="Q54" i="35"/>
  <c r="Q7" i="35"/>
  <c r="L433" i="11"/>
  <c r="L774" i="11" s="1"/>
  <c r="T19" i="36"/>
  <c r="L428" i="11"/>
  <c r="T19" i="16" s="1"/>
  <c r="L432" i="11"/>
  <c r="T19" i="35"/>
  <c r="K191" i="11"/>
  <c r="Q64" i="34"/>
  <c r="P136" i="12" l="1"/>
  <c r="P103" i="12"/>
  <c r="P111" i="12" s="1"/>
  <c r="P85" i="12"/>
  <c r="P94" i="12" s="1"/>
  <c r="P144" i="12"/>
  <c r="P120" i="12"/>
  <c r="P32" i="12"/>
  <c r="Q24" i="12" s="1"/>
  <c r="P128" i="12"/>
  <c r="P41" i="12"/>
  <c r="O149" i="12"/>
  <c r="O157" i="12" s="1"/>
  <c r="N147" i="12"/>
  <c r="N155" i="12" s="1"/>
  <c r="Z71" i="34"/>
  <c r="Z138" i="34"/>
  <c r="N135" i="12"/>
  <c r="N127" i="12"/>
  <c r="N84" i="12"/>
  <c r="N93" i="12" s="1"/>
  <c r="N143" i="12"/>
  <c r="N102" i="12"/>
  <c r="N110" i="12" s="1"/>
  <c r="N31" i="12"/>
  <c r="N40" i="12" s="1"/>
  <c r="N119" i="12"/>
  <c r="C127" i="35"/>
  <c r="C127" i="37"/>
  <c r="C151" i="11"/>
  <c r="B80" i="8"/>
  <c r="O27" i="14"/>
  <c r="C127" i="34"/>
  <c r="C127" i="38"/>
  <c r="C127" i="5"/>
  <c r="C127" i="39"/>
  <c r="O21" i="14"/>
  <c r="C127" i="36"/>
  <c r="C127" i="16"/>
  <c r="O4" i="14"/>
  <c r="N25" i="12"/>
  <c r="N86" i="12" s="1"/>
  <c r="N112" i="12"/>
  <c r="N141" i="12"/>
  <c r="N117" i="12"/>
  <c r="N133" i="12"/>
  <c r="N125" i="12"/>
  <c r="N100" i="12"/>
  <c r="N108" i="12" s="1"/>
  <c r="N82" i="12"/>
  <c r="N91" i="12" s="1"/>
  <c r="N95" i="12" s="1"/>
  <c r="N38" i="12"/>
  <c r="O21" i="12"/>
  <c r="N29" i="12"/>
  <c r="N33" i="12" s="1"/>
  <c r="P118" i="12"/>
  <c r="P101" i="12"/>
  <c r="P109" i="12" s="1"/>
  <c r="P142" i="12"/>
  <c r="P134" i="12"/>
  <c r="P126" i="12"/>
  <c r="P83" i="12"/>
  <c r="P92" i="12" s="1"/>
  <c r="P30" i="12"/>
  <c r="Q22" i="12" s="1"/>
  <c r="T763" i="11"/>
  <c r="S768" i="11"/>
  <c r="AA71" i="35"/>
  <c r="AA138" i="35"/>
  <c r="AA138" i="16"/>
  <c r="AA138" i="5"/>
  <c r="AA71" i="16"/>
  <c r="O20" i="12"/>
  <c r="W767" i="11"/>
  <c r="AD138" i="39"/>
  <c r="AD71" i="39"/>
  <c r="O41" i="12"/>
  <c r="S8" i="5"/>
  <c r="W19" i="37"/>
  <c r="O434" i="11"/>
  <c r="O775" i="11" s="1"/>
  <c r="U134" i="37"/>
  <c r="P654" i="11"/>
  <c r="V31" i="34"/>
  <c r="U148" i="36"/>
  <c r="O849" i="11"/>
  <c r="T111" i="37"/>
  <c r="T270" i="37" s="1"/>
  <c r="O559" i="11"/>
  <c r="O551" i="11"/>
  <c r="O560" i="11"/>
  <c r="U72" i="37"/>
  <c r="U47" i="37"/>
  <c r="N125" i="11"/>
  <c r="O847" i="11"/>
  <c r="Q465" i="11"/>
  <c r="L374" i="11"/>
  <c r="M144" i="11"/>
  <c r="M873" i="11" s="1"/>
  <c r="Q83" i="35"/>
  <c r="R76" i="35" s="1"/>
  <c r="R78" i="35" s="1"/>
  <c r="P652" i="11"/>
  <c r="X31" i="37" s="1"/>
  <c r="O501" i="11"/>
  <c r="O510" i="11" s="1"/>
  <c r="W36" i="37" s="1"/>
  <c r="T92" i="34"/>
  <c r="N406" i="11"/>
  <c r="N424" i="11" s="1"/>
  <c r="N433" i="11" s="1"/>
  <c r="P456" i="11"/>
  <c r="P501" i="11" s="1"/>
  <c r="P510" i="11" s="1"/>
  <c r="X132" i="37" s="1"/>
  <c r="P737" i="11"/>
  <c r="X43" i="39" s="1"/>
  <c r="M424" i="11"/>
  <c r="W148" i="37"/>
  <c r="N892" i="11"/>
  <c r="M329" i="11"/>
  <c r="N324" i="11" s="1"/>
  <c r="U12" i="34"/>
  <c r="U148" i="34" s="1"/>
  <c r="N464" i="11"/>
  <c r="O464" i="11" s="1"/>
  <c r="P668" i="11"/>
  <c r="P650" i="11"/>
  <c r="M360" i="11"/>
  <c r="M468" i="11"/>
  <c r="U115" i="37"/>
  <c r="U340" i="37" s="1"/>
  <c r="O874" i="11"/>
  <c r="S48" i="38"/>
  <c r="AH138" i="54" s="1"/>
  <c r="S173" i="38"/>
  <c r="P735" i="11"/>
  <c r="X43" i="37" s="1"/>
  <c r="P678" i="11"/>
  <c r="X34" i="36" s="1"/>
  <c r="T133" i="5"/>
  <c r="T46" i="16"/>
  <c r="T133" i="16"/>
  <c r="P354" i="11"/>
  <c r="P271" i="11"/>
  <c r="P736" i="11"/>
  <c r="X43" i="38" s="1"/>
  <c r="P714" i="11"/>
  <c r="X41" i="36" s="1"/>
  <c r="O549" i="11"/>
  <c r="M500" i="11"/>
  <c r="M509" i="11" s="1"/>
  <c r="U132" i="36" s="1"/>
  <c r="U134" i="36" s="1"/>
  <c r="Q474" i="11"/>
  <c r="U12" i="5"/>
  <c r="M102" i="11"/>
  <c r="U100" i="34"/>
  <c r="U101" i="34" s="1"/>
  <c r="M227" i="11"/>
  <c r="V133" i="37"/>
  <c r="M459" i="11"/>
  <c r="Y12" i="37"/>
  <c r="Y148" i="37" s="1"/>
  <c r="U100" i="36"/>
  <c r="U101" i="36" s="1"/>
  <c r="V34" i="5"/>
  <c r="V46" i="37"/>
  <c r="Q126" i="11"/>
  <c r="Q145" i="11" s="1"/>
  <c r="Q362" i="11" s="1"/>
  <c r="Q380" i="11" s="1"/>
  <c r="U100" i="35"/>
  <c r="U101" i="35" s="1"/>
  <c r="R80" i="11"/>
  <c r="Q117" i="11"/>
  <c r="U100" i="37"/>
  <c r="U101" i="37" s="1"/>
  <c r="V19" i="37"/>
  <c r="V80" i="37" s="1"/>
  <c r="N455" i="11"/>
  <c r="Q407" i="11"/>
  <c r="Q425" i="11" s="1"/>
  <c r="Q434" i="11" s="1"/>
  <c r="Q775" i="11" s="1"/>
  <c r="U100" i="38"/>
  <c r="U101" i="38" s="1"/>
  <c r="Q89" i="11"/>
  <c r="P671" i="11"/>
  <c r="X33" i="38" s="1"/>
  <c r="U100" i="16"/>
  <c r="U101" i="16" s="1"/>
  <c r="L401" i="11"/>
  <c r="O664" i="11"/>
  <c r="W32" i="5" s="1"/>
  <c r="O172" i="11"/>
  <c r="O154" i="11" s="1"/>
  <c r="N552" i="11"/>
  <c r="P679" i="11"/>
  <c r="X34" i="37" s="1"/>
  <c r="T94" i="35"/>
  <c r="P733" i="11"/>
  <c r="X43" i="35" s="1"/>
  <c r="P715" i="11"/>
  <c r="X41" i="37" s="1"/>
  <c r="P670" i="11"/>
  <c r="X33" i="37" s="1"/>
  <c r="P688" i="11"/>
  <c r="X35" i="37" s="1"/>
  <c r="N362" i="11"/>
  <c r="N874" i="11"/>
  <c r="N251" i="11"/>
  <c r="N328" i="11" s="1"/>
  <c r="N281" i="11" s="1"/>
  <c r="V67" i="37" s="1"/>
  <c r="V72" i="37" s="1"/>
  <c r="N371" i="11"/>
  <c r="M250" i="11"/>
  <c r="M319" i="11" s="1"/>
  <c r="M280" i="11" s="1"/>
  <c r="U67" i="36" s="1"/>
  <c r="U115" i="36" s="1"/>
  <c r="U340" i="36" s="1"/>
  <c r="M370" i="11"/>
  <c r="N135" i="11"/>
  <c r="V112" i="37"/>
  <c r="V294" i="37" s="1"/>
  <c r="E140" i="53"/>
  <c r="P662" i="11"/>
  <c r="X32" i="38" s="1"/>
  <c r="U37" i="34"/>
  <c r="U37" i="5"/>
  <c r="M152" i="11"/>
  <c r="T117" i="37"/>
  <c r="T364" i="37" s="1"/>
  <c r="AI137" i="53"/>
  <c r="N709" i="11"/>
  <c r="V37" i="16"/>
  <c r="V37" i="35"/>
  <c r="O550" i="11"/>
  <c r="M380" i="11"/>
  <c r="S47" i="34"/>
  <c r="AH137" i="50" s="1"/>
  <c r="R110" i="34"/>
  <c r="R244" i="34" s="1"/>
  <c r="AG137" i="50"/>
  <c r="U117" i="37"/>
  <c r="U364" i="37" s="1"/>
  <c r="AJ137" i="53"/>
  <c r="N742" i="11"/>
  <c r="O371" i="11"/>
  <c r="O380" i="11" s="1"/>
  <c r="N154" i="11"/>
  <c r="T117" i="38"/>
  <c r="T364" i="38" s="1"/>
  <c r="AI137" i="54"/>
  <c r="M426" i="11"/>
  <c r="M435" i="11" s="1"/>
  <c r="M776" i="11" s="1"/>
  <c r="M137" i="11"/>
  <c r="M427" i="11"/>
  <c r="M436" i="11" s="1"/>
  <c r="M777" i="11" s="1"/>
  <c r="M138" i="11"/>
  <c r="M147" i="11" s="1"/>
  <c r="M249" i="11"/>
  <c r="M369" i="11"/>
  <c r="M378" i="11" s="1"/>
  <c r="P687" i="11"/>
  <c r="X35" i="36" s="1"/>
  <c r="P661" i="11"/>
  <c r="X32" i="37" s="1"/>
  <c r="P425" i="11"/>
  <c r="P136" i="11"/>
  <c r="P145" i="11" s="1"/>
  <c r="L895" i="11"/>
  <c r="L841" i="11"/>
  <c r="T133" i="34"/>
  <c r="T46" i="34"/>
  <c r="M153" i="11"/>
  <c r="R48" i="34"/>
  <c r="AG138" i="50" s="1"/>
  <c r="O738" i="11"/>
  <c r="E142" i="53"/>
  <c r="AH136" i="55"/>
  <c r="AH136" i="54"/>
  <c r="N269" i="11"/>
  <c r="AH136" i="53"/>
  <c r="O398" i="11"/>
  <c r="W94" i="37" s="1"/>
  <c r="P669" i="11"/>
  <c r="X33" i="36" s="1"/>
  <c r="P734" i="11"/>
  <c r="X43" i="36" s="1"/>
  <c r="O692" i="11"/>
  <c r="P660" i="11"/>
  <c r="X32" i="36" s="1"/>
  <c r="O848" i="11"/>
  <c r="O558" i="11"/>
  <c r="O744" i="11"/>
  <c r="P651" i="11"/>
  <c r="X31" i="36" s="1"/>
  <c r="P681" i="11"/>
  <c r="X34" i="39" s="1"/>
  <c r="S64" i="5"/>
  <c r="O578" i="11"/>
  <c r="O587" i="11" s="1"/>
  <c r="O596" i="11" s="1"/>
  <c r="W23" i="39"/>
  <c r="O576" i="11"/>
  <c r="O585" i="11" s="1"/>
  <c r="W23" i="37"/>
  <c r="X31" i="39"/>
  <c r="X33" i="35"/>
  <c r="O534" i="11"/>
  <c r="O561" i="11" s="1"/>
  <c r="Q520" i="11"/>
  <c r="Q668" i="11" s="1"/>
  <c r="P529" i="11"/>
  <c r="P845" i="11"/>
  <c r="P525" i="11"/>
  <c r="P695" i="11"/>
  <c r="X13" i="35"/>
  <c r="P565" i="11"/>
  <c r="V129" i="37"/>
  <c r="V25" i="37"/>
  <c r="V105" i="37" s="1"/>
  <c r="V220" i="37" s="1"/>
  <c r="U23" i="16"/>
  <c r="U23" i="5"/>
  <c r="U23" i="34"/>
  <c r="T42" i="6"/>
  <c r="W147" i="5"/>
  <c r="W32" i="36"/>
  <c r="E139" i="52" s="1"/>
  <c r="V46" i="36"/>
  <c r="V133" i="36"/>
  <c r="N837" i="11"/>
  <c r="N891" i="11"/>
  <c r="X31" i="38"/>
  <c r="Q523" i="11"/>
  <c r="Q653" i="11" s="1"/>
  <c r="P532" i="11"/>
  <c r="X13" i="38"/>
  <c r="P698" i="11"/>
  <c r="P707" i="11" s="1"/>
  <c r="X37" i="38" s="1"/>
  <c r="P568" i="11"/>
  <c r="P663" i="11"/>
  <c r="P690" i="11"/>
  <c r="O745" i="11"/>
  <c r="L189" i="11"/>
  <c r="M396" i="11"/>
  <c r="U94" i="35" s="1"/>
  <c r="W13" i="16"/>
  <c r="W99" i="36"/>
  <c r="W99" i="37"/>
  <c r="W99" i="34"/>
  <c r="W99" i="35"/>
  <c r="W99" i="39"/>
  <c r="W13" i="34"/>
  <c r="F171" i="50" s="1"/>
  <c r="W99" i="38"/>
  <c r="W99" i="16"/>
  <c r="W13" i="5"/>
  <c r="O548" i="11"/>
  <c r="N574" i="11"/>
  <c r="V23" i="35"/>
  <c r="N543" i="11"/>
  <c r="O538" i="11"/>
  <c r="M410" i="11"/>
  <c r="O682" i="11"/>
  <c r="W32" i="16"/>
  <c r="M593" i="11"/>
  <c r="W35" i="35"/>
  <c r="O691" i="11"/>
  <c r="M603" i="11"/>
  <c r="W147" i="38"/>
  <c r="N575" i="11"/>
  <c r="N782" i="11" s="1"/>
  <c r="V23" i="36"/>
  <c r="O539" i="11"/>
  <c r="W147" i="39"/>
  <c r="W112" i="39"/>
  <c r="W294" i="39" s="1"/>
  <c r="Q83" i="36"/>
  <c r="R76" i="36" s="1"/>
  <c r="R77" i="36" s="1"/>
  <c r="N423" i="11"/>
  <c r="N432" i="11" s="1"/>
  <c r="N773" i="11" s="1"/>
  <c r="U24" i="39"/>
  <c r="U63" i="39" s="1"/>
  <c r="U91" i="39"/>
  <c r="P677" i="11"/>
  <c r="O656" i="11"/>
  <c r="V147" i="34"/>
  <c r="O739" i="11"/>
  <c r="O673" i="11"/>
  <c r="O850" i="11" s="1"/>
  <c r="W33" i="35"/>
  <c r="E140" i="51" s="1"/>
  <c r="N577" i="11"/>
  <c r="N586" i="11" s="1"/>
  <c r="V23" i="38"/>
  <c r="O541" i="11"/>
  <c r="O655" i="11"/>
  <c r="W31" i="35"/>
  <c r="E138" i="51" s="1"/>
  <c r="W33" i="38"/>
  <c r="P717" i="11"/>
  <c r="M397" i="11"/>
  <c r="U94" i="36" s="1"/>
  <c r="O570" i="11"/>
  <c r="O547" i="11"/>
  <c r="Q521" i="11"/>
  <c r="Q735" i="11" s="1"/>
  <c r="P696" i="11"/>
  <c r="P705" i="11" s="1"/>
  <c r="X37" i="36" s="1"/>
  <c r="P566" i="11"/>
  <c r="P530" i="11"/>
  <c r="P557" i="11" s="1"/>
  <c r="X13" i="36"/>
  <c r="M583" i="11"/>
  <c r="O674" i="11"/>
  <c r="F170" i="56"/>
  <c r="V147" i="16"/>
  <c r="F170" i="26"/>
  <c r="W41" i="38"/>
  <c r="V41" i="16"/>
  <c r="V41" i="34"/>
  <c r="V41" i="5"/>
  <c r="L604" i="11"/>
  <c r="L597" i="11"/>
  <c r="L615" i="11" s="1"/>
  <c r="W33" i="36"/>
  <c r="E140" i="52" s="1"/>
  <c r="N840" i="11"/>
  <c r="V133" i="39"/>
  <c r="V46" i="39"/>
  <c r="N894" i="11"/>
  <c r="S111" i="16"/>
  <c r="S270" i="16" s="1"/>
  <c r="S172" i="16"/>
  <c r="AH137" i="56"/>
  <c r="AH137" i="26"/>
  <c r="S117" i="16"/>
  <c r="S364" i="16" s="1"/>
  <c r="P689" i="11"/>
  <c r="X35" i="38" s="1"/>
  <c r="Q522" i="11"/>
  <c r="P531" i="11"/>
  <c r="P847" i="11"/>
  <c r="X13" i="37"/>
  <c r="P567" i="11"/>
  <c r="P697" i="11"/>
  <c r="P706" i="11" s="1"/>
  <c r="X37" i="37" s="1"/>
  <c r="M508" i="11"/>
  <c r="M827" i="11" s="1"/>
  <c r="S136" i="34"/>
  <c r="S140" i="34" s="1"/>
  <c r="U46" i="16"/>
  <c r="U133" i="16"/>
  <c r="U133" i="5"/>
  <c r="M841" i="11"/>
  <c r="U46" i="34"/>
  <c r="U133" i="34"/>
  <c r="M895" i="11"/>
  <c r="P713" i="11"/>
  <c r="Q713" i="11" s="1"/>
  <c r="P659" i="11"/>
  <c r="U105" i="39"/>
  <c r="U220" i="39" s="1"/>
  <c r="O683" i="11"/>
  <c r="W41" i="36"/>
  <c r="W34" i="36"/>
  <c r="U24" i="38"/>
  <c r="U63" i="38" s="1"/>
  <c r="U91" i="38"/>
  <c r="U92" i="38" s="1"/>
  <c r="U24" i="37"/>
  <c r="U91" i="37"/>
  <c r="U92" i="37" s="1"/>
  <c r="V32" i="16"/>
  <c r="V32" i="5"/>
  <c r="V32" i="34"/>
  <c r="W43" i="39"/>
  <c r="E142" i="55" s="1"/>
  <c r="V35" i="16"/>
  <c r="V35" i="34"/>
  <c r="V35" i="5"/>
  <c r="Q524" i="11"/>
  <c r="Q654" i="11" s="1"/>
  <c r="P569" i="11"/>
  <c r="P533" i="11"/>
  <c r="P542" i="11" s="1"/>
  <c r="X13" i="39"/>
  <c r="P699" i="11"/>
  <c r="P708" i="11" s="1"/>
  <c r="X37" i="39" s="1"/>
  <c r="M129" i="11"/>
  <c r="W147" i="35"/>
  <c r="W43" i="16"/>
  <c r="N603" i="11"/>
  <c r="U92" i="39"/>
  <c r="V33" i="16"/>
  <c r="V112" i="16" s="1"/>
  <c r="V294" i="16" s="1"/>
  <c r="V33" i="5"/>
  <c r="V33" i="34"/>
  <c r="V112" i="34" s="1"/>
  <c r="V294" i="34" s="1"/>
  <c r="M604" i="11"/>
  <c r="U105" i="38"/>
  <c r="U220" i="38" s="1"/>
  <c r="W147" i="37"/>
  <c r="W112" i="37"/>
  <c r="W294" i="37" s="1"/>
  <c r="O718" i="11"/>
  <c r="V90" i="39"/>
  <c r="M773" i="11"/>
  <c r="P686" i="11"/>
  <c r="O556" i="11"/>
  <c r="W147" i="36"/>
  <c r="N783" i="11"/>
  <c r="U90" i="35"/>
  <c r="O665" i="11"/>
  <c r="O719" i="11"/>
  <c r="W31" i="36"/>
  <c r="E138" i="52" s="1"/>
  <c r="O743" i="11"/>
  <c r="W43" i="38"/>
  <c r="E142" i="54" s="1"/>
  <c r="P672" i="11"/>
  <c r="O746" i="11"/>
  <c r="N587" i="11"/>
  <c r="V129" i="39"/>
  <c r="V25" i="39"/>
  <c r="V105" i="39" s="1"/>
  <c r="V220" i="39" s="1"/>
  <c r="M865" i="11"/>
  <c r="M901" i="11"/>
  <c r="L865" i="11"/>
  <c r="L901" i="11"/>
  <c r="N143" i="11"/>
  <c r="N872" i="11" s="1"/>
  <c r="O704" i="11"/>
  <c r="O700" i="11"/>
  <c r="V90" i="37"/>
  <c r="M579" i="11"/>
  <c r="U25" i="35"/>
  <c r="U105" i="35" s="1"/>
  <c r="U220" i="35" s="1"/>
  <c r="U129" i="35"/>
  <c r="U91" i="36"/>
  <c r="U92" i="36" s="1"/>
  <c r="U24" i="36"/>
  <c r="V133" i="38"/>
  <c r="V46" i="38"/>
  <c r="N839" i="11"/>
  <c r="N893" i="11"/>
  <c r="V43" i="16"/>
  <c r="V43" i="34"/>
  <c r="V43" i="5"/>
  <c r="P716" i="11"/>
  <c r="X41" i="38" s="1"/>
  <c r="P680" i="11"/>
  <c r="X34" i="38" s="1"/>
  <c r="S6" i="34"/>
  <c r="O218" i="11"/>
  <c r="O353" i="11" s="1"/>
  <c r="E232" i="55"/>
  <c r="G232" i="55" s="1"/>
  <c r="M121" i="11"/>
  <c r="U81" i="37"/>
  <c r="U82" i="37" s="1"/>
  <c r="U20" i="37"/>
  <c r="U28" i="37"/>
  <c r="AJ136" i="53" s="1"/>
  <c r="S130" i="16"/>
  <c r="S136" i="16" s="1"/>
  <c r="S140" i="16" s="1"/>
  <c r="S6" i="16"/>
  <c r="K6" i="11" s="1"/>
  <c r="L828" i="11"/>
  <c r="S110" i="39"/>
  <c r="S244" i="39" s="1"/>
  <c r="S173" i="39"/>
  <c r="S48" i="39"/>
  <c r="AH138" i="55" s="1"/>
  <c r="AH142" i="56"/>
  <c r="AH142" i="55"/>
  <c r="AH142" i="54"/>
  <c r="AH142" i="53"/>
  <c r="S111" i="5"/>
  <c r="S270" i="5" s="1"/>
  <c r="AH142" i="50"/>
  <c r="S172" i="5"/>
  <c r="AH142" i="26"/>
  <c r="AH142" i="52"/>
  <c r="AH142" i="51"/>
  <c r="S117" i="5"/>
  <c r="S364" i="5" s="1"/>
  <c r="N475" i="11"/>
  <c r="N466" i="11"/>
  <c r="N457" i="11"/>
  <c r="N408" i="11"/>
  <c r="N127" i="11"/>
  <c r="N118" i="11"/>
  <c r="V12" i="38"/>
  <c r="O81" i="11"/>
  <c r="O90" i="11" s="1"/>
  <c r="V33" i="11"/>
  <c r="V51" i="11"/>
  <c r="W42" i="11"/>
  <c r="P308" i="11"/>
  <c r="S6" i="39"/>
  <c r="S130" i="39"/>
  <c r="S136" i="39" s="1"/>
  <c r="S140" i="39" s="1"/>
  <c r="N756" i="11"/>
  <c r="V128" i="37"/>
  <c r="V21" i="37"/>
  <c r="L612" i="11"/>
  <c r="M612" i="11" s="1"/>
  <c r="N612" i="11" s="1"/>
  <c r="S198" i="11"/>
  <c r="S63" i="11"/>
  <c r="S137" i="11"/>
  <c r="AW21" i="37"/>
  <c r="AJ4" i="53" s="1"/>
  <c r="U58" i="37"/>
  <c r="T47" i="36"/>
  <c r="Q54" i="34"/>
  <c r="Q7" i="34"/>
  <c r="AS20" i="34"/>
  <c r="AF3" i="50" s="1"/>
  <c r="S58" i="39"/>
  <c r="AU21" i="39"/>
  <c r="AH4" i="55" s="1"/>
  <c r="F124" i="44"/>
  <c r="E128" i="44"/>
  <c r="F128" i="44" s="1"/>
  <c r="Q207" i="11"/>
  <c r="P261" i="11"/>
  <c r="M502" i="11"/>
  <c r="M511" i="11" s="1"/>
  <c r="M503" i="11"/>
  <c r="M512" i="11" s="1"/>
  <c r="T63" i="39"/>
  <c r="S64" i="37"/>
  <c r="L281" i="11"/>
  <c r="T67" i="37" s="1"/>
  <c r="J631" i="11"/>
  <c r="K622" i="11" s="1"/>
  <c r="E232" i="54"/>
  <c r="G232" i="54" s="1"/>
  <c r="AF3" i="56"/>
  <c r="AF3" i="26"/>
  <c r="N171" i="11"/>
  <c r="N153" i="11" s="1"/>
  <c r="N170" i="11"/>
  <c r="W128" i="37"/>
  <c r="W21" i="37"/>
  <c r="S95" i="35"/>
  <c r="S96" i="35" s="1"/>
  <c r="L187" i="11"/>
  <c r="S95" i="36"/>
  <c r="S96" i="36" s="1"/>
  <c r="S95" i="39"/>
  <c r="S96" i="39" s="1"/>
  <c r="S95" i="38"/>
  <c r="S96" i="38" s="1"/>
  <c r="S95" i="37"/>
  <c r="S96" i="37" s="1"/>
  <c r="S95" i="16"/>
  <c r="S96" i="16" s="1"/>
  <c r="S95" i="34"/>
  <c r="S96" i="34" s="1"/>
  <c r="L319" i="11"/>
  <c r="O334" i="11"/>
  <c r="S67" i="16"/>
  <c r="S67" i="34"/>
  <c r="U111" i="37"/>
  <c r="U270" i="37" s="1"/>
  <c r="U172" i="37"/>
  <c r="S62" i="34"/>
  <c r="S8" i="34"/>
  <c r="L614" i="11"/>
  <c r="M614" i="11" s="1"/>
  <c r="S64" i="38"/>
  <c r="L379" i="11"/>
  <c r="Q83" i="37"/>
  <c r="R76" i="37" s="1"/>
  <c r="S197" i="11"/>
  <c r="S62" i="11"/>
  <c r="S136" i="11"/>
  <c r="G223" i="50"/>
  <c r="F227" i="50"/>
  <c r="G227" i="50" s="1"/>
  <c r="R7" i="39"/>
  <c r="AT20" i="39"/>
  <c r="AG3" i="55" s="1"/>
  <c r="R54" i="39"/>
  <c r="U145" i="16"/>
  <c r="U148" i="16"/>
  <c r="N476" i="11"/>
  <c r="N467" i="11"/>
  <c r="N458" i="11"/>
  <c r="N409" i="11"/>
  <c r="N128" i="11"/>
  <c r="N119" i="11"/>
  <c r="V12" i="39"/>
  <c r="O82" i="11"/>
  <c r="O91" i="11" s="1"/>
  <c r="S171" i="36"/>
  <c r="S118" i="36"/>
  <c r="S388" i="36" s="1"/>
  <c r="S114" i="36"/>
  <c r="S113" i="36"/>
  <c r="S317" i="36" s="1"/>
  <c r="S73" i="36"/>
  <c r="S51" i="36"/>
  <c r="E167" i="52" s="1"/>
  <c r="M310" i="11"/>
  <c r="M279" i="11" s="1"/>
  <c r="U67" i="35" s="1"/>
  <c r="O87" i="11"/>
  <c r="N92" i="11"/>
  <c r="AT20" i="38"/>
  <c r="AG3" i="54" s="1"/>
  <c r="R54" i="38"/>
  <c r="R7" i="38"/>
  <c r="N499" i="11"/>
  <c r="U195" i="11"/>
  <c r="U134" i="11"/>
  <c r="U60" i="11"/>
  <c r="V132" i="37"/>
  <c r="V36" i="37"/>
  <c r="S64" i="16"/>
  <c r="J630" i="11"/>
  <c r="K621" i="11" s="1"/>
  <c r="E233" i="53" s="1"/>
  <c r="E232" i="53"/>
  <c r="G232" i="53" s="1"/>
  <c r="T81" i="37"/>
  <c r="T82" i="37" s="1"/>
  <c r="T20" i="37"/>
  <c r="L310" i="11"/>
  <c r="L254" i="11"/>
  <c r="T80" i="35"/>
  <c r="Q181" i="11"/>
  <c r="O263" i="11"/>
  <c r="O352" i="11" s="1"/>
  <c r="T80" i="16"/>
  <c r="N179" i="11"/>
  <c r="N183" i="11" s="1"/>
  <c r="O473" i="11"/>
  <c r="O455" i="11"/>
  <c r="O125" i="11"/>
  <c r="O116" i="11"/>
  <c r="W12" i="36"/>
  <c r="P79" i="11"/>
  <c r="L381" i="11"/>
  <c r="K620" i="11"/>
  <c r="L611" i="11"/>
  <c r="F124" i="46"/>
  <c r="E128" i="46"/>
  <c r="F128" i="46" s="1"/>
  <c r="Q83" i="38"/>
  <c r="R76" i="38" s="1"/>
  <c r="R114" i="36"/>
  <c r="R73" i="36"/>
  <c r="R113" i="36"/>
  <c r="R317" i="36" s="1"/>
  <c r="R171" i="36"/>
  <c r="R51" i="36"/>
  <c r="E166" i="52" s="1"/>
  <c r="R118" i="36"/>
  <c r="R388" i="36" s="1"/>
  <c r="G176" i="52"/>
  <c r="E232" i="52"/>
  <c r="G232" i="52" s="1"/>
  <c r="U145" i="38"/>
  <c r="U148" i="38"/>
  <c r="U148" i="39"/>
  <c r="U145" i="39"/>
  <c r="R54" i="37"/>
  <c r="AT20" i="37"/>
  <c r="AG3" i="53" s="1"/>
  <c r="R7" i="37"/>
  <c r="S130" i="37"/>
  <c r="S136" i="37" s="1"/>
  <c r="S140" i="37" s="1"/>
  <c r="S6" i="37"/>
  <c r="R196" i="11"/>
  <c r="R61" i="11"/>
  <c r="R65" i="11" s="1"/>
  <c r="R135" i="11"/>
  <c r="R56" i="11"/>
  <c r="R180" i="11" s="1"/>
  <c r="R181" i="11" s="1"/>
  <c r="L378" i="11"/>
  <c r="L365" i="11"/>
  <c r="S33" i="6"/>
  <c r="S49" i="6" s="1"/>
  <c r="V148" i="5"/>
  <c r="T80" i="39"/>
  <c r="AG138" i="56"/>
  <c r="R118" i="16"/>
  <c r="R388" i="16" s="1"/>
  <c r="R51" i="16"/>
  <c r="AG138" i="26"/>
  <c r="R114" i="16"/>
  <c r="R73" i="16"/>
  <c r="R171" i="16"/>
  <c r="R113" i="16"/>
  <c r="R317" i="16" s="1"/>
  <c r="L758" i="11"/>
  <c r="T128" i="39"/>
  <c r="T21" i="39"/>
  <c r="T104" i="39" s="1"/>
  <c r="T196" i="39" s="1"/>
  <c r="L346" i="11"/>
  <c r="J624" i="11"/>
  <c r="E232" i="26" s="1"/>
  <c r="G232" i="26" s="1"/>
  <c r="L754" i="11"/>
  <c r="L437" i="11"/>
  <c r="T128" i="5" s="1"/>
  <c r="T21" i="35"/>
  <c r="T104" i="35" s="1"/>
  <c r="T196" i="35" s="1"/>
  <c r="T128" i="35"/>
  <c r="R206" i="11"/>
  <c r="R215" i="11" s="1"/>
  <c r="R326" i="11" s="1"/>
  <c r="Q260" i="11"/>
  <c r="Q325" i="11" s="1"/>
  <c r="L382" i="11"/>
  <c r="T80" i="38"/>
  <c r="Q54" i="5"/>
  <c r="O12" i="6" s="1"/>
  <c r="Q7" i="5"/>
  <c r="O335" i="11"/>
  <c r="AG142" i="56"/>
  <c r="AG142" i="55"/>
  <c r="AG142" i="53"/>
  <c r="AG142" i="51"/>
  <c r="AG142" i="54"/>
  <c r="AG142" i="52"/>
  <c r="R111" i="5"/>
  <c r="R270" i="5" s="1"/>
  <c r="AG142" i="50"/>
  <c r="R172" i="5"/>
  <c r="AG142" i="26"/>
  <c r="R117" i="5"/>
  <c r="R364" i="5" s="1"/>
  <c r="F124" i="45"/>
  <c r="E128" i="45"/>
  <c r="F128" i="45" s="1"/>
  <c r="G223" i="56"/>
  <c r="F227" i="56"/>
  <c r="G227" i="56" s="1"/>
  <c r="E232" i="51"/>
  <c r="G232" i="51" s="1"/>
  <c r="G176" i="51"/>
  <c r="T47" i="39"/>
  <c r="M173" i="11"/>
  <c r="M174" i="11"/>
  <c r="Q205" i="11"/>
  <c r="Q214" i="11" s="1"/>
  <c r="Q317" i="11" s="1"/>
  <c r="P259" i="11"/>
  <c r="P316" i="11" s="1"/>
  <c r="W97" i="11"/>
  <c r="W98" i="11"/>
  <c r="W101" i="11"/>
  <c r="W100" i="11"/>
  <c r="W99" i="11"/>
  <c r="X96" i="11"/>
  <c r="T104" i="37"/>
  <c r="T196" i="37" s="1"/>
  <c r="S6" i="38"/>
  <c r="S130" i="38"/>
  <c r="S136" i="38" s="1"/>
  <c r="S140" i="38" s="1"/>
  <c r="R117" i="11"/>
  <c r="R38" i="11"/>
  <c r="R32" i="11"/>
  <c r="L827" i="11"/>
  <c r="O472" i="11"/>
  <c r="O463" i="11"/>
  <c r="O454" i="11"/>
  <c r="O405" i="11"/>
  <c r="O134" i="11" s="1"/>
  <c r="O124" i="11"/>
  <c r="O115" i="11"/>
  <c r="W12" i="35"/>
  <c r="P78" i="11"/>
  <c r="P106" i="11" s="1"/>
  <c r="S58" i="37"/>
  <c r="AU21" i="37"/>
  <c r="AH4" i="53" s="1"/>
  <c r="S64" i="35"/>
  <c r="T80" i="36"/>
  <c r="L157" i="11"/>
  <c r="L755" i="11"/>
  <c r="T128" i="36"/>
  <c r="T21" i="36"/>
  <c r="T104" i="36" s="1"/>
  <c r="T196" i="36" s="1"/>
  <c r="I813" i="11"/>
  <c r="J632" i="11"/>
  <c r="Q84" i="39"/>
  <c r="I885" i="11"/>
  <c r="Q9" i="39"/>
  <c r="I633" i="11"/>
  <c r="T35" i="11"/>
  <c r="T53" i="11"/>
  <c r="U44" i="11"/>
  <c r="T94" i="38"/>
  <c r="T94" i="16"/>
  <c r="T19" i="5"/>
  <c r="T19" i="34"/>
  <c r="S87" i="34"/>
  <c r="S93" i="34" s="1"/>
  <c r="T86" i="34" s="1"/>
  <c r="L757" i="11"/>
  <c r="T128" i="38"/>
  <c r="T21" i="38"/>
  <c r="T21" i="16"/>
  <c r="T104" i="16" s="1"/>
  <c r="T196" i="16" s="1"/>
  <c r="K606" i="11"/>
  <c r="L337" i="11"/>
  <c r="L272" i="11"/>
  <c r="AF144" i="56"/>
  <c r="S64" i="36"/>
  <c r="S64" i="39"/>
  <c r="U80" i="35"/>
  <c r="L830" i="11"/>
  <c r="N829" i="11"/>
  <c r="F124" i="48"/>
  <c r="E128" i="48"/>
  <c r="F128" i="48" s="1"/>
  <c r="AG4" i="56"/>
  <c r="AG4" i="26"/>
  <c r="R48" i="5"/>
  <c r="U37" i="11"/>
  <c r="U55" i="11"/>
  <c r="V46" i="11"/>
  <c r="V145" i="35"/>
  <c r="V148" i="35"/>
  <c r="S48" i="37"/>
  <c r="AH138" i="53" s="1"/>
  <c r="S110" i="37"/>
  <c r="S244" i="37" s="1"/>
  <c r="S173" i="37"/>
  <c r="P307" i="11"/>
  <c r="R171" i="35"/>
  <c r="R51" i="35"/>
  <c r="E166" i="51" s="1"/>
  <c r="R114" i="35"/>
  <c r="R113" i="35"/>
  <c r="R317" i="35" s="1"/>
  <c r="R73" i="35"/>
  <c r="R118" i="35"/>
  <c r="R388" i="35" s="1"/>
  <c r="S34" i="11"/>
  <c r="S52" i="11"/>
  <c r="T43" i="11"/>
  <c r="S41" i="11"/>
  <c r="S47" i="11"/>
  <c r="R204" i="11"/>
  <c r="Q258" i="11"/>
  <c r="Q213" i="11"/>
  <c r="Q65" i="11"/>
  <c r="S130" i="36"/>
  <c r="S136" i="36" s="1"/>
  <c r="S140" i="36" s="1"/>
  <c r="S6" i="36"/>
  <c r="L773" i="11"/>
  <c r="T172" i="38"/>
  <c r="T111" i="38"/>
  <c r="T270" i="38" s="1"/>
  <c r="L831" i="11"/>
  <c r="S171" i="35"/>
  <c r="S114" i="35"/>
  <c r="S113" i="35"/>
  <c r="S317" i="35" s="1"/>
  <c r="S73" i="35"/>
  <c r="S51" i="35"/>
  <c r="E167" i="51" s="1"/>
  <c r="S118" i="35"/>
  <c r="S388" i="35" s="1"/>
  <c r="L776" i="11"/>
  <c r="K619" i="11"/>
  <c r="L610" i="11"/>
  <c r="T36" i="11"/>
  <c r="T54" i="11"/>
  <c r="U45" i="11"/>
  <c r="P262" i="11"/>
  <c r="P343" i="11" s="1"/>
  <c r="Q208" i="11"/>
  <c r="P217" i="11"/>
  <c r="P344" i="11" s="1"/>
  <c r="U128" i="35"/>
  <c r="U21" i="35"/>
  <c r="U104" i="35" s="1"/>
  <c r="U196" i="35" s="1"/>
  <c r="Q486" i="11"/>
  <c r="Q487" i="11" s="1"/>
  <c r="Q495" i="11"/>
  <c r="Q496" i="11" s="1"/>
  <c r="Q200" i="11"/>
  <c r="Q139" i="11"/>
  <c r="R111" i="34"/>
  <c r="R270" i="34" s="1"/>
  <c r="R172" i="34"/>
  <c r="R117" i="34"/>
  <c r="R364" i="34" s="1"/>
  <c r="F124" i="47"/>
  <c r="E128" i="47"/>
  <c r="F128" i="47" s="1"/>
  <c r="T199" i="11"/>
  <c r="T64" i="11"/>
  <c r="T138" i="11"/>
  <c r="L513" i="11"/>
  <c r="T132" i="35"/>
  <c r="T134" i="35" s="1"/>
  <c r="T36" i="35"/>
  <c r="L613" i="11"/>
  <c r="M613" i="11" s="1"/>
  <c r="V145" i="36"/>
  <c r="V148" i="36"/>
  <c r="N83" i="11"/>
  <c r="V12" i="16" s="1"/>
  <c r="S58" i="38"/>
  <c r="AU21" i="38"/>
  <c r="AH4" i="54" s="1"/>
  <c r="W104" i="37"/>
  <c r="W196" i="37" s="1"/>
  <c r="W80" i="37"/>
  <c r="AH141" i="56"/>
  <c r="AH141" i="55"/>
  <c r="S48" i="5"/>
  <c r="AH141" i="51"/>
  <c r="S110" i="5"/>
  <c r="S244" i="5" s="1"/>
  <c r="AH141" i="52"/>
  <c r="AH141" i="50"/>
  <c r="AH141" i="54"/>
  <c r="AH141" i="53"/>
  <c r="S173" i="5"/>
  <c r="AH141" i="26"/>
  <c r="Q142" i="12" l="1"/>
  <c r="Q134" i="12"/>
  <c r="Q126" i="12"/>
  <c r="Q83" i="12"/>
  <c r="Q92" i="12" s="1"/>
  <c r="Q30" i="12"/>
  <c r="R22" i="12"/>
  <c r="Q39" i="12"/>
  <c r="Q118" i="12"/>
  <c r="Q149" i="12" s="1"/>
  <c r="Q157" i="12" s="1"/>
  <c r="Q101" i="12"/>
  <c r="Q109" i="12" s="1"/>
  <c r="Q85" i="12"/>
  <c r="Q94" i="12" s="1"/>
  <c r="Q144" i="12"/>
  <c r="Q120" i="12"/>
  <c r="Q151" i="12" s="1"/>
  <c r="Q159" i="12" s="1"/>
  <c r="Q128" i="12"/>
  <c r="Q136" i="12"/>
  <c r="Q32" i="12"/>
  <c r="R24" i="12" s="1"/>
  <c r="Q41" i="12"/>
  <c r="Q103" i="12"/>
  <c r="Q111" i="12" s="1"/>
  <c r="N42" i="12"/>
  <c r="AA138" i="34"/>
  <c r="AA71" i="34"/>
  <c r="O141" i="12"/>
  <c r="O117" i="12"/>
  <c r="O133" i="12"/>
  <c r="O125" i="12"/>
  <c r="O100" i="12"/>
  <c r="O108" i="12" s="1"/>
  <c r="O82" i="12"/>
  <c r="O91" i="12" s="1"/>
  <c r="O29" i="12"/>
  <c r="O38" i="12" s="1"/>
  <c r="C160" i="11"/>
  <c r="B81" i="8"/>
  <c r="X767" i="11"/>
  <c r="AE71" i="39"/>
  <c r="AE138" i="39"/>
  <c r="T768" i="11"/>
  <c r="U763" i="11"/>
  <c r="AB138" i="35"/>
  <c r="AB71" i="35"/>
  <c r="AB138" i="5"/>
  <c r="AB138" i="16"/>
  <c r="AB71" i="16"/>
  <c r="O23" i="12"/>
  <c r="O132" i="12"/>
  <c r="O124" i="12"/>
  <c r="O99" i="12"/>
  <c r="O107" i="12" s="1"/>
  <c r="O140" i="12"/>
  <c r="O81" i="12"/>
  <c r="O90" i="12" s="1"/>
  <c r="O116" i="12"/>
  <c r="O25" i="12"/>
  <c r="O86" i="12" s="1"/>
  <c r="O28" i="12"/>
  <c r="P39" i="12"/>
  <c r="P149" i="12"/>
  <c r="P157" i="12" s="1"/>
  <c r="N148" i="12"/>
  <c r="N156" i="12" s="1"/>
  <c r="N160" i="12" s="1"/>
  <c r="N150" i="12"/>
  <c r="N158" i="12" s="1"/>
  <c r="P151" i="12"/>
  <c r="P159" i="12" s="1"/>
  <c r="N144" i="11"/>
  <c r="N361" i="11" s="1"/>
  <c r="O406" i="11"/>
  <c r="M361" i="11"/>
  <c r="M379" i="11" s="1"/>
  <c r="V104" i="37"/>
  <c r="V196" i="37" s="1"/>
  <c r="Q652" i="11"/>
  <c r="P655" i="11"/>
  <c r="P665" i="11"/>
  <c r="R126" i="11"/>
  <c r="R145" i="11" s="1"/>
  <c r="R874" i="11" s="1"/>
  <c r="N360" i="11"/>
  <c r="P172" i="11"/>
  <c r="P154" i="11" s="1"/>
  <c r="W32" i="34"/>
  <c r="P739" i="11"/>
  <c r="R465" i="11"/>
  <c r="P848" i="11"/>
  <c r="R89" i="11"/>
  <c r="R407" i="11"/>
  <c r="R425" i="11" s="1"/>
  <c r="V134" i="37"/>
  <c r="S80" i="11"/>
  <c r="P549" i="11"/>
  <c r="R474" i="11"/>
  <c r="S474" i="11" s="1"/>
  <c r="Z12" i="37"/>
  <c r="X31" i="35"/>
  <c r="U19" i="39"/>
  <c r="Q456" i="11"/>
  <c r="Q501" i="11" s="1"/>
  <c r="Q510" i="11" s="1"/>
  <c r="Y36" i="37" s="1"/>
  <c r="R77" i="35"/>
  <c r="R83" i="35" s="1"/>
  <c r="S76" i="35" s="1"/>
  <c r="U36" i="36"/>
  <c r="U47" i="36" s="1"/>
  <c r="U117" i="36" s="1"/>
  <c r="U364" i="36" s="1"/>
  <c r="X36" i="37"/>
  <c r="O251" i="11"/>
  <c r="O328" i="11" s="1"/>
  <c r="O281" i="11" s="1"/>
  <c r="W67" i="37" s="1"/>
  <c r="W115" i="37" s="1"/>
  <c r="W340" i="37" s="1"/>
  <c r="W132" i="37"/>
  <c r="U19" i="38"/>
  <c r="N500" i="11"/>
  <c r="N509" i="11" s="1"/>
  <c r="V132" i="36" s="1"/>
  <c r="V134" i="36" s="1"/>
  <c r="U145" i="34"/>
  <c r="O52" i="6"/>
  <c r="O17" i="6"/>
  <c r="G138" i="24" s="1"/>
  <c r="W43" i="34"/>
  <c r="E142" i="50" s="1"/>
  <c r="Y132" i="37"/>
  <c r="P673" i="11"/>
  <c r="X33" i="5" s="1"/>
  <c r="M433" i="11"/>
  <c r="M437" i="11" s="1"/>
  <c r="U19" i="36"/>
  <c r="U80" i="36" s="1"/>
  <c r="Q681" i="11"/>
  <c r="Y34" i="39" s="1"/>
  <c r="P846" i="11"/>
  <c r="S73" i="38"/>
  <c r="S171" i="38"/>
  <c r="Q717" i="11"/>
  <c r="Y41" i="39" s="1"/>
  <c r="S51" i="38"/>
  <c r="E167" i="54" s="1"/>
  <c r="S113" i="38"/>
  <c r="S317" i="38" s="1"/>
  <c r="S114" i="38"/>
  <c r="S118" i="38"/>
  <c r="S388" i="38" s="1"/>
  <c r="U132" i="35"/>
  <c r="U134" i="35" s="1"/>
  <c r="Q686" i="11"/>
  <c r="P556" i="11"/>
  <c r="U36" i="35"/>
  <c r="U47" i="35" s="1"/>
  <c r="U111" i="35" s="1"/>
  <c r="U270" i="35" s="1"/>
  <c r="W112" i="35"/>
  <c r="W294" i="35" s="1"/>
  <c r="M754" i="11"/>
  <c r="M863" i="11" s="1"/>
  <c r="Y145" i="37"/>
  <c r="V19" i="35"/>
  <c r="V80" i="35" s="1"/>
  <c r="P738" i="11"/>
  <c r="X43" i="5" s="1"/>
  <c r="Q677" i="11"/>
  <c r="Y34" i="35" s="1"/>
  <c r="W43" i="5"/>
  <c r="U53" i="36"/>
  <c r="E179" i="52" s="1"/>
  <c r="Q874" i="11"/>
  <c r="Q650" i="11"/>
  <c r="Y31" i="35" s="1"/>
  <c r="N584" i="11"/>
  <c r="N593" i="11" s="1"/>
  <c r="E142" i="56"/>
  <c r="P743" i="11"/>
  <c r="E139" i="50"/>
  <c r="S117" i="34"/>
  <c r="S364" i="34" s="1"/>
  <c r="M139" i="11"/>
  <c r="M189" i="11" s="1"/>
  <c r="Y19" i="37"/>
  <c r="Y80" i="37" s="1"/>
  <c r="V47" i="37"/>
  <c r="V117" i="37" s="1"/>
  <c r="V364" i="37" s="1"/>
  <c r="S111" i="34"/>
  <c r="S270" i="34" s="1"/>
  <c r="S172" i="34"/>
  <c r="O756" i="11"/>
  <c r="O865" i="11" s="1"/>
  <c r="U72" i="36"/>
  <c r="N873" i="11"/>
  <c r="V53" i="37"/>
  <c r="E180" i="53" s="1"/>
  <c r="R73" i="34"/>
  <c r="M364" i="11"/>
  <c r="M876" i="11"/>
  <c r="V115" i="37"/>
  <c r="V340" i="37" s="1"/>
  <c r="Q661" i="11"/>
  <c r="Y32" i="37" s="1"/>
  <c r="V36" i="36"/>
  <c r="V47" i="36" s="1"/>
  <c r="V117" i="36" s="1"/>
  <c r="V364" i="36" s="1"/>
  <c r="P692" i="11"/>
  <c r="W46" i="37"/>
  <c r="W47" i="37" s="1"/>
  <c r="AL137" i="53" s="1"/>
  <c r="P849" i="11"/>
  <c r="N329" i="11"/>
  <c r="O324" i="11" s="1"/>
  <c r="O329" i="11" s="1"/>
  <c r="P324" i="11" s="1"/>
  <c r="P560" i="11"/>
  <c r="E141" i="53"/>
  <c r="P362" i="11"/>
  <c r="P380" i="11" s="1"/>
  <c r="P874" i="11"/>
  <c r="T117" i="39"/>
  <c r="T364" i="39" s="1"/>
  <c r="AI137" i="55"/>
  <c r="M513" i="11"/>
  <c r="U36" i="34" s="1"/>
  <c r="U47" i="34" s="1"/>
  <c r="O892" i="11"/>
  <c r="P550" i="11"/>
  <c r="AD371" i="11"/>
  <c r="R51" i="34"/>
  <c r="E166" i="50" s="1"/>
  <c r="G166" i="50" s="1"/>
  <c r="P107" i="11"/>
  <c r="Q79" i="11" s="1"/>
  <c r="W37" i="35"/>
  <c r="W37" i="16"/>
  <c r="W133" i="37"/>
  <c r="W134" i="37" s="1"/>
  <c r="P682" i="11"/>
  <c r="X34" i="5" s="1"/>
  <c r="X19" i="37"/>
  <c r="X80" i="37" s="1"/>
  <c r="P434" i="11"/>
  <c r="M428" i="11"/>
  <c r="U19" i="16" s="1"/>
  <c r="U80" i="16" s="1"/>
  <c r="R113" i="34"/>
  <c r="R317" i="34" s="1"/>
  <c r="N426" i="11"/>
  <c r="V19" i="38" s="1"/>
  <c r="N137" i="11"/>
  <c r="O838" i="11"/>
  <c r="W112" i="38"/>
  <c r="W294" i="38" s="1"/>
  <c r="E140" i="54"/>
  <c r="N427" i="11"/>
  <c r="N436" i="11" s="1"/>
  <c r="N777" i="11" s="1"/>
  <c r="N138" i="11"/>
  <c r="N147" i="11" s="1"/>
  <c r="O829" i="11"/>
  <c r="M253" i="11"/>
  <c r="M346" i="11" s="1"/>
  <c r="M283" i="11" s="1"/>
  <c r="U67" i="39" s="1"/>
  <c r="U115" i="39" s="1"/>
  <c r="U340" i="39" s="1"/>
  <c r="M373" i="11"/>
  <c r="O552" i="11"/>
  <c r="M156" i="11"/>
  <c r="V37" i="5"/>
  <c r="V37" i="34"/>
  <c r="R118" i="34"/>
  <c r="R388" i="34" s="1"/>
  <c r="R114" i="34"/>
  <c r="M400" i="11"/>
  <c r="U94" i="39" s="1"/>
  <c r="T117" i="36"/>
  <c r="T364" i="36" s="1"/>
  <c r="AI137" i="52"/>
  <c r="R171" i="34"/>
  <c r="V19" i="36"/>
  <c r="V80" i="36" s="1"/>
  <c r="P182" i="11"/>
  <c r="M252" i="11"/>
  <c r="M337" i="11" s="1"/>
  <c r="M282" i="11" s="1"/>
  <c r="M372" i="11"/>
  <c r="O424" i="11"/>
  <c r="O433" i="11" s="1"/>
  <c r="O774" i="11" s="1"/>
  <c r="O135" i="11"/>
  <c r="N249" i="11"/>
  <c r="N310" i="11" s="1"/>
  <c r="N279" i="11" s="1"/>
  <c r="V67" i="35" s="1"/>
  <c r="N369" i="11"/>
  <c r="W112" i="36"/>
  <c r="W294" i="36" s="1"/>
  <c r="O742" i="11"/>
  <c r="W133" i="35" s="1"/>
  <c r="N747" i="11"/>
  <c r="V133" i="16" s="1"/>
  <c r="M155" i="11"/>
  <c r="P744" i="11"/>
  <c r="X133" i="37" s="1"/>
  <c r="X134" i="37" s="1"/>
  <c r="M399" i="11"/>
  <c r="U94" i="38" s="1"/>
  <c r="N250" i="11"/>
  <c r="N319" i="11" s="1"/>
  <c r="N280" i="11" s="1"/>
  <c r="V67" i="36" s="1"/>
  <c r="V115" i="36" s="1"/>
  <c r="V340" i="36" s="1"/>
  <c r="N370" i="11"/>
  <c r="M146" i="11"/>
  <c r="M830" i="11" s="1"/>
  <c r="V46" i="35"/>
  <c r="V133" i="35"/>
  <c r="N836" i="11"/>
  <c r="N890" i="11"/>
  <c r="N152" i="11"/>
  <c r="N380" i="11"/>
  <c r="R78" i="36"/>
  <c r="R83" i="36" s="1"/>
  <c r="S76" i="36" s="1"/>
  <c r="Q669" i="11"/>
  <c r="Y33" i="36" s="1"/>
  <c r="Q660" i="11"/>
  <c r="Y32" i="36" s="1"/>
  <c r="N459" i="11"/>
  <c r="T128" i="16"/>
  <c r="L778" i="11"/>
  <c r="N468" i="11"/>
  <c r="Q679" i="11"/>
  <c r="Y34" i="37" s="1"/>
  <c r="Q651" i="11"/>
  <c r="N784" i="11"/>
  <c r="O785" i="11"/>
  <c r="N477" i="11"/>
  <c r="N478" i="11" s="1"/>
  <c r="N396" i="11"/>
  <c r="V94" i="35" s="1"/>
  <c r="Q672" i="11"/>
  <c r="Y33" i="39" s="1"/>
  <c r="Q734" i="11"/>
  <c r="Y43" i="36" s="1"/>
  <c r="P674" i="11"/>
  <c r="O270" i="11"/>
  <c r="E139" i="26"/>
  <c r="E139" i="56"/>
  <c r="Y35" i="35"/>
  <c r="Y31" i="37"/>
  <c r="P578" i="11"/>
  <c r="P785" i="11" s="1"/>
  <c r="X23" i="39"/>
  <c r="X33" i="16"/>
  <c r="Y31" i="38"/>
  <c r="N595" i="11"/>
  <c r="O594" i="11"/>
  <c r="Y43" i="37"/>
  <c r="X34" i="16"/>
  <c r="Y41" i="35"/>
  <c r="Y33" i="35"/>
  <c r="N774" i="11"/>
  <c r="O837" i="11"/>
  <c r="W46" i="36"/>
  <c r="W133" i="36"/>
  <c r="O891" i="11"/>
  <c r="Q715" i="11"/>
  <c r="M592" i="11"/>
  <c r="M588" i="11"/>
  <c r="Q687" i="11"/>
  <c r="P547" i="11"/>
  <c r="X35" i="39"/>
  <c r="L866" i="11"/>
  <c r="L902" i="11"/>
  <c r="O499" i="11"/>
  <c r="M831" i="11"/>
  <c r="O500" i="11"/>
  <c r="O509" i="11" s="1"/>
  <c r="W132" i="36" s="1"/>
  <c r="X31" i="16"/>
  <c r="X31" i="34"/>
  <c r="X31" i="5"/>
  <c r="Q663" i="11"/>
  <c r="Y32" i="39" s="1"/>
  <c r="M504" i="11"/>
  <c r="M505" i="11" s="1"/>
  <c r="Q688" i="11"/>
  <c r="X112" i="37"/>
  <c r="X294" i="37" s="1"/>
  <c r="X147" i="37"/>
  <c r="X41" i="39"/>
  <c r="V129" i="38"/>
  <c r="V25" i="38"/>
  <c r="V105" i="38" s="1"/>
  <c r="V220" i="38" s="1"/>
  <c r="W23" i="36"/>
  <c r="O575" i="11"/>
  <c r="O782" i="11" s="1"/>
  <c r="P539" i="11"/>
  <c r="W35" i="16"/>
  <c r="W35" i="5"/>
  <c r="W35" i="34"/>
  <c r="W34" i="16"/>
  <c r="W34" i="5"/>
  <c r="W34" i="34"/>
  <c r="V90" i="35"/>
  <c r="U42" i="6"/>
  <c r="X147" i="5"/>
  <c r="P749" i="11"/>
  <c r="X32" i="39"/>
  <c r="P559" i="11"/>
  <c r="Q662" i="11"/>
  <c r="U90" i="16"/>
  <c r="P551" i="11"/>
  <c r="P88" i="11"/>
  <c r="W90" i="37"/>
  <c r="U63" i="36"/>
  <c r="W133" i="39"/>
  <c r="W46" i="39"/>
  <c r="O840" i="11"/>
  <c r="O894" i="11"/>
  <c r="P251" i="11"/>
  <c r="P328" i="11" s="1"/>
  <c r="P281" i="11" s="1"/>
  <c r="X67" i="37" s="1"/>
  <c r="P398" i="11"/>
  <c r="X94" i="37" s="1"/>
  <c r="Y31" i="36"/>
  <c r="N410" i="11"/>
  <c r="N579" i="11"/>
  <c r="N786" i="11" s="1"/>
  <c r="V129" i="35"/>
  <c r="V25" i="35"/>
  <c r="V105" i="35" s="1"/>
  <c r="V220" i="35" s="1"/>
  <c r="V24" i="37"/>
  <c r="V63" i="37" s="1"/>
  <c r="V91" i="37"/>
  <c r="V92" i="37" s="1"/>
  <c r="P534" i="11"/>
  <c r="P561" i="11" s="1"/>
  <c r="W25" i="37"/>
  <c r="W105" i="37" s="1"/>
  <c r="W220" i="37" s="1"/>
  <c r="W129" i="37"/>
  <c r="N397" i="11"/>
  <c r="V94" i="36" s="1"/>
  <c r="U91" i="35"/>
  <c r="U92" i="35" s="1"/>
  <c r="U24" i="35"/>
  <c r="O709" i="11"/>
  <c r="O747" i="11" s="1"/>
  <c r="X33" i="39"/>
  <c r="X112" i="39" s="1"/>
  <c r="X294" i="39" s="1"/>
  <c r="E142" i="26"/>
  <c r="W41" i="16"/>
  <c r="W41" i="5"/>
  <c r="W41" i="34"/>
  <c r="Q690" i="11"/>
  <c r="Y35" i="39" s="1"/>
  <c r="X147" i="36"/>
  <c r="X112" i="36"/>
  <c r="X294" i="36" s="1"/>
  <c r="Q737" i="11"/>
  <c r="W31" i="16"/>
  <c r="W31" i="5"/>
  <c r="W31" i="34"/>
  <c r="E138" i="50" s="1"/>
  <c r="V90" i="36"/>
  <c r="P548" i="11"/>
  <c r="P683" i="11"/>
  <c r="P656" i="11"/>
  <c r="Q689" i="11"/>
  <c r="Y35" i="38" s="1"/>
  <c r="O783" i="11"/>
  <c r="O605" i="11"/>
  <c r="L863" i="11"/>
  <c r="L899" i="11"/>
  <c r="U129" i="16"/>
  <c r="U25" i="16"/>
  <c r="U105" i="16" s="1"/>
  <c r="U220" i="16" s="1"/>
  <c r="U129" i="5"/>
  <c r="U129" i="34"/>
  <c r="U25" i="5"/>
  <c r="U105" i="5" s="1"/>
  <c r="U220" i="5" s="1"/>
  <c r="U25" i="34"/>
  <c r="U105" i="34" s="1"/>
  <c r="U220" i="34" s="1"/>
  <c r="N129" i="11"/>
  <c r="U63" i="37"/>
  <c r="X43" i="16"/>
  <c r="Q670" i="11"/>
  <c r="Q847" i="11" s="1"/>
  <c r="Q678" i="11"/>
  <c r="O890" i="11"/>
  <c r="O574" i="11"/>
  <c r="O781" i="11" s="1"/>
  <c r="O543" i="11"/>
  <c r="W23" i="35"/>
  <c r="P538" i="11"/>
  <c r="Q680" i="11"/>
  <c r="Y34" i="38" s="1"/>
  <c r="R523" i="11"/>
  <c r="R653" i="11" s="1"/>
  <c r="Y13" i="38"/>
  <c r="Q532" i="11"/>
  <c r="Q568" i="11"/>
  <c r="Q698" i="11"/>
  <c r="Q707" i="11" s="1"/>
  <c r="Y37" i="38" s="1"/>
  <c r="X112" i="35"/>
  <c r="X294" i="35" s="1"/>
  <c r="X147" i="35"/>
  <c r="O143" i="11"/>
  <c r="O360" i="11" s="1"/>
  <c r="N508" i="11"/>
  <c r="N754" i="11" s="1"/>
  <c r="O901" i="11"/>
  <c r="Q172" i="11"/>
  <c r="R172" i="11" s="1"/>
  <c r="R251" i="11" s="1"/>
  <c r="V91" i="39"/>
  <c r="V92" i="39" s="1"/>
  <c r="V24" i="39"/>
  <c r="P837" i="11"/>
  <c r="X133" i="36"/>
  <c r="X46" i="36"/>
  <c r="P891" i="11"/>
  <c r="X147" i="39"/>
  <c r="P664" i="11"/>
  <c r="X32" i="35"/>
  <c r="P558" i="11"/>
  <c r="L606" i="11"/>
  <c r="Q714" i="11"/>
  <c r="Q736" i="11"/>
  <c r="W33" i="16"/>
  <c r="W112" i="16" s="1"/>
  <c r="W294" i="16" s="1"/>
  <c r="W33" i="5"/>
  <c r="W33" i="34"/>
  <c r="E140" i="50" s="1"/>
  <c r="M602" i="11"/>
  <c r="M611" i="11"/>
  <c r="N611" i="11" s="1"/>
  <c r="N583" i="11"/>
  <c r="W147" i="34"/>
  <c r="W147" i="16"/>
  <c r="F171" i="26"/>
  <c r="F171" i="56"/>
  <c r="Q716" i="11"/>
  <c r="Y41" i="38" s="1"/>
  <c r="X147" i="38"/>
  <c r="X112" i="38"/>
  <c r="X294" i="38" s="1"/>
  <c r="M786" i="11"/>
  <c r="W90" i="39"/>
  <c r="T36" i="16"/>
  <c r="T47" i="16" s="1"/>
  <c r="T132" i="5"/>
  <c r="T134" i="5" s="1"/>
  <c r="T132" i="16"/>
  <c r="T134" i="16" s="1"/>
  <c r="Q9" i="16"/>
  <c r="Q84" i="16"/>
  <c r="L864" i="11"/>
  <c r="L900" i="11"/>
  <c r="O423" i="11"/>
  <c r="O432" i="11" s="1"/>
  <c r="O773" i="11" s="1"/>
  <c r="L867" i="11"/>
  <c r="L903" i="11"/>
  <c r="N865" i="11"/>
  <c r="N901" i="11"/>
  <c r="P691" i="11"/>
  <c r="X35" i="35"/>
  <c r="Y31" i="39"/>
  <c r="R524" i="11"/>
  <c r="Q533" i="11"/>
  <c r="Q542" i="11" s="1"/>
  <c r="Q849" i="11"/>
  <c r="Y13" i="39"/>
  <c r="Q699" i="11"/>
  <c r="Q708" i="11" s="1"/>
  <c r="Y37" i="39" s="1"/>
  <c r="Q569" i="11"/>
  <c r="P718" i="11"/>
  <c r="X41" i="35"/>
  <c r="R522" i="11"/>
  <c r="Q697" i="11"/>
  <c r="Q706" i="11" s="1"/>
  <c r="Y37" i="37" s="1"/>
  <c r="Q531" i="11"/>
  <c r="Q549" i="11" s="1"/>
  <c r="Y13" i="37"/>
  <c r="Q567" i="11"/>
  <c r="Q733" i="11"/>
  <c r="O577" i="11"/>
  <c r="O586" i="11" s="1"/>
  <c r="O595" i="11" s="1"/>
  <c r="W23" i="38"/>
  <c r="P541" i="11"/>
  <c r="X34" i="35"/>
  <c r="V129" i="36"/>
  <c r="V25" i="36"/>
  <c r="V23" i="16"/>
  <c r="V23" i="5"/>
  <c r="V23" i="34"/>
  <c r="P719" i="11"/>
  <c r="M175" i="11"/>
  <c r="M188" i="11" s="1"/>
  <c r="Q671" i="11"/>
  <c r="Q848" i="11" s="1"/>
  <c r="P745" i="11"/>
  <c r="U90" i="34"/>
  <c r="P570" i="11"/>
  <c r="P704" i="11"/>
  <c r="P742" i="11" s="1"/>
  <c r="P890" i="11" s="1"/>
  <c r="P700" i="11"/>
  <c r="Q659" i="11"/>
  <c r="P540" i="11"/>
  <c r="W129" i="39"/>
  <c r="W25" i="39"/>
  <c r="W105" i="39" s="1"/>
  <c r="W220" i="39" s="1"/>
  <c r="N596" i="11"/>
  <c r="R521" i="11"/>
  <c r="R735" i="11" s="1"/>
  <c r="Z43" i="37" s="1"/>
  <c r="Q566" i="11"/>
  <c r="Q696" i="11"/>
  <c r="Q705" i="11" s="1"/>
  <c r="Y37" i="36" s="1"/>
  <c r="Q530" i="11"/>
  <c r="Q557" i="11" s="1"/>
  <c r="Y13" i="36"/>
  <c r="V90" i="38"/>
  <c r="N602" i="11"/>
  <c r="N781" i="11"/>
  <c r="O839" i="11"/>
  <c r="W133" i="38"/>
  <c r="W46" i="38"/>
  <c r="O893" i="11"/>
  <c r="V112" i="5"/>
  <c r="V294" i="5" s="1"/>
  <c r="X13" i="16"/>
  <c r="X99" i="16"/>
  <c r="X13" i="5"/>
  <c r="X99" i="39"/>
  <c r="X13" i="34"/>
  <c r="X99" i="38"/>
  <c r="X99" i="36"/>
  <c r="X99" i="37"/>
  <c r="X99" i="34"/>
  <c r="X99" i="35"/>
  <c r="R520" i="11"/>
  <c r="R686" i="11" s="1"/>
  <c r="Y13" i="35"/>
  <c r="Q845" i="11"/>
  <c r="Q695" i="11"/>
  <c r="Q529" i="11"/>
  <c r="Q565" i="11"/>
  <c r="Q525" i="11"/>
  <c r="P746" i="11"/>
  <c r="O269" i="11"/>
  <c r="S465" i="11"/>
  <c r="S126" i="11"/>
  <c r="S145" i="11" s="1"/>
  <c r="S117" i="11"/>
  <c r="AA12" i="37"/>
  <c r="T87" i="34"/>
  <c r="U80" i="38"/>
  <c r="Q307" i="11"/>
  <c r="D133" i="46"/>
  <c r="F133" i="46" s="1"/>
  <c r="D133" i="45"/>
  <c r="F133" i="45" s="1"/>
  <c r="D133" i="44"/>
  <c r="F133" i="44" s="1"/>
  <c r="D133" i="48"/>
  <c r="F133" i="48" s="1"/>
  <c r="D133" i="47"/>
  <c r="F133" i="47" s="1"/>
  <c r="E232" i="56"/>
  <c r="G232" i="56" s="1"/>
  <c r="E232" i="50"/>
  <c r="G232" i="50" s="1"/>
  <c r="AG139" i="50"/>
  <c r="AG139" i="56"/>
  <c r="O171" i="11"/>
  <c r="O153" i="11" s="1"/>
  <c r="O179" i="11"/>
  <c r="O183" i="11" s="1"/>
  <c r="L279" i="11"/>
  <c r="L311" i="11"/>
  <c r="M306" i="11" s="1"/>
  <c r="M311" i="11" s="1"/>
  <c r="N306" i="11" s="1"/>
  <c r="R362" i="11"/>
  <c r="R380" i="11" s="1"/>
  <c r="N174" i="11"/>
  <c r="N156" i="11" s="1"/>
  <c r="L383" i="11"/>
  <c r="S64" i="34"/>
  <c r="R207" i="11"/>
  <c r="Q261" i="11"/>
  <c r="V20" i="37"/>
  <c r="V81" i="37"/>
  <c r="V82" i="37" s="1"/>
  <c r="P218" i="11"/>
  <c r="V145" i="16"/>
  <c r="V148" i="16"/>
  <c r="L282" i="11"/>
  <c r="L338" i="11"/>
  <c r="M333" i="11" s="1"/>
  <c r="N227" i="11"/>
  <c r="N102" i="11"/>
  <c r="N84" i="11"/>
  <c r="V100" i="39"/>
  <c r="V101" i="39" s="1"/>
  <c r="V100" i="38"/>
  <c r="V101" i="38" s="1"/>
  <c r="V100" i="36"/>
  <c r="V101" i="36" s="1"/>
  <c r="V100" i="37"/>
  <c r="V101" i="37" s="1"/>
  <c r="V100" i="35"/>
  <c r="V101" i="35" s="1"/>
  <c r="V100" i="34"/>
  <c r="V101" i="34" s="1"/>
  <c r="V12" i="5"/>
  <c r="V100" i="16"/>
  <c r="V101" i="16" s="1"/>
  <c r="V12" i="34"/>
  <c r="N209" i="11"/>
  <c r="M757" i="11"/>
  <c r="U128" i="38"/>
  <c r="U21" i="38"/>
  <c r="U128" i="16"/>
  <c r="S204" i="11"/>
  <c r="R258" i="11"/>
  <c r="R213" i="11"/>
  <c r="T80" i="34"/>
  <c r="S206" i="11"/>
  <c r="S215" i="11" s="1"/>
  <c r="S326" i="11" s="1"/>
  <c r="R260" i="11"/>
  <c r="R325" i="11" s="1"/>
  <c r="T62" i="37"/>
  <c r="T8" i="37"/>
  <c r="V172" i="37"/>
  <c r="V148" i="38"/>
  <c r="V145" i="38"/>
  <c r="T81" i="38"/>
  <c r="T82" i="38" s="1"/>
  <c r="T20" i="38"/>
  <c r="AG139" i="55"/>
  <c r="V128" i="35"/>
  <c r="V21" i="35"/>
  <c r="V104" i="35" s="1"/>
  <c r="V196" i="35" s="1"/>
  <c r="V148" i="39"/>
  <c r="V145" i="39"/>
  <c r="P334" i="11"/>
  <c r="AH143" i="56"/>
  <c r="S142" i="37"/>
  <c r="S142" i="34"/>
  <c r="S142" i="5"/>
  <c r="S142" i="35"/>
  <c r="S73" i="5"/>
  <c r="AH143" i="50"/>
  <c r="S142" i="16"/>
  <c r="AH143" i="55"/>
  <c r="S114" i="5"/>
  <c r="S51" i="5"/>
  <c r="S171" i="5"/>
  <c r="AH143" i="51"/>
  <c r="S142" i="39"/>
  <c r="S142" i="38"/>
  <c r="AH143" i="52"/>
  <c r="S142" i="36"/>
  <c r="S118" i="5"/>
  <c r="S388" i="5" s="1"/>
  <c r="AH143" i="53"/>
  <c r="S113" i="5"/>
  <c r="S317" i="5" s="1"/>
  <c r="AH143" i="26"/>
  <c r="AH143" i="54"/>
  <c r="V37" i="11"/>
  <c r="V55" i="11"/>
  <c r="W46" i="11"/>
  <c r="Q78" i="39"/>
  <c r="Q77" i="39"/>
  <c r="L283" i="11"/>
  <c r="T67" i="39" s="1"/>
  <c r="L347" i="11"/>
  <c r="M342" i="11" s="1"/>
  <c r="AG139" i="26"/>
  <c r="R7" i="36"/>
  <c r="R54" i="36"/>
  <c r="AT20" i="36"/>
  <c r="AG3" i="52" s="1"/>
  <c r="L280" i="11"/>
  <c r="T67" i="36" s="1"/>
  <c r="L320" i="11"/>
  <c r="M315" i="11" s="1"/>
  <c r="M320" i="11" s="1"/>
  <c r="N315" i="11" s="1"/>
  <c r="N120" i="11"/>
  <c r="W33" i="11"/>
  <c r="W51" i="11"/>
  <c r="X42" i="11"/>
  <c r="N173" i="11"/>
  <c r="N155" i="11" s="1"/>
  <c r="U173" i="37"/>
  <c r="U48" i="37"/>
  <c r="U110" i="37"/>
  <c r="U244" i="37" s="1"/>
  <c r="U81" i="35"/>
  <c r="U82" i="35" s="1"/>
  <c r="U20" i="35"/>
  <c r="S7" i="35"/>
  <c r="S57" i="35"/>
  <c r="S54" i="35"/>
  <c r="AU20" i="35"/>
  <c r="AH3" i="51" s="1"/>
  <c r="Q308" i="11"/>
  <c r="T81" i="36"/>
  <c r="T82" i="36" s="1"/>
  <c r="T20" i="36"/>
  <c r="G233" i="53"/>
  <c r="O475" i="11"/>
  <c r="O466" i="11"/>
  <c r="O408" i="11"/>
  <c r="O457" i="11"/>
  <c r="O118" i="11"/>
  <c r="O127" i="11"/>
  <c r="W12" i="38"/>
  <c r="P81" i="11"/>
  <c r="P109" i="11" s="1"/>
  <c r="T198" i="11"/>
  <c r="T63" i="11"/>
  <c r="T137" i="11"/>
  <c r="T47" i="35"/>
  <c r="E233" i="51"/>
  <c r="K628" i="11"/>
  <c r="AT20" i="35"/>
  <c r="AG3" i="51" s="1"/>
  <c r="R7" i="35"/>
  <c r="R54" i="35"/>
  <c r="U199" i="11"/>
  <c r="U64" i="11"/>
  <c r="U138" i="11"/>
  <c r="R84" i="39"/>
  <c r="J885" i="11"/>
  <c r="R9" i="39"/>
  <c r="P463" i="11"/>
  <c r="P454" i="11"/>
  <c r="P472" i="11"/>
  <c r="P405" i="11"/>
  <c r="P115" i="11"/>
  <c r="P124" i="11"/>
  <c r="X12" i="35"/>
  <c r="Q78" i="11"/>
  <c r="U94" i="16"/>
  <c r="AG139" i="54"/>
  <c r="E166" i="56"/>
  <c r="G166" i="56" s="1"/>
  <c r="G166" i="55"/>
  <c r="AT20" i="16"/>
  <c r="R7" i="16"/>
  <c r="J7" i="11" s="1"/>
  <c r="E166" i="26"/>
  <c r="G166" i="26" s="1"/>
  <c r="R54" i="16"/>
  <c r="G166" i="52"/>
  <c r="G166" i="51"/>
  <c r="G166" i="53"/>
  <c r="G166" i="54"/>
  <c r="V28" i="37"/>
  <c r="AK136" i="53" s="1"/>
  <c r="W36" i="36"/>
  <c r="S54" i="38"/>
  <c r="O92" i="11"/>
  <c r="P87" i="11"/>
  <c r="N503" i="11"/>
  <c r="N512" i="11" s="1"/>
  <c r="K631" i="11"/>
  <c r="K812" i="11" s="1"/>
  <c r="R84" i="38"/>
  <c r="J884" i="11"/>
  <c r="R9" i="38"/>
  <c r="J812" i="11"/>
  <c r="V195" i="11"/>
  <c r="V134" i="11"/>
  <c r="V60" i="11"/>
  <c r="U62" i="37"/>
  <c r="U8" i="37"/>
  <c r="W148" i="36"/>
  <c r="W145" i="36"/>
  <c r="N755" i="11"/>
  <c r="V128" i="36"/>
  <c r="V21" i="36"/>
  <c r="U80" i="39"/>
  <c r="T34" i="11"/>
  <c r="T52" i="11"/>
  <c r="U43" i="11"/>
  <c r="T41" i="11"/>
  <c r="T47" i="11"/>
  <c r="S113" i="37"/>
  <c r="S317" i="37" s="1"/>
  <c r="S73" i="37"/>
  <c r="S51" i="37"/>
  <c r="E167" i="53" s="1"/>
  <c r="S118" i="37"/>
  <c r="S388" i="37" s="1"/>
  <c r="S114" i="37"/>
  <c r="S171" i="37"/>
  <c r="T81" i="16"/>
  <c r="T82" i="16" s="1"/>
  <c r="T20" i="16"/>
  <c r="U35" i="11"/>
  <c r="U53" i="11"/>
  <c r="V44" i="11"/>
  <c r="W145" i="35"/>
  <c r="W148" i="35"/>
  <c r="R434" i="11"/>
  <c r="R775" i="11" s="1"/>
  <c r="Z19" i="37"/>
  <c r="Q216" i="11"/>
  <c r="Y128" i="37"/>
  <c r="Y21" i="37"/>
  <c r="AG139" i="52"/>
  <c r="K630" i="11"/>
  <c r="K811" i="11" s="1"/>
  <c r="R84" i="37"/>
  <c r="J883" i="11"/>
  <c r="R9" i="37"/>
  <c r="J811" i="11"/>
  <c r="J633" i="11"/>
  <c r="J814" i="11" s="1"/>
  <c r="S115" i="34"/>
  <c r="S340" i="34" s="1"/>
  <c r="S72" i="34"/>
  <c r="S53" i="34"/>
  <c r="E177" i="50" s="1"/>
  <c r="S28" i="34"/>
  <c r="T172" i="36"/>
  <c r="T111" i="36"/>
  <c r="T270" i="36" s="1"/>
  <c r="P263" i="11"/>
  <c r="P352" i="11" s="1"/>
  <c r="Z148" i="37"/>
  <c r="Z145" i="37"/>
  <c r="T132" i="34"/>
  <c r="T134" i="34" s="1"/>
  <c r="T36" i="34"/>
  <c r="T36" i="5"/>
  <c r="M758" i="11"/>
  <c r="U128" i="39"/>
  <c r="U21" i="39"/>
  <c r="U104" i="39" s="1"/>
  <c r="U196" i="39" s="1"/>
  <c r="R208" i="11"/>
  <c r="Q217" i="11"/>
  <c r="Q344" i="11" s="1"/>
  <c r="Q262" i="11"/>
  <c r="Q343" i="11" s="1"/>
  <c r="S196" i="11"/>
  <c r="S135" i="11"/>
  <c r="S61" i="11"/>
  <c r="S65" i="11" s="1"/>
  <c r="S56" i="11"/>
  <c r="S180" i="11" s="1"/>
  <c r="S181" i="11" s="1"/>
  <c r="AG143" i="56"/>
  <c r="R142" i="35"/>
  <c r="R142" i="5"/>
  <c r="R51" i="5"/>
  <c r="R142" i="34"/>
  <c r="R73" i="5"/>
  <c r="AG143" i="26"/>
  <c r="R142" i="16"/>
  <c r="AG143" i="54"/>
  <c r="R142" i="39"/>
  <c r="AG143" i="55"/>
  <c r="R171" i="5"/>
  <c r="AG143" i="53"/>
  <c r="R114" i="5"/>
  <c r="R142" i="38"/>
  <c r="AG143" i="51"/>
  <c r="R142" i="37"/>
  <c r="R118" i="5"/>
  <c r="R388" i="5" s="1"/>
  <c r="AG143" i="52"/>
  <c r="R142" i="36"/>
  <c r="R113" i="5"/>
  <c r="R317" i="5" s="1"/>
  <c r="AG143" i="50"/>
  <c r="T197" i="11"/>
  <c r="T136" i="11"/>
  <c r="T62" i="11"/>
  <c r="T80" i="11" s="1"/>
  <c r="J813" i="11"/>
  <c r="O83" i="11"/>
  <c r="W12" i="16" s="1"/>
  <c r="T111" i="39"/>
  <c r="T270" i="39" s="1"/>
  <c r="T172" i="39"/>
  <c r="T81" i="35"/>
  <c r="T82" i="35" s="1"/>
  <c r="T20" i="35"/>
  <c r="T81" i="39"/>
  <c r="T82" i="39" s="1"/>
  <c r="T20" i="39"/>
  <c r="U53" i="35"/>
  <c r="E179" i="51" s="1"/>
  <c r="U72" i="35"/>
  <c r="U115" i="35"/>
  <c r="U340" i="35" s="1"/>
  <c r="U28" i="35"/>
  <c r="AJ136" i="51" s="1"/>
  <c r="S115" i="16"/>
  <c r="S340" i="16" s="1"/>
  <c r="S72" i="16"/>
  <c r="S53" i="16"/>
  <c r="S28" i="16"/>
  <c r="U132" i="39"/>
  <c r="U134" i="39" s="1"/>
  <c r="U36" i="39"/>
  <c r="N502" i="11"/>
  <c r="N511" i="11" s="1"/>
  <c r="U36" i="11"/>
  <c r="U54" i="11"/>
  <c r="V45" i="11"/>
  <c r="I814" i="11"/>
  <c r="Q84" i="34"/>
  <c r="I886" i="11"/>
  <c r="I9" i="11"/>
  <c r="Q9" i="5"/>
  <c r="Q9" i="34"/>
  <c r="T104" i="38"/>
  <c r="T196" i="38" s="1"/>
  <c r="L190" i="11"/>
  <c r="L191" i="11" s="1"/>
  <c r="E233" i="54"/>
  <c r="S32" i="11"/>
  <c r="S38" i="11"/>
  <c r="L275" i="11"/>
  <c r="L273" i="11"/>
  <c r="M268" i="11" s="1"/>
  <c r="O170" i="11"/>
  <c r="O152" i="11" s="1"/>
  <c r="X97" i="11"/>
  <c r="X98" i="11"/>
  <c r="X99" i="11"/>
  <c r="X101" i="11"/>
  <c r="X100" i="11"/>
  <c r="Y96" i="11"/>
  <c r="R205" i="11"/>
  <c r="R214" i="11" s="1"/>
  <c r="R317" i="11" s="1"/>
  <c r="Q259" i="11"/>
  <c r="Q316" i="11" s="1"/>
  <c r="L759" i="11"/>
  <c r="T21" i="5"/>
  <c r="T20" i="5" s="1"/>
  <c r="T128" i="34"/>
  <c r="T21" i="34"/>
  <c r="AG139" i="53"/>
  <c r="AG139" i="51"/>
  <c r="R495" i="11"/>
  <c r="R496" i="11" s="1"/>
  <c r="R486" i="11"/>
  <c r="R487" i="11" s="1"/>
  <c r="R200" i="11"/>
  <c r="R139" i="11"/>
  <c r="E233" i="52"/>
  <c r="K629" i="11"/>
  <c r="P406" i="11"/>
  <c r="P455" i="11"/>
  <c r="P473" i="11"/>
  <c r="P464" i="11"/>
  <c r="P125" i="11"/>
  <c r="X12" i="36"/>
  <c r="L355" i="11"/>
  <c r="L384" i="11"/>
  <c r="N378" i="11"/>
  <c r="S57" i="36"/>
  <c r="S59" i="36" s="1"/>
  <c r="S54" i="36"/>
  <c r="AU20" i="36"/>
  <c r="AH3" i="52" s="1"/>
  <c r="S7" i="36"/>
  <c r="O476" i="11"/>
  <c r="O467" i="11"/>
  <c r="O458" i="11"/>
  <c r="O409" i="11"/>
  <c r="O128" i="11"/>
  <c r="O119" i="11"/>
  <c r="W12" i="39"/>
  <c r="P82" i="11"/>
  <c r="K623" i="11"/>
  <c r="K624" i="11" s="1"/>
  <c r="E233" i="26" s="1"/>
  <c r="W20" i="37"/>
  <c r="W81" i="37"/>
  <c r="W82" i="37" s="1"/>
  <c r="T72" i="37"/>
  <c r="T53" i="37"/>
  <c r="E178" i="53" s="1"/>
  <c r="T115" i="37"/>
  <c r="T340" i="37" s="1"/>
  <c r="T28" i="37"/>
  <c r="U132" i="38"/>
  <c r="U134" i="38" s="1"/>
  <c r="U36" i="38"/>
  <c r="U36" i="16"/>
  <c r="U132" i="16"/>
  <c r="U134" i="16" s="1"/>
  <c r="U132" i="5"/>
  <c r="U134" i="5" s="1"/>
  <c r="S51" i="39"/>
  <c r="E167" i="55" s="1"/>
  <c r="S73" i="39"/>
  <c r="S113" i="39"/>
  <c r="S317" i="39" s="1"/>
  <c r="S171" i="39"/>
  <c r="S114" i="39"/>
  <c r="S118" i="39"/>
  <c r="S388" i="39" s="1"/>
  <c r="R144" i="12" l="1"/>
  <c r="R120" i="12"/>
  <c r="R128" i="12"/>
  <c r="R136" i="12"/>
  <c r="R103" i="12"/>
  <c r="R111" i="12" s="1"/>
  <c r="R85" i="12"/>
  <c r="R94" i="12" s="1"/>
  <c r="R32" i="12"/>
  <c r="R41" i="12" s="1"/>
  <c r="AB138" i="34"/>
  <c r="AB71" i="34"/>
  <c r="R652" i="11"/>
  <c r="X34" i="34"/>
  <c r="O143" i="12"/>
  <c r="O102" i="12"/>
  <c r="O110" i="12" s="1"/>
  <c r="O112" i="12" s="1"/>
  <c r="O119" i="12"/>
  <c r="O127" i="12"/>
  <c r="O84" i="12"/>
  <c r="O93" i="12" s="1"/>
  <c r="O31" i="12"/>
  <c r="O40" i="12" s="1"/>
  <c r="O135" i="12"/>
  <c r="C169" i="11"/>
  <c r="B82" i="8"/>
  <c r="O148" i="12"/>
  <c r="O156" i="12" s="1"/>
  <c r="O95" i="12"/>
  <c r="S89" i="11"/>
  <c r="O147" i="12"/>
  <c r="O155" i="12" s="1"/>
  <c r="P21" i="12"/>
  <c r="R83" i="12"/>
  <c r="R92" i="12" s="1"/>
  <c r="R118" i="12"/>
  <c r="R149" i="12" s="1"/>
  <c r="R157" i="12" s="1"/>
  <c r="R101" i="12"/>
  <c r="R109" i="12" s="1"/>
  <c r="R142" i="12"/>
  <c r="R126" i="12"/>
  <c r="R39" i="12"/>
  <c r="R134" i="12"/>
  <c r="R30" i="12"/>
  <c r="R456" i="11"/>
  <c r="O37" i="12"/>
  <c r="P20" i="12"/>
  <c r="U768" i="11"/>
  <c r="V763" i="11"/>
  <c r="AC138" i="35"/>
  <c r="AC71" i="35"/>
  <c r="AC138" i="5"/>
  <c r="AC71" i="16"/>
  <c r="AC138" i="16"/>
  <c r="Y767" i="11"/>
  <c r="AF138" i="39"/>
  <c r="AF71" i="39"/>
  <c r="M778" i="11"/>
  <c r="V111" i="36"/>
  <c r="V270" i="36" s="1"/>
  <c r="V19" i="39"/>
  <c r="O836" i="11"/>
  <c r="V172" i="36"/>
  <c r="W46" i="35"/>
  <c r="N828" i="11"/>
  <c r="U104" i="38"/>
  <c r="U196" i="38" s="1"/>
  <c r="S407" i="11"/>
  <c r="S425" i="11" s="1"/>
  <c r="U117" i="35"/>
  <c r="U364" i="35" s="1"/>
  <c r="AJ137" i="51"/>
  <c r="W72" i="37"/>
  <c r="E150" i="53"/>
  <c r="O872" i="11"/>
  <c r="N320" i="11"/>
  <c r="O315" i="11" s="1"/>
  <c r="W53" i="37"/>
  <c r="W58" i="37" s="1"/>
  <c r="AJ137" i="52"/>
  <c r="U172" i="36"/>
  <c r="U111" i="36"/>
  <c r="U270" i="36" s="1"/>
  <c r="U172" i="35"/>
  <c r="W19" i="35"/>
  <c r="X43" i="34"/>
  <c r="P552" i="11"/>
  <c r="U36" i="5"/>
  <c r="U47" i="5" s="1"/>
  <c r="U117" i="5" s="1"/>
  <c r="U364" i="5" s="1"/>
  <c r="P850" i="11"/>
  <c r="M254" i="11"/>
  <c r="M272" i="11" s="1"/>
  <c r="M275" i="11" s="1"/>
  <c r="U72" i="5" s="1"/>
  <c r="U132" i="34"/>
  <c r="U134" i="34" s="1"/>
  <c r="U64" i="37"/>
  <c r="S57" i="38"/>
  <c r="S59" i="38" s="1"/>
  <c r="X33" i="34"/>
  <c r="AU20" i="38"/>
  <c r="AH3" i="54" s="1"/>
  <c r="V132" i="35"/>
  <c r="V134" i="35" s="1"/>
  <c r="V36" i="35"/>
  <c r="V47" i="35" s="1"/>
  <c r="Q692" i="11"/>
  <c r="N827" i="11"/>
  <c r="M774" i="11"/>
  <c r="U21" i="36"/>
  <c r="M828" i="11"/>
  <c r="M755" i="11"/>
  <c r="U128" i="36"/>
  <c r="W47" i="36"/>
  <c r="S7" i="38"/>
  <c r="R54" i="34"/>
  <c r="Q749" i="11"/>
  <c r="R663" i="11"/>
  <c r="Z32" i="39" s="1"/>
  <c r="Q556" i="11"/>
  <c r="V111" i="37"/>
  <c r="V270" i="37" s="1"/>
  <c r="AK137" i="53"/>
  <c r="Y104" i="37"/>
  <c r="Y196" i="37" s="1"/>
  <c r="Q846" i="11"/>
  <c r="Q550" i="11"/>
  <c r="Q655" i="11"/>
  <c r="Y31" i="5" s="1"/>
  <c r="U72" i="39"/>
  <c r="M899" i="11"/>
  <c r="M401" i="11"/>
  <c r="Q656" i="11"/>
  <c r="V58" i="37"/>
  <c r="AW21" i="36"/>
  <c r="AJ4" i="52" s="1"/>
  <c r="U58" i="36"/>
  <c r="N139" i="11"/>
  <c r="N189" i="11" s="1"/>
  <c r="AX21" i="37"/>
  <c r="AK4" i="53" s="1"/>
  <c r="N379" i="11"/>
  <c r="AK137" i="52"/>
  <c r="M382" i="11"/>
  <c r="R660" i="11"/>
  <c r="Z32" i="36" s="1"/>
  <c r="Q719" i="11"/>
  <c r="R687" i="11"/>
  <c r="Z35" i="36" s="1"/>
  <c r="Q558" i="11"/>
  <c r="R678" i="11"/>
  <c r="Z34" i="36" s="1"/>
  <c r="R654" i="11"/>
  <c r="Z31" i="39" s="1"/>
  <c r="R733" i="11"/>
  <c r="Z43" i="35" s="1"/>
  <c r="N428" i="11"/>
  <c r="V19" i="16" s="1"/>
  <c r="V80" i="16" s="1"/>
  <c r="U128" i="5"/>
  <c r="R713" i="11"/>
  <c r="Z41" i="35" s="1"/>
  <c r="R737" i="11"/>
  <c r="Z43" i="39" s="1"/>
  <c r="M157" i="11"/>
  <c r="R9" i="16"/>
  <c r="R736" i="11"/>
  <c r="Z43" i="38" s="1"/>
  <c r="R714" i="11"/>
  <c r="Z41" i="36" s="1"/>
  <c r="V46" i="16"/>
  <c r="U53" i="39"/>
  <c r="E179" i="55" s="1"/>
  <c r="W134" i="36"/>
  <c r="P892" i="11"/>
  <c r="M374" i="11"/>
  <c r="M347" i="11"/>
  <c r="N342" i="11" s="1"/>
  <c r="P838" i="11"/>
  <c r="W28" i="37"/>
  <c r="AL136" i="53" s="1"/>
  <c r="N435" i="11"/>
  <c r="N776" i="11" s="1"/>
  <c r="W19" i="36"/>
  <c r="W80" i="36" s="1"/>
  <c r="X46" i="37"/>
  <c r="X47" i="37" s="1"/>
  <c r="AM137" i="53" s="1"/>
  <c r="AT20" i="34"/>
  <c r="AG3" i="50" s="1"/>
  <c r="R7" i="34"/>
  <c r="V72" i="36"/>
  <c r="V53" i="36"/>
  <c r="E180" i="52" s="1"/>
  <c r="P116" i="11"/>
  <c r="P171" i="11" s="1"/>
  <c r="R669" i="11"/>
  <c r="Z33" i="36" s="1"/>
  <c r="V28" i="36"/>
  <c r="AK136" i="52" s="1"/>
  <c r="Q739" i="11"/>
  <c r="Q683" i="11"/>
  <c r="R734" i="11"/>
  <c r="Z43" i="36" s="1"/>
  <c r="R690" i="11"/>
  <c r="Z35" i="39" s="1"/>
  <c r="Q746" i="11"/>
  <c r="Y133" i="39" s="1"/>
  <c r="Q682" i="11"/>
  <c r="Y34" i="5" s="1"/>
  <c r="R651" i="11"/>
  <c r="R715" i="11"/>
  <c r="Z41" i="37" s="1"/>
  <c r="R672" i="11"/>
  <c r="Z33" i="39" s="1"/>
  <c r="P836" i="11"/>
  <c r="X133" i="35"/>
  <c r="X46" i="35"/>
  <c r="N364" i="11"/>
  <c r="N876" i="11"/>
  <c r="Q116" i="11"/>
  <c r="Y12" i="36"/>
  <c r="Y148" i="36" s="1"/>
  <c r="R79" i="11"/>
  <c r="V19" i="5"/>
  <c r="U47" i="39"/>
  <c r="E143" i="53"/>
  <c r="O427" i="11"/>
  <c r="O436" i="11" s="1"/>
  <c r="O777" i="11" s="1"/>
  <c r="O138" i="11"/>
  <c r="O147" i="11" s="1"/>
  <c r="O876" i="11" s="1"/>
  <c r="Q464" i="11"/>
  <c r="V117" i="35"/>
  <c r="V364" i="35" s="1"/>
  <c r="AK137" i="51"/>
  <c r="P587" i="11"/>
  <c r="P596" i="11" s="1"/>
  <c r="P605" i="11" s="1"/>
  <c r="V133" i="5"/>
  <c r="V46" i="34"/>
  <c r="V133" i="34"/>
  <c r="N895" i="11"/>
  <c r="N841" i="11"/>
  <c r="Q473" i="11"/>
  <c r="U47" i="38"/>
  <c r="U172" i="38" s="1"/>
  <c r="Q455" i="11"/>
  <c r="T117" i="35"/>
  <c r="T364" i="35" s="1"/>
  <c r="AI137" i="51"/>
  <c r="P424" i="11"/>
  <c r="P433" i="11" s="1"/>
  <c r="P135" i="11"/>
  <c r="P144" i="11" s="1"/>
  <c r="O249" i="11"/>
  <c r="O310" i="11" s="1"/>
  <c r="O279" i="11" s="1"/>
  <c r="W67" i="35" s="1"/>
  <c r="O369" i="11"/>
  <c r="O378" i="11" s="1"/>
  <c r="T47" i="34"/>
  <c r="O426" i="11"/>
  <c r="O137" i="11"/>
  <c r="M148" i="11"/>
  <c r="M875" i="11"/>
  <c r="M363" i="11"/>
  <c r="E141" i="52"/>
  <c r="E143" i="52" s="1"/>
  <c r="U117" i="34"/>
  <c r="U364" i="34" s="1"/>
  <c r="AJ137" i="50"/>
  <c r="N252" i="11"/>
  <c r="N337" i="11" s="1"/>
  <c r="N282" i="11" s="1"/>
  <c r="N372" i="11"/>
  <c r="W37" i="34"/>
  <c r="W37" i="5"/>
  <c r="Q88" i="11"/>
  <c r="R88" i="11" s="1"/>
  <c r="U19" i="5"/>
  <c r="U19" i="34"/>
  <c r="U80" i="34" s="1"/>
  <c r="N146" i="11"/>
  <c r="W117" i="36"/>
  <c r="W364" i="36" s="1"/>
  <c r="AL137" i="52"/>
  <c r="O250" i="11"/>
  <c r="O319" i="11" s="1"/>
  <c r="O280" i="11" s="1"/>
  <c r="W67" i="36" s="1"/>
  <c r="E150" i="52" s="1"/>
  <c r="O370" i="11"/>
  <c r="AD370" i="11" s="1"/>
  <c r="P709" i="11"/>
  <c r="P747" i="11" s="1"/>
  <c r="X37" i="35"/>
  <c r="X37" i="16"/>
  <c r="Q743" i="11"/>
  <c r="Y133" i="36" s="1"/>
  <c r="O144" i="11"/>
  <c r="O828" i="11" s="1"/>
  <c r="P775" i="11"/>
  <c r="X21" i="37"/>
  <c r="X128" i="37"/>
  <c r="P91" i="11"/>
  <c r="P110" i="11"/>
  <c r="P111" i="11" s="1"/>
  <c r="N253" i="11"/>
  <c r="N346" i="11" s="1"/>
  <c r="N283" i="11" s="1"/>
  <c r="V67" i="39" s="1"/>
  <c r="V72" i="39" s="1"/>
  <c r="N373" i="11"/>
  <c r="O397" i="11"/>
  <c r="W94" i="36" s="1"/>
  <c r="N157" i="11"/>
  <c r="AH136" i="50"/>
  <c r="U118" i="37"/>
  <c r="U388" i="37" s="1"/>
  <c r="AJ138" i="53"/>
  <c r="AI136" i="53"/>
  <c r="L385" i="11"/>
  <c r="R659" i="11"/>
  <c r="Z32" i="35" s="1"/>
  <c r="Q560" i="11"/>
  <c r="R662" i="11"/>
  <c r="Z32" i="38" s="1"/>
  <c r="O459" i="11"/>
  <c r="R680" i="11"/>
  <c r="Z34" i="38" s="1"/>
  <c r="R717" i="11"/>
  <c r="Z41" i="39" s="1"/>
  <c r="Q559" i="11"/>
  <c r="O468" i="11"/>
  <c r="Q665" i="11"/>
  <c r="V104" i="36"/>
  <c r="V196" i="36" s="1"/>
  <c r="O477" i="11"/>
  <c r="O478" i="11" s="1"/>
  <c r="N399" i="11"/>
  <c r="R689" i="11"/>
  <c r="Z35" i="38" s="1"/>
  <c r="R650" i="11"/>
  <c r="Z31" i="35" s="1"/>
  <c r="Q674" i="11"/>
  <c r="O784" i="11"/>
  <c r="R681" i="11"/>
  <c r="Z34" i="39" s="1"/>
  <c r="U28" i="39"/>
  <c r="N400" i="11"/>
  <c r="V94" i="39" s="1"/>
  <c r="N311" i="11"/>
  <c r="O306" i="11" s="1"/>
  <c r="Q673" i="11"/>
  <c r="Y33" i="5" s="1"/>
  <c r="Z35" i="35"/>
  <c r="Q578" i="11"/>
  <c r="Q785" i="11" s="1"/>
  <c r="Y23" i="39"/>
  <c r="Z31" i="38"/>
  <c r="Y33" i="16"/>
  <c r="O396" i="11"/>
  <c r="W94" i="35" s="1"/>
  <c r="R84" i="16"/>
  <c r="N831" i="11"/>
  <c r="R398" i="11"/>
  <c r="Z94" i="37" s="1"/>
  <c r="P269" i="11"/>
  <c r="Q534" i="11"/>
  <c r="Q561" i="11" s="1"/>
  <c r="Y147" i="35"/>
  <c r="Y112" i="35"/>
  <c r="Y294" i="35" s="1"/>
  <c r="Y31" i="16"/>
  <c r="S521" i="11"/>
  <c r="S714" i="11" s="1"/>
  <c r="R530" i="11"/>
  <c r="R557" i="11" s="1"/>
  <c r="Z13" i="36"/>
  <c r="R566" i="11"/>
  <c r="R696" i="11"/>
  <c r="R705" i="11" s="1"/>
  <c r="Z37" i="36" s="1"/>
  <c r="R846" i="11"/>
  <c r="R661" i="11"/>
  <c r="R670" i="11"/>
  <c r="Z33" i="37" s="1"/>
  <c r="P575" i="11"/>
  <c r="P782" i="11" s="1"/>
  <c r="X23" i="36"/>
  <c r="Q539" i="11"/>
  <c r="Y35" i="37"/>
  <c r="O508" i="11"/>
  <c r="M867" i="11"/>
  <c r="M903" i="11"/>
  <c r="M866" i="11"/>
  <c r="M902" i="11"/>
  <c r="P840" i="11"/>
  <c r="X133" i="39"/>
  <c r="X46" i="39"/>
  <c r="P894" i="11"/>
  <c r="R677" i="11"/>
  <c r="V42" i="6"/>
  <c r="Y147" i="5"/>
  <c r="X112" i="5"/>
  <c r="X294" i="5" s="1"/>
  <c r="Y112" i="36"/>
  <c r="Y294" i="36" s="1"/>
  <c r="Y147" i="36"/>
  <c r="W90" i="38"/>
  <c r="S522" i="11"/>
  <c r="S652" i="11" s="1"/>
  <c r="R697" i="11"/>
  <c r="R706" i="11" s="1"/>
  <c r="Z37" i="37" s="1"/>
  <c r="R567" i="11"/>
  <c r="R531" i="11"/>
  <c r="R549" i="11" s="1"/>
  <c r="Z13" i="37"/>
  <c r="Q78" i="16"/>
  <c r="Q77" i="16"/>
  <c r="R671" i="11"/>
  <c r="Z33" i="38" s="1"/>
  <c r="P543" i="11"/>
  <c r="P574" i="11"/>
  <c r="P583" i="11" s="1"/>
  <c r="P592" i="11" s="1"/>
  <c r="X23" i="35"/>
  <c r="Q538" i="11"/>
  <c r="W25" i="36"/>
  <c r="W105" i="36" s="1"/>
  <c r="W220" i="36" s="1"/>
  <c r="W129" i="36"/>
  <c r="Q547" i="11"/>
  <c r="Q83" i="39"/>
  <c r="R76" i="39" s="1"/>
  <c r="R77" i="39" s="1"/>
  <c r="Y13" i="16"/>
  <c r="Y13" i="5"/>
  <c r="Y13" i="34"/>
  <c r="Y99" i="39"/>
  <c r="Y99" i="16"/>
  <c r="Y99" i="38"/>
  <c r="Y99" i="37"/>
  <c r="Y99" i="36"/>
  <c r="Y99" i="34"/>
  <c r="Y99" i="35"/>
  <c r="N605" i="11"/>
  <c r="N614" i="11"/>
  <c r="O614" i="11" s="1"/>
  <c r="W91" i="39"/>
  <c r="W92" i="39" s="1"/>
  <c r="W24" i="39"/>
  <c r="W63" i="39" s="1"/>
  <c r="V90" i="34"/>
  <c r="V91" i="36"/>
  <c r="V92" i="36" s="1"/>
  <c r="V24" i="36"/>
  <c r="W25" i="38"/>
  <c r="W105" i="38" s="1"/>
  <c r="W220" i="38" s="1"/>
  <c r="W129" i="38"/>
  <c r="Y147" i="37"/>
  <c r="R688" i="11"/>
  <c r="Z35" i="37" s="1"/>
  <c r="S524" i="11"/>
  <c r="R699" i="11"/>
  <c r="R708" i="11" s="1"/>
  <c r="Z37" i="39" s="1"/>
  <c r="R569" i="11"/>
  <c r="R533" i="11"/>
  <c r="R542" i="11" s="1"/>
  <c r="Z13" i="39"/>
  <c r="R849" i="11"/>
  <c r="N504" i="11"/>
  <c r="N505" i="11" s="1"/>
  <c r="Y147" i="38"/>
  <c r="W90" i="35"/>
  <c r="Y34" i="36"/>
  <c r="U24" i="16"/>
  <c r="U91" i="16"/>
  <c r="U92" i="16" s="1"/>
  <c r="W133" i="16"/>
  <c r="W133" i="5"/>
  <c r="W46" i="16"/>
  <c r="W133" i="34"/>
  <c r="W46" i="34"/>
  <c r="O841" i="11"/>
  <c r="O895" i="11"/>
  <c r="V91" i="35"/>
  <c r="V92" i="35" s="1"/>
  <c r="V24" i="35"/>
  <c r="V63" i="35" s="1"/>
  <c r="Q551" i="11"/>
  <c r="W90" i="36"/>
  <c r="Y35" i="36"/>
  <c r="X90" i="39"/>
  <c r="L868" i="11"/>
  <c r="L904" i="11"/>
  <c r="N513" i="11"/>
  <c r="V36" i="5" s="1"/>
  <c r="V47" i="5" s="1"/>
  <c r="V117" i="5" s="1"/>
  <c r="V364" i="5" s="1"/>
  <c r="P143" i="11"/>
  <c r="P872" i="11" s="1"/>
  <c r="P83" i="11"/>
  <c r="X100" i="38" s="1"/>
  <c r="X101" i="38" s="1"/>
  <c r="Q570" i="11"/>
  <c r="Q704" i="11"/>
  <c r="Q742" i="11" s="1"/>
  <c r="Q700" i="11"/>
  <c r="Y34" i="16"/>
  <c r="W112" i="34"/>
  <c r="W294" i="34" s="1"/>
  <c r="E140" i="26"/>
  <c r="W23" i="16"/>
  <c r="W23" i="5"/>
  <c r="W23" i="34"/>
  <c r="Y33" i="37"/>
  <c r="Y112" i="37" s="1"/>
  <c r="Y294" i="37" s="1"/>
  <c r="W112" i="5"/>
  <c r="W294" i="5" s="1"/>
  <c r="O584" i="11"/>
  <c r="P329" i="11"/>
  <c r="Q324" i="11" s="1"/>
  <c r="O603" i="11"/>
  <c r="O612" i="11"/>
  <c r="N604" i="11"/>
  <c r="N613" i="11"/>
  <c r="O613" i="11" s="1"/>
  <c r="X25" i="39"/>
  <c r="X105" i="39" s="1"/>
  <c r="X220" i="39" s="1"/>
  <c r="X129" i="39"/>
  <c r="Q744" i="11"/>
  <c r="K632" i="11"/>
  <c r="S84" i="39" s="1"/>
  <c r="U21" i="16"/>
  <c r="U20" i="16" s="1"/>
  <c r="P576" i="11"/>
  <c r="P783" i="11" s="1"/>
  <c r="X23" i="37"/>
  <c r="Q540" i="11"/>
  <c r="Q738" i="11"/>
  <c r="Y43" i="35"/>
  <c r="R679" i="11"/>
  <c r="Q894" i="11"/>
  <c r="N588" i="11"/>
  <c r="N592" i="11"/>
  <c r="Y43" i="38"/>
  <c r="X32" i="16"/>
  <c r="X32" i="5"/>
  <c r="X32" i="34"/>
  <c r="W25" i="35"/>
  <c r="W105" i="35" s="1"/>
  <c r="W220" i="35" s="1"/>
  <c r="W129" i="35"/>
  <c r="O579" i="11"/>
  <c r="Q548" i="11"/>
  <c r="V129" i="5"/>
  <c r="V25" i="16"/>
  <c r="V105" i="16" s="1"/>
  <c r="V220" i="16" s="1"/>
  <c r="V129" i="16"/>
  <c r="V25" i="34"/>
  <c r="V105" i="34" s="1"/>
  <c r="V220" i="34" s="1"/>
  <c r="V25" i="5"/>
  <c r="V24" i="5" s="1"/>
  <c r="V63" i="5" s="1"/>
  <c r="V129" i="34"/>
  <c r="N864" i="11"/>
  <c r="N900" i="11"/>
  <c r="P423" i="11"/>
  <c r="X19" i="35" s="1"/>
  <c r="S520" i="11"/>
  <c r="S713" i="11" s="1"/>
  <c r="Z13" i="35"/>
  <c r="R695" i="11"/>
  <c r="R565" i="11"/>
  <c r="R529" i="11"/>
  <c r="R556" i="11" s="1"/>
  <c r="R525" i="11"/>
  <c r="X147" i="34"/>
  <c r="X112" i="34"/>
  <c r="X294" i="34" s="1"/>
  <c r="W117" i="37"/>
  <c r="W364" i="37" s="1"/>
  <c r="W172" i="37"/>
  <c r="W111" i="37"/>
  <c r="W270" i="37" s="1"/>
  <c r="T89" i="11"/>
  <c r="Y112" i="39"/>
  <c r="Y294" i="39" s="1"/>
  <c r="Y147" i="39"/>
  <c r="O410" i="11"/>
  <c r="T117" i="16"/>
  <c r="T364" i="16" s="1"/>
  <c r="AI137" i="26"/>
  <c r="T111" i="16"/>
  <c r="T270" i="16" s="1"/>
  <c r="AI137" i="56"/>
  <c r="T172" i="16"/>
  <c r="Y41" i="36"/>
  <c r="V63" i="39"/>
  <c r="O129" i="11"/>
  <c r="O583" i="11"/>
  <c r="E138" i="56"/>
  <c r="E138" i="26"/>
  <c r="W91" i="37"/>
  <c r="W92" i="37" s="1"/>
  <c r="W24" i="37"/>
  <c r="M610" i="11"/>
  <c r="M601" i="11"/>
  <c r="M597" i="11"/>
  <c r="M615" i="11" s="1"/>
  <c r="Q718" i="11"/>
  <c r="N863" i="11"/>
  <c r="N899" i="11"/>
  <c r="Q125" i="11"/>
  <c r="Q144" i="11" s="1"/>
  <c r="Q361" i="11" s="1"/>
  <c r="Q379" i="11" s="1"/>
  <c r="Q664" i="11"/>
  <c r="Y32" i="35"/>
  <c r="P839" i="11"/>
  <c r="X133" i="38"/>
  <c r="X46" i="38"/>
  <c r="P893" i="11"/>
  <c r="V90" i="16"/>
  <c r="P577" i="11"/>
  <c r="P784" i="11" s="1"/>
  <c r="X23" i="38"/>
  <c r="Q541" i="11"/>
  <c r="Z31" i="37"/>
  <c r="X41" i="16"/>
  <c r="X41" i="5"/>
  <c r="X41" i="34"/>
  <c r="X35" i="16"/>
  <c r="X35" i="5"/>
  <c r="X35" i="34"/>
  <c r="U91" i="34"/>
  <c r="U92" i="34" s="1"/>
  <c r="U24" i="34"/>
  <c r="X72" i="37"/>
  <c r="X53" i="37"/>
  <c r="AZ21" i="37" s="1"/>
  <c r="AM4" i="53" s="1"/>
  <c r="X115" i="37"/>
  <c r="X340" i="37" s="1"/>
  <c r="Y32" i="38"/>
  <c r="Q691" i="11"/>
  <c r="M273" i="11"/>
  <c r="N268" i="11" s="1"/>
  <c r="N175" i="11"/>
  <c r="N188" i="11" s="1"/>
  <c r="Q406" i="11"/>
  <c r="Q424" i="11" s="1"/>
  <c r="Y19" i="36" s="1"/>
  <c r="R668" i="11"/>
  <c r="X147" i="16"/>
  <c r="X112" i="16"/>
  <c r="X294" i="16" s="1"/>
  <c r="Y33" i="38"/>
  <c r="Y112" i="38" s="1"/>
  <c r="Y294" i="38" s="1"/>
  <c r="O604" i="11"/>
  <c r="Q251" i="11"/>
  <c r="Q328" i="11" s="1"/>
  <c r="Q281" i="11" s="1"/>
  <c r="Y67" i="37" s="1"/>
  <c r="Q398" i="11"/>
  <c r="Y94" i="37" s="1"/>
  <c r="R716" i="11"/>
  <c r="Z41" i="38" s="1"/>
  <c r="S523" i="11"/>
  <c r="S653" i="11" s="1"/>
  <c r="R532" i="11"/>
  <c r="R550" i="11" s="1"/>
  <c r="R848" i="11"/>
  <c r="R698" i="11"/>
  <c r="R707" i="11" s="1"/>
  <c r="Z37" i="38" s="1"/>
  <c r="R568" i="11"/>
  <c r="Z13" i="38"/>
  <c r="U24" i="5"/>
  <c r="V105" i="36"/>
  <c r="V220" i="36" s="1"/>
  <c r="Y43" i="39"/>
  <c r="U63" i="35"/>
  <c r="V91" i="38"/>
  <c r="V92" i="38" s="1"/>
  <c r="V24" i="38"/>
  <c r="Y41" i="37"/>
  <c r="E140" i="56"/>
  <c r="Q745" i="11"/>
  <c r="P90" i="11"/>
  <c r="P92" i="11" s="1"/>
  <c r="P353" i="11"/>
  <c r="P270" i="11"/>
  <c r="Q218" i="11"/>
  <c r="Q353" i="11" s="1"/>
  <c r="Q263" i="11"/>
  <c r="Q352" i="11" s="1"/>
  <c r="P209" i="11"/>
  <c r="E233" i="56"/>
  <c r="D134" i="44"/>
  <c r="D134" i="47"/>
  <c r="D134" i="48"/>
  <c r="D134" i="46"/>
  <c r="D134" i="45"/>
  <c r="E233" i="50"/>
  <c r="V36" i="11"/>
  <c r="V54" i="11"/>
  <c r="W45" i="11"/>
  <c r="T474" i="11"/>
  <c r="T465" i="11"/>
  <c r="T407" i="11"/>
  <c r="T425" i="11" s="1"/>
  <c r="T126" i="11"/>
  <c r="T145" i="11" s="1"/>
  <c r="T117" i="11"/>
  <c r="AB12" i="37"/>
  <c r="K885" i="11"/>
  <c r="S9" i="39"/>
  <c r="T8" i="5"/>
  <c r="T62" i="5"/>
  <c r="AG144" i="51"/>
  <c r="AH144" i="51"/>
  <c r="S7" i="39"/>
  <c r="S54" i="39"/>
  <c r="AU20" i="39"/>
  <c r="AH3" i="55" s="1"/>
  <c r="S57" i="39"/>
  <c r="S59" i="39" s="1"/>
  <c r="AG144" i="52"/>
  <c r="AH144" i="52"/>
  <c r="AH144" i="55"/>
  <c r="AG144" i="55"/>
  <c r="T58" i="37"/>
  <c r="AV21" i="37"/>
  <c r="AI4" i="53" s="1"/>
  <c r="W145" i="39"/>
  <c r="W148" i="39"/>
  <c r="L284" i="11"/>
  <c r="T67" i="34" s="1"/>
  <c r="L356" i="11"/>
  <c r="M351" i="11" s="1"/>
  <c r="T20" i="34"/>
  <c r="T81" i="34"/>
  <c r="T82" i="34" s="1"/>
  <c r="S110" i="16"/>
  <c r="S244" i="16" s="1"/>
  <c r="AH136" i="26"/>
  <c r="S48" i="16"/>
  <c r="AH136" i="56"/>
  <c r="S173" i="16"/>
  <c r="AW21" i="35"/>
  <c r="AJ4" i="51" s="1"/>
  <c r="U58" i="35"/>
  <c r="M355" i="11"/>
  <c r="M284" i="11" s="1"/>
  <c r="U67" i="34" s="1"/>
  <c r="Y20" i="37"/>
  <c r="Y81" i="37"/>
  <c r="Y82" i="37" s="1"/>
  <c r="V48" i="37"/>
  <c r="V110" i="37"/>
  <c r="V244" i="37" s="1"/>
  <c r="V173" i="37"/>
  <c r="S84" i="35"/>
  <c r="L619" i="11"/>
  <c r="L628" i="11" s="1"/>
  <c r="K881" i="11"/>
  <c r="K809" i="11"/>
  <c r="S9" i="35"/>
  <c r="T62" i="36"/>
  <c r="T8" i="36"/>
  <c r="U62" i="35"/>
  <c r="U8" i="35"/>
  <c r="N121" i="11"/>
  <c r="T104" i="5"/>
  <c r="T196" i="5" s="1"/>
  <c r="T206" i="11"/>
  <c r="T215" i="11" s="1"/>
  <c r="T326" i="11" s="1"/>
  <c r="S260" i="11"/>
  <c r="S325" i="11" s="1"/>
  <c r="P179" i="11"/>
  <c r="P183" i="11" s="1"/>
  <c r="S434" i="11"/>
  <c r="S775" i="11" s="1"/>
  <c r="AA19" i="37"/>
  <c r="O174" i="11"/>
  <c r="O156" i="11" s="1"/>
  <c r="AG144" i="54"/>
  <c r="AH144" i="54"/>
  <c r="G233" i="51"/>
  <c r="U111" i="34"/>
  <c r="U270" i="34" s="1"/>
  <c r="U172" i="34"/>
  <c r="T111" i="35"/>
  <c r="T270" i="35" s="1"/>
  <c r="T172" i="35"/>
  <c r="V111" i="35"/>
  <c r="V270" i="35" s="1"/>
  <c r="V172" i="35"/>
  <c r="U47" i="16"/>
  <c r="U117" i="16" s="1"/>
  <c r="U364" i="16" s="1"/>
  <c r="L877" i="11"/>
  <c r="T89" i="39"/>
  <c r="T87" i="39" s="1"/>
  <c r="T89" i="38"/>
  <c r="T87" i="38" s="1"/>
  <c r="T89" i="37"/>
  <c r="T87" i="37" s="1"/>
  <c r="T89" i="36"/>
  <c r="T87" i="36" s="1"/>
  <c r="T89" i="35"/>
  <c r="T87" i="35" s="1"/>
  <c r="T89" i="16"/>
  <c r="T87" i="16" s="1"/>
  <c r="T89" i="34"/>
  <c r="T93" i="34" s="1"/>
  <c r="U86" i="34" s="1"/>
  <c r="T127" i="5"/>
  <c r="T130" i="5" s="1"/>
  <c r="T136" i="5" s="1"/>
  <c r="T140" i="5" s="1"/>
  <c r="L832" i="11"/>
  <c r="T127" i="36"/>
  <c r="T127" i="39"/>
  <c r="T127" i="38"/>
  <c r="T127" i="35"/>
  <c r="T127" i="37"/>
  <c r="T127" i="34"/>
  <c r="T127" i="16"/>
  <c r="AG144" i="26"/>
  <c r="AH144" i="26"/>
  <c r="Q335" i="11"/>
  <c r="V35" i="11"/>
  <c r="V53" i="11"/>
  <c r="W44" i="11"/>
  <c r="V81" i="36"/>
  <c r="V82" i="36" s="1"/>
  <c r="V20" i="36"/>
  <c r="W148" i="16"/>
  <c r="W145" i="16"/>
  <c r="U113" i="37"/>
  <c r="U317" i="37" s="1"/>
  <c r="U114" i="37"/>
  <c r="U73" i="37"/>
  <c r="U51" i="37"/>
  <c r="E169" i="53" s="1"/>
  <c r="U171" i="37"/>
  <c r="W80" i="35"/>
  <c r="V20" i="35"/>
  <c r="V81" i="35"/>
  <c r="V82" i="35" s="1"/>
  <c r="R307" i="11"/>
  <c r="T67" i="38"/>
  <c r="V62" i="37"/>
  <c r="V64" i="37" s="1"/>
  <c r="V8" i="37"/>
  <c r="T67" i="35"/>
  <c r="X148" i="36"/>
  <c r="X145" i="36"/>
  <c r="G233" i="26"/>
  <c r="S208" i="11"/>
  <c r="R262" i="11"/>
  <c r="R343" i="11" s="1"/>
  <c r="R217" i="11"/>
  <c r="R344" i="11" s="1"/>
  <c r="P170" i="11"/>
  <c r="W37" i="11"/>
  <c r="W55" i="11"/>
  <c r="X46" i="11"/>
  <c r="T62" i="38"/>
  <c r="T8" i="38"/>
  <c r="U198" i="11"/>
  <c r="U63" i="11"/>
  <c r="U137" i="11"/>
  <c r="T62" i="39"/>
  <c r="T8" i="39"/>
  <c r="S495" i="11"/>
  <c r="S496" i="11" s="1"/>
  <c r="S486" i="11"/>
  <c r="S487" i="11" s="1"/>
  <c r="S200" i="11"/>
  <c r="S139" i="11"/>
  <c r="T115" i="36"/>
  <c r="T340" i="36" s="1"/>
  <c r="T72" i="36"/>
  <c r="T53" i="36"/>
  <c r="E178" i="52" s="1"/>
  <c r="T28" i="36"/>
  <c r="V199" i="11"/>
  <c r="V138" i="11"/>
  <c r="V64" i="11"/>
  <c r="W62" i="37"/>
  <c r="W8" i="37"/>
  <c r="O503" i="11"/>
  <c r="O512" i="11" s="1"/>
  <c r="T72" i="5"/>
  <c r="T67" i="5"/>
  <c r="T95" i="38"/>
  <c r="T96" i="38" s="1"/>
  <c r="T95" i="37"/>
  <c r="T96" i="37" s="1"/>
  <c r="T95" i="34"/>
  <c r="T96" i="34" s="1"/>
  <c r="M187" i="11"/>
  <c r="T95" i="16"/>
  <c r="T96" i="16" s="1"/>
  <c r="T95" i="35"/>
  <c r="T96" i="35" s="1"/>
  <c r="T95" i="36"/>
  <c r="T96" i="36" s="1"/>
  <c r="T95" i="39"/>
  <c r="T96" i="39" s="1"/>
  <c r="V132" i="38"/>
  <c r="V134" i="38" s="1"/>
  <c r="V36" i="38"/>
  <c r="V47" i="38" s="1"/>
  <c r="V36" i="16"/>
  <c r="V132" i="5"/>
  <c r="V134" i="5" s="1"/>
  <c r="V132" i="16"/>
  <c r="V134" i="16" s="1"/>
  <c r="T62" i="35"/>
  <c r="T8" i="35"/>
  <c r="AG144" i="50"/>
  <c r="AH144" i="50"/>
  <c r="V80" i="38"/>
  <c r="S173" i="34"/>
  <c r="S48" i="34"/>
  <c r="AH138" i="50" s="1"/>
  <c r="S110" i="34"/>
  <c r="S244" i="34" s="1"/>
  <c r="U197" i="11"/>
  <c r="U136" i="11"/>
  <c r="U62" i="11"/>
  <c r="U80" i="11" s="1"/>
  <c r="U34" i="11"/>
  <c r="U52" i="11"/>
  <c r="V43" i="11"/>
  <c r="U47" i="11"/>
  <c r="U41" i="11"/>
  <c r="V132" i="39"/>
  <c r="V134" i="39" s="1"/>
  <c r="V36" i="39"/>
  <c r="V47" i="39" s="1"/>
  <c r="P499" i="11"/>
  <c r="W148" i="38"/>
  <c r="W145" i="38"/>
  <c r="S362" i="11"/>
  <c r="S380" i="11" s="1"/>
  <c r="S874" i="11"/>
  <c r="O754" i="11"/>
  <c r="W128" i="35"/>
  <c r="W21" i="35"/>
  <c r="W104" i="35" s="1"/>
  <c r="W196" i="35" s="1"/>
  <c r="T64" i="37"/>
  <c r="T204" i="11"/>
  <c r="S258" i="11"/>
  <c r="S213" i="11"/>
  <c r="E177" i="56"/>
  <c r="E177" i="26"/>
  <c r="G177" i="26" s="1"/>
  <c r="S58" i="16"/>
  <c r="G177" i="50"/>
  <c r="AU21" i="16"/>
  <c r="G177" i="51"/>
  <c r="G177" i="52"/>
  <c r="G177" i="54"/>
  <c r="G177" i="53"/>
  <c r="G177" i="55"/>
  <c r="AG3" i="56"/>
  <c r="AG3" i="26"/>
  <c r="X33" i="11"/>
  <c r="X51" i="11"/>
  <c r="Y42" i="11"/>
  <c r="U81" i="38"/>
  <c r="U82" i="38" s="1"/>
  <c r="U20" i="38"/>
  <c r="G233" i="54"/>
  <c r="P475" i="11"/>
  <c r="P466" i="11"/>
  <c r="P457" i="11"/>
  <c r="P408" i="11"/>
  <c r="P118" i="11"/>
  <c r="P127" i="11"/>
  <c r="X12" i="38"/>
  <c r="X12" i="16"/>
  <c r="Q81" i="11"/>
  <c r="E233" i="55"/>
  <c r="U173" i="35"/>
  <c r="U48" i="35"/>
  <c r="U110" i="35"/>
  <c r="U244" i="35" s="1"/>
  <c r="O102" i="11"/>
  <c r="O227" i="11"/>
  <c r="O84" i="11"/>
  <c r="W100" i="39"/>
  <c r="W101" i="39" s="1"/>
  <c r="W100" i="38"/>
  <c r="W101" i="38" s="1"/>
  <c r="W100" i="36"/>
  <c r="W101" i="36" s="1"/>
  <c r="W100" i="37"/>
  <c r="W101" i="37" s="1"/>
  <c r="W100" i="35"/>
  <c r="W101" i="35" s="1"/>
  <c r="W12" i="5"/>
  <c r="W100" i="16"/>
  <c r="W101" i="16" s="1"/>
  <c r="W12" i="34"/>
  <c r="W100" i="34"/>
  <c r="W101" i="34" s="1"/>
  <c r="O209" i="11"/>
  <c r="AG144" i="53"/>
  <c r="AH144" i="53"/>
  <c r="T47" i="5"/>
  <c r="T117" i="5" s="1"/>
  <c r="T364" i="5" s="1"/>
  <c r="AU21" i="34"/>
  <c r="AH4" i="50" s="1"/>
  <c r="S58" i="34"/>
  <c r="T196" i="11"/>
  <c r="T135" i="11"/>
  <c r="T61" i="11"/>
  <c r="T65" i="11" s="1"/>
  <c r="T56" i="11"/>
  <c r="T180" i="11" s="1"/>
  <c r="T181" i="11" s="1"/>
  <c r="Q87" i="11"/>
  <c r="Q454" i="11"/>
  <c r="Q472" i="11"/>
  <c r="Q405" i="11"/>
  <c r="Q463" i="11"/>
  <c r="Q115" i="11"/>
  <c r="Q124" i="11"/>
  <c r="Y12" i="35"/>
  <c r="R78" i="11"/>
  <c r="O755" i="11"/>
  <c r="W128" i="36"/>
  <c r="W21" i="36"/>
  <c r="M759" i="11"/>
  <c r="U128" i="34"/>
  <c r="U21" i="34"/>
  <c r="U21" i="5"/>
  <c r="V145" i="34"/>
  <c r="V148" i="34"/>
  <c r="AA148" i="37"/>
  <c r="AA145" i="37"/>
  <c r="Y145" i="36"/>
  <c r="AG144" i="56"/>
  <c r="AH144" i="56"/>
  <c r="U67" i="38"/>
  <c r="G233" i="52"/>
  <c r="R84" i="34"/>
  <c r="J886" i="11"/>
  <c r="J9" i="11"/>
  <c r="R9" i="5"/>
  <c r="R9" i="34"/>
  <c r="W195" i="11"/>
  <c r="W134" i="11"/>
  <c r="W60" i="11"/>
  <c r="R328" i="11"/>
  <c r="R308" i="11"/>
  <c r="M338" i="11"/>
  <c r="N333" i="11" s="1"/>
  <c r="T173" i="37"/>
  <c r="T110" i="37"/>
  <c r="T244" i="37" s="1"/>
  <c r="T48" i="37"/>
  <c r="P500" i="11"/>
  <c r="P509" i="11" s="1"/>
  <c r="R259" i="11"/>
  <c r="R316" i="11" s="1"/>
  <c r="S205" i="11"/>
  <c r="S214" i="11" s="1"/>
  <c r="S317" i="11" s="1"/>
  <c r="O120" i="11"/>
  <c r="Q78" i="34"/>
  <c r="Q77" i="34"/>
  <c r="U172" i="39"/>
  <c r="U111" i="39"/>
  <c r="U270" i="39" s="1"/>
  <c r="R7" i="5"/>
  <c r="R54" i="5"/>
  <c r="P12" i="6" s="1"/>
  <c r="T172" i="34"/>
  <c r="T111" i="34"/>
  <c r="T270" i="34" s="1"/>
  <c r="R77" i="37"/>
  <c r="R78" i="37"/>
  <c r="Z80" i="37"/>
  <c r="T8" i="16"/>
  <c r="L8" i="11" s="1"/>
  <c r="T62" i="16"/>
  <c r="T38" i="11"/>
  <c r="T32" i="11"/>
  <c r="R77" i="38"/>
  <c r="R78" i="38"/>
  <c r="X148" i="35"/>
  <c r="X145" i="35"/>
  <c r="O173" i="11"/>
  <c r="O155" i="11" s="1"/>
  <c r="S59" i="35"/>
  <c r="V80" i="39"/>
  <c r="T115" i="39"/>
  <c r="T340" i="39" s="1"/>
  <c r="T53" i="39"/>
  <c r="E178" i="55" s="1"/>
  <c r="T72" i="39"/>
  <c r="T28" i="39"/>
  <c r="T104" i="34"/>
  <c r="T196" i="34" s="1"/>
  <c r="Q334" i="11"/>
  <c r="S172" i="11"/>
  <c r="S251" i="11" s="1"/>
  <c r="S328" i="11" s="1"/>
  <c r="S281" i="11" s="1"/>
  <c r="AA67" i="37" s="1"/>
  <c r="S84" i="36"/>
  <c r="L620" i="11"/>
  <c r="L629" i="11" s="1"/>
  <c r="L882" i="11" s="1"/>
  <c r="K882" i="11"/>
  <c r="K810" i="11"/>
  <c r="S9" i="36"/>
  <c r="AJ142" i="54"/>
  <c r="U172" i="5"/>
  <c r="AJ142" i="51"/>
  <c r="AJ142" i="55"/>
  <c r="AJ142" i="50"/>
  <c r="U81" i="39"/>
  <c r="U82" i="39" s="1"/>
  <c r="U20" i="39"/>
  <c r="P476" i="11"/>
  <c r="P467" i="11"/>
  <c r="P409" i="11"/>
  <c r="P427" i="11" s="1"/>
  <c r="P458" i="11"/>
  <c r="P128" i="11"/>
  <c r="P147" i="11" s="1"/>
  <c r="X12" i="39"/>
  <c r="X19" i="36"/>
  <c r="Y97" i="11"/>
  <c r="Y98" i="11"/>
  <c r="Y99" i="11"/>
  <c r="Y100" i="11"/>
  <c r="Y101" i="11"/>
  <c r="Z96" i="11"/>
  <c r="S84" i="37"/>
  <c r="L621" i="11"/>
  <c r="L630" i="11" s="1"/>
  <c r="K883" i="11"/>
  <c r="S9" i="37"/>
  <c r="Z128" i="37"/>
  <c r="Z21" i="37"/>
  <c r="Z104" i="37" s="1"/>
  <c r="Z196" i="37" s="1"/>
  <c r="S54" i="37"/>
  <c r="AU20" i="37"/>
  <c r="AH3" i="53" s="1"/>
  <c r="S7" i="37"/>
  <c r="S57" i="37"/>
  <c r="S59" i="37" s="1"/>
  <c r="S84" i="38"/>
  <c r="L622" i="11"/>
  <c r="L631" i="11" s="1"/>
  <c r="K884" i="11"/>
  <c r="S9" i="38"/>
  <c r="W111" i="36"/>
  <c r="W270" i="36" s="1"/>
  <c r="W172" i="36"/>
  <c r="O502" i="11"/>
  <c r="O511" i="11" s="1"/>
  <c r="V94" i="38"/>
  <c r="V94" i="16"/>
  <c r="N758" i="11"/>
  <c r="V128" i="39"/>
  <c r="V21" i="39"/>
  <c r="S54" i="5"/>
  <c r="Q12" i="6" s="1"/>
  <c r="S7" i="5"/>
  <c r="S57" i="5"/>
  <c r="S59" i="5" s="1"/>
  <c r="V72" i="35"/>
  <c r="V53" i="35"/>
  <c r="E180" i="51" s="1"/>
  <c r="V115" i="35"/>
  <c r="V340" i="35" s="1"/>
  <c r="V28" i="35"/>
  <c r="AK136" i="51" s="1"/>
  <c r="T33" i="6"/>
  <c r="T49" i="6" s="1"/>
  <c r="W148" i="5"/>
  <c r="S207" i="11"/>
  <c r="R261" i="11"/>
  <c r="R216" i="11"/>
  <c r="AJ142" i="53" l="1"/>
  <c r="AJ142" i="56"/>
  <c r="V47" i="16"/>
  <c r="V117" i="16" s="1"/>
  <c r="V364" i="16" s="1"/>
  <c r="V19" i="34"/>
  <c r="V80" i="34" s="1"/>
  <c r="Q171" i="11"/>
  <c r="Q250" i="11" s="1"/>
  <c r="Q319" i="11" s="1"/>
  <c r="Q280" i="11" s="1"/>
  <c r="Y67" i="36" s="1"/>
  <c r="V768" i="11"/>
  <c r="W763" i="11"/>
  <c r="AD138" i="35"/>
  <c r="AD71" i="35"/>
  <c r="AD71" i="16"/>
  <c r="AD138" i="5"/>
  <c r="AD138" i="16"/>
  <c r="S456" i="11"/>
  <c r="R501" i="11"/>
  <c r="R510" i="11" s="1"/>
  <c r="O150" i="12"/>
  <c r="O158" i="12" s="1"/>
  <c r="O160" i="12" s="1"/>
  <c r="O42" i="12"/>
  <c r="AJ142" i="26"/>
  <c r="AJ142" i="52"/>
  <c r="U111" i="5"/>
  <c r="U270" i="5" s="1"/>
  <c r="AC71" i="34"/>
  <c r="AC138" i="34"/>
  <c r="P133" i="12"/>
  <c r="P125" i="12"/>
  <c r="P100" i="12"/>
  <c r="P108" i="12" s="1"/>
  <c r="P82" i="12"/>
  <c r="P91" i="12" s="1"/>
  <c r="P141" i="12"/>
  <c r="P29" i="12"/>
  <c r="P38" i="12" s="1"/>
  <c r="P117" i="12"/>
  <c r="C178" i="11"/>
  <c r="B83" i="8"/>
  <c r="P23" i="12"/>
  <c r="R151" i="12"/>
  <c r="R159" i="12" s="1"/>
  <c r="N437" i="11"/>
  <c r="N778" i="11" s="1"/>
  <c r="Z767" i="11"/>
  <c r="AG138" i="39"/>
  <c r="AG71" i="39"/>
  <c r="P99" i="12"/>
  <c r="P107" i="12" s="1"/>
  <c r="P140" i="12"/>
  <c r="P81" i="12"/>
  <c r="P90" i="12" s="1"/>
  <c r="P116" i="12"/>
  <c r="P124" i="12"/>
  <c r="P25" i="12"/>
  <c r="P86" i="12" s="1"/>
  <c r="P28" i="12"/>
  <c r="P132" i="12"/>
  <c r="P37" i="12"/>
  <c r="Q20" i="12"/>
  <c r="O33" i="12"/>
  <c r="W19" i="39"/>
  <c r="Y34" i="34"/>
  <c r="E181" i="53"/>
  <c r="U67" i="5"/>
  <c r="M384" i="11"/>
  <c r="Q840" i="11"/>
  <c r="O157" i="11"/>
  <c r="R464" i="11"/>
  <c r="AY21" i="37"/>
  <c r="AL4" i="53" s="1"/>
  <c r="Z12" i="36"/>
  <c r="Z148" i="36" s="1"/>
  <c r="R116" i="11"/>
  <c r="X111" i="37"/>
  <c r="X270" i="37" s="1"/>
  <c r="R125" i="11"/>
  <c r="R144" i="11" s="1"/>
  <c r="R361" i="11" s="1"/>
  <c r="R379" i="11" s="1"/>
  <c r="X172" i="37"/>
  <c r="O428" i="11"/>
  <c r="W19" i="16" s="1"/>
  <c r="P119" i="11"/>
  <c r="P120" i="11" s="1"/>
  <c r="P121" i="11" s="1"/>
  <c r="Y46" i="39"/>
  <c r="V36" i="34"/>
  <c r="V47" i="34" s="1"/>
  <c r="V117" i="34" s="1"/>
  <c r="V364" i="34" s="1"/>
  <c r="Q52" i="6"/>
  <c r="Q17" i="6"/>
  <c r="I138" i="24" s="1"/>
  <c r="M864" i="11"/>
  <c r="M900" i="11"/>
  <c r="U104" i="36"/>
  <c r="U196" i="36" s="1"/>
  <c r="U81" i="36"/>
  <c r="U82" i="36" s="1"/>
  <c r="U28" i="36"/>
  <c r="U20" i="36"/>
  <c r="P52" i="6"/>
  <c r="P17" i="6"/>
  <c r="H138" i="24" s="1"/>
  <c r="V173" i="36"/>
  <c r="R455" i="11"/>
  <c r="U111" i="38"/>
  <c r="U270" i="38" s="1"/>
  <c r="L623" i="11"/>
  <c r="E234" i="55" s="1"/>
  <c r="G234" i="55" s="1"/>
  <c r="Y31" i="34"/>
  <c r="X100" i="39"/>
  <c r="X101" i="39" s="1"/>
  <c r="U81" i="16"/>
  <c r="U82" i="16" s="1"/>
  <c r="R473" i="11"/>
  <c r="X117" i="37"/>
  <c r="X364" i="37" s="1"/>
  <c r="R548" i="11"/>
  <c r="P360" i="11"/>
  <c r="U104" i="34"/>
  <c r="U196" i="34" s="1"/>
  <c r="S79" i="11"/>
  <c r="S455" i="11" s="1"/>
  <c r="R406" i="11"/>
  <c r="R424" i="11" s="1"/>
  <c r="R433" i="11" s="1"/>
  <c r="R774" i="11" s="1"/>
  <c r="S398" i="11"/>
  <c r="AA94" i="37" s="1"/>
  <c r="K813" i="11"/>
  <c r="R738" i="11"/>
  <c r="Z43" i="5" s="1"/>
  <c r="Q82" i="11"/>
  <c r="Q91" i="11" s="1"/>
  <c r="W19" i="38"/>
  <c r="W80" i="38" s="1"/>
  <c r="V48" i="36"/>
  <c r="V118" i="36" s="1"/>
  <c r="V388" i="36" s="1"/>
  <c r="U58" i="39"/>
  <c r="W173" i="37"/>
  <c r="W110" i="37"/>
  <c r="W244" i="37" s="1"/>
  <c r="W48" i="37"/>
  <c r="W118" i="37" s="1"/>
  <c r="W388" i="37" s="1"/>
  <c r="E136" i="53"/>
  <c r="AW21" i="39"/>
  <c r="AJ4" i="55" s="1"/>
  <c r="V110" i="36"/>
  <c r="V244" i="36" s="1"/>
  <c r="N382" i="11"/>
  <c r="R743" i="11"/>
  <c r="Z46" i="36" s="1"/>
  <c r="AX21" i="36"/>
  <c r="AK4" i="52" s="1"/>
  <c r="V58" i="36"/>
  <c r="W115" i="36"/>
  <c r="W340" i="36" s="1"/>
  <c r="W28" i="36"/>
  <c r="AL136" i="52" s="1"/>
  <c r="W72" i="36"/>
  <c r="W53" i="36"/>
  <c r="E181" i="52" s="1"/>
  <c r="O400" i="11"/>
  <c r="W94" i="39" s="1"/>
  <c r="S687" i="11"/>
  <c r="AA35" i="36" s="1"/>
  <c r="R847" i="11"/>
  <c r="R559" i="11"/>
  <c r="U104" i="16"/>
  <c r="U196" i="16" s="1"/>
  <c r="Q433" i="11"/>
  <c r="Q774" i="11" s="1"/>
  <c r="P102" i="11"/>
  <c r="X12" i="5"/>
  <c r="Y148" i="5" s="1"/>
  <c r="P84" i="11"/>
  <c r="X12" i="34"/>
  <c r="X148" i="34" s="1"/>
  <c r="P227" i="11"/>
  <c r="Z31" i="36"/>
  <c r="V128" i="38"/>
  <c r="X100" i="16"/>
  <c r="X101" i="16" s="1"/>
  <c r="Q500" i="11"/>
  <c r="Q509" i="11" s="1"/>
  <c r="Y132" i="36" s="1"/>
  <c r="Y134" i="36" s="1"/>
  <c r="V21" i="38"/>
  <c r="V104" i="38" s="1"/>
  <c r="V196" i="38" s="1"/>
  <c r="X100" i="35"/>
  <c r="X101" i="35" s="1"/>
  <c r="N830" i="11"/>
  <c r="X100" i="37"/>
  <c r="X101" i="37" s="1"/>
  <c r="N757" i="11"/>
  <c r="N866" i="11" s="1"/>
  <c r="X100" i="36"/>
  <c r="X101" i="36" s="1"/>
  <c r="O139" i="11"/>
  <c r="O189" i="11" s="1"/>
  <c r="Y36" i="36"/>
  <c r="R674" i="11"/>
  <c r="R655" i="11"/>
  <c r="Z31" i="34" s="1"/>
  <c r="Y33" i="34"/>
  <c r="Y112" i="34" s="1"/>
  <c r="Y294" i="34" s="1"/>
  <c r="N347" i="11"/>
  <c r="O342" i="11" s="1"/>
  <c r="N374" i="11"/>
  <c r="S680" i="11"/>
  <c r="AA34" i="38" s="1"/>
  <c r="V53" i="39"/>
  <c r="E180" i="55" s="1"/>
  <c r="O435" i="11"/>
  <c r="O437" i="11" s="1"/>
  <c r="V132" i="34"/>
  <c r="V134" i="34" s="1"/>
  <c r="Q850" i="11"/>
  <c r="V115" i="39"/>
  <c r="V340" i="39" s="1"/>
  <c r="S662" i="11"/>
  <c r="AA32" i="38" s="1"/>
  <c r="N401" i="11"/>
  <c r="V28" i="39"/>
  <c r="AK136" i="55" s="1"/>
  <c r="O364" i="11"/>
  <c r="P432" i="11"/>
  <c r="P773" i="11" s="1"/>
  <c r="Q891" i="11"/>
  <c r="S671" i="11"/>
  <c r="AA33" i="38" s="1"/>
  <c r="S690" i="11"/>
  <c r="AA35" i="39" s="1"/>
  <c r="S660" i="11"/>
  <c r="AA32" i="36" s="1"/>
  <c r="Q837" i="11"/>
  <c r="O831" i="11"/>
  <c r="Y46" i="36"/>
  <c r="R551" i="11"/>
  <c r="R560" i="11"/>
  <c r="P614" i="11"/>
  <c r="P873" i="11"/>
  <c r="P361" i="11"/>
  <c r="P379" i="11" s="1"/>
  <c r="P496" i="11"/>
  <c r="P487" i="11"/>
  <c r="P426" i="11"/>
  <c r="P435" i="11" s="1"/>
  <c r="P137" i="11"/>
  <c r="P139" i="11" s="1"/>
  <c r="T117" i="34"/>
  <c r="T364" i="34" s="1"/>
  <c r="AI137" i="50"/>
  <c r="O320" i="11"/>
  <c r="P315" i="11" s="1"/>
  <c r="V117" i="39"/>
  <c r="V364" i="39" s="1"/>
  <c r="AK137" i="55"/>
  <c r="V117" i="38"/>
  <c r="V364" i="38" s="1"/>
  <c r="AK137" i="54"/>
  <c r="O873" i="11"/>
  <c r="O361" i="11"/>
  <c r="O379" i="11" s="1"/>
  <c r="AD369" i="11"/>
  <c r="U117" i="38"/>
  <c r="U364" i="38" s="1"/>
  <c r="AJ137" i="54"/>
  <c r="O146" i="11"/>
  <c r="P250" i="11"/>
  <c r="P319" i="11" s="1"/>
  <c r="P280" i="11" s="1"/>
  <c r="X67" i="36" s="1"/>
  <c r="X53" i="36" s="1"/>
  <c r="AZ21" i="36" s="1"/>
  <c r="AM4" i="52" s="1"/>
  <c r="P153" i="11"/>
  <c r="N148" i="11"/>
  <c r="N363" i="11"/>
  <c r="N875" i="11"/>
  <c r="M381" i="11"/>
  <c r="M383" i="11" s="1"/>
  <c r="M385" i="11" s="1"/>
  <c r="M365" i="11"/>
  <c r="O252" i="11"/>
  <c r="O337" i="11" s="1"/>
  <c r="O372" i="11"/>
  <c r="AD372" i="11" s="1"/>
  <c r="P477" i="11"/>
  <c r="P478" i="11" s="1"/>
  <c r="E150" i="51"/>
  <c r="Q709" i="11"/>
  <c r="Y37" i="35"/>
  <c r="Y37" i="16"/>
  <c r="P249" i="11"/>
  <c r="P310" i="11" s="1"/>
  <c r="P279" i="11" s="1"/>
  <c r="X67" i="35" s="1"/>
  <c r="P152" i="11"/>
  <c r="X37" i="5"/>
  <c r="X37" i="34"/>
  <c r="N254" i="11"/>
  <c r="N272" i="11" s="1"/>
  <c r="N275" i="11" s="1"/>
  <c r="V67" i="5" s="1"/>
  <c r="U118" i="35"/>
  <c r="U388" i="35" s="1"/>
  <c r="AJ138" i="51"/>
  <c r="O253" i="11"/>
  <c r="O346" i="11" s="1"/>
  <c r="O373" i="11"/>
  <c r="AD373" i="11" s="1"/>
  <c r="R746" i="11"/>
  <c r="Z46" i="39" s="1"/>
  <c r="X104" i="37"/>
  <c r="X196" i="37" s="1"/>
  <c r="X20" i="37"/>
  <c r="X62" i="37" s="1"/>
  <c r="X81" i="37"/>
  <c r="X82" i="37" s="1"/>
  <c r="U117" i="39"/>
  <c r="U364" i="39" s="1"/>
  <c r="AJ137" i="55"/>
  <c r="AI136" i="55"/>
  <c r="U173" i="39"/>
  <c r="AJ136" i="55"/>
  <c r="Q270" i="11"/>
  <c r="T118" i="37"/>
  <c r="T388" i="37" s="1"/>
  <c r="AI138" i="53"/>
  <c r="V118" i="37"/>
  <c r="V388" i="37" s="1"/>
  <c r="AK138" i="53"/>
  <c r="U48" i="39"/>
  <c r="U51" i="39" s="1"/>
  <c r="E169" i="55" s="1"/>
  <c r="R78" i="39"/>
  <c r="R83" i="39" s="1"/>
  <c r="S76" i="39" s="1"/>
  <c r="S77" i="39" s="1"/>
  <c r="U110" i="39"/>
  <c r="U244" i="39" s="1"/>
  <c r="Q269" i="11"/>
  <c r="AI136" i="52"/>
  <c r="U67" i="16"/>
  <c r="U115" i="16" s="1"/>
  <c r="U340" i="16" s="1"/>
  <c r="Q873" i="11"/>
  <c r="P459" i="11"/>
  <c r="S668" i="11"/>
  <c r="AA33" i="35" s="1"/>
  <c r="S670" i="11"/>
  <c r="AA33" i="37" s="1"/>
  <c r="P828" i="11"/>
  <c r="P468" i="11"/>
  <c r="P396" i="11"/>
  <c r="X94" i="35" s="1"/>
  <c r="S650" i="11"/>
  <c r="P585" i="11"/>
  <c r="P594" i="11" s="1"/>
  <c r="S661" i="11"/>
  <c r="AA32" i="37" s="1"/>
  <c r="S736" i="11"/>
  <c r="AA43" i="38" s="1"/>
  <c r="S689" i="11"/>
  <c r="AA35" i="38" s="1"/>
  <c r="S715" i="11"/>
  <c r="AA41" i="37" s="1"/>
  <c r="S734" i="11"/>
  <c r="AA43" i="36" s="1"/>
  <c r="V128" i="16"/>
  <c r="S659" i="11"/>
  <c r="S669" i="11"/>
  <c r="AA33" i="36" s="1"/>
  <c r="S733" i="11"/>
  <c r="AA43" i="35" s="1"/>
  <c r="R218" i="11"/>
  <c r="R353" i="11" s="1"/>
  <c r="M356" i="11"/>
  <c r="N351" i="11" s="1"/>
  <c r="R534" i="11"/>
  <c r="V128" i="5"/>
  <c r="Q747" i="11"/>
  <c r="Q841" i="11" s="1"/>
  <c r="R570" i="11"/>
  <c r="Q587" i="11"/>
  <c r="T9" i="38"/>
  <c r="L884" i="11"/>
  <c r="L881" i="11"/>
  <c r="T9" i="35"/>
  <c r="AA31" i="37"/>
  <c r="T9" i="37"/>
  <c r="L883" i="11"/>
  <c r="L811" i="11"/>
  <c r="P601" i="11"/>
  <c r="AA41" i="36"/>
  <c r="AA41" i="35"/>
  <c r="R578" i="11"/>
  <c r="R785" i="11" s="1"/>
  <c r="Z23" i="39"/>
  <c r="W104" i="36"/>
  <c r="W196" i="36" s="1"/>
  <c r="N867" i="11"/>
  <c r="N903" i="11"/>
  <c r="P774" i="11"/>
  <c r="T79" i="11"/>
  <c r="AB12" i="36" s="1"/>
  <c r="K633" i="11"/>
  <c r="K886" i="11" s="1"/>
  <c r="X100" i="34"/>
  <c r="X101" i="34" s="1"/>
  <c r="Z112" i="38"/>
  <c r="Z294" i="38" s="1"/>
  <c r="Z147" i="38"/>
  <c r="U63" i="34"/>
  <c r="R744" i="11"/>
  <c r="Z43" i="16"/>
  <c r="Y41" i="16"/>
  <c r="Y41" i="5"/>
  <c r="Y41" i="34"/>
  <c r="U89" i="11"/>
  <c r="P410" i="11"/>
  <c r="R840" i="11"/>
  <c r="R894" i="11"/>
  <c r="X90" i="37"/>
  <c r="X24" i="39"/>
  <c r="X91" i="39"/>
  <c r="X92" i="39" s="1"/>
  <c r="Z112" i="39"/>
  <c r="Z294" i="39" s="1"/>
  <c r="Z147" i="39"/>
  <c r="S672" i="11"/>
  <c r="AA33" i="39" s="1"/>
  <c r="V63" i="36"/>
  <c r="R682" i="11"/>
  <c r="R665" i="11"/>
  <c r="R683" i="11"/>
  <c r="X23" i="16"/>
  <c r="X23" i="34"/>
  <c r="X23" i="5"/>
  <c r="X90" i="36"/>
  <c r="S735" i="11"/>
  <c r="N902" i="11"/>
  <c r="Q90" i="11"/>
  <c r="V63" i="38"/>
  <c r="Y72" i="37"/>
  <c r="Y53" i="37"/>
  <c r="BA21" i="37" s="1"/>
  <c r="AN4" i="53" s="1"/>
  <c r="Y115" i="37"/>
  <c r="Y340" i="37" s="1"/>
  <c r="Y35" i="16"/>
  <c r="Y35" i="5"/>
  <c r="Y35" i="34"/>
  <c r="V24" i="16"/>
  <c r="V63" i="16" s="1"/>
  <c r="V91" i="16"/>
  <c r="V92" i="16" s="1"/>
  <c r="W25" i="16"/>
  <c r="W105" i="16" s="1"/>
  <c r="W220" i="16" s="1"/>
  <c r="W129" i="16"/>
  <c r="W129" i="5"/>
  <c r="W25" i="34"/>
  <c r="W25" i="5"/>
  <c r="W129" i="34"/>
  <c r="N601" i="11"/>
  <c r="N606" i="11" s="1"/>
  <c r="N610" i="11"/>
  <c r="N597" i="11"/>
  <c r="N615" i="11" s="1"/>
  <c r="Z34" i="37"/>
  <c r="O786" i="11"/>
  <c r="R749" i="11"/>
  <c r="Y112" i="5"/>
  <c r="Y294" i="5" s="1"/>
  <c r="W42" i="6"/>
  <c r="Z147" i="5"/>
  <c r="P781" i="11"/>
  <c r="S688" i="11"/>
  <c r="AA35" i="37" s="1"/>
  <c r="R558" i="11"/>
  <c r="Z34" i="35"/>
  <c r="P584" i="11"/>
  <c r="P593" i="11" s="1"/>
  <c r="X25" i="36"/>
  <c r="X129" i="36"/>
  <c r="T521" i="11"/>
  <c r="AA13" i="36"/>
  <c r="S696" i="11"/>
  <c r="S705" i="11" s="1"/>
  <c r="AA37" i="36" s="1"/>
  <c r="S566" i="11"/>
  <c r="S530" i="11"/>
  <c r="S557" i="11" s="1"/>
  <c r="U20" i="5"/>
  <c r="U8" i="5" s="1"/>
  <c r="U104" i="5"/>
  <c r="U196" i="5" s="1"/>
  <c r="Q839" i="11"/>
  <c r="Y133" i="38"/>
  <c r="Y46" i="38"/>
  <c r="Q893" i="11"/>
  <c r="U63" i="5"/>
  <c r="Q577" i="11"/>
  <c r="Q784" i="11" s="1"/>
  <c r="Y23" i="38"/>
  <c r="R541" i="11"/>
  <c r="M606" i="11"/>
  <c r="O588" i="11"/>
  <c r="O592" i="11"/>
  <c r="AA32" i="35"/>
  <c r="T520" i="11"/>
  <c r="T668" i="11" s="1"/>
  <c r="S529" i="11"/>
  <c r="S525" i="11"/>
  <c r="S695" i="11"/>
  <c r="AA13" i="35"/>
  <c r="S565" i="11"/>
  <c r="W90" i="16"/>
  <c r="U63" i="16"/>
  <c r="S717" i="11"/>
  <c r="Y46" i="35"/>
  <c r="Y133" i="35"/>
  <c r="Q836" i="11"/>
  <c r="Q890" i="11"/>
  <c r="R547" i="11"/>
  <c r="S679" i="11"/>
  <c r="AA34" i="37" s="1"/>
  <c r="O504" i="11"/>
  <c r="O505" i="11" s="1"/>
  <c r="Z32" i="37"/>
  <c r="Q143" i="11"/>
  <c r="Q360" i="11" s="1"/>
  <c r="S716" i="11"/>
  <c r="AA41" i="38" s="1"/>
  <c r="X90" i="38"/>
  <c r="AA31" i="35"/>
  <c r="W24" i="35"/>
  <c r="W63" i="35" s="1"/>
  <c r="W91" i="35"/>
  <c r="W92" i="35" s="1"/>
  <c r="X25" i="37"/>
  <c r="X129" i="37"/>
  <c r="P756" i="11"/>
  <c r="P829" i="11"/>
  <c r="R739" i="11"/>
  <c r="R692" i="11"/>
  <c r="W132" i="35"/>
  <c r="W134" i="35" s="1"/>
  <c r="W36" i="35"/>
  <c r="O827" i="11"/>
  <c r="Z147" i="36"/>
  <c r="Z112" i="36"/>
  <c r="Z294" i="36" s="1"/>
  <c r="Y90" i="39"/>
  <c r="O175" i="11"/>
  <c r="O188" i="11" s="1"/>
  <c r="O399" i="11"/>
  <c r="V21" i="16"/>
  <c r="V104" i="16" s="1"/>
  <c r="V196" i="16" s="1"/>
  <c r="P397" i="11"/>
  <c r="X94" i="36" s="1"/>
  <c r="T67" i="16"/>
  <c r="T53" i="16" s="1"/>
  <c r="U64" i="35"/>
  <c r="R673" i="11"/>
  <c r="Z33" i="35"/>
  <c r="R845" i="11"/>
  <c r="S677" i="11"/>
  <c r="AA34" i="35" s="1"/>
  <c r="R718" i="11"/>
  <c r="Y43" i="16"/>
  <c r="Y43" i="5"/>
  <c r="Y43" i="34"/>
  <c r="S654" i="11"/>
  <c r="S681" i="11"/>
  <c r="R656" i="11"/>
  <c r="Y147" i="16"/>
  <c r="Y112" i="16"/>
  <c r="Y294" i="16" s="1"/>
  <c r="Q543" i="11"/>
  <c r="Y23" i="35"/>
  <c r="Q574" i="11"/>
  <c r="Q583" i="11" s="1"/>
  <c r="R538" i="11"/>
  <c r="Q83" i="16"/>
  <c r="R76" i="16" s="1"/>
  <c r="Z147" i="37"/>
  <c r="Z112" i="37"/>
  <c r="Z294" i="37" s="1"/>
  <c r="S737" i="11"/>
  <c r="S678" i="11"/>
  <c r="S651" i="11"/>
  <c r="R691" i="11"/>
  <c r="M868" i="11"/>
  <c r="M904" i="11"/>
  <c r="O864" i="11"/>
  <c r="O900" i="11"/>
  <c r="O863" i="11"/>
  <c r="O899" i="11"/>
  <c r="P508" i="11"/>
  <c r="P827" i="11" s="1"/>
  <c r="AA31" i="38"/>
  <c r="Q576" i="11"/>
  <c r="Q585" i="11" s="1"/>
  <c r="Y23" i="37"/>
  <c r="R540" i="11"/>
  <c r="V105" i="5"/>
  <c r="V220" i="5" s="1"/>
  <c r="R719" i="11"/>
  <c r="W24" i="36"/>
  <c r="W63" i="36" s="1"/>
  <c r="W91" i="36"/>
  <c r="W92" i="36" s="1"/>
  <c r="X90" i="35"/>
  <c r="Q596" i="11"/>
  <c r="Q397" i="11"/>
  <c r="Y94" i="36" s="1"/>
  <c r="Q423" i="11"/>
  <c r="Y19" i="35" s="1"/>
  <c r="T523" i="11"/>
  <c r="S568" i="11"/>
  <c r="S532" i="11"/>
  <c r="S550" i="11" s="1"/>
  <c r="AA13" i="38"/>
  <c r="S698" i="11"/>
  <c r="S707" i="11" s="1"/>
  <c r="AA37" i="38" s="1"/>
  <c r="X46" i="16"/>
  <c r="X133" i="5"/>
  <c r="X133" i="16"/>
  <c r="P841" i="11"/>
  <c r="X133" i="34"/>
  <c r="X46" i="34"/>
  <c r="P895" i="11"/>
  <c r="P586" i="11"/>
  <c r="X129" i="38"/>
  <c r="X25" i="38"/>
  <c r="Y32" i="16"/>
  <c r="Y32" i="34"/>
  <c r="Y32" i="5"/>
  <c r="W63" i="37"/>
  <c r="W64" i="37" s="1"/>
  <c r="S686" i="11"/>
  <c r="R704" i="11"/>
  <c r="R742" i="11" s="1"/>
  <c r="R890" i="11" s="1"/>
  <c r="R700" i="11"/>
  <c r="Z31" i="16"/>
  <c r="Y133" i="37"/>
  <c r="Y134" i="37" s="1"/>
  <c r="Y46" i="37"/>
  <c r="Q838" i="11"/>
  <c r="Q892" i="11"/>
  <c r="Q329" i="11"/>
  <c r="R324" i="11" s="1"/>
  <c r="R329" i="11" s="1"/>
  <c r="S324" i="11" s="1"/>
  <c r="S329" i="11" s="1"/>
  <c r="T324" i="11" s="1"/>
  <c r="W90" i="34"/>
  <c r="W105" i="34"/>
  <c r="W220" i="34" s="1"/>
  <c r="P129" i="11"/>
  <c r="S663" i="11"/>
  <c r="W91" i="38"/>
  <c r="W92" i="38" s="1"/>
  <c r="W24" i="38"/>
  <c r="W63" i="38" s="1"/>
  <c r="Y147" i="34"/>
  <c r="Q575" i="11"/>
  <c r="Y23" i="36"/>
  <c r="R539" i="11"/>
  <c r="R664" i="11"/>
  <c r="V104" i="39"/>
  <c r="V196" i="39" s="1"/>
  <c r="Z13" i="16"/>
  <c r="Z99" i="37"/>
  <c r="Z99" i="35"/>
  <c r="Z99" i="34"/>
  <c r="R561" i="11"/>
  <c r="Z13" i="34"/>
  <c r="Z13" i="5"/>
  <c r="Z99" i="16"/>
  <c r="Z99" i="39"/>
  <c r="Z99" i="38"/>
  <c r="Z99" i="36"/>
  <c r="Z112" i="35"/>
  <c r="Z294" i="35" s="1"/>
  <c r="Z147" i="35"/>
  <c r="V24" i="34"/>
  <c r="V63" i="34" s="1"/>
  <c r="V91" i="34"/>
  <c r="V92" i="34" s="1"/>
  <c r="O593" i="11"/>
  <c r="T524" i="11"/>
  <c r="S533" i="11"/>
  <c r="S551" i="11" s="1"/>
  <c r="S849" i="11"/>
  <c r="AA13" i="39"/>
  <c r="S569" i="11"/>
  <c r="S699" i="11"/>
  <c r="S708" i="11" s="1"/>
  <c r="AA37" i="39" s="1"/>
  <c r="Q552" i="11"/>
  <c r="X25" i="35"/>
  <c r="X129" i="35"/>
  <c r="P579" i="11"/>
  <c r="P786" i="11" s="1"/>
  <c r="T522" i="11"/>
  <c r="S697" i="11"/>
  <c r="S706" i="11" s="1"/>
  <c r="AA37" i="37" s="1"/>
  <c r="S567" i="11"/>
  <c r="S531" i="11"/>
  <c r="S549" i="11" s="1"/>
  <c r="AA13" i="37"/>
  <c r="R745" i="11"/>
  <c r="Y129" i="39"/>
  <c r="Y25" i="39"/>
  <c r="Y105" i="39" s="1"/>
  <c r="Y220" i="39" s="1"/>
  <c r="AA72" i="37"/>
  <c r="AA115" i="37"/>
  <c r="AA340" i="37" s="1"/>
  <c r="AA53" i="37"/>
  <c r="BC21" i="37" s="1"/>
  <c r="AP4" i="53" s="1"/>
  <c r="T84" i="36"/>
  <c r="M620" i="11"/>
  <c r="E235" i="52" s="1"/>
  <c r="G235" i="52" s="1"/>
  <c r="L810" i="11"/>
  <c r="T9" i="36"/>
  <c r="S261" i="11"/>
  <c r="S216" i="11"/>
  <c r="T207" i="11"/>
  <c r="V111" i="39"/>
  <c r="V270" i="39" s="1"/>
  <c r="V172" i="39"/>
  <c r="T115" i="38"/>
  <c r="T340" i="38" s="1"/>
  <c r="T53" i="38"/>
  <c r="E178" i="54" s="1"/>
  <c r="T72" i="38"/>
  <c r="T28" i="38"/>
  <c r="W80" i="16"/>
  <c r="W36" i="11"/>
  <c r="W54" i="11"/>
  <c r="X45" i="11"/>
  <c r="R334" i="11"/>
  <c r="V58" i="35"/>
  <c r="AX21" i="35"/>
  <c r="AK4" i="51" s="1"/>
  <c r="L812" i="11"/>
  <c r="X80" i="36"/>
  <c r="P436" i="11"/>
  <c r="P777" i="11" s="1"/>
  <c r="X19" i="39"/>
  <c r="T48" i="39"/>
  <c r="T173" i="39"/>
  <c r="T110" i="39"/>
  <c r="T244" i="39" s="1"/>
  <c r="V67" i="38"/>
  <c r="N338" i="11"/>
  <c r="O333" i="11" s="1"/>
  <c r="P502" i="11"/>
  <c r="P511" i="11" s="1"/>
  <c r="V111" i="16"/>
  <c r="V270" i="16" s="1"/>
  <c r="AK137" i="26"/>
  <c r="AK137" i="56"/>
  <c r="V172" i="16"/>
  <c r="T6" i="34"/>
  <c r="T130" i="34"/>
  <c r="T136" i="34" s="1"/>
  <c r="T140" i="34" s="1"/>
  <c r="T97" i="34"/>
  <c r="N273" i="11"/>
  <c r="O268" i="11" s="1"/>
  <c r="Y80" i="36"/>
  <c r="Q179" i="11"/>
  <c r="Q183" i="11" s="1"/>
  <c r="P189" i="11"/>
  <c r="T64" i="36"/>
  <c r="E234" i="51"/>
  <c r="AH138" i="56"/>
  <c r="S51" i="16"/>
  <c r="S73" i="16"/>
  <c r="S114" i="16"/>
  <c r="S113" i="16"/>
  <c r="S317" i="16" s="1"/>
  <c r="S118" i="16"/>
  <c r="S388" i="16" s="1"/>
  <c r="S171" i="16"/>
  <c r="AH138" i="26"/>
  <c r="I58" i="37"/>
  <c r="K58" i="37" s="1"/>
  <c r="AL58" i="37"/>
  <c r="F134" i="46"/>
  <c r="V33" i="6"/>
  <c r="V49" i="6" s="1"/>
  <c r="W115" i="35"/>
  <c r="W340" i="35" s="1"/>
  <c r="W72" i="35"/>
  <c r="W53" i="35"/>
  <c r="E181" i="51" s="1"/>
  <c r="W28" i="35"/>
  <c r="AL136" i="51" s="1"/>
  <c r="Z97" i="11"/>
  <c r="Z98" i="11"/>
  <c r="Z99" i="11"/>
  <c r="Z100" i="11"/>
  <c r="Z101" i="11"/>
  <c r="AA96" i="11"/>
  <c r="Y115" i="36"/>
  <c r="Y340" i="36" s="1"/>
  <c r="Y53" i="36"/>
  <c r="BA21" i="36" s="1"/>
  <c r="AN4" i="52" s="1"/>
  <c r="Y72" i="36"/>
  <c r="U8" i="16"/>
  <c r="M8" i="11" s="1"/>
  <c r="U62" i="16"/>
  <c r="T58" i="39"/>
  <c r="AV21" i="39"/>
  <c r="AI4" i="55" s="1"/>
  <c r="S259" i="11"/>
  <c r="S316" i="11" s="1"/>
  <c r="T205" i="11"/>
  <c r="T214" i="11" s="1"/>
  <c r="T317" i="11" s="1"/>
  <c r="Q170" i="11"/>
  <c r="Q249" i="11" s="1"/>
  <c r="AI142" i="56"/>
  <c r="AI142" i="54"/>
  <c r="AI142" i="52"/>
  <c r="T172" i="5"/>
  <c r="T111" i="5"/>
  <c r="T270" i="5" s="1"/>
  <c r="AI142" i="55"/>
  <c r="AI142" i="53"/>
  <c r="AI142" i="50"/>
  <c r="AI142" i="26"/>
  <c r="AI142" i="51"/>
  <c r="Q475" i="11"/>
  <c r="Q466" i="11"/>
  <c r="Q457" i="11"/>
  <c r="Q408" i="11"/>
  <c r="Q426" i="11" s="1"/>
  <c r="Q118" i="11"/>
  <c r="Q127" i="11"/>
  <c r="Q146" i="11" s="1"/>
  <c r="Y12" i="38"/>
  <c r="Y12" i="16"/>
  <c r="R81" i="11"/>
  <c r="G177" i="56"/>
  <c r="W20" i="35"/>
  <c r="W81" i="35"/>
  <c r="W82" i="35" s="1"/>
  <c r="U474" i="11"/>
  <c r="U465" i="11"/>
  <c r="U407" i="11"/>
  <c r="U425" i="11" s="1"/>
  <c r="U126" i="11"/>
  <c r="U117" i="11"/>
  <c r="AC12" i="37"/>
  <c r="T58" i="36"/>
  <c r="AV21" i="36"/>
  <c r="AI4" i="52" s="1"/>
  <c r="R263" i="11"/>
  <c r="R352" i="11" s="1"/>
  <c r="AW20" i="37"/>
  <c r="AJ3" i="53" s="1"/>
  <c r="U54" i="37"/>
  <c r="U7" i="37"/>
  <c r="U57" i="37"/>
  <c r="U59" i="37" s="1"/>
  <c r="T130" i="35"/>
  <c r="T136" i="35" s="1"/>
  <c r="T140" i="35" s="1"/>
  <c r="T6" i="35"/>
  <c r="T97" i="35"/>
  <c r="T93" i="35"/>
  <c r="U86" i="35" s="1"/>
  <c r="O121" i="11"/>
  <c r="S9" i="34"/>
  <c r="AB148" i="37"/>
  <c r="AB145" i="37"/>
  <c r="V198" i="11"/>
  <c r="V63" i="11"/>
  <c r="V137" i="11"/>
  <c r="F134" i="47"/>
  <c r="V172" i="38"/>
  <c r="V111" i="38"/>
  <c r="V270" i="38" s="1"/>
  <c r="T130" i="37"/>
  <c r="T136" i="37" s="1"/>
  <c r="T140" i="37" s="1"/>
  <c r="T6" i="37"/>
  <c r="F134" i="48"/>
  <c r="Q476" i="11"/>
  <c r="U62" i="39"/>
  <c r="U64" i="39" s="1"/>
  <c r="U8" i="39"/>
  <c r="V128" i="34"/>
  <c r="V21" i="5"/>
  <c r="T495" i="11"/>
  <c r="T496" i="11" s="1"/>
  <c r="T486" i="11"/>
  <c r="T487" i="11" s="1"/>
  <c r="T200" i="11"/>
  <c r="T139" i="11"/>
  <c r="U33" i="6"/>
  <c r="U49" i="6" s="1"/>
  <c r="X148" i="5"/>
  <c r="X145" i="16"/>
  <c r="X148" i="16"/>
  <c r="U62" i="38"/>
  <c r="U64" i="38" s="1"/>
  <c r="U8" i="38"/>
  <c r="T6" i="38"/>
  <c r="T130" i="38"/>
  <c r="T136" i="38" s="1"/>
  <c r="T140" i="38" s="1"/>
  <c r="T97" i="36"/>
  <c r="T93" i="36"/>
  <c r="U86" i="36" s="1"/>
  <c r="AA80" i="37"/>
  <c r="W128" i="38"/>
  <c r="W128" i="16"/>
  <c r="W128" i="5"/>
  <c r="W21" i="16"/>
  <c r="W104" i="16" s="1"/>
  <c r="W196" i="16" s="1"/>
  <c r="T84" i="35"/>
  <c r="M619" i="11"/>
  <c r="M628" i="11" s="1"/>
  <c r="M881" i="11" s="1"/>
  <c r="T72" i="34"/>
  <c r="T115" i="34"/>
  <c r="T340" i="34" s="1"/>
  <c r="T53" i="34"/>
  <c r="E178" i="50" s="1"/>
  <c r="T28" i="34"/>
  <c r="T64" i="5"/>
  <c r="T172" i="11"/>
  <c r="T251" i="11" s="1"/>
  <c r="F134" i="44"/>
  <c r="U28" i="38"/>
  <c r="AJ136" i="54" s="1"/>
  <c r="U115" i="38"/>
  <c r="U340" i="38" s="1"/>
  <c r="U72" i="38"/>
  <c r="U53" i="38"/>
  <c r="E179" i="54" s="1"/>
  <c r="T362" i="11"/>
  <c r="T380" i="11" s="1"/>
  <c r="T874" i="11"/>
  <c r="T62" i="34"/>
  <c r="T8" i="34"/>
  <c r="W132" i="38"/>
  <c r="W134" i="38" s="1"/>
  <c r="W36" i="38"/>
  <c r="O513" i="11"/>
  <c r="W132" i="16" s="1"/>
  <c r="W134" i="16" s="1"/>
  <c r="P378" i="11"/>
  <c r="E234" i="54"/>
  <c r="E234" i="26"/>
  <c r="E234" i="53"/>
  <c r="X145" i="39"/>
  <c r="X148" i="39"/>
  <c r="R83" i="38"/>
  <c r="S76" i="38" s="1"/>
  <c r="S78" i="38" s="1"/>
  <c r="X36" i="36"/>
  <c r="X47" i="36" s="1"/>
  <c r="X132" i="36"/>
  <c r="X134" i="36" s="1"/>
  <c r="R281" i="11"/>
  <c r="Z67" i="37" s="1"/>
  <c r="W19" i="34"/>
  <c r="W19" i="5"/>
  <c r="S473" i="11"/>
  <c r="S116" i="11"/>
  <c r="X148" i="38"/>
  <c r="X145" i="38"/>
  <c r="Y33" i="11"/>
  <c r="Y51" i="11"/>
  <c r="Z42" i="11"/>
  <c r="S308" i="11"/>
  <c r="T64" i="35"/>
  <c r="T53" i="5"/>
  <c r="T58" i="5" s="1"/>
  <c r="T115" i="5"/>
  <c r="T340" i="5" s="1"/>
  <c r="T6" i="5"/>
  <c r="T28" i="5"/>
  <c r="T64" i="39"/>
  <c r="V8" i="36"/>
  <c r="V62" i="36"/>
  <c r="T6" i="39"/>
  <c r="T130" i="39"/>
  <c r="T136" i="39" s="1"/>
  <c r="T140" i="39" s="1"/>
  <c r="T97" i="37"/>
  <c r="T93" i="37"/>
  <c r="U86" i="37" s="1"/>
  <c r="W80" i="39"/>
  <c r="X80" i="35"/>
  <c r="AA21" i="37"/>
  <c r="AA104" i="37" s="1"/>
  <c r="AA196" i="37" s="1"/>
  <c r="AA128" i="37"/>
  <c r="L809" i="11"/>
  <c r="G233" i="56"/>
  <c r="V81" i="39"/>
  <c r="V82" i="39" s="1"/>
  <c r="V20" i="39"/>
  <c r="P364" i="11"/>
  <c r="P876" i="11"/>
  <c r="W94" i="16"/>
  <c r="T114" i="37"/>
  <c r="T171" i="37"/>
  <c r="T73" i="37"/>
  <c r="T51" i="37"/>
  <c r="E168" i="53" s="1"/>
  <c r="T113" i="37"/>
  <c r="T317" i="37" s="1"/>
  <c r="U20" i="34"/>
  <c r="U81" i="34"/>
  <c r="U82" i="34" s="1"/>
  <c r="G233" i="55"/>
  <c r="X195" i="11"/>
  <c r="X134" i="11"/>
  <c r="X60" i="11"/>
  <c r="S307" i="11"/>
  <c r="V34" i="11"/>
  <c r="V52" i="11"/>
  <c r="W43" i="11"/>
  <c r="V41" i="11"/>
  <c r="V47" i="11"/>
  <c r="M190" i="11"/>
  <c r="M191" i="11" s="1"/>
  <c r="T64" i="38"/>
  <c r="T53" i="35"/>
  <c r="E178" i="51" s="1"/>
  <c r="T115" i="35"/>
  <c r="T340" i="35" s="1"/>
  <c r="T72" i="35"/>
  <c r="T28" i="35"/>
  <c r="V62" i="35"/>
  <c r="V64" i="35" s="1"/>
  <c r="V8" i="35"/>
  <c r="T6" i="36"/>
  <c r="T130" i="36"/>
  <c r="T136" i="36" s="1"/>
  <c r="T140" i="36" s="1"/>
  <c r="T97" i="38"/>
  <c r="T93" i="38"/>
  <c r="U86" i="38" s="1"/>
  <c r="O758" i="11"/>
  <c r="W128" i="39"/>
  <c r="W21" i="39"/>
  <c r="W104" i="39" s="1"/>
  <c r="W196" i="39" s="1"/>
  <c r="X21" i="35"/>
  <c r="X104" i="35" s="1"/>
  <c r="X196" i="35" s="1"/>
  <c r="U206" i="11"/>
  <c r="U215" i="11" s="1"/>
  <c r="U326" i="11" s="1"/>
  <c r="T260" i="11"/>
  <c r="T325" i="11" s="1"/>
  <c r="Y62" i="37"/>
  <c r="T434" i="11"/>
  <c r="T775" i="11" s="1"/>
  <c r="AB19" i="37"/>
  <c r="W148" i="34"/>
  <c r="W145" i="34"/>
  <c r="T173" i="36"/>
  <c r="T110" i="36"/>
  <c r="T244" i="36" s="1"/>
  <c r="T48" i="36"/>
  <c r="S78" i="35"/>
  <c r="S77" i="35"/>
  <c r="V173" i="35"/>
  <c r="V48" i="35"/>
  <c r="V110" i="35"/>
  <c r="V244" i="35" s="1"/>
  <c r="T84" i="37"/>
  <c r="M621" i="11"/>
  <c r="E235" i="53" s="1"/>
  <c r="G235" i="53" s="1"/>
  <c r="E234" i="52"/>
  <c r="R83" i="37"/>
  <c r="S76" i="37" s="1"/>
  <c r="S78" i="37" s="1"/>
  <c r="Q83" i="34"/>
  <c r="R76" i="34" s="1"/>
  <c r="R472" i="11"/>
  <c r="R463" i="11"/>
  <c r="R454" i="11"/>
  <c r="R405" i="11"/>
  <c r="R124" i="11"/>
  <c r="R115" i="11"/>
  <c r="Z12" i="35"/>
  <c r="S78" i="11"/>
  <c r="Q499" i="11"/>
  <c r="U51" i="35"/>
  <c r="E169" i="51" s="1"/>
  <c r="U114" i="35"/>
  <c r="U73" i="35"/>
  <c r="U113" i="35"/>
  <c r="U317" i="35" s="1"/>
  <c r="U171" i="35"/>
  <c r="P173" i="11"/>
  <c r="R171" i="11"/>
  <c r="R250" i="11" s="1"/>
  <c r="R319" i="11" s="1"/>
  <c r="R280" i="11" s="1"/>
  <c r="Z67" i="36" s="1"/>
  <c r="AH4" i="56"/>
  <c r="AH4" i="26"/>
  <c r="U204" i="11"/>
  <c r="T258" i="11"/>
  <c r="T213" i="11"/>
  <c r="U196" i="11"/>
  <c r="U135" i="11"/>
  <c r="U61" i="11"/>
  <c r="U65" i="11" s="1"/>
  <c r="U56" i="11"/>
  <c r="U180" i="11" s="1"/>
  <c r="U181" i="11" s="1"/>
  <c r="S171" i="34"/>
  <c r="S73" i="34"/>
  <c r="S113" i="34"/>
  <c r="S317" i="34" s="1"/>
  <c r="S114" i="34"/>
  <c r="S51" i="34"/>
  <c r="E167" i="50" s="1"/>
  <c r="S118" i="34"/>
  <c r="S388" i="34" s="1"/>
  <c r="W132" i="39"/>
  <c r="W134" i="39" s="1"/>
  <c r="W36" i="39"/>
  <c r="X37" i="11"/>
  <c r="X55" i="11"/>
  <c r="Y46" i="11"/>
  <c r="W35" i="11"/>
  <c r="W53" i="11"/>
  <c r="X44" i="11"/>
  <c r="T97" i="39"/>
  <c r="T93" i="39"/>
  <c r="U86" i="39" s="1"/>
  <c r="G233" i="50"/>
  <c r="P755" i="11"/>
  <c r="X128" i="36"/>
  <c r="X21" i="36"/>
  <c r="T64" i="16"/>
  <c r="U145" i="11"/>
  <c r="T97" i="16"/>
  <c r="T93" i="16"/>
  <c r="U86" i="16" s="1"/>
  <c r="V171" i="37"/>
  <c r="V114" i="37"/>
  <c r="V113" i="37"/>
  <c r="V317" i="37" s="1"/>
  <c r="V73" i="37"/>
  <c r="V51" i="37"/>
  <c r="E170" i="53" s="1"/>
  <c r="R335" i="11"/>
  <c r="T84" i="38"/>
  <c r="M622" i="11"/>
  <c r="Z20" i="37"/>
  <c r="Z81" i="37"/>
  <c r="Z82" i="37" s="1"/>
  <c r="P503" i="11"/>
  <c r="P512" i="11" s="1"/>
  <c r="S78" i="36"/>
  <c r="S77" i="36"/>
  <c r="V72" i="5"/>
  <c r="W81" i="36"/>
  <c r="W82" i="36" s="1"/>
  <c r="W20" i="36"/>
  <c r="Y148" i="35"/>
  <c r="Y145" i="35"/>
  <c r="Q92" i="11"/>
  <c r="R87" i="11"/>
  <c r="V20" i="38"/>
  <c r="O311" i="11"/>
  <c r="P306" i="11" s="1"/>
  <c r="X19" i="16"/>
  <c r="U32" i="11"/>
  <c r="U38" i="11"/>
  <c r="W199" i="11"/>
  <c r="W64" i="11"/>
  <c r="W138" i="11"/>
  <c r="S217" i="11"/>
  <c r="S344" i="11" s="1"/>
  <c r="T208" i="11"/>
  <c r="S262" i="11"/>
  <c r="S343" i="11" s="1"/>
  <c r="V197" i="11"/>
  <c r="V136" i="11"/>
  <c r="V62" i="11"/>
  <c r="V80" i="11" s="1"/>
  <c r="T130" i="16"/>
  <c r="T136" i="16" s="1"/>
  <c r="T140" i="16" s="1"/>
  <c r="T6" i="16"/>
  <c r="L6" i="11" s="1"/>
  <c r="AJ137" i="26"/>
  <c r="U111" i="16"/>
  <c r="U270" i="16" s="1"/>
  <c r="AJ137" i="56"/>
  <c r="U172" i="16"/>
  <c r="U6" i="5"/>
  <c r="U53" i="5"/>
  <c r="U58" i="5" s="1"/>
  <c r="U115" i="5"/>
  <c r="U340" i="5" s="1"/>
  <c r="U28" i="5"/>
  <c r="U72" i="34"/>
  <c r="U115" i="34"/>
  <c r="U340" i="34" s="1"/>
  <c r="U28" i="34"/>
  <c r="AJ136" i="50" s="1"/>
  <c r="U53" i="34"/>
  <c r="E179" i="50" s="1"/>
  <c r="AK142" i="56"/>
  <c r="AK142" i="54"/>
  <c r="AK142" i="52"/>
  <c r="AK142" i="50"/>
  <c r="V172" i="5"/>
  <c r="V111" i="5"/>
  <c r="V270" i="5" s="1"/>
  <c r="AK142" i="51"/>
  <c r="AK142" i="55"/>
  <c r="AK142" i="53"/>
  <c r="AK142" i="26"/>
  <c r="F134" i="45"/>
  <c r="R873" i="11" l="1"/>
  <c r="B84" i="8"/>
  <c r="C186" i="11"/>
  <c r="X145" i="34"/>
  <c r="N759" i="11"/>
  <c r="S845" i="11"/>
  <c r="P147" i="12"/>
  <c r="P155" i="12" s="1"/>
  <c r="Q21" i="12"/>
  <c r="W768" i="11"/>
  <c r="X763" i="11"/>
  <c r="AE71" i="35"/>
  <c r="AE138" i="35"/>
  <c r="AE138" i="16"/>
  <c r="AE71" i="16"/>
  <c r="AE138" i="5"/>
  <c r="T690" i="11"/>
  <c r="AB35" i="39" s="1"/>
  <c r="P102" i="12"/>
  <c r="P110" i="12" s="1"/>
  <c r="P112" i="12" s="1"/>
  <c r="P119" i="12"/>
  <c r="P150" i="12" s="1"/>
  <c r="P158" i="12" s="1"/>
  <c r="P135" i="12"/>
  <c r="P127" i="12"/>
  <c r="P84" i="12"/>
  <c r="P93" i="12" s="1"/>
  <c r="P95" i="12" s="1"/>
  <c r="Q23" i="12"/>
  <c r="P143" i="12"/>
  <c r="P31" i="12"/>
  <c r="P33" i="12" s="1"/>
  <c r="P40" i="12"/>
  <c r="P42" i="12" s="1"/>
  <c r="Z132" i="37"/>
  <c r="Z36" i="37"/>
  <c r="AD71" i="34"/>
  <c r="AD138" i="34"/>
  <c r="V21" i="34"/>
  <c r="V104" i="34" s="1"/>
  <c r="V196" i="34" s="1"/>
  <c r="T687" i="11"/>
  <c r="Z43" i="34"/>
  <c r="P428" i="11"/>
  <c r="Q140" i="12"/>
  <c r="Q116" i="12"/>
  <c r="Q132" i="12"/>
  <c r="Q124" i="12"/>
  <c r="Q28" i="12"/>
  <c r="Q37" i="12" s="1"/>
  <c r="Q81" i="12"/>
  <c r="Q90" i="12" s="1"/>
  <c r="Q25" i="12"/>
  <c r="Q86" i="12" s="1"/>
  <c r="Q99" i="12"/>
  <c r="Q107" i="12" s="1"/>
  <c r="AA767" i="11"/>
  <c r="AH138" i="39"/>
  <c r="AH71" i="39"/>
  <c r="P148" i="12"/>
  <c r="P156" i="12" s="1"/>
  <c r="T456" i="11"/>
  <c r="S501" i="11"/>
  <c r="S510" i="11" s="1"/>
  <c r="R500" i="11"/>
  <c r="R509" i="11" s="1"/>
  <c r="S464" i="11"/>
  <c r="S656" i="11"/>
  <c r="L632" i="11"/>
  <c r="L885" i="11" s="1"/>
  <c r="L624" i="11"/>
  <c r="T651" i="11"/>
  <c r="P174" i="11"/>
  <c r="P400" i="11" s="1"/>
  <c r="X94" i="39" s="1"/>
  <c r="T671" i="11"/>
  <c r="T848" i="11" s="1"/>
  <c r="O401" i="11"/>
  <c r="Z31" i="5"/>
  <c r="S749" i="11"/>
  <c r="U62" i="5"/>
  <c r="S846" i="11"/>
  <c r="Z19" i="36"/>
  <c r="V111" i="34"/>
  <c r="V270" i="34" s="1"/>
  <c r="S547" i="11"/>
  <c r="Q872" i="11"/>
  <c r="Z145" i="36"/>
  <c r="V172" i="34"/>
  <c r="AK137" i="50"/>
  <c r="Q477" i="11"/>
  <c r="Q478" i="11" s="1"/>
  <c r="T714" i="11"/>
  <c r="AB41" i="36" s="1"/>
  <c r="T737" i="11"/>
  <c r="AB43" i="39" s="1"/>
  <c r="V113" i="36"/>
  <c r="V317" i="36" s="1"/>
  <c r="V171" i="36"/>
  <c r="V51" i="36"/>
  <c r="E170" i="52" s="1"/>
  <c r="X36" i="35"/>
  <c r="X47" i="35" s="1"/>
  <c r="R837" i="11"/>
  <c r="Q467" i="11"/>
  <c r="Z133" i="39"/>
  <c r="R82" i="11"/>
  <c r="R91" i="11" s="1"/>
  <c r="Y12" i="39"/>
  <c r="Y148" i="39" s="1"/>
  <c r="X19" i="38"/>
  <c r="X80" i="38" s="1"/>
  <c r="Q128" i="11"/>
  <c r="Q147" i="11" s="1"/>
  <c r="Q148" i="11" s="1"/>
  <c r="Q119" i="11"/>
  <c r="U64" i="5"/>
  <c r="Q458" i="11"/>
  <c r="Q83" i="11"/>
  <c r="Q409" i="11"/>
  <c r="Q427" i="11" s="1"/>
  <c r="T398" i="11"/>
  <c r="AB94" i="37" s="1"/>
  <c r="P754" i="11"/>
  <c r="P899" i="11" s="1"/>
  <c r="AA12" i="36"/>
  <c r="O757" i="11"/>
  <c r="O866" i="11" s="1"/>
  <c r="S84" i="34"/>
  <c r="S88" i="11"/>
  <c r="T88" i="11" s="1"/>
  <c r="S665" i="11"/>
  <c r="U62" i="36"/>
  <c r="U64" i="36" s="1"/>
  <c r="U8" i="36"/>
  <c r="AJ136" i="52"/>
  <c r="U173" i="36"/>
  <c r="U48" i="36"/>
  <c r="U110" i="36"/>
  <c r="U244" i="36" s="1"/>
  <c r="S125" i="11"/>
  <c r="S144" i="11" s="1"/>
  <c r="S361" i="11" s="1"/>
  <c r="S379" i="11" s="1"/>
  <c r="S848" i="11"/>
  <c r="O776" i="11"/>
  <c r="R891" i="11"/>
  <c r="W94" i="38"/>
  <c r="S406" i="11"/>
  <c r="S424" i="11" s="1"/>
  <c r="K9" i="11"/>
  <c r="T679" i="11"/>
  <c r="AB34" i="37" s="1"/>
  <c r="T734" i="11"/>
  <c r="AB43" i="36" s="1"/>
  <c r="Z133" i="36"/>
  <c r="S9" i="5"/>
  <c r="V81" i="38"/>
  <c r="V82" i="38" s="1"/>
  <c r="X128" i="35"/>
  <c r="W21" i="38"/>
  <c r="W104" i="38" s="1"/>
  <c r="W196" i="38" s="1"/>
  <c r="X132" i="35"/>
  <c r="X134" i="35" s="1"/>
  <c r="S847" i="11"/>
  <c r="W114" i="37"/>
  <c r="P831" i="11"/>
  <c r="U64" i="16"/>
  <c r="P437" i="11"/>
  <c r="P778" i="11" s="1"/>
  <c r="V20" i="16"/>
  <c r="V62" i="16" s="1"/>
  <c r="V81" i="16"/>
  <c r="V82" i="16" s="1"/>
  <c r="V64" i="36"/>
  <c r="T661" i="11"/>
  <c r="AB32" i="37" s="1"/>
  <c r="Y128" i="36"/>
  <c r="Q828" i="11"/>
  <c r="Y21" i="36"/>
  <c r="Y104" i="36" s="1"/>
  <c r="Y196" i="36" s="1"/>
  <c r="S559" i="11"/>
  <c r="T717" i="11"/>
  <c r="AB41" i="39" s="1"/>
  <c r="Q432" i="11"/>
  <c r="Q755" i="11"/>
  <c r="Q864" i="11" s="1"/>
  <c r="T659" i="11"/>
  <c r="AB32" i="35" s="1"/>
  <c r="V73" i="36"/>
  <c r="AK138" i="52"/>
  <c r="V114" i="36"/>
  <c r="V58" i="39"/>
  <c r="AX21" i="39"/>
  <c r="AK4" i="55" s="1"/>
  <c r="W171" i="37"/>
  <c r="V48" i="39"/>
  <c r="AK138" i="55" s="1"/>
  <c r="E136" i="52"/>
  <c r="W51" i="37"/>
  <c r="E171" i="53" s="1"/>
  <c r="W73" i="37"/>
  <c r="AL138" i="53"/>
  <c r="W113" i="37"/>
  <c r="W317" i="37" s="1"/>
  <c r="X115" i="36"/>
  <c r="X340" i="36" s="1"/>
  <c r="X28" i="36"/>
  <c r="AM136" i="52" s="1"/>
  <c r="W110" i="36"/>
  <c r="W244" i="36" s="1"/>
  <c r="W48" i="36"/>
  <c r="W114" i="36" s="1"/>
  <c r="V110" i="39"/>
  <c r="V244" i="39" s="1"/>
  <c r="W173" i="36"/>
  <c r="V173" i="39"/>
  <c r="X72" i="36"/>
  <c r="W58" i="36"/>
  <c r="AL58" i="36" s="1"/>
  <c r="I58" i="36" s="1"/>
  <c r="K58" i="36" s="1"/>
  <c r="Q586" i="11"/>
  <c r="Q595" i="11" s="1"/>
  <c r="Y133" i="34"/>
  <c r="AY21" i="36"/>
  <c r="AL4" i="52" s="1"/>
  <c r="T715" i="11"/>
  <c r="AB41" i="37" s="1"/>
  <c r="S719" i="11"/>
  <c r="Q895" i="11"/>
  <c r="S683" i="11"/>
  <c r="S692" i="11"/>
  <c r="T660" i="11"/>
  <c r="Y133" i="5"/>
  <c r="T473" i="11"/>
  <c r="Y46" i="16"/>
  <c r="S682" i="11"/>
  <c r="AA34" i="5" s="1"/>
  <c r="S674" i="11"/>
  <c r="Y133" i="16"/>
  <c r="T116" i="11"/>
  <c r="U79" i="11"/>
  <c r="S664" i="11"/>
  <c r="AA32" i="34" s="1"/>
  <c r="T464" i="11"/>
  <c r="S738" i="11"/>
  <c r="Y46" i="34"/>
  <c r="O778" i="11"/>
  <c r="W21" i="34"/>
  <c r="W81" i="34" s="1"/>
  <c r="W128" i="34"/>
  <c r="W21" i="5"/>
  <c r="W20" i="5" s="1"/>
  <c r="T672" i="11"/>
  <c r="AB33" i="39" s="1"/>
  <c r="R552" i="11"/>
  <c r="T681" i="11"/>
  <c r="AB34" i="39" s="1"/>
  <c r="T650" i="11"/>
  <c r="AB31" i="35" s="1"/>
  <c r="T688" i="11"/>
  <c r="AB35" i="37" s="1"/>
  <c r="P146" i="11"/>
  <c r="P830" i="11" s="1"/>
  <c r="Y47" i="36"/>
  <c r="Z46" i="35"/>
  <c r="Z133" i="35"/>
  <c r="R836" i="11"/>
  <c r="W47" i="35"/>
  <c r="W117" i="35" s="1"/>
  <c r="W364" i="35" s="1"/>
  <c r="E141" i="51"/>
  <c r="E149" i="51" s="1"/>
  <c r="O875" i="11"/>
  <c r="O148" i="11"/>
  <c r="O363" i="11"/>
  <c r="M630" i="11"/>
  <c r="M883" i="11" s="1"/>
  <c r="Y37" i="34"/>
  <c r="Y37" i="5"/>
  <c r="AI136" i="51"/>
  <c r="E136" i="51"/>
  <c r="X117" i="36"/>
  <c r="X364" i="36" s="1"/>
  <c r="AM137" i="52"/>
  <c r="Z37" i="35"/>
  <c r="Z37" i="16"/>
  <c r="V118" i="35"/>
  <c r="V388" i="35" s="1"/>
  <c r="AK138" i="51"/>
  <c r="O382" i="11"/>
  <c r="W47" i="39"/>
  <c r="W172" i="39" s="1"/>
  <c r="E141" i="55"/>
  <c r="E149" i="55" s="1"/>
  <c r="P252" i="11"/>
  <c r="P337" i="11" s="1"/>
  <c r="P282" i="11" s="1"/>
  <c r="P155" i="11"/>
  <c r="N381" i="11"/>
  <c r="N383" i="11" s="1"/>
  <c r="N365" i="11"/>
  <c r="AD374" i="11"/>
  <c r="W47" i="38"/>
  <c r="W111" i="38" s="1"/>
  <c r="W270" i="38" s="1"/>
  <c r="E141" i="54"/>
  <c r="E149" i="54" s="1"/>
  <c r="X117" i="35"/>
  <c r="X364" i="35" s="1"/>
  <c r="AM137" i="51"/>
  <c r="S745" i="11"/>
  <c r="N355" i="11"/>
  <c r="N284" i="11" s="1"/>
  <c r="N384" i="11"/>
  <c r="O830" i="11"/>
  <c r="O374" i="11"/>
  <c r="P320" i="11"/>
  <c r="Q315" i="11" s="1"/>
  <c r="Q320" i="11" s="1"/>
  <c r="R315" i="11" s="1"/>
  <c r="R320" i="11" s="1"/>
  <c r="S315" i="11" s="1"/>
  <c r="P253" i="11"/>
  <c r="P346" i="11" s="1"/>
  <c r="P283" i="11" s="1"/>
  <c r="X67" i="39" s="1"/>
  <c r="X115" i="39" s="1"/>
  <c r="X340" i="39" s="1"/>
  <c r="P156" i="11"/>
  <c r="O254" i="11"/>
  <c r="O272" i="11" s="1"/>
  <c r="O275" i="11" s="1"/>
  <c r="W72" i="5" s="1"/>
  <c r="AI136" i="50"/>
  <c r="U118" i="39"/>
  <c r="U388" i="39" s="1"/>
  <c r="AJ138" i="55"/>
  <c r="T118" i="39"/>
  <c r="T388" i="39" s="1"/>
  <c r="AI138" i="55"/>
  <c r="U73" i="39"/>
  <c r="U114" i="39"/>
  <c r="U171" i="39"/>
  <c r="AI136" i="54"/>
  <c r="R270" i="11"/>
  <c r="T72" i="16"/>
  <c r="U28" i="16"/>
  <c r="AJ136" i="56" s="1"/>
  <c r="U53" i="16"/>
  <c r="E179" i="26" s="1"/>
  <c r="G179" i="26" s="1"/>
  <c r="U113" i="39"/>
  <c r="U317" i="39" s="1"/>
  <c r="U72" i="16"/>
  <c r="T118" i="36"/>
  <c r="T388" i="36" s="1"/>
  <c r="AI138" i="52"/>
  <c r="S78" i="39"/>
  <c r="S83" i="39" s="1"/>
  <c r="T76" i="39" s="1"/>
  <c r="W132" i="5"/>
  <c r="W134" i="5" s="1"/>
  <c r="Q468" i="11"/>
  <c r="S558" i="11"/>
  <c r="T733" i="11"/>
  <c r="AB43" i="35" s="1"/>
  <c r="R397" i="11"/>
  <c r="Z94" i="36" s="1"/>
  <c r="T670" i="11"/>
  <c r="AB33" i="37" s="1"/>
  <c r="T652" i="11"/>
  <c r="AB31" i="37" s="1"/>
  <c r="T662" i="11"/>
  <c r="AB32" i="38" s="1"/>
  <c r="S560" i="11"/>
  <c r="T654" i="11"/>
  <c r="AB31" i="39" s="1"/>
  <c r="Q459" i="11"/>
  <c r="T680" i="11"/>
  <c r="AB34" i="38" s="1"/>
  <c r="Q781" i="11"/>
  <c r="R587" i="11"/>
  <c r="R596" i="11" s="1"/>
  <c r="T115" i="16"/>
  <c r="T340" i="16" s="1"/>
  <c r="T28" i="16"/>
  <c r="T48" i="16" s="1"/>
  <c r="T118" i="16" s="1"/>
  <c r="T388" i="16" s="1"/>
  <c r="S83" i="36"/>
  <c r="T76" i="36" s="1"/>
  <c r="T77" i="36" s="1"/>
  <c r="S500" i="11"/>
  <c r="S509" i="11" s="1"/>
  <c r="W36" i="16"/>
  <c r="E141" i="26" s="1"/>
  <c r="E149" i="26" s="1"/>
  <c r="Q428" i="11"/>
  <c r="Y19" i="34" s="1"/>
  <c r="S570" i="11"/>
  <c r="Q594" i="11"/>
  <c r="AA32" i="16"/>
  <c r="AB31" i="36"/>
  <c r="AB33" i="35"/>
  <c r="P399" i="11"/>
  <c r="Q773" i="11"/>
  <c r="Q120" i="11"/>
  <c r="Q121" i="11" s="1"/>
  <c r="Y100" i="35"/>
  <c r="Y101" i="35" s="1"/>
  <c r="Q227" i="11"/>
  <c r="O602" i="11"/>
  <c r="O611" i="11"/>
  <c r="AA147" i="5"/>
  <c r="X42" i="6"/>
  <c r="S739" i="11"/>
  <c r="Q782" i="11"/>
  <c r="Y47" i="37"/>
  <c r="AN137" i="53" s="1"/>
  <c r="X24" i="38"/>
  <c r="X63" i="38" s="1"/>
  <c r="X91" i="38"/>
  <c r="X92" i="38" s="1"/>
  <c r="T689" i="11"/>
  <c r="AB35" i="38" s="1"/>
  <c r="P504" i="11"/>
  <c r="P505" i="11" s="1"/>
  <c r="Y23" i="16"/>
  <c r="Y23" i="5"/>
  <c r="Y23" i="34"/>
  <c r="S655" i="11"/>
  <c r="T713" i="11"/>
  <c r="AA112" i="36"/>
  <c r="AA294" i="36" s="1"/>
  <c r="AA147" i="36"/>
  <c r="K814" i="11"/>
  <c r="S84" i="16"/>
  <c r="S9" i="16"/>
  <c r="AA43" i="16"/>
  <c r="AA43" i="34"/>
  <c r="AA43" i="5"/>
  <c r="R709" i="11"/>
  <c r="R747" i="11" s="1"/>
  <c r="R895" i="11" s="1"/>
  <c r="Z35" i="16"/>
  <c r="Z35" i="5"/>
  <c r="Z35" i="34"/>
  <c r="R78" i="16"/>
  <c r="R77" i="16"/>
  <c r="Z33" i="16"/>
  <c r="Z112" i="16" s="1"/>
  <c r="Z294" i="16" s="1"/>
  <c r="Z33" i="5"/>
  <c r="Z33" i="34"/>
  <c r="Z112" i="34" s="1"/>
  <c r="Z294" i="34" s="1"/>
  <c r="P865" i="11"/>
  <c r="P901" i="11"/>
  <c r="AA112" i="35"/>
  <c r="AA294" i="35" s="1"/>
  <c r="AA147" i="35"/>
  <c r="AB32" i="36"/>
  <c r="W24" i="5"/>
  <c r="R90" i="11"/>
  <c r="X90" i="34"/>
  <c r="P603" i="11"/>
  <c r="P612" i="11"/>
  <c r="S691" i="11"/>
  <c r="AA35" i="35"/>
  <c r="P595" i="11"/>
  <c r="P597" i="11" s="1"/>
  <c r="AA147" i="38"/>
  <c r="AA112" i="38"/>
  <c r="AA294" i="38" s="1"/>
  <c r="Q605" i="11"/>
  <c r="Q614" i="11"/>
  <c r="S743" i="11"/>
  <c r="AA31" i="36"/>
  <c r="Z23" i="35"/>
  <c r="R574" i="11"/>
  <c r="R543" i="11"/>
  <c r="S538" i="11"/>
  <c r="S534" i="11"/>
  <c r="W91" i="34"/>
  <c r="W92" i="34" s="1"/>
  <c r="W24" i="34"/>
  <c r="W63" i="34" s="1"/>
  <c r="X63" i="39"/>
  <c r="O867" i="11"/>
  <c r="O903" i="11"/>
  <c r="L633" i="11"/>
  <c r="T9" i="34" s="1"/>
  <c r="T455" i="11"/>
  <c r="V20" i="5"/>
  <c r="V8" i="5" s="1"/>
  <c r="V104" i="5"/>
  <c r="V196" i="5" s="1"/>
  <c r="Q396" i="11"/>
  <c r="P588" i="11"/>
  <c r="Z147" i="34"/>
  <c r="R850" i="11"/>
  <c r="Z32" i="16"/>
  <c r="Z32" i="5"/>
  <c r="Z32" i="34"/>
  <c r="T653" i="11"/>
  <c r="R576" i="11"/>
  <c r="R585" i="11" s="1"/>
  <c r="Z23" i="37"/>
  <c r="S540" i="11"/>
  <c r="AA34" i="36"/>
  <c r="X91" i="37"/>
  <c r="X92" i="37" s="1"/>
  <c r="X24" i="37"/>
  <c r="X28" i="37"/>
  <c r="AM136" i="53" s="1"/>
  <c r="AA41" i="39"/>
  <c r="S556" i="11"/>
  <c r="S704" i="11"/>
  <c r="S700" i="11"/>
  <c r="R577" i="11"/>
  <c r="R586" i="11" s="1"/>
  <c r="Z23" i="38"/>
  <c r="S541" i="11"/>
  <c r="AB35" i="36"/>
  <c r="U521" i="11"/>
  <c r="U687" i="11" s="1"/>
  <c r="AC35" i="36" s="1"/>
  <c r="T530" i="11"/>
  <c r="T557" i="11" s="1"/>
  <c r="AB13" i="36"/>
  <c r="T696" i="11"/>
  <c r="T705" i="11" s="1"/>
  <c r="AB37" i="36" s="1"/>
  <c r="T566" i="11"/>
  <c r="V89" i="11"/>
  <c r="R838" i="11"/>
  <c r="Z46" i="37"/>
  <c r="Z47" i="37" s="1"/>
  <c r="AO137" i="53" s="1"/>
  <c r="Z133" i="37"/>
  <c r="Z134" i="37" s="1"/>
  <c r="R892" i="11"/>
  <c r="S718" i="11"/>
  <c r="S548" i="11"/>
  <c r="S552" i="11" s="1"/>
  <c r="R143" i="11"/>
  <c r="R872" i="11" s="1"/>
  <c r="P776" i="11"/>
  <c r="R423" i="11"/>
  <c r="Z19" i="35" s="1"/>
  <c r="M809" i="11"/>
  <c r="Y12" i="5"/>
  <c r="Z148" i="5" s="1"/>
  <c r="U522" i="11"/>
  <c r="U670" i="11" s="1"/>
  <c r="T531" i="11"/>
  <c r="T549" i="11" s="1"/>
  <c r="AB13" i="37"/>
  <c r="T697" i="11"/>
  <c r="T706" i="11" s="1"/>
  <c r="AB37" i="37" s="1"/>
  <c r="T567" i="11"/>
  <c r="T663" i="11"/>
  <c r="AB32" i="39" s="1"/>
  <c r="X105" i="35"/>
  <c r="X220" i="35" s="1"/>
  <c r="Y90" i="37"/>
  <c r="AA43" i="39"/>
  <c r="Q579" i="11"/>
  <c r="Q786" i="11" s="1"/>
  <c r="Y129" i="35"/>
  <c r="Y25" i="35"/>
  <c r="Y105" i="35" s="1"/>
  <c r="Y220" i="35" s="1"/>
  <c r="X105" i="38"/>
  <c r="X220" i="38" s="1"/>
  <c r="T677" i="11"/>
  <c r="AB34" i="35" s="1"/>
  <c r="U520" i="11"/>
  <c r="U668" i="11" s="1"/>
  <c r="T695" i="11"/>
  <c r="T565" i="11"/>
  <c r="T529" i="11"/>
  <c r="T525" i="11"/>
  <c r="T665" i="11" s="1"/>
  <c r="T845" i="11"/>
  <c r="AB13" i="35"/>
  <c r="T736" i="11"/>
  <c r="AA43" i="37"/>
  <c r="X90" i="16"/>
  <c r="X105" i="37"/>
  <c r="X220" i="37" s="1"/>
  <c r="S542" i="11"/>
  <c r="Y24" i="39"/>
  <c r="Y63" i="39" s="1"/>
  <c r="Y91" i="39"/>
  <c r="Y92" i="39" s="1"/>
  <c r="AA147" i="37"/>
  <c r="AA112" i="37"/>
  <c r="AA294" i="37" s="1"/>
  <c r="X25" i="16"/>
  <c r="X129" i="5"/>
  <c r="X129" i="16"/>
  <c r="X129" i="34"/>
  <c r="X25" i="5"/>
  <c r="X24" i="5" s="1"/>
  <c r="X63" i="5" s="1"/>
  <c r="X25" i="34"/>
  <c r="X105" i="34" s="1"/>
  <c r="X220" i="34" s="1"/>
  <c r="AA147" i="39"/>
  <c r="AA112" i="39"/>
  <c r="AA294" i="39" s="1"/>
  <c r="U524" i="11"/>
  <c r="U690" i="11" s="1"/>
  <c r="AC35" i="39" s="1"/>
  <c r="AB13" i="39"/>
  <c r="T569" i="11"/>
  <c r="T533" i="11"/>
  <c r="T551" i="11" s="1"/>
  <c r="T699" i="11"/>
  <c r="T708" i="11" s="1"/>
  <c r="AB37" i="39" s="1"/>
  <c r="R575" i="11"/>
  <c r="R755" i="11" s="1"/>
  <c r="Z23" i="36"/>
  <c r="S539" i="11"/>
  <c r="U523" i="11"/>
  <c r="T698" i="11"/>
  <c r="T707" i="11" s="1"/>
  <c r="AB37" i="38" s="1"/>
  <c r="T568" i="11"/>
  <c r="AB13" i="38"/>
  <c r="T532" i="11"/>
  <c r="T550" i="11" s="1"/>
  <c r="AA34" i="39"/>
  <c r="Z41" i="16"/>
  <c r="Z41" i="34"/>
  <c r="Z41" i="5"/>
  <c r="Y90" i="38"/>
  <c r="T678" i="11"/>
  <c r="AB34" i="36" s="1"/>
  <c r="W24" i="16"/>
  <c r="W63" i="16" s="1"/>
  <c r="W91" i="16"/>
  <c r="W92" i="16" s="1"/>
  <c r="S673" i="11"/>
  <c r="S744" i="11"/>
  <c r="Q508" i="11"/>
  <c r="Q827" i="11" s="1"/>
  <c r="P863" i="11"/>
  <c r="N868" i="11"/>
  <c r="N904" i="11"/>
  <c r="X104" i="36"/>
  <c r="X196" i="36" s="1"/>
  <c r="AA34" i="16"/>
  <c r="Y90" i="36"/>
  <c r="Z46" i="16"/>
  <c r="Z133" i="16"/>
  <c r="Z133" i="5"/>
  <c r="Y129" i="37"/>
  <c r="Y25" i="37"/>
  <c r="Q829" i="11"/>
  <c r="Q756" i="11"/>
  <c r="S839" i="11"/>
  <c r="AA133" i="38"/>
  <c r="AA46" i="38"/>
  <c r="S893" i="11"/>
  <c r="Y90" i="35"/>
  <c r="AA31" i="39"/>
  <c r="S746" i="11"/>
  <c r="T686" i="11"/>
  <c r="Q604" i="11"/>
  <c r="X24" i="36"/>
  <c r="X63" i="36" s="1"/>
  <c r="X91" i="36"/>
  <c r="X92" i="36" s="1"/>
  <c r="Z90" i="39"/>
  <c r="P864" i="11"/>
  <c r="P900" i="11"/>
  <c r="Q900" i="11"/>
  <c r="Z133" i="38"/>
  <c r="Z46" i="38"/>
  <c r="R839" i="11"/>
  <c r="R893" i="11"/>
  <c r="X24" i="35"/>
  <c r="X91" i="35"/>
  <c r="X92" i="35" s="1"/>
  <c r="Z147" i="16"/>
  <c r="Q584" i="11"/>
  <c r="Q588" i="11" s="1"/>
  <c r="Y25" i="36"/>
  <c r="Y105" i="36" s="1"/>
  <c r="Y220" i="36" s="1"/>
  <c r="Y129" i="36"/>
  <c r="AA32" i="39"/>
  <c r="T716" i="11"/>
  <c r="AB41" i="38" s="1"/>
  <c r="Q783" i="11"/>
  <c r="Q592" i="11"/>
  <c r="Q129" i="11"/>
  <c r="AA13" i="16"/>
  <c r="AA99" i="35"/>
  <c r="AA13" i="34"/>
  <c r="AA99" i="34"/>
  <c r="S561" i="11"/>
  <c r="AA99" i="16"/>
  <c r="AA99" i="39"/>
  <c r="AA13" i="5"/>
  <c r="AA99" i="38"/>
  <c r="AA99" i="37"/>
  <c r="AA99" i="36"/>
  <c r="O610" i="11"/>
  <c r="P610" i="11" s="1"/>
  <c r="O601" i="11"/>
  <c r="O597" i="11"/>
  <c r="O615" i="11" s="1"/>
  <c r="Y129" i="38"/>
  <c r="Y25" i="38"/>
  <c r="Y105" i="38" s="1"/>
  <c r="Y220" i="38" s="1"/>
  <c r="T669" i="11"/>
  <c r="T735" i="11"/>
  <c r="AB43" i="37" s="1"/>
  <c r="P602" i="11"/>
  <c r="P611" i="11"/>
  <c r="X105" i="36"/>
  <c r="X220" i="36" s="1"/>
  <c r="Z34" i="16"/>
  <c r="Z34" i="5"/>
  <c r="Z34" i="34"/>
  <c r="W105" i="5"/>
  <c r="W220" i="5" s="1"/>
  <c r="Z129" i="39"/>
  <c r="Z25" i="39"/>
  <c r="R269" i="11"/>
  <c r="O273" i="11"/>
  <c r="P268" i="11" s="1"/>
  <c r="S263" i="11"/>
  <c r="S352" i="11" s="1"/>
  <c r="V474" i="11"/>
  <c r="V465" i="11"/>
  <c r="V407" i="11"/>
  <c r="V425" i="11" s="1"/>
  <c r="V117" i="11"/>
  <c r="V126" i="11"/>
  <c r="V145" i="11" s="1"/>
  <c r="AD12" i="37"/>
  <c r="U95" i="38"/>
  <c r="U96" i="38" s="1"/>
  <c r="N187" i="11"/>
  <c r="U95" i="39"/>
  <c r="U96" i="39" s="1"/>
  <c r="U9" i="35"/>
  <c r="U95" i="35"/>
  <c r="U96" i="35" s="1"/>
  <c r="U95" i="37"/>
  <c r="U96" i="37" s="1"/>
  <c r="U95" i="36"/>
  <c r="U96" i="36" s="1"/>
  <c r="U95" i="34"/>
  <c r="U96" i="34" s="1"/>
  <c r="U95" i="16"/>
  <c r="U96" i="16" s="1"/>
  <c r="Z72" i="37"/>
  <c r="Z53" i="37"/>
  <c r="BB21" i="37" s="1"/>
  <c r="AO4" i="53" s="1"/>
  <c r="Z115" i="37"/>
  <c r="Z340" i="37" s="1"/>
  <c r="U7" i="39"/>
  <c r="AW20" i="39"/>
  <c r="AJ3" i="55" s="1"/>
  <c r="U57" i="39"/>
  <c r="U59" i="39" s="1"/>
  <c r="U54" i="39"/>
  <c r="U84" i="35"/>
  <c r="N619" i="11"/>
  <c r="N628" i="11" s="1"/>
  <c r="V81" i="34"/>
  <c r="V82" i="34" s="1"/>
  <c r="V20" i="34"/>
  <c r="W58" i="35"/>
  <c r="AY21" i="35"/>
  <c r="AL4" i="51" s="1"/>
  <c r="AH139" i="53"/>
  <c r="X132" i="38"/>
  <c r="X134" i="38" s="1"/>
  <c r="X36" i="38"/>
  <c r="X47" i="38" s="1"/>
  <c r="W198" i="11"/>
  <c r="W63" i="11"/>
  <c r="W137" i="11"/>
  <c r="U173" i="34"/>
  <c r="U48" i="34"/>
  <c r="U110" i="34"/>
  <c r="U244" i="34" s="1"/>
  <c r="X132" i="39"/>
  <c r="X134" i="39" s="1"/>
  <c r="X36" i="39"/>
  <c r="X47" i="39" s="1"/>
  <c r="U362" i="11"/>
  <c r="U380" i="11" s="1"/>
  <c r="U874" i="11"/>
  <c r="U486" i="11"/>
  <c r="U487" i="11" s="1"/>
  <c r="U495" i="11"/>
  <c r="U496" i="11" s="1"/>
  <c r="U200" i="11"/>
  <c r="U139" i="11"/>
  <c r="T307" i="11"/>
  <c r="AB145" i="36"/>
  <c r="AB148" i="36"/>
  <c r="S472" i="11"/>
  <c r="S463" i="11"/>
  <c r="S454" i="11"/>
  <c r="S405" i="11"/>
  <c r="S124" i="11"/>
  <c r="S115" i="11"/>
  <c r="AA12" i="35"/>
  <c r="T78" i="11"/>
  <c r="S77" i="38"/>
  <c r="S83" i="38" s="1"/>
  <c r="T76" i="38" s="1"/>
  <c r="T77" i="38" s="1"/>
  <c r="Q378" i="11"/>
  <c r="T84" i="39"/>
  <c r="M623" i="11"/>
  <c r="M624" i="11" s="1"/>
  <c r="E235" i="26" s="1"/>
  <c r="G235" i="26" s="1"/>
  <c r="L813" i="11"/>
  <c r="T9" i="39"/>
  <c r="X81" i="35"/>
  <c r="X82" i="35" s="1"/>
  <c r="X20" i="35"/>
  <c r="Z33" i="11"/>
  <c r="Z51" i="11"/>
  <c r="AA42" i="11"/>
  <c r="S171" i="11"/>
  <c r="S250" i="11" s="1"/>
  <c r="U173" i="38"/>
  <c r="U48" i="38"/>
  <c r="U110" i="38"/>
  <c r="U244" i="38" s="1"/>
  <c r="T110" i="34"/>
  <c r="T244" i="34" s="1"/>
  <c r="T173" i="34"/>
  <c r="T48" i="34"/>
  <c r="Z132" i="36"/>
  <c r="Z36" i="36"/>
  <c r="Z47" i="36" s="1"/>
  <c r="R467" i="11"/>
  <c r="S82" i="11"/>
  <c r="S91" i="11" s="1"/>
  <c r="Q435" i="11"/>
  <c r="Q776" i="11" s="1"/>
  <c r="Y19" i="38"/>
  <c r="Y19" i="16"/>
  <c r="AH139" i="54"/>
  <c r="M629" i="11"/>
  <c r="V62" i="39"/>
  <c r="V64" i="39" s="1"/>
  <c r="V8" i="39"/>
  <c r="AA148" i="36"/>
  <c r="AA145" i="36"/>
  <c r="U172" i="11"/>
  <c r="U251" i="11" s="1"/>
  <c r="U328" i="11" s="1"/>
  <c r="U281" i="11" s="1"/>
  <c r="AC67" i="37" s="1"/>
  <c r="T262" i="11"/>
  <c r="T343" i="11" s="1"/>
  <c r="U208" i="11"/>
  <c r="T217" i="11"/>
  <c r="T344" i="11" s="1"/>
  <c r="P311" i="11"/>
  <c r="Q306" i="11" s="1"/>
  <c r="W8" i="36"/>
  <c r="W62" i="36"/>
  <c r="V204" i="11"/>
  <c r="U258" i="11"/>
  <c r="U213" i="11"/>
  <c r="X94" i="38"/>
  <c r="X94" i="16"/>
  <c r="Z145" i="35"/>
  <c r="Z148" i="35"/>
  <c r="T51" i="36"/>
  <c r="E168" i="52" s="1"/>
  <c r="T113" i="36"/>
  <c r="T317" i="36" s="1"/>
  <c r="T73" i="36"/>
  <c r="T114" i="36"/>
  <c r="T171" i="36"/>
  <c r="T58" i="35"/>
  <c r="AV21" i="35"/>
  <c r="AI4" i="51" s="1"/>
  <c r="Y195" i="11"/>
  <c r="Y134" i="11"/>
  <c r="Y60" i="11"/>
  <c r="AV21" i="34"/>
  <c r="AI4" i="50" s="1"/>
  <c r="T58" i="34"/>
  <c r="W20" i="16"/>
  <c r="W81" i="16"/>
  <c r="W82" i="16" s="1"/>
  <c r="Q502" i="11"/>
  <c r="Q511" i="11" s="1"/>
  <c r="Q310" i="11"/>
  <c r="Q279" i="11" s="1"/>
  <c r="Y67" i="35" s="1"/>
  <c r="T259" i="11"/>
  <c r="T316" i="11" s="1"/>
  <c r="U205" i="11"/>
  <c r="U214" i="11" s="1"/>
  <c r="U317" i="11" s="1"/>
  <c r="AH139" i="50"/>
  <c r="T51" i="39"/>
  <c r="E168" i="55" s="1"/>
  <c r="T73" i="39"/>
  <c r="T171" i="39"/>
  <c r="T114" i="39"/>
  <c r="T113" i="39"/>
  <c r="T317" i="39" s="1"/>
  <c r="Z62" i="37"/>
  <c r="V54" i="37"/>
  <c r="V57" i="37"/>
  <c r="V59" i="37" s="1"/>
  <c r="AX20" i="37"/>
  <c r="AK3" i="53" s="1"/>
  <c r="V7" i="37"/>
  <c r="X35" i="11"/>
  <c r="X53" i="11"/>
  <c r="Y44" i="11"/>
  <c r="R170" i="11"/>
  <c r="R249" i="11" s="1"/>
  <c r="V114" i="35"/>
  <c r="V113" i="35"/>
  <c r="V317" i="35" s="1"/>
  <c r="V51" i="35"/>
  <c r="E170" i="51" s="1"/>
  <c r="V73" i="35"/>
  <c r="V171" i="35"/>
  <c r="U62" i="34"/>
  <c r="U64" i="34" s="1"/>
  <c r="U8" i="34"/>
  <c r="AA132" i="36"/>
  <c r="AA36" i="36"/>
  <c r="Q876" i="11"/>
  <c r="U434" i="11"/>
  <c r="AC19" i="37"/>
  <c r="AH139" i="52"/>
  <c r="E167" i="56"/>
  <c r="AU20" i="16"/>
  <c r="E167" i="26"/>
  <c r="G167" i="26" s="1"/>
  <c r="G167" i="51"/>
  <c r="S7" i="16"/>
  <c r="K7" i="11" s="1"/>
  <c r="G167" i="50"/>
  <c r="S54" i="16"/>
  <c r="G167" i="55"/>
  <c r="G167" i="54"/>
  <c r="G167" i="53"/>
  <c r="S57" i="16"/>
  <c r="S59" i="16" s="1"/>
  <c r="G167" i="52"/>
  <c r="U173" i="16"/>
  <c r="X80" i="39"/>
  <c r="U54" i="35"/>
  <c r="AW20" i="35"/>
  <c r="AJ3" i="51" s="1"/>
  <c r="U7" i="35"/>
  <c r="U57" i="35"/>
  <c r="U59" i="35" s="1"/>
  <c r="Y21" i="35"/>
  <c r="Y104" i="35" s="1"/>
  <c r="Y196" i="35" s="1"/>
  <c r="Y128" i="35"/>
  <c r="Q173" i="11"/>
  <c r="Q252" i="11" s="1"/>
  <c r="AJ141" i="56"/>
  <c r="AJ141" i="53"/>
  <c r="AJ141" i="55"/>
  <c r="U110" i="5"/>
  <c r="U244" i="5" s="1"/>
  <c r="AJ141" i="52"/>
  <c r="U48" i="5"/>
  <c r="U118" i="5" s="1"/>
  <c r="U388" i="5" s="1"/>
  <c r="AJ141" i="26"/>
  <c r="U173" i="5"/>
  <c r="AJ141" i="54"/>
  <c r="AJ141" i="50"/>
  <c r="AJ141" i="51"/>
  <c r="V62" i="38"/>
  <c r="V8" i="38"/>
  <c r="V28" i="5"/>
  <c r="V53" i="5"/>
  <c r="V58" i="5" s="1"/>
  <c r="V115" i="5"/>
  <c r="V340" i="5" s="1"/>
  <c r="V6" i="5"/>
  <c r="E235" i="54"/>
  <c r="G235" i="54" s="1"/>
  <c r="AX20" i="36"/>
  <c r="AK3" i="52" s="1"/>
  <c r="V7" i="36"/>
  <c r="W197" i="11"/>
  <c r="W136" i="11"/>
  <c r="W62" i="11"/>
  <c r="W80" i="11" s="1"/>
  <c r="AU20" i="34"/>
  <c r="AH3" i="50" s="1"/>
  <c r="S54" i="34"/>
  <c r="S7" i="34"/>
  <c r="S57" i="34"/>
  <c r="S59" i="34" s="1"/>
  <c r="U473" i="11"/>
  <c r="U455" i="11"/>
  <c r="U116" i="11"/>
  <c r="AC12" i="36"/>
  <c r="W34" i="11"/>
  <c r="W52" i="11"/>
  <c r="X43" i="11"/>
  <c r="W47" i="11"/>
  <c r="W41" i="11"/>
  <c r="AI141" i="56"/>
  <c r="AI141" i="54"/>
  <c r="AI141" i="53"/>
  <c r="AI141" i="55"/>
  <c r="T110" i="5"/>
  <c r="T244" i="5" s="1"/>
  <c r="AI141" i="50"/>
  <c r="T48" i="5"/>
  <c r="T118" i="5" s="1"/>
  <c r="T388" i="5" s="1"/>
  <c r="AI141" i="26"/>
  <c r="T173" i="5"/>
  <c r="AI141" i="52"/>
  <c r="AI141" i="51"/>
  <c r="S433" i="11"/>
  <c r="S774" i="11" s="1"/>
  <c r="AA19" i="36"/>
  <c r="W80" i="34"/>
  <c r="X111" i="36"/>
  <c r="X270" i="36" s="1"/>
  <c r="X172" i="36"/>
  <c r="G234" i="53"/>
  <c r="W132" i="34"/>
  <c r="W134" i="34" s="1"/>
  <c r="W36" i="34"/>
  <c r="W36" i="5"/>
  <c r="T64" i="34"/>
  <c r="T328" i="11"/>
  <c r="Q174" i="11"/>
  <c r="Q253" i="11" s="1"/>
  <c r="Y81" i="36"/>
  <c r="Y82" i="36" s="1"/>
  <c r="R475" i="11"/>
  <c r="R466" i="11"/>
  <c r="R457" i="11"/>
  <c r="R408" i="11"/>
  <c r="R426" i="11" s="1"/>
  <c r="R118" i="11"/>
  <c r="R127" i="11"/>
  <c r="R146" i="11" s="1"/>
  <c r="Z12" i="38"/>
  <c r="Z12" i="16"/>
  <c r="S81" i="11"/>
  <c r="Y94" i="35"/>
  <c r="AA98" i="11"/>
  <c r="AA99" i="11"/>
  <c r="AA100" i="11"/>
  <c r="AA101" i="11"/>
  <c r="AA97" i="11"/>
  <c r="AB96" i="11"/>
  <c r="Z80" i="36"/>
  <c r="AH139" i="56"/>
  <c r="R179" i="11"/>
  <c r="R183" i="11" s="1"/>
  <c r="Q189" i="11"/>
  <c r="X111" i="35"/>
  <c r="X270" i="35" s="1"/>
  <c r="X172" i="35"/>
  <c r="G179" i="51"/>
  <c r="G179" i="52"/>
  <c r="G179" i="54"/>
  <c r="G179" i="53"/>
  <c r="P758" i="11"/>
  <c r="X128" i="39"/>
  <c r="X21" i="39"/>
  <c r="X104" i="39" s="1"/>
  <c r="X196" i="39" s="1"/>
  <c r="T173" i="38"/>
  <c r="T110" i="38"/>
  <c r="T244" i="38" s="1"/>
  <c r="T48" i="38"/>
  <c r="T261" i="11"/>
  <c r="U207" i="11"/>
  <c r="T216" i="11"/>
  <c r="P757" i="11"/>
  <c r="X128" i="38"/>
  <c r="X21" i="38"/>
  <c r="X128" i="5"/>
  <c r="X128" i="16"/>
  <c r="X21" i="16"/>
  <c r="X104" i="16" s="1"/>
  <c r="X196" i="16" s="1"/>
  <c r="U89" i="39"/>
  <c r="U89" i="16"/>
  <c r="U87" i="16" s="1"/>
  <c r="U93" i="16" s="1"/>
  <c r="V86" i="16" s="1"/>
  <c r="U127" i="5"/>
  <c r="U130" i="5" s="1"/>
  <c r="U136" i="5" s="1"/>
  <c r="U140" i="5" s="1"/>
  <c r="U89" i="35"/>
  <c r="M877" i="11"/>
  <c r="M832" i="11"/>
  <c r="U89" i="37"/>
  <c r="U87" i="37" s="1"/>
  <c r="U93" i="37" s="1"/>
  <c r="V86" i="37" s="1"/>
  <c r="U89" i="34"/>
  <c r="U89" i="38"/>
  <c r="U89" i="36"/>
  <c r="U87" i="36" s="1"/>
  <c r="U93" i="36" s="1"/>
  <c r="V86" i="36" s="1"/>
  <c r="U127" i="34"/>
  <c r="U127" i="35"/>
  <c r="U127" i="16"/>
  <c r="U127" i="38"/>
  <c r="U127" i="37"/>
  <c r="U127" i="36"/>
  <c r="U127" i="39"/>
  <c r="R209" i="11"/>
  <c r="V196" i="11"/>
  <c r="V61" i="11"/>
  <c r="V65" i="11" s="1"/>
  <c r="V135" i="11"/>
  <c r="V56" i="11"/>
  <c r="V180" i="11" s="1"/>
  <c r="V181" i="11" s="1"/>
  <c r="AV20" i="37"/>
  <c r="AI3" i="53" s="1"/>
  <c r="T7" i="37"/>
  <c r="T57" i="37"/>
  <c r="T54" i="37"/>
  <c r="P382" i="11"/>
  <c r="O759" i="11"/>
  <c r="E235" i="51"/>
  <c r="G235" i="51" s="1"/>
  <c r="Q503" i="11"/>
  <c r="Q512" i="11" s="1"/>
  <c r="Y145" i="16"/>
  <c r="Y148" i="16"/>
  <c r="Z21" i="36"/>
  <c r="Z104" i="36" s="1"/>
  <c r="Z196" i="36" s="1"/>
  <c r="Z128" i="36"/>
  <c r="AH139" i="51"/>
  <c r="E234" i="56"/>
  <c r="D135" i="46"/>
  <c r="D135" i="45"/>
  <c r="D135" i="44"/>
  <c r="D135" i="47"/>
  <c r="E234" i="50"/>
  <c r="D135" i="48"/>
  <c r="E178" i="56"/>
  <c r="AV21" i="16"/>
  <c r="E178" i="26"/>
  <c r="T58" i="16"/>
  <c r="O338" i="11"/>
  <c r="P333" i="11" s="1"/>
  <c r="S335" i="11"/>
  <c r="U58" i="34"/>
  <c r="AW21" i="34"/>
  <c r="AJ4" i="50" s="1"/>
  <c r="T308" i="11"/>
  <c r="O283" i="11"/>
  <c r="W67" i="39" s="1"/>
  <c r="E150" i="55" s="1"/>
  <c r="O347" i="11"/>
  <c r="P342" i="11" s="1"/>
  <c r="AA20" i="37"/>
  <c r="AA81" i="37"/>
  <c r="AA82" i="37" s="1"/>
  <c r="X80" i="16"/>
  <c r="R92" i="11"/>
  <c r="S87" i="11"/>
  <c r="Y37" i="11"/>
  <c r="Y55" i="11"/>
  <c r="Z46" i="11"/>
  <c r="Z115" i="36"/>
  <c r="Z340" i="36" s="1"/>
  <c r="Z72" i="36"/>
  <c r="Z53" i="36"/>
  <c r="BB21" i="36" s="1"/>
  <c r="AO4" i="52" s="1"/>
  <c r="AB80" i="37"/>
  <c r="U260" i="11"/>
  <c r="U325" i="11" s="1"/>
  <c r="V206" i="11"/>
  <c r="W81" i="39"/>
  <c r="W82" i="39" s="1"/>
  <c r="W20" i="39"/>
  <c r="V38" i="11"/>
  <c r="V32" i="11"/>
  <c r="S77" i="37"/>
  <c r="S83" i="37" s="1"/>
  <c r="T76" i="37" s="1"/>
  <c r="T77" i="37" s="1"/>
  <c r="S218" i="11"/>
  <c r="S353" i="11" s="1"/>
  <c r="W67" i="5"/>
  <c r="G234" i="26"/>
  <c r="AW21" i="38"/>
  <c r="AJ4" i="54" s="1"/>
  <c r="U58" i="38"/>
  <c r="W20" i="38"/>
  <c r="W81" i="38"/>
  <c r="W82" i="38" s="1"/>
  <c r="Q436" i="11"/>
  <c r="Y19" i="39"/>
  <c r="Y148" i="38"/>
  <c r="Y145" i="38"/>
  <c r="R77" i="34"/>
  <c r="AH139" i="55"/>
  <c r="P513" i="11"/>
  <c r="V53" i="38"/>
  <c r="E180" i="54" s="1"/>
  <c r="V28" i="38"/>
  <c r="AK136" i="54" s="1"/>
  <c r="V115" i="38"/>
  <c r="V340" i="38" s="1"/>
  <c r="V72" i="38"/>
  <c r="T58" i="38"/>
  <c r="AV21" i="38"/>
  <c r="AI4" i="54" s="1"/>
  <c r="S334" i="11"/>
  <c r="X72" i="35"/>
  <c r="X115" i="35"/>
  <c r="X340" i="35" s="1"/>
  <c r="X53" i="35"/>
  <c r="AZ21" i="35" s="1"/>
  <c r="AM4" i="51" s="1"/>
  <c r="X28" i="35"/>
  <c r="AM136" i="51" s="1"/>
  <c r="M631" i="11"/>
  <c r="X81" i="36"/>
  <c r="X82" i="36" s="1"/>
  <c r="X20" i="36"/>
  <c r="X199" i="11"/>
  <c r="X64" i="11"/>
  <c r="X138" i="11"/>
  <c r="R499" i="11"/>
  <c r="G234" i="52"/>
  <c r="S83" i="35"/>
  <c r="T76" i="35" s="1"/>
  <c r="T78" i="35" s="1"/>
  <c r="AB21" i="37"/>
  <c r="AB104" i="37" s="1"/>
  <c r="AB196" i="37" s="1"/>
  <c r="AB128" i="37"/>
  <c r="T110" i="35"/>
  <c r="T244" i="35" s="1"/>
  <c r="T48" i="35"/>
  <c r="T173" i="35"/>
  <c r="Y80" i="35"/>
  <c r="O282" i="11"/>
  <c r="G234" i="54"/>
  <c r="T9" i="5"/>
  <c r="AC148" i="37"/>
  <c r="AC145" i="37"/>
  <c r="W62" i="35"/>
  <c r="W8" i="35"/>
  <c r="Q875" i="11"/>
  <c r="Q363" i="11"/>
  <c r="Q381" i="11" s="1"/>
  <c r="R78" i="34"/>
  <c r="W173" i="35"/>
  <c r="AH139" i="26"/>
  <c r="G234" i="51"/>
  <c r="X36" i="11"/>
  <c r="X54" i="11"/>
  <c r="Y45" i="11"/>
  <c r="AA132" i="37" l="1"/>
  <c r="AA36" i="37"/>
  <c r="R20" i="12"/>
  <c r="X19" i="34"/>
  <c r="X80" i="34" s="1"/>
  <c r="X19" i="5"/>
  <c r="P160" i="12"/>
  <c r="C194" i="11"/>
  <c r="B85" i="8"/>
  <c r="T501" i="11"/>
  <c r="T510" i="11" s="1"/>
  <c r="U456" i="11"/>
  <c r="AI71" i="39"/>
  <c r="AB767" i="11"/>
  <c r="AI138" i="39"/>
  <c r="X768" i="11"/>
  <c r="Y763" i="11"/>
  <c r="AF138" i="35"/>
  <c r="AF71" i="35"/>
  <c r="AF71" i="16"/>
  <c r="AF138" i="16"/>
  <c r="AF138" i="5"/>
  <c r="Q147" i="12"/>
  <c r="Q155" i="12" s="1"/>
  <c r="AE138" i="34"/>
  <c r="AE71" i="34"/>
  <c r="Q119" i="12"/>
  <c r="Q150" i="12" s="1"/>
  <c r="Q158" i="12" s="1"/>
  <c r="Q135" i="12"/>
  <c r="Q127" i="12"/>
  <c r="Q84" i="12"/>
  <c r="Q93" i="12" s="1"/>
  <c r="Q143" i="12"/>
  <c r="Q31" i="12"/>
  <c r="Q40" i="12"/>
  <c r="R23" i="12"/>
  <c r="Q102" i="12"/>
  <c r="Q110" i="12" s="1"/>
  <c r="Q112" i="12" s="1"/>
  <c r="Q141" i="12"/>
  <c r="Q117" i="12"/>
  <c r="Q125" i="12"/>
  <c r="Q29" i="12"/>
  <c r="Q38" i="12" s="1"/>
  <c r="Q42" i="12" s="1"/>
  <c r="Q82" i="12"/>
  <c r="Q91" i="12" s="1"/>
  <c r="Q95" i="12" s="1"/>
  <c r="Q133" i="12"/>
  <c r="Q100" i="12"/>
  <c r="Q108" i="12" s="1"/>
  <c r="Q364" i="11"/>
  <c r="Q382" i="11" s="1"/>
  <c r="Q383" i="11" s="1"/>
  <c r="V57" i="36"/>
  <c r="V59" i="36" s="1"/>
  <c r="V54" i="36"/>
  <c r="Y20" i="36"/>
  <c r="R458" i="11"/>
  <c r="R476" i="11"/>
  <c r="R477" i="11" s="1"/>
  <c r="R478" i="11" s="1"/>
  <c r="P175" i="11"/>
  <c r="P188" i="11" s="1"/>
  <c r="Q410" i="11"/>
  <c r="Z12" i="39"/>
  <c r="R459" i="11"/>
  <c r="R128" i="11"/>
  <c r="R147" i="11" s="1"/>
  <c r="R148" i="11" s="1"/>
  <c r="R119" i="11"/>
  <c r="R409" i="11"/>
  <c r="R427" i="11" s="1"/>
  <c r="Y145" i="39"/>
  <c r="AB33" i="38"/>
  <c r="R614" i="11"/>
  <c r="W104" i="34"/>
  <c r="W196" i="34" s="1"/>
  <c r="P759" i="11"/>
  <c r="X21" i="34"/>
  <c r="X104" i="34" s="1"/>
  <c r="X196" i="34" s="1"/>
  <c r="U464" i="11"/>
  <c r="U500" i="11" s="1"/>
  <c r="U509" i="11" s="1"/>
  <c r="X21" i="5"/>
  <c r="X20" i="5" s="1"/>
  <c r="X128" i="34"/>
  <c r="T110" i="16"/>
  <c r="T244" i="16" s="1"/>
  <c r="W20" i="34"/>
  <c r="Y19" i="5"/>
  <c r="U680" i="11"/>
  <c r="AC34" i="38" s="1"/>
  <c r="Q831" i="11"/>
  <c r="V8" i="16"/>
  <c r="N8" i="11" s="1"/>
  <c r="T406" i="11"/>
  <c r="X104" i="38"/>
  <c r="X196" i="38" s="1"/>
  <c r="R605" i="11"/>
  <c r="R83" i="11"/>
  <c r="M811" i="11"/>
  <c r="Y132" i="35"/>
  <c r="Y134" i="35" s="1"/>
  <c r="Q754" i="11"/>
  <c r="W104" i="5"/>
  <c r="W196" i="5" s="1"/>
  <c r="O902" i="11"/>
  <c r="Y36" i="35"/>
  <c r="Y47" i="35" s="1"/>
  <c r="Y117" i="35" s="1"/>
  <c r="Y364" i="35" s="1"/>
  <c r="U88" i="11"/>
  <c r="U9" i="37"/>
  <c r="AA32" i="5"/>
  <c r="Q102" i="11"/>
  <c r="Y100" i="34"/>
  <c r="Y101" i="34" s="1"/>
  <c r="Y100" i="16"/>
  <c r="Y101" i="16" s="1"/>
  <c r="Y12" i="34"/>
  <c r="Y100" i="36"/>
  <c r="Y101" i="36" s="1"/>
  <c r="Q84" i="11"/>
  <c r="Q209" i="11"/>
  <c r="Y100" i="39"/>
  <c r="Y101" i="39" s="1"/>
  <c r="Y100" i="38"/>
  <c r="Y101" i="38" s="1"/>
  <c r="Y100" i="37"/>
  <c r="Y101" i="37" s="1"/>
  <c r="N621" i="11"/>
  <c r="E236" i="53" s="1"/>
  <c r="G236" i="53" s="1"/>
  <c r="U84" i="37"/>
  <c r="R432" i="11"/>
  <c r="Z128" i="35" s="1"/>
  <c r="T500" i="11"/>
  <c r="T509" i="11" s="1"/>
  <c r="AB132" i="36" s="1"/>
  <c r="V62" i="5"/>
  <c r="T655" i="11"/>
  <c r="S873" i="11"/>
  <c r="Q830" i="11"/>
  <c r="R468" i="11"/>
  <c r="Z134" i="36"/>
  <c r="AA34" i="34"/>
  <c r="T683" i="11"/>
  <c r="T125" i="11"/>
  <c r="U171" i="36"/>
  <c r="U73" i="36"/>
  <c r="U51" i="36"/>
  <c r="U118" i="36"/>
  <c r="U388" i="36" s="1"/>
  <c r="AJ138" i="52"/>
  <c r="U113" i="36"/>
  <c r="U317" i="36" s="1"/>
  <c r="U114" i="36"/>
  <c r="T849" i="11"/>
  <c r="V51" i="39"/>
  <c r="E170" i="55" s="1"/>
  <c r="T560" i="11"/>
  <c r="U686" i="11"/>
  <c r="AC35" i="35" s="1"/>
  <c r="E141" i="56"/>
  <c r="E149" i="56" s="1"/>
  <c r="P347" i="11"/>
  <c r="Q342" i="11" s="1"/>
  <c r="W33" i="6"/>
  <c r="W49" i="6" s="1"/>
  <c r="P254" i="11"/>
  <c r="P272" i="11" s="1"/>
  <c r="P275" i="11" s="1"/>
  <c r="V73" i="39"/>
  <c r="V171" i="39"/>
  <c r="V118" i="39"/>
  <c r="V388" i="39" s="1"/>
  <c r="V114" i="39"/>
  <c r="X173" i="36"/>
  <c r="V113" i="39"/>
  <c r="V317" i="39" s="1"/>
  <c r="AY20" i="37"/>
  <c r="AL3" i="53" s="1"/>
  <c r="W7" i="37"/>
  <c r="W54" i="37"/>
  <c r="E156" i="53" s="1"/>
  <c r="W57" i="37"/>
  <c r="W59" i="37" s="1"/>
  <c r="X72" i="39"/>
  <c r="X53" i="39"/>
  <c r="AZ21" i="39" s="1"/>
  <c r="AM4" i="55" s="1"/>
  <c r="W73" i="36"/>
  <c r="W51" i="36"/>
  <c r="E171" i="52" s="1"/>
  <c r="W113" i="36"/>
  <c r="W317" i="36" s="1"/>
  <c r="W171" i="36"/>
  <c r="X48" i="36"/>
  <c r="AM138" i="52" s="1"/>
  <c r="AL138" i="52"/>
  <c r="X110" i="36"/>
  <c r="X244" i="36" s="1"/>
  <c r="W118" i="36"/>
  <c r="W388" i="36" s="1"/>
  <c r="T656" i="11"/>
  <c r="V67" i="34"/>
  <c r="V115" i="34" s="1"/>
  <c r="V340" i="34" s="1"/>
  <c r="V67" i="16"/>
  <c r="Z133" i="34"/>
  <c r="Z46" i="34"/>
  <c r="R841" i="11"/>
  <c r="R360" i="11"/>
  <c r="R378" i="11" s="1"/>
  <c r="W111" i="39"/>
  <c r="W270" i="39" s="1"/>
  <c r="P401" i="11"/>
  <c r="P338" i="11"/>
  <c r="Q333" i="11" s="1"/>
  <c r="T78" i="38"/>
  <c r="T83" i="38" s="1"/>
  <c r="U76" i="38" s="1"/>
  <c r="Q311" i="11"/>
  <c r="R306" i="11" s="1"/>
  <c r="U737" i="11"/>
  <c r="AC43" i="39" s="1"/>
  <c r="W47" i="16"/>
  <c r="W117" i="16" s="1"/>
  <c r="W364" i="16" s="1"/>
  <c r="U659" i="11"/>
  <c r="AC32" i="35" s="1"/>
  <c r="R783" i="11"/>
  <c r="W48" i="35"/>
  <c r="W73" i="35" s="1"/>
  <c r="L9" i="11"/>
  <c r="U681" i="11"/>
  <c r="AC34" i="39" s="1"/>
  <c r="T548" i="11"/>
  <c r="T84" i="34"/>
  <c r="T749" i="11"/>
  <c r="T719" i="11"/>
  <c r="W172" i="35"/>
  <c r="AL58" i="35"/>
  <c r="I58" i="35" s="1"/>
  <c r="K58" i="35" s="1"/>
  <c r="U714" i="11"/>
  <c r="AC41" i="36" s="1"/>
  <c r="W111" i="35"/>
  <c r="W270" i="35" s="1"/>
  <c r="P157" i="11"/>
  <c r="AN137" i="52"/>
  <c r="Y111" i="36"/>
  <c r="Y270" i="36" s="1"/>
  <c r="Y172" i="36"/>
  <c r="Y117" i="36"/>
  <c r="Y364" i="36" s="1"/>
  <c r="W110" i="35"/>
  <c r="W244" i="35" s="1"/>
  <c r="L814" i="11"/>
  <c r="W172" i="38"/>
  <c r="U654" i="11"/>
  <c r="AC31" i="39" s="1"/>
  <c r="U650" i="11"/>
  <c r="U713" i="11"/>
  <c r="AC41" i="35" s="1"/>
  <c r="P148" i="11"/>
  <c r="P363" i="11"/>
  <c r="P875" i="11"/>
  <c r="T739" i="11"/>
  <c r="T682" i="11"/>
  <c r="AB34" i="34" s="1"/>
  <c r="U734" i="11"/>
  <c r="AC43" i="36" s="1"/>
  <c r="Q513" i="11"/>
  <c r="Y36" i="5" s="1"/>
  <c r="Y47" i="5" s="1"/>
  <c r="Y117" i="5" s="1"/>
  <c r="Y364" i="5" s="1"/>
  <c r="W117" i="38"/>
  <c r="W364" i="38" s="1"/>
  <c r="AL137" i="54"/>
  <c r="E143" i="54"/>
  <c r="E137" i="54" s="1"/>
  <c r="G205" i="54" s="1"/>
  <c r="W117" i="39"/>
  <c r="W364" i="39" s="1"/>
  <c r="AL137" i="55"/>
  <c r="E143" i="55"/>
  <c r="E137" i="55" s="1"/>
  <c r="G205" i="55" s="1"/>
  <c r="Z37" i="5"/>
  <c r="Z37" i="34"/>
  <c r="W47" i="34"/>
  <c r="W172" i="34" s="1"/>
  <c r="E141" i="50"/>
  <c r="X117" i="39"/>
  <c r="X364" i="39" s="1"/>
  <c r="AM137" i="55"/>
  <c r="S709" i="11"/>
  <c r="AA37" i="16"/>
  <c r="AA37" i="35"/>
  <c r="O355" i="11"/>
  <c r="O284" i="11" s="1"/>
  <c r="W67" i="34" s="1"/>
  <c r="O384" i="11"/>
  <c r="S742" i="11"/>
  <c r="S890" i="11" s="1"/>
  <c r="AL137" i="51"/>
  <c r="E143" i="51"/>
  <c r="E137" i="51" s="1"/>
  <c r="G205" i="51" s="1"/>
  <c r="T118" i="35"/>
  <c r="T388" i="35" s="1"/>
  <c r="AI138" i="51"/>
  <c r="N356" i="11"/>
  <c r="O351" i="11" s="1"/>
  <c r="N385" i="11"/>
  <c r="X117" i="38"/>
  <c r="X364" i="38" s="1"/>
  <c r="AM137" i="54"/>
  <c r="Z117" i="36"/>
  <c r="Z364" i="36" s="1"/>
  <c r="AO137" i="52"/>
  <c r="O381" i="11"/>
  <c r="O383" i="11" s="1"/>
  <c r="O365" i="11"/>
  <c r="U118" i="34"/>
  <c r="U388" i="34" s="1"/>
  <c r="AJ138" i="50"/>
  <c r="T118" i="34"/>
  <c r="T388" i="34" s="1"/>
  <c r="AI138" i="50"/>
  <c r="U58" i="16"/>
  <c r="G179" i="50"/>
  <c r="AW21" i="16"/>
  <c r="AJ4" i="56" s="1"/>
  <c r="G179" i="55"/>
  <c r="E179" i="56"/>
  <c r="G179" i="56" s="1"/>
  <c r="T118" i="38"/>
  <c r="T388" i="38" s="1"/>
  <c r="AI138" i="54"/>
  <c r="U118" i="38"/>
  <c r="U388" i="38" s="1"/>
  <c r="AJ138" i="54"/>
  <c r="S269" i="11"/>
  <c r="U48" i="16"/>
  <c r="U118" i="16" s="1"/>
  <c r="U388" i="16" s="1"/>
  <c r="AJ136" i="26"/>
  <c r="U110" i="16"/>
  <c r="U244" i="16" s="1"/>
  <c r="T173" i="16"/>
  <c r="AI136" i="26"/>
  <c r="AI136" i="56"/>
  <c r="T78" i="36"/>
  <c r="T83" i="36" s="1"/>
  <c r="U76" i="36" s="1"/>
  <c r="T78" i="39"/>
  <c r="T218" i="11"/>
  <c r="T353" i="11" s="1"/>
  <c r="R83" i="16"/>
  <c r="S76" i="16" s="1"/>
  <c r="S77" i="16" s="1"/>
  <c r="Q399" i="11"/>
  <c r="Y28" i="36"/>
  <c r="U672" i="11"/>
  <c r="AC33" i="39" s="1"/>
  <c r="U688" i="11"/>
  <c r="AC35" i="37" s="1"/>
  <c r="U661" i="11"/>
  <c r="AC32" i="37" s="1"/>
  <c r="P615" i="11"/>
  <c r="W82" i="34"/>
  <c r="U663" i="11"/>
  <c r="AC32" i="39" s="1"/>
  <c r="U715" i="11"/>
  <c r="AC41" i="37" s="1"/>
  <c r="U689" i="11"/>
  <c r="AC35" i="38" s="1"/>
  <c r="U652" i="11"/>
  <c r="AC31" i="37" s="1"/>
  <c r="T692" i="11"/>
  <c r="U398" i="11"/>
  <c r="AC94" i="37" s="1"/>
  <c r="S397" i="11"/>
  <c r="AA94" i="36" s="1"/>
  <c r="U717" i="11"/>
  <c r="AC41" i="39" s="1"/>
  <c r="T847" i="11"/>
  <c r="U735" i="11"/>
  <c r="AC43" i="37" s="1"/>
  <c r="U679" i="11"/>
  <c r="AC34" i="37" s="1"/>
  <c r="T743" i="11"/>
  <c r="AB133" i="36" s="1"/>
  <c r="T738" i="11"/>
  <c r="AB43" i="5" s="1"/>
  <c r="AB31" i="16"/>
  <c r="AB31" i="5"/>
  <c r="AB31" i="34"/>
  <c r="R595" i="11"/>
  <c r="N881" i="11"/>
  <c r="N809" i="11"/>
  <c r="AC33" i="35"/>
  <c r="AC33" i="37"/>
  <c r="M882" i="11"/>
  <c r="M810" i="11"/>
  <c r="S143" i="11"/>
  <c r="S872" i="11" s="1"/>
  <c r="Y24" i="36"/>
  <c r="Y91" i="36"/>
  <c r="Y92" i="36" s="1"/>
  <c r="T744" i="11"/>
  <c r="S838" i="11"/>
  <c r="AA46" i="37"/>
  <c r="AA47" i="37" s="1"/>
  <c r="AP137" i="53" s="1"/>
  <c r="AA133" i="37"/>
  <c r="AA134" i="37" s="1"/>
  <c r="S892" i="11"/>
  <c r="T559" i="11"/>
  <c r="Z90" i="36"/>
  <c r="X24" i="34"/>
  <c r="X91" i="34"/>
  <c r="X92" i="34" s="1"/>
  <c r="AB147" i="35"/>
  <c r="AB112" i="35"/>
  <c r="AB294" i="35" s="1"/>
  <c r="Y105" i="37"/>
  <c r="Y220" i="37" s="1"/>
  <c r="T558" i="11"/>
  <c r="AB112" i="37"/>
  <c r="AB294" i="37" s="1"/>
  <c r="AB147" i="37"/>
  <c r="U660" i="11"/>
  <c r="AC32" i="36" s="1"/>
  <c r="AA23" i="37"/>
  <c r="S576" i="11"/>
  <c r="S783" i="11" s="1"/>
  <c r="T540" i="11"/>
  <c r="S543" i="11"/>
  <c r="AA23" i="35"/>
  <c r="S574" i="11"/>
  <c r="S583" i="11" s="1"/>
  <c r="S592" i="11" s="1"/>
  <c r="T538" i="11"/>
  <c r="S837" i="11"/>
  <c r="AA133" i="36"/>
  <c r="AA134" i="36" s="1"/>
  <c r="AA46" i="36"/>
  <c r="AA47" i="36" s="1"/>
  <c r="AP137" i="52" s="1"/>
  <c r="S891" i="11"/>
  <c r="S423" i="11"/>
  <c r="S432" i="11" s="1"/>
  <c r="S773" i="11" s="1"/>
  <c r="Q601" i="11"/>
  <c r="Q610" i="11"/>
  <c r="Q593" i="11"/>
  <c r="AA33" i="16"/>
  <c r="AA33" i="34"/>
  <c r="AA33" i="5"/>
  <c r="AA112" i="5" s="1"/>
  <c r="AA294" i="5" s="1"/>
  <c r="R584" i="11"/>
  <c r="R593" i="11" s="1"/>
  <c r="Z25" i="36"/>
  <c r="Z129" i="36"/>
  <c r="AB147" i="39"/>
  <c r="AB112" i="39"/>
  <c r="AB294" i="39" s="1"/>
  <c r="T534" i="11"/>
  <c r="T561" i="11" s="1"/>
  <c r="R594" i="11"/>
  <c r="AB43" i="16"/>
  <c r="AB43" i="34"/>
  <c r="Y172" i="37"/>
  <c r="Y111" i="37"/>
  <c r="Y270" i="37" s="1"/>
  <c r="Y117" i="37"/>
  <c r="Y364" i="37" s="1"/>
  <c r="T746" i="11"/>
  <c r="P867" i="11"/>
  <c r="P903" i="11"/>
  <c r="Q400" i="11"/>
  <c r="Y94" i="39" s="1"/>
  <c r="S499" i="11"/>
  <c r="Z24" i="39"/>
  <c r="Z63" i="39" s="1"/>
  <c r="Z91" i="39"/>
  <c r="Z92" i="39" s="1"/>
  <c r="O606" i="11"/>
  <c r="AB34" i="16"/>
  <c r="V523" i="11"/>
  <c r="V680" i="11" s="1"/>
  <c r="AD34" i="38" s="1"/>
  <c r="AC13" i="38"/>
  <c r="U698" i="11"/>
  <c r="U707" i="11" s="1"/>
  <c r="AC37" i="38" s="1"/>
  <c r="U568" i="11"/>
  <c r="U532" i="11"/>
  <c r="R782" i="11"/>
  <c r="U677" i="11"/>
  <c r="AA41" i="16"/>
  <c r="AA41" i="34"/>
  <c r="AA41" i="5"/>
  <c r="T846" i="11"/>
  <c r="T664" i="11"/>
  <c r="X110" i="37"/>
  <c r="X244" i="37" s="1"/>
  <c r="X48" i="37"/>
  <c r="AM138" i="53" s="1"/>
  <c r="X173" i="37"/>
  <c r="Z90" i="37"/>
  <c r="Z23" i="16"/>
  <c r="Z23" i="34"/>
  <c r="Z23" i="5"/>
  <c r="AA35" i="16"/>
  <c r="AA35" i="34"/>
  <c r="AA35" i="5"/>
  <c r="R828" i="11"/>
  <c r="T547" i="11"/>
  <c r="T552" i="11" s="1"/>
  <c r="M884" i="11"/>
  <c r="M812" i="11"/>
  <c r="Q863" i="11"/>
  <c r="Q899" i="11"/>
  <c r="T674" i="11"/>
  <c r="Z105" i="39"/>
  <c r="Z220" i="39" s="1"/>
  <c r="T691" i="11"/>
  <c r="AB35" i="35"/>
  <c r="AB147" i="38"/>
  <c r="AB112" i="38"/>
  <c r="AB294" i="38" s="1"/>
  <c r="U671" i="11"/>
  <c r="AC33" i="38" s="1"/>
  <c r="T570" i="11"/>
  <c r="Y91" i="35"/>
  <c r="Y92" i="35" s="1"/>
  <c r="Y24" i="35"/>
  <c r="Y63" i="35" s="1"/>
  <c r="U736" i="11"/>
  <c r="AC43" i="38" s="1"/>
  <c r="U651" i="11"/>
  <c r="S577" i="11"/>
  <c r="S586" i="11" s="1"/>
  <c r="S595" i="11" s="1"/>
  <c r="AA23" i="38"/>
  <c r="T541" i="11"/>
  <c r="X63" i="37"/>
  <c r="X64" i="37" s="1"/>
  <c r="X8" i="37"/>
  <c r="R583" i="11"/>
  <c r="R592" i="11" s="1"/>
  <c r="R579" i="11"/>
  <c r="R786" i="11" s="1"/>
  <c r="Z129" i="35"/>
  <c r="Z25" i="35"/>
  <c r="Y90" i="16"/>
  <c r="Q603" i="11"/>
  <c r="Q612" i="11"/>
  <c r="P866" i="11"/>
  <c r="P902" i="11"/>
  <c r="R508" i="11"/>
  <c r="O868" i="11"/>
  <c r="O904" i="11"/>
  <c r="P868" i="11"/>
  <c r="P904" i="11"/>
  <c r="R864" i="11"/>
  <c r="R900" i="11"/>
  <c r="V79" i="11"/>
  <c r="V88" i="11" s="1"/>
  <c r="T77" i="39"/>
  <c r="U775" i="11"/>
  <c r="R396" i="11"/>
  <c r="Z94" i="35" s="1"/>
  <c r="T171" i="11"/>
  <c r="U171" i="11" s="1"/>
  <c r="U250" i="11" s="1"/>
  <c r="U319" i="11" s="1"/>
  <c r="U280" i="11" s="1"/>
  <c r="AC67" i="36" s="1"/>
  <c r="X36" i="16"/>
  <c r="X47" i="16" s="1"/>
  <c r="X117" i="16" s="1"/>
  <c r="X364" i="16" s="1"/>
  <c r="S850" i="11"/>
  <c r="U653" i="11"/>
  <c r="V524" i="11"/>
  <c r="U533" i="11"/>
  <c r="U560" i="11" s="1"/>
  <c r="AC13" i="39"/>
  <c r="U699" i="11"/>
  <c r="U708" i="11" s="1"/>
  <c r="AC37" i="39" s="1"/>
  <c r="U569" i="11"/>
  <c r="S578" i="11"/>
  <c r="AA23" i="39"/>
  <c r="T542" i="11"/>
  <c r="AB43" i="38"/>
  <c r="T704" i="11"/>
  <c r="T742" i="11" s="1"/>
  <c r="T700" i="11"/>
  <c r="R410" i="11"/>
  <c r="U678" i="11"/>
  <c r="AC34" i="36" s="1"/>
  <c r="U733" i="11"/>
  <c r="Z25" i="37"/>
  <c r="Z129" i="37"/>
  <c r="R829" i="11"/>
  <c r="R756" i="11"/>
  <c r="R781" i="11"/>
  <c r="S90" i="11"/>
  <c r="S92" i="11" s="1"/>
  <c r="X132" i="5"/>
  <c r="X134" i="5" s="1"/>
  <c r="AB33" i="36"/>
  <c r="AB112" i="36" s="1"/>
  <c r="AB294" i="36" s="1"/>
  <c r="AB147" i="5"/>
  <c r="Y42" i="6"/>
  <c r="AA147" i="16"/>
  <c r="AA112" i="16"/>
  <c r="AA294" i="16" s="1"/>
  <c r="Q175" i="11"/>
  <c r="Q188" i="11" s="1"/>
  <c r="S840" i="11"/>
  <c r="AA133" i="39"/>
  <c r="AA46" i="39"/>
  <c r="S894" i="11"/>
  <c r="Q865" i="11"/>
  <c r="Q901" i="11"/>
  <c r="Q504" i="11"/>
  <c r="Q505" i="11" s="1"/>
  <c r="S575" i="11"/>
  <c r="S584" i="11" s="1"/>
  <c r="AA23" i="36"/>
  <c r="T539" i="11"/>
  <c r="X91" i="16"/>
  <c r="X92" i="16" s="1"/>
  <c r="X24" i="16"/>
  <c r="X63" i="16" s="1"/>
  <c r="AB13" i="16"/>
  <c r="AB99" i="37"/>
  <c r="AB99" i="35"/>
  <c r="AB99" i="34"/>
  <c r="AB13" i="34"/>
  <c r="AB99" i="16"/>
  <c r="AB99" i="39"/>
  <c r="AB13" i="5"/>
  <c r="AB99" i="38"/>
  <c r="AB99" i="36"/>
  <c r="Y129" i="16"/>
  <c r="Y129" i="5"/>
  <c r="Y25" i="16"/>
  <c r="Y105" i="16" s="1"/>
  <c r="Y220" i="16" s="1"/>
  <c r="Y25" i="34"/>
  <c r="Y105" i="34" s="1"/>
  <c r="Y220" i="34" s="1"/>
  <c r="Y25" i="5"/>
  <c r="Y24" i="5" s="1"/>
  <c r="Y63" i="5" s="1"/>
  <c r="Y129" i="34"/>
  <c r="Z172" i="37"/>
  <c r="Z111" i="37"/>
  <c r="Z270" i="37" s="1"/>
  <c r="Z117" i="37"/>
  <c r="Z364" i="37" s="1"/>
  <c r="Z90" i="38"/>
  <c r="X104" i="5"/>
  <c r="X196" i="5" s="1"/>
  <c r="T718" i="11"/>
  <c r="AB41" i="35"/>
  <c r="X132" i="16"/>
  <c r="X134" i="16" s="1"/>
  <c r="AA112" i="34"/>
  <c r="AA294" i="34" s="1"/>
  <c r="AA147" i="34"/>
  <c r="X63" i="35"/>
  <c r="AC31" i="35"/>
  <c r="U669" i="11"/>
  <c r="AC33" i="36" s="1"/>
  <c r="Z25" i="38"/>
  <c r="Z105" i="38" s="1"/>
  <c r="Z220" i="38" s="1"/>
  <c r="Z129" i="38"/>
  <c r="T745" i="11"/>
  <c r="AB31" i="38"/>
  <c r="L886" i="11"/>
  <c r="T84" i="16"/>
  <c r="T9" i="16"/>
  <c r="Z90" i="35"/>
  <c r="W63" i="5"/>
  <c r="X105" i="5"/>
  <c r="X220" i="5" s="1"/>
  <c r="AA31" i="16"/>
  <c r="S747" i="11"/>
  <c r="AA31" i="34"/>
  <c r="AA31" i="5"/>
  <c r="Q777" i="11"/>
  <c r="Y24" i="38"/>
  <c r="Y91" i="38"/>
  <c r="Y92" i="38" s="1"/>
  <c r="Y91" i="37"/>
  <c r="Y92" i="37" s="1"/>
  <c r="Y24" i="37"/>
  <c r="Y28" i="37"/>
  <c r="AN136" i="53" s="1"/>
  <c r="U662" i="11"/>
  <c r="AC32" i="38" s="1"/>
  <c r="U716" i="11"/>
  <c r="AC41" i="38" s="1"/>
  <c r="X105" i="16"/>
  <c r="X220" i="16" s="1"/>
  <c r="T556" i="11"/>
  <c r="V520" i="11"/>
  <c r="V668" i="11" s="1"/>
  <c r="U695" i="11"/>
  <c r="U565" i="11"/>
  <c r="U525" i="11"/>
  <c r="U529" i="11"/>
  <c r="AC13" i="35"/>
  <c r="U845" i="11"/>
  <c r="V522" i="11"/>
  <c r="U567" i="11"/>
  <c r="U847" i="11"/>
  <c r="AC13" i="37"/>
  <c r="U697" i="11"/>
  <c r="U706" i="11" s="1"/>
  <c r="AC37" i="37" s="1"/>
  <c r="U531" i="11"/>
  <c r="U549" i="11" s="1"/>
  <c r="R129" i="11"/>
  <c r="W89" i="11"/>
  <c r="AB147" i="36"/>
  <c r="V521" i="11"/>
  <c r="U530" i="11"/>
  <c r="U548" i="11" s="1"/>
  <c r="AC13" i="36"/>
  <c r="U696" i="11"/>
  <c r="U705" i="11" s="1"/>
  <c r="AC37" i="36" s="1"/>
  <c r="U566" i="11"/>
  <c r="R784" i="11"/>
  <c r="P604" i="11"/>
  <c r="P606" i="11" s="1"/>
  <c r="P613" i="11"/>
  <c r="Q613" i="11" s="1"/>
  <c r="Y90" i="34"/>
  <c r="Z112" i="5"/>
  <c r="Z294" i="5" s="1"/>
  <c r="T673" i="11"/>
  <c r="T850" i="11" s="1"/>
  <c r="S270" i="11"/>
  <c r="R83" i="34"/>
  <c r="S76" i="34" s="1"/>
  <c r="S78" i="34" s="1"/>
  <c r="T78" i="37"/>
  <c r="T83" i="37" s="1"/>
  <c r="U76" i="37" s="1"/>
  <c r="G180" i="51"/>
  <c r="G180" i="52"/>
  <c r="G180" i="55"/>
  <c r="G180" i="54"/>
  <c r="G180" i="53"/>
  <c r="V64" i="5"/>
  <c r="V260" i="11"/>
  <c r="V325" i="11" s="1"/>
  <c r="W206" i="11"/>
  <c r="W215" i="11" s="1"/>
  <c r="W326" i="11" s="1"/>
  <c r="AA62" i="37"/>
  <c r="G178" i="55"/>
  <c r="F135" i="45"/>
  <c r="U130" i="39"/>
  <c r="U136" i="39" s="1"/>
  <c r="U140" i="39" s="1"/>
  <c r="U6" i="39"/>
  <c r="U97" i="38"/>
  <c r="U97" i="39"/>
  <c r="X81" i="39"/>
  <c r="X82" i="39" s="1"/>
  <c r="X20" i="39"/>
  <c r="R173" i="11"/>
  <c r="Q346" i="11"/>
  <c r="W47" i="5"/>
  <c r="W117" i="5" s="1"/>
  <c r="W364" i="5" s="1"/>
  <c r="AK141" i="56"/>
  <c r="AK141" i="51"/>
  <c r="V110" i="5"/>
  <c r="V244" i="5" s="1"/>
  <c r="AK141" i="50"/>
  <c r="V48" i="5"/>
  <c r="V118" i="5" s="1"/>
  <c r="V388" i="5" s="1"/>
  <c r="AK141" i="26"/>
  <c r="AK141" i="53"/>
  <c r="V173" i="5"/>
  <c r="AK141" i="55"/>
  <c r="AK141" i="52"/>
  <c r="AK141" i="54"/>
  <c r="Q337" i="11"/>
  <c r="Y35" i="11"/>
  <c r="Y53" i="11"/>
  <c r="Z44" i="11"/>
  <c r="U308" i="11"/>
  <c r="S476" i="11"/>
  <c r="S467" i="11"/>
  <c r="S458" i="11"/>
  <c r="S409" i="11"/>
  <c r="S427" i="11" s="1"/>
  <c r="S119" i="11"/>
  <c r="S128" i="11"/>
  <c r="S147" i="11" s="1"/>
  <c r="AA12" i="39"/>
  <c r="T82" i="11"/>
  <c r="T91" i="11" s="1"/>
  <c r="Z172" i="36"/>
  <c r="Z111" i="36"/>
  <c r="Z270" i="36" s="1"/>
  <c r="X8" i="35"/>
  <c r="X62" i="35"/>
  <c r="T263" i="11"/>
  <c r="T352" i="11" s="1"/>
  <c r="V62" i="34"/>
  <c r="V8" i="34"/>
  <c r="F135" i="46"/>
  <c r="U130" i="36"/>
  <c r="U136" i="36" s="1"/>
  <c r="U140" i="36" s="1"/>
  <c r="U6" i="36"/>
  <c r="Z148" i="39"/>
  <c r="Z145" i="39"/>
  <c r="AA33" i="11"/>
  <c r="AA51" i="11"/>
  <c r="AB42" i="11"/>
  <c r="AB81" i="37"/>
  <c r="AB82" i="37" s="1"/>
  <c r="AB20" i="37"/>
  <c r="T77" i="35"/>
  <c r="T83" i="35" s="1"/>
  <c r="U76" i="35" s="1"/>
  <c r="U78" i="35" s="1"/>
  <c r="T87" i="11"/>
  <c r="G178" i="26"/>
  <c r="G234" i="56"/>
  <c r="E149" i="53"/>
  <c r="T59" i="37"/>
  <c r="I57" i="37"/>
  <c r="K57" i="37" s="1"/>
  <c r="U6" i="37"/>
  <c r="U130" i="37"/>
  <c r="U136" i="37" s="1"/>
  <c r="U140" i="37" s="1"/>
  <c r="U97" i="37"/>
  <c r="T335" i="11"/>
  <c r="R502" i="11"/>
  <c r="R511" i="11" s="1"/>
  <c r="AA21" i="36"/>
  <c r="AA104" i="36" s="1"/>
  <c r="AA196" i="36" s="1"/>
  <c r="AA128" i="36"/>
  <c r="AI143" i="56"/>
  <c r="T142" i="35"/>
  <c r="T73" i="5"/>
  <c r="AI143" i="26"/>
  <c r="AI143" i="54"/>
  <c r="T142" i="34"/>
  <c r="T142" i="5"/>
  <c r="T142" i="16"/>
  <c r="AI143" i="55"/>
  <c r="T142" i="38"/>
  <c r="T171" i="5"/>
  <c r="AI143" i="51"/>
  <c r="T51" i="5"/>
  <c r="T142" i="37"/>
  <c r="T142" i="39"/>
  <c r="T114" i="5"/>
  <c r="AI143" i="52"/>
  <c r="AI143" i="53"/>
  <c r="T142" i="36"/>
  <c r="T113" i="5"/>
  <c r="T317" i="5" s="1"/>
  <c r="AI143" i="50"/>
  <c r="V64" i="38"/>
  <c r="AJ143" i="56"/>
  <c r="U142" i="16"/>
  <c r="AJ143" i="51"/>
  <c r="U171" i="5"/>
  <c r="AJ143" i="52"/>
  <c r="AJ143" i="50"/>
  <c r="U142" i="5"/>
  <c r="U142" i="38"/>
  <c r="U114" i="5"/>
  <c r="AJ143" i="54"/>
  <c r="U142" i="34"/>
  <c r="U142" i="39"/>
  <c r="U51" i="5"/>
  <c r="AJ143" i="53"/>
  <c r="U142" i="37"/>
  <c r="AJ143" i="55"/>
  <c r="U142" i="35"/>
  <c r="U142" i="36"/>
  <c r="U113" i="5"/>
  <c r="U317" i="5" s="1"/>
  <c r="AJ143" i="26"/>
  <c r="U73" i="5"/>
  <c r="R310" i="11"/>
  <c r="R279" i="11" s="1"/>
  <c r="Z67" i="35" s="1"/>
  <c r="U259" i="11"/>
  <c r="U316" i="11" s="1"/>
  <c r="V205" i="11"/>
  <c r="V214" i="11" s="1"/>
  <c r="V317" i="11" s="1"/>
  <c r="W204" i="11"/>
  <c r="V258" i="11"/>
  <c r="V213" i="11"/>
  <c r="AC53" i="37"/>
  <c r="BE21" i="37" s="1"/>
  <c r="AR4" i="53" s="1"/>
  <c r="AC115" i="37"/>
  <c r="AC340" i="37" s="1"/>
  <c r="AC72" i="37"/>
  <c r="U84" i="36"/>
  <c r="N620" i="11"/>
  <c r="E236" i="52" s="1"/>
  <c r="G236" i="52" s="1"/>
  <c r="Y80" i="16"/>
  <c r="R876" i="11"/>
  <c r="R364" i="11"/>
  <c r="R382" i="11" s="1"/>
  <c r="Z195" i="11"/>
  <c r="Z134" i="11"/>
  <c r="Z60" i="11"/>
  <c r="U171" i="34"/>
  <c r="U114" i="34"/>
  <c r="U113" i="34"/>
  <c r="U317" i="34" s="1"/>
  <c r="U51" i="34"/>
  <c r="E169" i="50" s="1"/>
  <c r="U73" i="34"/>
  <c r="E236" i="51"/>
  <c r="G236" i="51" s="1"/>
  <c r="X62" i="5"/>
  <c r="X64" i="5" s="1"/>
  <c r="X8" i="5"/>
  <c r="G178" i="53"/>
  <c r="U87" i="34"/>
  <c r="U93" i="34" s="1"/>
  <c r="V86" i="34" s="1"/>
  <c r="V87" i="34" s="1"/>
  <c r="U97" i="34"/>
  <c r="X197" i="11"/>
  <c r="X62" i="11"/>
  <c r="X80" i="11" s="1"/>
  <c r="X136" i="11"/>
  <c r="U217" i="11"/>
  <c r="U344" i="11" s="1"/>
  <c r="V208" i="11"/>
  <c r="U262" i="11"/>
  <c r="U343" i="11" s="1"/>
  <c r="U73" i="38"/>
  <c r="U113" i="38"/>
  <c r="U317" i="38" s="1"/>
  <c r="U171" i="38"/>
  <c r="U114" i="38"/>
  <c r="U51" i="38"/>
  <c r="E169" i="54" s="1"/>
  <c r="X81" i="34"/>
  <c r="X82" i="34" s="1"/>
  <c r="X20" i="34"/>
  <c r="W67" i="38"/>
  <c r="E150" i="54" s="1"/>
  <c r="W67" i="16"/>
  <c r="X62" i="36"/>
  <c r="X64" i="36" s="1"/>
  <c r="X8" i="36"/>
  <c r="W115" i="39"/>
  <c r="W340" i="39" s="1"/>
  <c r="W53" i="39"/>
  <c r="E181" i="55" s="1"/>
  <c r="W72" i="39"/>
  <c r="W28" i="39"/>
  <c r="G178" i="54"/>
  <c r="E149" i="52"/>
  <c r="U130" i="38"/>
  <c r="U136" i="38" s="1"/>
  <c r="U140" i="38" s="1"/>
  <c r="U6" i="38"/>
  <c r="V207" i="11"/>
  <c r="U261" i="11"/>
  <c r="U216" i="11"/>
  <c r="AC80" i="37"/>
  <c r="R120" i="11"/>
  <c r="V54" i="39"/>
  <c r="U87" i="39"/>
  <c r="U93" i="39" s="1"/>
  <c r="V86" i="39" s="1"/>
  <c r="Y80" i="38"/>
  <c r="R174" i="11"/>
  <c r="R253" i="11" s="1"/>
  <c r="R346" i="11" s="1"/>
  <c r="R283" i="11" s="1"/>
  <c r="Z67" i="39" s="1"/>
  <c r="T472" i="11"/>
  <c r="T463" i="11"/>
  <c r="T454" i="11"/>
  <c r="T405" i="11"/>
  <c r="T124" i="11"/>
  <c r="T115" i="11"/>
  <c r="AB12" i="35"/>
  <c r="U78" i="11"/>
  <c r="U9" i="36"/>
  <c r="AD148" i="37"/>
  <c r="AD145" i="37"/>
  <c r="W62" i="38"/>
  <c r="W64" i="38" s="1"/>
  <c r="W8" i="38"/>
  <c r="AA80" i="36"/>
  <c r="Y94" i="38"/>
  <c r="Y94" i="16"/>
  <c r="G178" i="52"/>
  <c r="F135" i="48"/>
  <c r="E149" i="50"/>
  <c r="U6" i="16"/>
  <c r="M6" i="11" s="1"/>
  <c r="U130" i="16"/>
  <c r="U136" i="16" s="1"/>
  <c r="U140" i="16" s="1"/>
  <c r="X81" i="16"/>
  <c r="X82" i="16" s="1"/>
  <c r="X20" i="16"/>
  <c r="T334" i="11"/>
  <c r="S179" i="11"/>
  <c r="S183" i="11" s="1"/>
  <c r="R189" i="11"/>
  <c r="AB99" i="11"/>
  <c r="AB100" i="11"/>
  <c r="AB101" i="11"/>
  <c r="AB98" i="11"/>
  <c r="AB97" i="11"/>
  <c r="AC96" i="11"/>
  <c r="S475" i="11"/>
  <c r="S466" i="11"/>
  <c r="S457" i="11"/>
  <c r="S408" i="11"/>
  <c r="S426" i="11" s="1"/>
  <c r="S118" i="11"/>
  <c r="S127" i="11"/>
  <c r="S146" i="11" s="1"/>
  <c r="AA12" i="38"/>
  <c r="T81" i="11"/>
  <c r="W474" i="11"/>
  <c r="W465" i="11"/>
  <c r="W407" i="11"/>
  <c r="W425" i="11" s="1"/>
  <c r="W117" i="11"/>
  <c r="W126" i="11"/>
  <c r="W145" i="11" s="1"/>
  <c r="AE12" i="37"/>
  <c r="V874" i="11"/>
  <c r="V362" i="11"/>
  <c r="V380" i="11" s="1"/>
  <c r="Y20" i="35"/>
  <c r="Y81" i="35"/>
  <c r="Y82" i="35" s="1"/>
  <c r="AC128" i="37"/>
  <c r="AC21" i="37"/>
  <c r="AC104" i="37" s="1"/>
  <c r="AC196" i="37" s="1"/>
  <c r="AV20" i="39"/>
  <c r="AI3" i="55" s="1"/>
  <c r="T7" i="39"/>
  <c r="T57" i="39"/>
  <c r="T54" i="39"/>
  <c r="Y72" i="35"/>
  <c r="Y53" i="35"/>
  <c r="BA21" i="35" s="1"/>
  <c r="AN4" i="51" s="1"/>
  <c r="Y115" i="35"/>
  <c r="Y340" i="35" s="1"/>
  <c r="Y28" i="35"/>
  <c r="AN136" i="51" s="1"/>
  <c r="W8" i="5"/>
  <c r="W62" i="5"/>
  <c r="T7" i="36"/>
  <c r="T54" i="36"/>
  <c r="AV20" i="36"/>
  <c r="AI3" i="52" s="1"/>
  <c r="T57" i="36"/>
  <c r="Q757" i="11"/>
  <c r="Y21" i="38"/>
  <c r="Y104" i="38" s="1"/>
  <c r="Y196" i="38" s="1"/>
  <c r="Y128" i="38"/>
  <c r="R436" i="11"/>
  <c r="R777" i="11" s="1"/>
  <c r="Z19" i="39"/>
  <c r="Y80" i="34"/>
  <c r="E235" i="55"/>
  <c r="G235" i="55" s="1"/>
  <c r="AA148" i="35"/>
  <c r="AA145" i="35"/>
  <c r="V84" i="35"/>
  <c r="O619" i="11"/>
  <c r="O628" i="11" s="1"/>
  <c r="G178" i="56"/>
  <c r="AI138" i="56"/>
  <c r="T51" i="16"/>
  <c r="T73" i="16"/>
  <c r="T171" i="16"/>
  <c r="T114" i="16"/>
  <c r="T113" i="16"/>
  <c r="T317" i="16" s="1"/>
  <c r="AI138" i="26"/>
  <c r="R435" i="11"/>
  <c r="Z19" i="38"/>
  <c r="U307" i="11"/>
  <c r="Y36" i="11"/>
  <c r="Y54" i="11"/>
  <c r="Z45" i="11"/>
  <c r="X198" i="11"/>
  <c r="X63" i="11"/>
  <c r="X137" i="11"/>
  <c r="U84" i="38"/>
  <c r="N622" i="11"/>
  <c r="V110" i="38"/>
  <c r="V244" i="38" s="1"/>
  <c r="V173" i="38"/>
  <c r="V48" i="38"/>
  <c r="Y80" i="39"/>
  <c r="Z80" i="35"/>
  <c r="Z37" i="11"/>
  <c r="Z55" i="11"/>
  <c r="AA46" i="11"/>
  <c r="G178" i="50"/>
  <c r="G234" i="50"/>
  <c r="E137" i="53"/>
  <c r="G205" i="53" s="1"/>
  <c r="E137" i="52"/>
  <c r="G205" i="52" s="1"/>
  <c r="U6" i="35"/>
  <c r="U130" i="35"/>
  <c r="U136" i="35" s="1"/>
  <c r="U140" i="35" s="1"/>
  <c r="U97" i="35"/>
  <c r="T113" i="38"/>
  <c r="T317" i="38" s="1"/>
  <c r="T73" i="38"/>
  <c r="T114" i="38"/>
  <c r="T51" i="38"/>
  <c r="E168" i="54" s="1"/>
  <c r="T171" i="38"/>
  <c r="Z145" i="16"/>
  <c r="Z148" i="16"/>
  <c r="U87" i="35"/>
  <c r="U93" i="35" s="1"/>
  <c r="V86" i="35" s="1"/>
  <c r="T281" i="11"/>
  <c r="AB67" i="37" s="1"/>
  <c r="X34" i="11"/>
  <c r="X52" i="11"/>
  <c r="Y43" i="11"/>
  <c r="X47" i="11"/>
  <c r="X41" i="11"/>
  <c r="Q437" i="11"/>
  <c r="Q778" i="11" s="1"/>
  <c r="AX20" i="35"/>
  <c r="AK3" i="51" s="1"/>
  <c r="V57" i="35"/>
  <c r="V59" i="35" s="1"/>
  <c r="V7" i="35"/>
  <c r="V54" i="35"/>
  <c r="Q254" i="11"/>
  <c r="Q272" i="11" s="1"/>
  <c r="Q275" i="11" s="1"/>
  <c r="X28" i="39"/>
  <c r="AM136" i="55" s="1"/>
  <c r="W64" i="36"/>
  <c r="R503" i="11"/>
  <c r="R512" i="11" s="1"/>
  <c r="T51" i="34"/>
  <c r="E168" i="50" s="1"/>
  <c r="T73" i="34"/>
  <c r="T114" i="34"/>
  <c r="T171" i="34"/>
  <c r="T113" i="34"/>
  <c r="T317" i="34" s="1"/>
  <c r="S170" i="11"/>
  <c r="S249" i="11" s="1"/>
  <c r="V172" i="11"/>
  <c r="V251" i="11" s="1"/>
  <c r="T329" i="11"/>
  <c r="U324" i="11" s="1"/>
  <c r="U329" i="11" s="1"/>
  <c r="V324" i="11" s="1"/>
  <c r="W64" i="35"/>
  <c r="X173" i="35"/>
  <c r="X48" i="35"/>
  <c r="X110" i="35"/>
  <c r="X244" i="35" s="1"/>
  <c r="V58" i="38"/>
  <c r="AX21" i="38"/>
  <c r="AK4" i="54" s="1"/>
  <c r="Q758" i="11"/>
  <c r="Y128" i="39"/>
  <c r="Y21" i="39"/>
  <c r="Y104" i="39" s="1"/>
  <c r="Y196" i="39" s="1"/>
  <c r="W62" i="39"/>
  <c r="W64" i="39" s="1"/>
  <c r="W8" i="39"/>
  <c r="Y199" i="11"/>
  <c r="Y138" i="11"/>
  <c r="Y64" i="11"/>
  <c r="V215" i="11"/>
  <c r="V326" i="11" s="1"/>
  <c r="G178" i="51"/>
  <c r="F135" i="47"/>
  <c r="Y132" i="39"/>
  <c r="Y134" i="39" s="1"/>
  <c r="Y36" i="39"/>
  <c r="Y47" i="39" s="1"/>
  <c r="V486" i="11"/>
  <c r="V487" i="11" s="1"/>
  <c r="V495" i="11"/>
  <c r="V496" i="11" s="1"/>
  <c r="V200" i="11"/>
  <c r="V139" i="11"/>
  <c r="U130" i="34"/>
  <c r="U136" i="34" s="1"/>
  <c r="U140" i="34" s="1"/>
  <c r="U6" i="34"/>
  <c r="Z148" i="38"/>
  <c r="Z145" i="38"/>
  <c r="Y62" i="36"/>
  <c r="Y8" i="36"/>
  <c r="W196" i="11"/>
  <c r="W135" i="11"/>
  <c r="W61" i="11"/>
  <c r="W65" i="11" s="1"/>
  <c r="W56" i="11"/>
  <c r="W180" i="11" s="1"/>
  <c r="W181" i="11" s="1"/>
  <c r="AH3" i="56"/>
  <c r="AH3" i="26"/>
  <c r="Y132" i="38"/>
  <c r="Y134" i="38" s="1"/>
  <c r="Y36" i="38"/>
  <c r="Y47" i="38" s="1"/>
  <c r="Y132" i="16"/>
  <c r="Y134" i="16" s="1"/>
  <c r="Y132" i="5"/>
  <c r="Y134" i="5" s="1"/>
  <c r="Y36" i="16"/>
  <c r="Y47" i="16" s="1"/>
  <c r="Y117" i="16" s="1"/>
  <c r="Y364" i="16" s="1"/>
  <c r="W8" i="16"/>
  <c r="O8" i="11" s="1"/>
  <c r="W62" i="16"/>
  <c r="W64" i="16" s="1"/>
  <c r="S319" i="11"/>
  <c r="M632" i="11"/>
  <c r="S83" i="11"/>
  <c r="AA12" i="16" s="1"/>
  <c r="X72" i="5"/>
  <c r="X67" i="5"/>
  <c r="N190" i="11"/>
  <c r="V434" i="11"/>
  <c r="V775" i="11" s="1"/>
  <c r="AD19" i="37"/>
  <c r="W111" i="34"/>
  <c r="W270" i="34" s="1"/>
  <c r="V64" i="16"/>
  <c r="T51" i="35"/>
  <c r="E168" i="51" s="1"/>
  <c r="T73" i="35"/>
  <c r="T171" i="35"/>
  <c r="T114" i="35"/>
  <c r="T113" i="35"/>
  <c r="T317" i="35" s="1"/>
  <c r="X36" i="34"/>
  <c r="X47" i="34" s="1"/>
  <c r="X36" i="5"/>
  <c r="X47" i="5" s="1"/>
  <c r="X117" i="5" s="1"/>
  <c r="X364" i="5" s="1"/>
  <c r="X132" i="34"/>
  <c r="X134" i="34" s="1"/>
  <c r="W53" i="5"/>
  <c r="W58" i="5" s="1"/>
  <c r="W6" i="5"/>
  <c r="W28" i="5"/>
  <c r="W115" i="5"/>
  <c r="W340" i="5" s="1"/>
  <c r="R428" i="11"/>
  <c r="Z19" i="16" s="1"/>
  <c r="AI4" i="56"/>
  <c r="AI4" i="26"/>
  <c r="F135" i="44"/>
  <c r="Z20" i="36"/>
  <c r="Z81" i="36"/>
  <c r="Z82" i="36" s="1"/>
  <c r="E235" i="56"/>
  <c r="G235" i="56" s="1"/>
  <c r="D136" i="44"/>
  <c r="F136" i="44" s="1"/>
  <c r="D136" i="47"/>
  <c r="F136" i="47" s="1"/>
  <c r="D136" i="48"/>
  <c r="F136" i="48" s="1"/>
  <c r="D136" i="46"/>
  <c r="F136" i="46" s="1"/>
  <c r="D136" i="45"/>
  <c r="F136" i="45" s="1"/>
  <c r="E235" i="50"/>
  <c r="G235" i="50" s="1"/>
  <c r="U97" i="36"/>
  <c r="U97" i="16"/>
  <c r="X81" i="38"/>
  <c r="X82" i="38" s="1"/>
  <c r="X20" i="38"/>
  <c r="R363" i="11"/>
  <c r="R381" i="11" s="1"/>
  <c r="R875" i="11"/>
  <c r="W38" i="11"/>
  <c r="W32" i="11"/>
  <c r="AC145" i="36"/>
  <c r="AC148" i="36"/>
  <c r="G167" i="56"/>
  <c r="W62" i="34"/>
  <c r="W64" i="34" s="1"/>
  <c r="W8" i="34"/>
  <c r="P355" i="11"/>
  <c r="P384" i="11"/>
  <c r="U87" i="38"/>
  <c r="U93" i="38" s="1"/>
  <c r="V86" i="38" s="1"/>
  <c r="X67" i="38"/>
  <c r="X172" i="39"/>
  <c r="X111" i="39"/>
  <c r="X270" i="39" s="1"/>
  <c r="X172" i="38"/>
  <c r="X111" i="38"/>
  <c r="X270" i="38" s="1"/>
  <c r="U9" i="38"/>
  <c r="AF138" i="34" l="1"/>
  <c r="AF71" i="34"/>
  <c r="C203" i="11"/>
  <c r="B86" i="8"/>
  <c r="R116" i="12"/>
  <c r="R147" i="12" s="1"/>
  <c r="R155" i="12" s="1"/>
  <c r="R132" i="12"/>
  <c r="R124" i="12"/>
  <c r="R99" i="12"/>
  <c r="R107" i="12" s="1"/>
  <c r="R37" i="12"/>
  <c r="R81" i="12"/>
  <c r="R90" i="12" s="1"/>
  <c r="R28" i="12"/>
  <c r="R140" i="12"/>
  <c r="R21" i="12"/>
  <c r="R135" i="12"/>
  <c r="R127" i="12"/>
  <c r="R84" i="12"/>
  <c r="R93" i="12" s="1"/>
  <c r="R143" i="12"/>
  <c r="R102" i="12"/>
  <c r="R110" i="12" s="1"/>
  <c r="R119" i="12"/>
  <c r="R31" i="12"/>
  <c r="R40" i="12" s="1"/>
  <c r="Q33" i="12"/>
  <c r="V456" i="11"/>
  <c r="U501" i="11"/>
  <c r="U510" i="11" s="1"/>
  <c r="Q148" i="12"/>
  <c r="Q156" i="12" s="1"/>
  <c r="Q160" i="12" s="1"/>
  <c r="AB36" i="37"/>
  <c r="AB132" i="37"/>
  <c r="AB34" i="5"/>
  <c r="Y768" i="11"/>
  <c r="Z763" i="11"/>
  <c r="AG138" i="35"/>
  <c r="AG71" i="35"/>
  <c r="AG138" i="16"/>
  <c r="AG71" i="16"/>
  <c r="AG138" i="5"/>
  <c r="AC767" i="11"/>
  <c r="AJ138" i="39"/>
  <c r="AJ71" i="39"/>
  <c r="Q365" i="11"/>
  <c r="N630" i="11"/>
  <c r="R311" i="11"/>
  <c r="S306" i="11" s="1"/>
  <c r="R773" i="11"/>
  <c r="T424" i="11"/>
  <c r="U406" i="11"/>
  <c r="Z21" i="35"/>
  <c r="Z104" i="35" s="1"/>
  <c r="Z196" i="35" s="1"/>
  <c r="R830" i="11"/>
  <c r="W113" i="35"/>
  <c r="W317" i="35" s="1"/>
  <c r="Y111" i="35"/>
  <c r="Y270" i="35" s="1"/>
  <c r="V652" i="11"/>
  <c r="V672" i="11"/>
  <c r="AD33" i="39" s="1"/>
  <c r="R827" i="11"/>
  <c r="AL138" i="51"/>
  <c r="W51" i="35"/>
  <c r="E171" i="51" s="1"/>
  <c r="Y172" i="35"/>
  <c r="Q401" i="11"/>
  <c r="W118" i="35"/>
  <c r="W388" i="35" s="1"/>
  <c r="W114" i="35"/>
  <c r="W171" i="35"/>
  <c r="U849" i="11"/>
  <c r="U78" i="37"/>
  <c r="U846" i="11"/>
  <c r="AN137" i="51"/>
  <c r="S360" i="11"/>
  <c r="Z100" i="39"/>
  <c r="Z101" i="39" s="1"/>
  <c r="Z12" i="5"/>
  <c r="Z100" i="37"/>
  <c r="Z101" i="37" s="1"/>
  <c r="Z100" i="38"/>
  <c r="Z101" i="38" s="1"/>
  <c r="Z100" i="36"/>
  <c r="Z101" i="36" s="1"/>
  <c r="Z100" i="16"/>
  <c r="Z101" i="16" s="1"/>
  <c r="Z100" i="35"/>
  <c r="Z101" i="35" s="1"/>
  <c r="R227" i="11"/>
  <c r="Z100" i="34"/>
  <c r="Z101" i="34" s="1"/>
  <c r="R84" i="11"/>
  <c r="R102" i="11"/>
  <c r="Z12" i="34"/>
  <c r="V473" i="11"/>
  <c r="AB36" i="36"/>
  <c r="Y145" i="34"/>
  <c r="Y148" i="34"/>
  <c r="S120" i="11"/>
  <c r="R754" i="11"/>
  <c r="R863" i="11" s="1"/>
  <c r="Z132" i="35"/>
  <c r="Z134" i="35" s="1"/>
  <c r="AD12" i="36"/>
  <c r="AD148" i="36" s="1"/>
  <c r="R513" i="11"/>
  <c r="Z36" i="35"/>
  <c r="Z47" i="35" s="1"/>
  <c r="AO137" i="51" s="1"/>
  <c r="V116" i="11"/>
  <c r="V171" i="11" s="1"/>
  <c r="V250" i="11" s="1"/>
  <c r="V319" i="11" s="1"/>
  <c r="V280" i="11" s="1"/>
  <c r="AD67" i="36" s="1"/>
  <c r="V669" i="11"/>
  <c r="AD33" i="36" s="1"/>
  <c r="E169" i="52"/>
  <c r="U54" i="36"/>
  <c r="U7" i="36"/>
  <c r="U57" i="36"/>
  <c r="U59" i="36" s="1"/>
  <c r="AW20" i="36"/>
  <c r="AJ3" i="52" s="1"/>
  <c r="U114" i="16"/>
  <c r="E143" i="26"/>
  <c r="E137" i="26" s="1"/>
  <c r="G205" i="26" s="1"/>
  <c r="S828" i="11"/>
  <c r="X118" i="36"/>
  <c r="X388" i="36" s="1"/>
  <c r="V7" i="39"/>
  <c r="S468" i="11"/>
  <c r="AX20" i="39"/>
  <c r="AK3" i="55" s="1"/>
  <c r="Y36" i="34"/>
  <c r="Y47" i="34" s="1"/>
  <c r="V650" i="11"/>
  <c r="AD31" i="35" s="1"/>
  <c r="V57" i="39"/>
  <c r="V59" i="39" s="1"/>
  <c r="Y132" i="34"/>
  <c r="Y134" i="34" s="1"/>
  <c r="W172" i="16"/>
  <c r="T144" i="11"/>
  <c r="U125" i="11"/>
  <c r="S459" i="11"/>
  <c r="AL137" i="26"/>
  <c r="AL57" i="37"/>
  <c r="S755" i="11"/>
  <c r="S864" i="11" s="1"/>
  <c r="Q347" i="11"/>
  <c r="R342" i="11" s="1"/>
  <c r="R347" i="11" s="1"/>
  <c r="S342" i="11" s="1"/>
  <c r="W54" i="36"/>
  <c r="V687" i="11"/>
  <c r="AD35" i="36" s="1"/>
  <c r="S477" i="11"/>
  <c r="S478" i="11" s="1"/>
  <c r="V455" i="11"/>
  <c r="U692" i="11"/>
  <c r="V464" i="11"/>
  <c r="P273" i="11"/>
  <c r="Q268" i="11" s="1"/>
  <c r="Q273" i="11" s="1"/>
  <c r="R268" i="11" s="1"/>
  <c r="W64" i="5"/>
  <c r="U655" i="11"/>
  <c r="AA19" i="35"/>
  <c r="AA80" i="35" s="1"/>
  <c r="Q338" i="11"/>
  <c r="R333" i="11" s="1"/>
  <c r="V660" i="11"/>
  <c r="AD32" i="36" s="1"/>
  <c r="U559" i="11"/>
  <c r="AY20" i="36"/>
  <c r="AL3" i="52" s="1"/>
  <c r="W57" i="36"/>
  <c r="W59" i="36" s="1"/>
  <c r="X51" i="36"/>
  <c r="X54" i="36" s="1"/>
  <c r="X73" i="36"/>
  <c r="X113" i="36"/>
  <c r="X317" i="36" s="1"/>
  <c r="X114" i="36"/>
  <c r="X171" i="36"/>
  <c r="W7" i="36"/>
  <c r="V53" i="34"/>
  <c r="V58" i="34" s="1"/>
  <c r="V28" i="34"/>
  <c r="AK136" i="50" s="1"/>
  <c r="V72" i="34"/>
  <c r="O385" i="11"/>
  <c r="W111" i="16"/>
  <c r="W270" i="16" s="1"/>
  <c r="E143" i="56"/>
  <c r="E137" i="56" s="1"/>
  <c r="G205" i="56" s="1"/>
  <c r="AL137" i="56"/>
  <c r="AM137" i="26"/>
  <c r="V733" i="11"/>
  <c r="AD43" i="35" s="1"/>
  <c r="S781" i="11"/>
  <c r="V677" i="11"/>
  <c r="AD34" i="35" s="1"/>
  <c r="V654" i="11"/>
  <c r="V690" i="11"/>
  <c r="AD35" i="39" s="1"/>
  <c r="S396" i="11"/>
  <c r="AA94" i="35" s="1"/>
  <c r="V670" i="11"/>
  <c r="AD33" i="37" s="1"/>
  <c r="U556" i="11"/>
  <c r="V72" i="16"/>
  <c r="V53" i="16"/>
  <c r="V28" i="16"/>
  <c r="V115" i="16"/>
  <c r="V340" i="16" s="1"/>
  <c r="X64" i="35"/>
  <c r="U171" i="16"/>
  <c r="AJ4" i="26"/>
  <c r="AJ138" i="26"/>
  <c r="U73" i="16"/>
  <c r="U113" i="16"/>
  <c r="U317" i="16" s="1"/>
  <c r="AJ138" i="56"/>
  <c r="AJ139" i="56" s="1"/>
  <c r="U51" i="16"/>
  <c r="U57" i="16" s="1"/>
  <c r="U59" i="16" s="1"/>
  <c r="V734" i="11"/>
  <c r="AD43" i="36" s="1"/>
  <c r="V661" i="11"/>
  <c r="AD32" i="37" s="1"/>
  <c r="U744" i="11"/>
  <c r="AC133" i="37" s="1"/>
  <c r="U397" i="11"/>
  <c r="AC94" i="36" s="1"/>
  <c r="V678" i="11"/>
  <c r="AD34" i="36" s="1"/>
  <c r="V714" i="11"/>
  <c r="AD41" i="36" s="1"/>
  <c r="V737" i="11"/>
  <c r="AD43" i="39" s="1"/>
  <c r="V679" i="11"/>
  <c r="AD34" i="37" s="1"/>
  <c r="U691" i="11"/>
  <c r="AC35" i="5" s="1"/>
  <c r="P381" i="11"/>
  <c r="P383" i="11" s="1"/>
  <c r="P385" i="11" s="1"/>
  <c r="P365" i="11"/>
  <c r="T83" i="11"/>
  <c r="V688" i="11"/>
  <c r="AD35" i="37" s="1"/>
  <c r="V689" i="11"/>
  <c r="AD35" i="38" s="1"/>
  <c r="V717" i="11"/>
  <c r="AD41" i="39" s="1"/>
  <c r="U78" i="36"/>
  <c r="AA37" i="5"/>
  <c r="AA37" i="34"/>
  <c r="O356" i="11"/>
  <c r="P351" i="11" s="1"/>
  <c r="P356" i="11" s="1"/>
  <c r="Q351" i="11" s="1"/>
  <c r="Y117" i="39"/>
  <c r="Y364" i="39" s="1"/>
  <c r="AN137" i="55"/>
  <c r="W117" i="34"/>
  <c r="W364" i="34" s="1"/>
  <c r="AL137" i="50"/>
  <c r="E143" i="50"/>
  <c r="E137" i="50" s="1"/>
  <c r="G205" i="50" s="1"/>
  <c r="T709" i="11"/>
  <c r="AB37" i="16"/>
  <c r="AB37" i="35"/>
  <c r="E150" i="50"/>
  <c r="W53" i="34"/>
  <c r="W115" i="34"/>
  <c r="W340" i="34" s="1"/>
  <c r="W72" i="34"/>
  <c r="W28" i="34"/>
  <c r="X117" i="34"/>
  <c r="X364" i="34" s="1"/>
  <c r="AM137" i="50"/>
  <c r="Y117" i="38"/>
  <c r="Y364" i="38" s="1"/>
  <c r="AN137" i="54"/>
  <c r="X118" i="35"/>
  <c r="X388" i="35" s="1"/>
  <c r="AM138" i="51"/>
  <c r="Y117" i="34"/>
  <c r="Y364" i="34" s="1"/>
  <c r="AN137" i="50"/>
  <c r="T837" i="11"/>
  <c r="S836" i="11"/>
  <c r="AA133" i="35"/>
  <c r="AA46" i="35"/>
  <c r="AL136" i="55"/>
  <c r="E136" i="55"/>
  <c r="V118" i="38"/>
  <c r="V388" i="38" s="1"/>
  <c r="AK138" i="54"/>
  <c r="S148" i="11"/>
  <c r="T83" i="39"/>
  <c r="U76" i="39" s="1"/>
  <c r="U77" i="36"/>
  <c r="Y173" i="36"/>
  <c r="AN136" i="52"/>
  <c r="T270" i="11"/>
  <c r="S78" i="16"/>
  <c r="S83" i="16" s="1"/>
  <c r="T76" i="16" s="1"/>
  <c r="T77" i="16" s="1"/>
  <c r="Y48" i="36"/>
  <c r="Y110" i="36"/>
  <c r="Y244" i="36" s="1"/>
  <c r="U77" i="37"/>
  <c r="U83" i="37" s="1"/>
  <c r="V76" i="37" s="1"/>
  <c r="S77" i="34"/>
  <c r="S83" i="34" s="1"/>
  <c r="T76" i="34" s="1"/>
  <c r="T78" i="34" s="1"/>
  <c r="V736" i="11"/>
  <c r="AD43" i="38" s="1"/>
  <c r="V715" i="11"/>
  <c r="AD41" i="37" s="1"/>
  <c r="U550" i="11"/>
  <c r="U558" i="11"/>
  <c r="U683" i="11"/>
  <c r="U848" i="11"/>
  <c r="X172" i="16"/>
  <c r="X111" i="16"/>
  <c r="X270" i="16" s="1"/>
  <c r="U665" i="11"/>
  <c r="S784" i="11"/>
  <c r="U746" i="11"/>
  <c r="U894" i="11" s="1"/>
  <c r="T891" i="11"/>
  <c r="AB134" i="36"/>
  <c r="U557" i="11"/>
  <c r="AB46" i="36"/>
  <c r="AM137" i="56"/>
  <c r="U719" i="11"/>
  <c r="AA117" i="36"/>
  <c r="AA364" i="36" s="1"/>
  <c r="AA172" i="36"/>
  <c r="AA111" i="36"/>
  <c r="AA270" i="36" s="1"/>
  <c r="R437" i="11"/>
  <c r="W79" i="11"/>
  <c r="S503" i="11"/>
  <c r="S512" i="11" s="1"/>
  <c r="AA36" i="39" s="1"/>
  <c r="AA47" i="39" s="1"/>
  <c r="U534" i="11"/>
  <c r="U561" i="11" s="1"/>
  <c r="AJ144" i="51"/>
  <c r="T747" i="11"/>
  <c r="T841" i="11" s="1"/>
  <c r="S601" i="11"/>
  <c r="O881" i="11"/>
  <c r="O809" i="11"/>
  <c r="S593" i="11"/>
  <c r="AB133" i="16"/>
  <c r="AB133" i="5"/>
  <c r="AB46" i="16"/>
  <c r="AB46" i="34"/>
  <c r="T499" i="11"/>
  <c r="V713" i="11"/>
  <c r="Y63" i="38"/>
  <c r="Y24" i="16"/>
  <c r="Y63" i="16" s="1"/>
  <c r="Y91" i="16"/>
  <c r="Y92" i="16" s="1"/>
  <c r="AB147" i="34"/>
  <c r="Z91" i="37"/>
  <c r="Z92" i="37" s="1"/>
  <c r="Z24" i="37"/>
  <c r="Z28" i="37"/>
  <c r="AO136" i="53" s="1"/>
  <c r="T578" i="11"/>
  <c r="AB23" i="39"/>
  <c r="U542" i="11"/>
  <c r="V663" i="11"/>
  <c r="AC31" i="38"/>
  <c r="U745" i="11"/>
  <c r="U743" i="11"/>
  <c r="AC31" i="36"/>
  <c r="X118" i="37"/>
  <c r="X388" i="37" s="1"/>
  <c r="X113" i="37"/>
  <c r="X317" i="37" s="1"/>
  <c r="X51" i="37"/>
  <c r="X73" i="37"/>
  <c r="X171" i="37"/>
  <c r="X114" i="37"/>
  <c r="AC112" i="38"/>
  <c r="AC294" i="38" s="1"/>
  <c r="AC147" i="38"/>
  <c r="S585" i="11"/>
  <c r="S594" i="11" s="1"/>
  <c r="AA129" i="37"/>
  <c r="AA25" i="37"/>
  <c r="AA105" i="37" s="1"/>
  <c r="AA220" i="37" s="1"/>
  <c r="S829" i="11"/>
  <c r="S756" i="11"/>
  <c r="X63" i="34"/>
  <c r="AA172" i="37"/>
  <c r="AA111" i="37"/>
  <c r="AA270" i="37" s="1"/>
  <c r="AA117" i="37"/>
  <c r="AA364" i="37" s="1"/>
  <c r="AC35" i="16"/>
  <c r="AC35" i="34"/>
  <c r="AC147" i="35"/>
  <c r="AC112" i="35"/>
  <c r="AC294" i="35" s="1"/>
  <c r="U892" i="11"/>
  <c r="AC147" i="5"/>
  <c r="Z42" i="6"/>
  <c r="AA90" i="36"/>
  <c r="AC43" i="35"/>
  <c r="U738" i="11"/>
  <c r="AA90" i="39"/>
  <c r="R504" i="11"/>
  <c r="R505" i="11" s="1"/>
  <c r="Z90" i="34"/>
  <c r="V716" i="11"/>
  <c r="AD41" i="38" s="1"/>
  <c r="V662" i="11"/>
  <c r="AD32" i="38" s="1"/>
  <c r="AB133" i="39"/>
  <c r="T840" i="11"/>
  <c r="AB46" i="39"/>
  <c r="T894" i="11"/>
  <c r="Q602" i="11"/>
  <c r="Q606" i="11" s="1"/>
  <c r="Q611" i="11"/>
  <c r="R611" i="11" s="1"/>
  <c r="R252" i="11"/>
  <c r="R254" i="11" s="1"/>
  <c r="R175" i="11"/>
  <c r="R188" i="11" s="1"/>
  <c r="AC112" i="36"/>
  <c r="AC294" i="36" s="1"/>
  <c r="AC147" i="36"/>
  <c r="AC112" i="37"/>
  <c r="AC294" i="37" s="1"/>
  <c r="AC147" i="37"/>
  <c r="AD31" i="37"/>
  <c r="U704" i="11"/>
  <c r="U700" i="11"/>
  <c r="AA25" i="36"/>
  <c r="AA129" i="36"/>
  <c r="T90" i="11"/>
  <c r="AA25" i="39"/>
  <c r="AA105" i="39" s="1"/>
  <c r="AA220" i="39" s="1"/>
  <c r="AA129" i="39"/>
  <c r="AD31" i="39"/>
  <c r="Z24" i="35"/>
  <c r="Z91" i="35"/>
  <c r="Z92" i="35" s="1"/>
  <c r="AB23" i="38"/>
  <c r="T577" i="11"/>
  <c r="T586" i="11" s="1"/>
  <c r="T595" i="11" s="1"/>
  <c r="U541" i="11"/>
  <c r="Y105" i="5"/>
  <c r="Y220" i="5" s="1"/>
  <c r="AB32" i="16"/>
  <c r="AB32" i="34"/>
  <c r="AB32" i="5"/>
  <c r="R603" i="11"/>
  <c r="R612" i="11"/>
  <c r="Z91" i="36"/>
  <c r="Z92" i="36" s="1"/>
  <c r="Z24" i="36"/>
  <c r="Z63" i="36" s="1"/>
  <c r="Z28" i="36"/>
  <c r="AO136" i="52" s="1"/>
  <c r="Q597" i="11"/>
  <c r="Q615" i="11" s="1"/>
  <c r="AA90" i="35"/>
  <c r="AA90" i="37"/>
  <c r="AC46" i="39"/>
  <c r="U551" i="11"/>
  <c r="Y128" i="5"/>
  <c r="R776" i="11"/>
  <c r="Y21" i="16"/>
  <c r="Y104" i="16" s="1"/>
  <c r="Y196" i="16" s="1"/>
  <c r="R399" i="11"/>
  <c r="Z94" i="38" s="1"/>
  <c r="AB33" i="16"/>
  <c r="AB112" i="16" s="1"/>
  <c r="AB294" i="16" s="1"/>
  <c r="AB33" i="34"/>
  <c r="AB112" i="34" s="1"/>
  <c r="AB294" i="34" s="1"/>
  <c r="AB33" i="5"/>
  <c r="AB112" i="5" s="1"/>
  <c r="AB294" i="5" s="1"/>
  <c r="W521" i="11"/>
  <c r="W669" i="11" s="1"/>
  <c r="AE33" i="36" s="1"/>
  <c r="V696" i="11"/>
  <c r="V705" i="11" s="1"/>
  <c r="AD37" i="36" s="1"/>
  <c r="V566" i="11"/>
  <c r="V846" i="11"/>
  <c r="V530" i="11"/>
  <c r="V548" i="11" s="1"/>
  <c r="AD13" i="36"/>
  <c r="W522" i="11"/>
  <c r="W670" i="11" s="1"/>
  <c r="AE33" i="37" s="1"/>
  <c r="V531" i="11"/>
  <c r="V549" i="11" s="1"/>
  <c r="V847" i="11"/>
  <c r="AD13" i="37"/>
  <c r="V697" i="11"/>
  <c r="V706" i="11" s="1"/>
  <c r="AD37" i="37" s="1"/>
  <c r="V567" i="11"/>
  <c r="AC13" i="16"/>
  <c r="AC99" i="37"/>
  <c r="AC99" i="16"/>
  <c r="AC13" i="5"/>
  <c r="AC99" i="39"/>
  <c r="AC99" i="34"/>
  <c r="AC99" i="35"/>
  <c r="AC99" i="38"/>
  <c r="AC99" i="36"/>
  <c r="AC13" i="34"/>
  <c r="Y48" i="37"/>
  <c r="AN138" i="53" s="1"/>
  <c r="Y110" i="37"/>
  <c r="Y244" i="37" s="1"/>
  <c r="Y173" i="37"/>
  <c r="N883" i="11"/>
  <c r="N811" i="11"/>
  <c r="AB133" i="38"/>
  <c r="T839" i="11"/>
  <c r="AB46" i="38"/>
  <c r="T893" i="11"/>
  <c r="U718" i="11"/>
  <c r="AB41" i="16"/>
  <c r="AB41" i="5"/>
  <c r="AB41" i="34"/>
  <c r="U682" i="11"/>
  <c r="U739" i="11"/>
  <c r="S782" i="11"/>
  <c r="S587" i="11"/>
  <c r="AA90" i="38"/>
  <c r="AB35" i="16"/>
  <c r="AB35" i="34"/>
  <c r="AB35" i="5"/>
  <c r="Z90" i="16"/>
  <c r="V653" i="11"/>
  <c r="W523" i="11"/>
  <c r="V532" i="11"/>
  <c r="AD13" i="38"/>
  <c r="V698" i="11"/>
  <c r="V707" i="11" s="1"/>
  <c r="AD37" i="38" s="1"/>
  <c r="V568" i="11"/>
  <c r="R588" i="11"/>
  <c r="R602" i="11"/>
  <c r="AA23" i="16"/>
  <c r="AA23" i="34"/>
  <c r="AA23" i="5"/>
  <c r="Z105" i="36"/>
  <c r="Z220" i="36" s="1"/>
  <c r="T838" i="11"/>
  <c r="AB46" i="37"/>
  <c r="AB47" i="37" s="1"/>
  <c r="AQ137" i="53" s="1"/>
  <c r="AB133" i="37"/>
  <c r="AB134" i="37" s="1"/>
  <c r="T892" i="11"/>
  <c r="Q867" i="11"/>
  <c r="Q903" i="11"/>
  <c r="V398" i="11"/>
  <c r="AD94" i="37" s="1"/>
  <c r="M633" i="11"/>
  <c r="U9" i="5" s="1"/>
  <c r="M885" i="11"/>
  <c r="M813" i="11"/>
  <c r="Y128" i="16"/>
  <c r="R400" i="11"/>
  <c r="Z94" i="39" s="1"/>
  <c r="V735" i="11"/>
  <c r="AD43" i="37" s="1"/>
  <c r="V686" i="11"/>
  <c r="Y63" i="37"/>
  <c r="Y64" i="37" s="1"/>
  <c r="Y8" i="37"/>
  <c r="Z105" i="35"/>
  <c r="Z220" i="35" s="1"/>
  <c r="U656" i="11"/>
  <c r="AB147" i="16"/>
  <c r="S785" i="11"/>
  <c r="AC147" i="39"/>
  <c r="AC112" i="39"/>
  <c r="AC294" i="39" s="1"/>
  <c r="V681" i="11"/>
  <c r="AD34" i="39" s="1"/>
  <c r="T250" i="11"/>
  <c r="T319" i="11" s="1"/>
  <c r="T280" i="11" s="1"/>
  <c r="AB67" i="36" s="1"/>
  <c r="T397" i="11"/>
  <c r="AB94" i="36" s="1"/>
  <c r="Z25" i="16"/>
  <c r="Z105" i="16" s="1"/>
  <c r="Z220" i="16" s="1"/>
  <c r="Z129" i="5"/>
  <c r="Z129" i="16"/>
  <c r="Z129" i="34"/>
  <c r="Z25" i="5"/>
  <c r="Z24" i="5" s="1"/>
  <c r="Z63" i="5" s="1"/>
  <c r="Z25" i="34"/>
  <c r="Z105" i="34" s="1"/>
  <c r="Z220" i="34" s="1"/>
  <c r="AA25" i="38"/>
  <c r="AA129" i="38"/>
  <c r="N629" i="11"/>
  <c r="V84" i="36" s="1"/>
  <c r="V651" i="11"/>
  <c r="U664" i="11"/>
  <c r="U749" i="11"/>
  <c r="U674" i="11"/>
  <c r="R865" i="11"/>
  <c r="R901" i="11"/>
  <c r="R601" i="11"/>
  <c r="R610" i="11"/>
  <c r="S610" i="11" s="1"/>
  <c r="R597" i="11"/>
  <c r="S604" i="11"/>
  <c r="Z105" i="37"/>
  <c r="Z220" i="37" s="1"/>
  <c r="V671" i="11"/>
  <c r="AD33" i="38" s="1"/>
  <c r="S508" i="11"/>
  <c r="Y63" i="36"/>
  <c r="Y64" i="36" s="1"/>
  <c r="R604" i="11"/>
  <c r="R613" i="11"/>
  <c r="S613" i="11" s="1"/>
  <c r="T143" i="11"/>
  <c r="T872" i="11" s="1"/>
  <c r="AD33" i="35"/>
  <c r="W520" i="11"/>
  <c r="W713" i="11" s="1"/>
  <c r="V565" i="11"/>
  <c r="V525" i="11"/>
  <c r="V695" i="11"/>
  <c r="AD13" i="35"/>
  <c r="V845" i="11"/>
  <c r="V529" i="11"/>
  <c r="V556" i="11" s="1"/>
  <c r="AA46" i="16"/>
  <c r="AA133" i="16"/>
  <c r="AA133" i="5"/>
  <c r="S841" i="11"/>
  <c r="AA46" i="34"/>
  <c r="AA133" i="34"/>
  <c r="S895" i="11"/>
  <c r="AB46" i="35"/>
  <c r="T836" i="11"/>
  <c r="AB133" i="35"/>
  <c r="T890" i="11"/>
  <c r="Z91" i="38"/>
  <c r="Z92" i="38" s="1"/>
  <c r="Z24" i="38"/>
  <c r="Z63" i="38" s="1"/>
  <c r="S410" i="11"/>
  <c r="AB23" i="35"/>
  <c r="T574" i="11"/>
  <c r="T583" i="11" s="1"/>
  <c r="T543" i="11"/>
  <c r="U538" i="11"/>
  <c r="S129" i="11"/>
  <c r="U673" i="11"/>
  <c r="U850" i="11" s="1"/>
  <c r="Q866" i="11"/>
  <c r="Q902" i="11"/>
  <c r="T423" i="11"/>
  <c r="T432" i="11" s="1"/>
  <c r="X89" i="11"/>
  <c r="V659" i="11"/>
  <c r="U570" i="11"/>
  <c r="AC31" i="16"/>
  <c r="AC31" i="34"/>
  <c r="AC31" i="5"/>
  <c r="Y24" i="34"/>
  <c r="Y63" i="34" s="1"/>
  <c r="Y91" i="34"/>
  <c r="Y92" i="34" s="1"/>
  <c r="T575" i="11"/>
  <c r="T584" i="11" s="1"/>
  <c r="T593" i="11" s="1"/>
  <c r="AB23" i="36"/>
  <c r="U539" i="11"/>
  <c r="W524" i="11"/>
  <c r="W654" i="11" s="1"/>
  <c r="V533" i="11"/>
  <c r="V560" i="11" s="1"/>
  <c r="V849" i="11"/>
  <c r="AD13" i="39"/>
  <c r="V569" i="11"/>
  <c r="V699" i="11"/>
  <c r="V708" i="11" s="1"/>
  <c r="AD37" i="39" s="1"/>
  <c r="U547" i="11"/>
  <c r="AC34" i="35"/>
  <c r="S579" i="11"/>
  <c r="AA25" i="35"/>
  <c r="AA129" i="35"/>
  <c r="T576" i="11"/>
  <c r="T783" i="11" s="1"/>
  <c r="AB23" i="37"/>
  <c r="U540" i="11"/>
  <c r="T269" i="11"/>
  <c r="U263" i="11"/>
  <c r="U352" i="11" s="1"/>
  <c r="U77" i="38"/>
  <c r="U77" i="35"/>
  <c r="U83" i="35" s="1"/>
  <c r="V76" i="35" s="1"/>
  <c r="V78" i="35" s="1"/>
  <c r="U84" i="34"/>
  <c r="U9" i="34"/>
  <c r="Z132" i="34"/>
  <c r="Z134" i="34" s="1"/>
  <c r="Z36" i="5"/>
  <c r="Z47" i="5" s="1"/>
  <c r="Z117" i="5" s="1"/>
  <c r="Z364" i="5" s="1"/>
  <c r="Z36" i="34"/>
  <c r="Z47" i="34" s="1"/>
  <c r="W362" i="11"/>
  <c r="W380" i="11" s="1"/>
  <c r="W874" i="11"/>
  <c r="G169" i="51"/>
  <c r="G169" i="52"/>
  <c r="E169" i="26"/>
  <c r="G169" i="26" s="1"/>
  <c r="G169" i="50"/>
  <c r="G169" i="54"/>
  <c r="G169" i="53"/>
  <c r="G169" i="55"/>
  <c r="X62" i="38"/>
  <c r="X64" i="38" s="1"/>
  <c r="X8" i="38"/>
  <c r="X172" i="34"/>
  <c r="X111" i="34"/>
  <c r="X270" i="34" s="1"/>
  <c r="X6" i="5"/>
  <c r="X28" i="5"/>
  <c r="X53" i="5"/>
  <c r="X115" i="5"/>
  <c r="X340" i="5" s="1"/>
  <c r="W486" i="11"/>
  <c r="W487" i="11" s="1"/>
  <c r="W495" i="11"/>
  <c r="W496" i="11" s="1"/>
  <c r="W200" i="11"/>
  <c r="W139" i="11"/>
  <c r="R759" i="11"/>
  <c r="R868" i="11" s="1"/>
  <c r="Z128" i="34"/>
  <c r="Z21" i="5"/>
  <c r="Z21" i="34"/>
  <c r="Y198" i="11"/>
  <c r="Y137" i="11"/>
  <c r="Y63" i="11"/>
  <c r="AJ139" i="54"/>
  <c r="AI139" i="54"/>
  <c r="Z80" i="39"/>
  <c r="Y173" i="35"/>
  <c r="Y48" i="35"/>
  <c r="Y110" i="35"/>
  <c r="Y244" i="35" s="1"/>
  <c r="S435" i="11"/>
  <c r="S776" i="11" s="1"/>
  <c r="AA19" i="38"/>
  <c r="X62" i="16"/>
  <c r="X8" i="16"/>
  <c r="P8" i="11" s="1"/>
  <c r="Y111" i="34"/>
  <c r="Y270" i="34" s="1"/>
  <c r="Y172" i="34"/>
  <c r="Z115" i="35"/>
  <c r="Z340" i="35" s="1"/>
  <c r="Z53" i="35"/>
  <c r="Z72" i="35"/>
  <c r="AI144" i="52"/>
  <c r="AJ144" i="52"/>
  <c r="AI144" i="55"/>
  <c r="AJ144" i="55"/>
  <c r="AI144" i="56"/>
  <c r="AJ144" i="56"/>
  <c r="AL59" i="37"/>
  <c r="I59" i="37"/>
  <c r="K59" i="37" s="1"/>
  <c r="U87" i="11"/>
  <c r="T92" i="11"/>
  <c r="S436" i="11"/>
  <c r="S777" i="11" s="1"/>
  <c r="AA19" i="39"/>
  <c r="Y197" i="11"/>
  <c r="Y62" i="11"/>
  <c r="Y80" i="11" s="1"/>
  <c r="Y136" i="11"/>
  <c r="Z94" i="16"/>
  <c r="R778" i="11"/>
  <c r="Z19" i="34"/>
  <c r="Z19" i="5"/>
  <c r="T54" i="35"/>
  <c r="T7" i="35"/>
  <c r="T57" i="35"/>
  <c r="AV20" i="35"/>
  <c r="AI3" i="51" s="1"/>
  <c r="AD80" i="37"/>
  <c r="AN137" i="26"/>
  <c r="AN137" i="56"/>
  <c r="Y172" i="16"/>
  <c r="Y111" i="16"/>
  <c r="Y270" i="16" s="1"/>
  <c r="X173" i="39"/>
  <c r="X110" i="39"/>
  <c r="X244" i="39" s="1"/>
  <c r="X48" i="39"/>
  <c r="AI139" i="26"/>
  <c r="AJ139" i="26"/>
  <c r="R758" i="11"/>
  <c r="Z128" i="39"/>
  <c r="Z21" i="39"/>
  <c r="Z104" i="39" s="1"/>
  <c r="Z196" i="39" s="1"/>
  <c r="T59" i="36"/>
  <c r="S502" i="11"/>
  <c r="S511" i="11" s="1"/>
  <c r="U54" i="34"/>
  <c r="U57" i="34"/>
  <c r="U59" i="34" s="1"/>
  <c r="U7" i="34"/>
  <c r="AW20" i="34"/>
  <c r="AJ3" i="50" s="1"/>
  <c r="AJ144" i="50"/>
  <c r="V64" i="34"/>
  <c r="P284" i="11"/>
  <c r="AD128" i="37"/>
  <c r="AD21" i="37"/>
  <c r="AD104" i="37" s="1"/>
  <c r="AD196" i="37" s="1"/>
  <c r="S227" i="11"/>
  <c r="S102" i="11"/>
  <c r="S84" i="11"/>
  <c r="AA100" i="39"/>
  <c r="AA101" i="39" s="1"/>
  <c r="AA100" i="38"/>
  <c r="AA101" i="38" s="1"/>
  <c r="AA100" i="37"/>
  <c r="AA101" i="37" s="1"/>
  <c r="AA100" i="36"/>
  <c r="AA101" i="36" s="1"/>
  <c r="AA100" i="35"/>
  <c r="AA101" i="35" s="1"/>
  <c r="AA100" i="34"/>
  <c r="AA101" i="34" s="1"/>
  <c r="AA12" i="34"/>
  <c r="AA12" i="5"/>
  <c r="AA100" i="16"/>
  <c r="AA101" i="16" s="1"/>
  <c r="S209" i="11"/>
  <c r="E236" i="54"/>
  <c r="G236" i="54" s="1"/>
  <c r="AI139" i="52"/>
  <c r="AJ139" i="52"/>
  <c r="AJ139" i="50"/>
  <c r="AI139" i="50"/>
  <c r="W84" i="35"/>
  <c r="P619" i="11"/>
  <c r="P628" i="11" s="1"/>
  <c r="AC81" i="37"/>
  <c r="AC82" i="37" s="1"/>
  <c r="AC20" i="37"/>
  <c r="AE148" i="37"/>
  <c r="AE145" i="37"/>
  <c r="U472" i="11"/>
  <c r="U463" i="11"/>
  <c r="U454" i="11"/>
  <c r="U405" i="11"/>
  <c r="U124" i="11"/>
  <c r="U115" i="11"/>
  <c r="AC12" i="35"/>
  <c r="V78" i="11"/>
  <c r="AC132" i="36"/>
  <c r="AC36" i="36"/>
  <c r="AN142" i="56"/>
  <c r="AN142" i="55"/>
  <c r="AN142" i="53"/>
  <c r="Y172" i="5"/>
  <c r="Y111" i="5"/>
  <c r="Y270" i="5" s="1"/>
  <c r="AN142" i="26"/>
  <c r="AN142" i="52"/>
  <c r="AN142" i="50"/>
  <c r="AN142" i="54"/>
  <c r="AN142" i="51"/>
  <c r="W48" i="39"/>
  <c r="W173" i="39"/>
  <c r="W110" i="39"/>
  <c r="W244" i="39" s="1"/>
  <c r="V308" i="11"/>
  <c r="U54" i="5"/>
  <c r="S12" i="6" s="1"/>
  <c r="U7" i="5"/>
  <c r="U57" i="5"/>
  <c r="U59" i="5" s="1"/>
  <c r="AA20" i="36"/>
  <c r="AA81" i="36"/>
  <c r="X72" i="38"/>
  <c r="X115" i="38"/>
  <c r="X340" i="38" s="1"/>
  <c r="X28" i="38"/>
  <c r="AM136" i="54" s="1"/>
  <c r="X53" i="38"/>
  <c r="AZ21" i="38" s="1"/>
  <c r="AM4" i="54" s="1"/>
  <c r="AL141" i="56"/>
  <c r="AL141" i="52"/>
  <c r="AL141" i="54"/>
  <c r="AL141" i="26"/>
  <c r="AL141" i="53"/>
  <c r="AL141" i="55"/>
  <c r="W110" i="5"/>
  <c r="W244" i="5" s="1"/>
  <c r="W48" i="5"/>
  <c r="W118" i="5" s="1"/>
  <c r="W388" i="5" s="1"/>
  <c r="AL141" i="50"/>
  <c r="W173" i="5"/>
  <c r="AL141" i="51"/>
  <c r="U84" i="39"/>
  <c r="N623" i="11"/>
  <c r="N632" i="11" s="1"/>
  <c r="U9" i="39"/>
  <c r="W455" i="11"/>
  <c r="Y34" i="11"/>
  <c r="Y52" i="11"/>
  <c r="Z43" i="11"/>
  <c r="Y47" i="11"/>
  <c r="Y41" i="11"/>
  <c r="E168" i="56"/>
  <c r="T57" i="16"/>
  <c r="T7" i="16"/>
  <c r="L7" i="11" s="1"/>
  <c r="E168" i="26"/>
  <c r="T54" i="16"/>
  <c r="AV20" i="16"/>
  <c r="T466" i="11"/>
  <c r="T457" i="11"/>
  <c r="T408" i="11"/>
  <c r="T426" i="11" s="1"/>
  <c r="T475" i="11"/>
  <c r="T127" i="11"/>
  <c r="T146" i="11" s="1"/>
  <c r="T118" i="11"/>
  <c r="AB12" i="38"/>
  <c r="AB12" i="16"/>
  <c r="U81" i="11"/>
  <c r="AB148" i="35"/>
  <c r="AB145" i="35"/>
  <c r="Z72" i="39"/>
  <c r="Z115" i="39"/>
  <c r="Z340" i="39" s="1"/>
  <c r="Z53" i="39"/>
  <c r="BB21" i="39" s="1"/>
  <c r="AO4" i="55" s="1"/>
  <c r="Z28" i="39"/>
  <c r="AO136" i="55" s="1"/>
  <c r="X62" i="34"/>
  <c r="X8" i="34"/>
  <c r="V262" i="11"/>
  <c r="V343" i="11" s="1"/>
  <c r="V217" i="11"/>
  <c r="V344" i="11" s="1"/>
  <c r="W208" i="11"/>
  <c r="AD145" i="36"/>
  <c r="V307" i="11"/>
  <c r="Y72" i="5"/>
  <c r="Y67" i="5"/>
  <c r="AK143" i="56"/>
  <c r="AK144" i="56" s="1"/>
  <c r="V142" i="38"/>
  <c r="V113" i="5"/>
  <c r="V317" i="5" s="1"/>
  <c r="AK143" i="51"/>
  <c r="AK144" i="51" s="1"/>
  <c r="V142" i="37"/>
  <c r="V73" i="5"/>
  <c r="AK143" i="55"/>
  <c r="AK144" i="55" s="1"/>
  <c r="V142" i="34"/>
  <c r="V142" i="5"/>
  <c r="AK143" i="50"/>
  <c r="AK144" i="50" s="1"/>
  <c r="V51" i="5"/>
  <c r="V142" i="36"/>
  <c r="V171" i="5"/>
  <c r="AK143" i="26"/>
  <c r="AK144" i="26" s="1"/>
  <c r="V142" i="35"/>
  <c r="V114" i="5"/>
  <c r="V142" i="39"/>
  <c r="V142" i="16"/>
  <c r="AK143" i="54"/>
  <c r="AK144" i="54" s="1"/>
  <c r="AK143" i="53"/>
  <c r="AK144" i="53" s="1"/>
  <c r="AK143" i="52"/>
  <c r="X62" i="39"/>
  <c r="X64" i="39" s="1"/>
  <c r="X8" i="39"/>
  <c r="X206" i="11"/>
  <c r="W260" i="11"/>
  <c r="W325" i="11" s="1"/>
  <c r="R365" i="11"/>
  <c r="V89" i="37"/>
  <c r="V87" i="37" s="1"/>
  <c r="V89" i="16"/>
  <c r="V87" i="16" s="1"/>
  <c r="V127" i="5"/>
  <c r="V130" i="5" s="1"/>
  <c r="V136" i="5" s="1"/>
  <c r="V140" i="5" s="1"/>
  <c r="V89" i="34"/>
  <c r="V89" i="39"/>
  <c r="V87" i="39" s="1"/>
  <c r="V89" i="38"/>
  <c r="V89" i="36"/>
  <c r="V87" i="36" s="1"/>
  <c r="V89" i="35"/>
  <c r="V87" i="35" s="1"/>
  <c r="N877" i="11"/>
  <c r="N832" i="11"/>
  <c r="V127" i="16"/>
  <c r="V127" i="39"/>
  <c r="V127" i="36"/>
  <c r="V127" i="38"/>
  <c r="V127" i="35"/>
  <c r="V127" i="37"/>
  <c r="V127" i="34"/>
  <c r="Y172" i="38"/>
  <c r="Y111" i="38"/>
  <c r="Y270" i="38" s="1"/>
  <c r="Y172" i="39"/>
  <c r="Y111" i="39"/>
  <c r="Y270" i="39" s="1"/>
  <c r="Y20" i="39"/>
  <c r="Y81" i="39"/>
  <c r="Y82" i="39" s="1"/>
  <c r="S310" i="11"/>
  <c r="S279" i="11" s="1"/>
  <c r="AA67" i="35" s="1"/>
  <c r="Q759" i="11"/>
  <c r="Y128" i="34"/>
  <c r="Y21" i="5"/>
  <c r="Y21" i="34"/>
  <c r="Y104" i="34" s="1"/>
  <c r="Y196" i="34" s="1"/>
  <c r="X196" i="11"/>
  <c r="X61" i="11"/>
  <c r="X65" i="11" s="1"/>
  <c r="X135" i="11"/>
  <c r="X56" i="11"/>
  <c r="X180" i="11" s="1"/>
  <c r="X181" i="11" s="1"/>
  <c r="Z80" i="16"/>
  <c r="AI139" i="51"/>
  <c r="AJ139" i="51"/>
  <c r="AI139" i="56"/>
  <c r="Y81" i="16"/>
  <c r="Y82" i="16" s="1"/>
  <c r="Y20" i="16"/>
  <c r="W172" i="11"/>
  <c r="W251" i="11" s="1"/>
  <c r="W328" i="11" s="1"/>
  <c r="W281" i="11" s="1"/>
  <c r="AE67" i="37" s="1"/>
  <c r="AA148" i="16"/>
  <c r="AA145" i="16"/>
  <c r="AC100" i="11"/>
  <c r="AC101" i="11"/>
  <c r="AC99" i="11"/>
  <c r="AC97" i="11"/>
  <c r="AC98" i="11"/>
  <c r="T179" i="11"/>
  <c r="T183" i="11" s="1"/>
  <c r="S189" i="11"/>
  <c r="T227" i="11"/>
  <c r="T102" i="11"/>
  <c r="T84" i="11"/>
  <c r="AB100" i="39"/>
  <c r="AB101" i="39" s="1"/>
  <c r="AB100" i="38"/>
  <c r="AB101" i="38" s="1"/>
  <c r="AB100" i="37"/>
  <c r="AB101" i="37" s="1"/>
  <c r="AB100" i="36"/>
  <c r="AB101" i="36" s="1"/>
  <c r="AB100" i="35"/>
  <c r="AB101" i="35" s="1"/>
  <c r="AB12" i="34"/>
  <c r="AB12" i="5"/>
  <c r="AB100" i="34"/>
  <c r="AB101" i="34" s="1"/>
  <c r="AB100" i="16"/>
  <c r="AB101" i="16" s="1"/>
  <c r="T209" i="11"/>
  <c r="W58" i="39"/>
  <c r="AL58" i="39" s="1"/>
  <c r="I58" i="39" s="1"/>
  <c r="K58" i="39" s="1"/>
  <c r="AY21" i="39"/>
  <c r="AL4" i="55" s="1"/>
  <c r="X204" i="11"/>
  <c r="W258" i="11"/>
  <c r="W213" i="11"/>
  <c r="AI144" i="50"/>
  <c r="T57" i="5"/>
  <c r="T54" i="5"/>
  <c r="R12" i="6" s="1"/>
  <c r="T7" i="5"/>
  <c r="AI144" i="54"/>
  <c r="AJ144" i="54"/>
  <c r="Z132" i="38"/>
  <c r="Z134" i="38" s="1"/>
  <c r="Z36" i="38"/>
  <c r="Z47" i="38" s="1"/>
  <c r="Z36" i="16"/>
  <c r="Z47" i="16" s="1"/>
  <c r="Z117" i="16" s="1"/>
  <c r="Z364" i="16" s="1"/>
  <c r="Z132" i="5"/>
  <c r="Z134" i="5" s="1"/>
  <c r="Z132" i="16"/>
  <c r="Z134" i="16" s="1"/>
  <c r="S428" i="11"/>
  <c r="AA19" i="16" s="1"/>
  <c r="T476" i="11"/>
  <c r="T467" i="11"/>
  <c r="T458" i="11"/>
  <c r="T409" i="11"/>
  <c r="T427" i="11" s="1"/>
  <c r="T119" i="11"/>
  <c r="T128" i="11"/>
  <c r="T147" i="11" s="1"/>
  <c r="AB12" i="39"/>
  <c r="U82" i="11"/>
  <c r="U91" i="11" s="1"/>
  <c r="Q282" i="11"/>
  <c r="AL142" i="56"/>
  <c r="AL142" i="54"/>
  <c r="W172" i="5"/>
  <c r="W111" i="5"/>
  <c r="W270" i="5" s="1"/>
  <c r="AL142" i="26"/>
  <c r="AL142" i="55"/>
  <c r="AL142" i="52"/>
  <c r="AL142" i="50"/>
  <c r="AL142" i="53"/>
  <c r="AL142" i="51"/>
  <c r="R383" i="11"/>
  <c r="S378" i="11"/>
  <c r="Z62" i="36"/>
  <c r="Z64" i="36" s="1"/>
  <c r="Z8" i="36"/>
  <c r="AL58" i="5"/>
  <c r="I58" i="5"/>
  <c r="K58" i="5" s="1"/>
  <c r="N191" i="11"/>
  <c r="S280" i="11"/>
  <c r="AA67" i="36" s="1"/>
  <c r="S320" i="11"/>
  <c r="T315" i="11" s="1"/>
  <c r="T320" i="11" s="1"/>
  <c r="U315" i="11" s="1"/>
  <c r="U320" i="11" s="1"/>
  <c r="V315" i="11" s="1"/>
  <c r="X73" i="35"/>
  <c r="X113" i="35"/>
  <c r="X317" i="35" s="1"/>
  <c r="X171" i="35"/>
  <c r="X114" i="35"/>
  <c r="X51" i="35"/>
  <c r="T54" i="34"/>
  <c r="T57" i="34"/>
  <c r="T7" i="34"/>
  <c r="AV20" i="34"/>
  <c r="AI3" i="50" s="1"/>
  <c r="Q355" i="11"/>
  <c r="Q284" i="11" s="1"/>
  <c r="Y67" i="34" s="1"/>
  <c r="Q384" i="11"/>
  <c r="Q385" i="11" s="1"/>
  <c r="X38" i="11"/>
  <c r="X32" i="11"/>
  <c r="T54" i="38"/>
  <c r="T57" i="38"/>
  <c r="AV20" i="38"/>
  <c r="AI3" i="54" s="1"/>
  <c r="T7" i="38"/>
  <c r="N631" i="11"/>
  <c r="Z80" i="38"/>
  <c r="T59" i="39"/>
  <c r="W434" i="11"/>
  <c r="W775" i="11" s="1"/>
  <c r="AE19" i="37"/>
  <c r="AA148" i="38"/>
  <c r="AA145" i="38"/>
  <c r="AA82" i="36"/>
  <c r="T170" i="11"/>
  <c r="T249" i="11" s="1"/>
  <c r="U335" i="11"/>
  <c r="AC72" i="36"/>
  <c r="AC115" i="36"/>
  <c r="AC340" i="36" s="1"/>
  <c r="AC53" i="36"/>
  <c r="BE21" i="36" s="1"/>
  <c r="AR4" i="52" s="1"/>
  <c r="W28" i="16"/>
  <c r="W72" i="16"/>
  <c r="W53" i="16"/>
  <c r="W115" i="16"/>
  <c r="W340" i="16" s="1"/>
  <c r="E150" i="26"/>
  <c r="E150" i="56"/>
  <c r="I66" i="16"/>
  <c r="K66" i="16" s="1"/>
  <c r="U54" i="38"/>
  <c r="U57" i="38"/>
  <c r="U59" i="38" s="1"/>
  <c r="AW20" i="38"/>
  <c r="AJ3" i="54" s="1"/>
  <c r="U7" i="38"/>
  <c r="U78" i="38"/>
  <c r="AI144" i="51"/>
  <c r="AI144" i="26"/>
  <c r="AJ144" i="26"/>
  <c r="S754" i="11"/>
  <c r="S437" i="11"/>
  <c r="AA21" i="35"/>
  <c r="AA128" i="35"/>
  <c r="AA145" i="39"/>
  <c r="AA148" i="39"/>
  <c r="U218" i="11"/>
  <c r="U353" i="11" s="1"/>
  <c r="Z36" i="39"/>
  <c r="Z47" i="39" s="1"/>
  <c r="Z132" i="39"/>
  <c r="Z134" i="39" s="1"/>
  <c r="AA37" i="11"/>
  <c r="AA55" i="11"/>
  <c r="AB46" i="11"/>
  <c r="R757" i="11"/>
  <c r="Z128" i="38"/>
  <c r="Z21" i="38"/>
  <c r="Z104" i="38" s="1"/>
  <c r="Z196" i="38" s="1"/>
  <c r="Z128" i="5"/>
  <c r="Z128" i="16"/>
  <c r="Z21" i="16"/>
  <c r="Z104" i="16" s="1"/>
  <c r="Z196" i="16" s="1"/>
  <c r="AI139" i="55"/>
  <c r="AJ139" i="55"/>
  <c r="Y8" i="35"/>
  <c r="Y62" i="35"/>
  <c r="S875" i="11"/>
  <c r="S363" i="11"/>
  <c r="S381" i="11" s="1"/>
  <c r="S121" i="11"/>
  <c r="R121" i="11"/>
  <c r="U334" i="11"/>
  <c r="W115" i="38"/>
  <c r="W340" i="38" s="1"/>
  <c r="W28" i="38"/>
  <c r="W53" i="38"/>
  <c r="E181" i="54" s="1"/>
  <c r="W72" i="38"/>
  <c r="W205" i="11"/>
  <c r="W214" i="11" s="1"/>
  <c r="W317" i="11" s="1"/>
  <c r="V259" i="11"/>
  <c r="V316" i="11" s="1"/>
  <c r="AB33" i="11"/>
  <c r="AB51" i="11"/>
  <c r="AC42" i="11"/>
  <c r="S364" i="11"/>
  <c r="S382" i="11" s="1"/>
  <c r="S876" i="11"/>
  <c r="Q283" i="11"/>
  <c r="Y67" i="39" s="1"/>
  <c r="AM142" i="56"/>
  <c r="X172" i="5"/>
  <c r="X111" i="5"/>
  <c r="X270" i="5" s="1"/>
  <c r="AM142" i="55"/>
  <c r="AM142" i="53"/>
  <c r="AM142" i="54"/>
  <c r="AM142" i="52"/>
  <c r="AM142" i="51"/>
  <c r="AM142" i="50"/>
  <c r="AM142" i="26"/>
  <c r="V328" i="11"/>
  <c r="AB72" i="37"/>
  <c r="AB115" i="37"/>
  <c r="AB340" i="37" s="1"/>
  <c r="AB53" i="37"/>
  <c r="BD21" i="37" s="1"/>
  <c r="AQ4" i="53" s="1"/>
  <c r="Z199" i="11"/>
  <c r="Z64" i="11"/>
  <c r="Z138" i="11"/>
  <c r="V73" i="38"/>
  <c r="V113" i="38"/>
  <c r="V317" i="38" s="1"/>
  <c r="V171" i="38"/>
  <c r="V51" i="38"/>
  <c r="E170" i="54" s="1"/>
  <c r="V114" i="38"/>
  <c r="Z36" i="11"/>
  <c r="Z54" i="11"/>
  <c r="AA45" i="11"/>
  <c r="AI139" i="53"/>
  <c r="AJ139" i="53"/>
  <c r="E237" i="51"/>
  <c r="G237" i="51" s="1"/>
  <c r="Y20" i="38"/>
  <c r="Y81" i="38"/>
  <c r="Y82" i="38" s="1"/>
  <c r="S173" i="11"/>
  <c r="S252" i="11" s="1"/>
  <c r="V261" i="11"/>
  <c r="V216" i="11"/>
  <c r="W207" i="11"/>
  <c r="AK139" i="55"/>
  <c r="X474" i="11"/>
  <c r="X465" i="11"/>
  <c r="X407" i="11"/>
  <c r="X425" i="11" s="1"/>
  <c r="X117" i="11"/>
  <c r="X126" i="11"/>
  <c r="X145" i="11" s="1"/>
  <c r="AF12" i="37"/>
  <c r="R831" i="11"/>
  <c r="AI144" i="53"/>
  <c r="AJ144" i="53"/>
  <c r="AB62" i="37"/>
  <c r="AA195" i="11"/>
  <c r="AA134" i="11"/>
  <c r="AA60" i="11"/>
  <c r="S174" i="11"/>
  <c r="S253" i="11" s="1"/>
  <c r="S346" i="11" s="1"/>
  <c r="S283" i="11" s="1"/>
  <c r="AA67" i="39" s="1"/>
  <c r="Z35" i="11"/>
  <c r="Z53" i="11"/>
  <c r="AA44" i="11"/>
  <c r="R272" i="11"/>
  <c r="R275" i="11" s="1"/>
  <c r="W456" i="11" l="1"/>
  <c r="V501" i="11"/>
  <c r="V510" i="11" s="1"/>
  <c r="C212" i="11"/>
  <c r="B87" i="8"/>
  <c r="AA763" i="11"/>
  <c r="Z768" i="11"/>
  <c r="AH138" i="35"/>
  <c r="AH71" i="35"/>
  <c r="AH71" i="16"/>
  <c r="AH138" i="5"/>
  <c r="AH138" i="16"/>
  <c r="AG71" i="34"/>
  <c r="AG138" i="34"/>
  <c r="R141" i="12"/>
  <c r="R117" i="12"/>
  <c r="R133" i="12"/>
  <c r="R125" i="12"/>
  <c r="R100" i="12"/>
  <c r="R108" i="12" s="1"/>
  <c r="R82" i="12"/>
  <c r="R91" i="12" s="1"/>
  <c r="R95" i="12" s="1"/>
  <c r="R29" i="12"/>
  <c r="R38" i="12" s="1"/>
  <c r="R42" i="12" s="1"/>
  <c r="AK138" i="39"/>
  <c r="AK71" i="39"/>
  <c r="AL71" i="39" s="1"/>
  <c r="AD767" i="11"/>
  <c r="AL138" i="39" s="1"/>
  <c r="AC132" i="37"/>
  <c r="AC134" i="37" s="1"/>
  <c r="AC36" i="37"/>
  <c r="R150" i="12"/>
  <c r="R158" i="12" s="1"/>
  <c r="R112" i="12"/>
  <c r="Z117" i="35"/>
  <c r="Z364" i="35" s="1"/>
  <c r="AY20" i="35"/>
  <c r="AL3" i="51" s="1"/>
  <c r="AB47" i="36"/>
  <c r="AQ137" i="52" s="1"/>
  <c r="Z111" i="35"/>
  <c r="Z270" i="35" s="1"/>
  <c r="W7" i="35"/>
  <c r="S900" i="11"/>
  <c r="Z172" i="35"/>
  <c r="W57" i="35"/>
  <c r="W59" i="35" s="1"/>
  <c r="Z81" i="35"/>
  <c r="Z82" i="35" s="1"/>
  <c r="W54" i="35"/>
  <c r="Z20" i="35"/>
  <c r="Z28" i="35"/>
  <c r="AO136" i="51" s="1"/>
  <c r="O621" i="11"/>
  <c r="V84" i="37"/>
  <c r="V77" i="37" s="1"/>
  <c r="W651" i="11"/>
  <c r="U424" i="11"/>
  <c r="V406" i="11"/>
  <c r="V424" i="11" s="1"/>
  <c r="V500" i="11"/>
  <c r="V509" i="11" s="1"/>
  <c r="T433" i="11"/>
  <c r="AB19" i="36"/>
  <c r="AB80" i="36" s="1"/>
  <c r="E156" i="52"/>
  <c r="W716" i="11"/>
  <c r="AE41" i="38" s="1"/>
  <c r="U840" i="11"/>
  <c r="Z148" i="34"/>
  <c r="Z145" i="34"/>
  <c r="AA104" i="35"/>
  <c r="AA196" i="35" s="1"/>
  <c r="AC133" i="39"/>
  <c r="AA148" i="5"/>
  <c r="X33" i="6"/>
  <c r="X49" i="6" s="1"/>
  <c r="R899" i="11"/>
  <c r="R337" i="11"/>
  <c r="R282" i="11" s="1"/>
  <c r="V682" i="11"/>
  <c r="AD34" i="34" s="1"/>
  <c r="V550" i="11"/>
  <c r="U838" i="11"/>
  <c r="AC46" i="37"/>
  <c r="AC47" i="37" s="1"/>
  <c r="AC172" i="37" s="1"/>
  <c r="AB19" i="35"/>
  <c r="AB80" i="35" s="1"/>
  <c r="O620" i="11"/>
  <c r="E237" i="52" s="1"/>
  <c r="E238" i="52" s="1"/>
  <c r="G238" i="52" s="1"/>
  <c r="S830" i="11"/>
  <c r="V547" i="11"/>
  <c r="W714" i="11"/>
  <c r="AE41" i="36" s="1"/>
  <c r="R904" i="11"/>
  <c r="T360" i="11"/>
  <c r="T378" i="11" s="1"/>
  <c r="R52" i="6"/>
  <c r="R17" i="6"/>
  <c r="J138" i="24" s="1"/>
  <c r="S52" i="6"/>
  <c r="S17" i="6"/>
  <c r="K138" i="24" s="1"/>
  <c r="U144" i="11"/>
  <c r="V125" i="11"/>
  <c r="V144" i="11" s="1"/>
  <c r="T873" i="11"/>
  <c r="T361" i="11"/>
  <c r="T379" i="11" s="1"/>
  <c r="W672" i="11"/>
  <c r="AE33" i="39" s="1"/>
  <c r="W406" i="11"/>
  <c r="W424" i="11" s="1"/>
  <c r="W433" i="11" s="1"/>
  <c r="W774" i="11" s="1"/>
  <c r="W464" i="11"/>
  <c r="W88" i="11"/>
  <c r="W473" i="11"/>
  <c r="AE12" i="36"/>
  <c r="AE145" i="36" s="1"/>
  <c r="W116" i="11"/>
  <c r="W678" i="11"/>
  <c r="AE34" i="36" s="1"/>
  <c r="AZ20" i="36"/>
  <c r="AM3" i="52" s="1"/>
  <c r="X7" i="36"/>
  <c r="AL57" i="36"/>
  <c r="I57" i="36" s="1"/>
  <c r="K57" i="36" s="1"/>
  <c r="E180" i="50"/>
  <c r="G180" i="50" s="1"/>
  <c r="E136" i="50"/>
  <c r="V48" i="34"/>
  <c r="V113" i="34" s="1"/>
  <c r="V317" i="34" s="1"/>
  <c r="V173" i="34"/>
  <c r="V110" i="34"/>
  <c r="V244" i="34" s="1"/>
  <c r="AX21" i="34"/>
  <c r="AK4" i="50" s="1"/>
  <c r="M9" i="11"/>
  <c r="U83" i="36"/>
  <c r="V76" i="36" s="1"/>
  <c r="V78" i="36" s="1"/>
  <c r="U54" i="16"/>
  <c r="E169" i="56"/>
  <c r="G169" i="56" s="1"/>
  <c r="U7" i="16"/>
  <c r="M7" i="11" s="1"/>
  <c r="AW20" i="16"/>
  <c r="AJ3" i="56" s="1"/>
  <c r="W689" i="11"/>
  <c r="AE35" i="38" s="1"/>
  <c r="V557" i="11"/>
  <c r="S399" i="11"/>
  <c r="AA94" i="38" s="1"/>
  <c r="T120" i="11"/>
  <c r="T121" i="11" s="1"/>
  <c r="W398" i="11"/>
  <c r="AE94" i="37" s="1"/>
  <c r="W653" i="11"/>
  <c r="AE31" i="38" s="1"/>
  <c r="AK136" i="56"/>
  <c r="V173" i="16"/>
  <c r="V48" i="16"/>
  <c r="V110" i="16"/>
  <c r="V244" i="16" s="1"/>
  <c r="AK136" i="26"/>
  <c r="E180" i="26"/>
  <c r="G180" i="26" s="1"/>
  <c r="E180" i="56"/>
  <c r="G180" i="56" s="1"/>
  <c r="V58" i="16"/>
  <c r="AX21" i="16"/>
  <c r="V738" i="11"/>
  <c r="AD43" i="5" s="1"/>
  <c r="R401" i="11"/>
  <c r="X64" i="34"/>
  <c r="V673" i="11"/>
  <c r="AD33" i="34" s="1"/>
  <c r="W663" i="11"/>
  <c r="AE32" i="39" s="1"/>
  <c r="V665" i="11"/>
  <c r="W737" i="11"/>
  <c r="AE43" i="39" s="1"/>
  <c r="R615" i="11"/>
  <c r="W662" i="11"/>
  <c r="AE32" i="38" s="1"/>
  <c r="T895" i="11"/>
  <c r="Z104" i="5"/>
  <c r="Z196" i="5" s="1"/>
  <c r="AB133" i="34"/>
  <c r="S831" i="11"/>
  <c r="AA132" i="39"/>
  <c r="AA134" i="39" s="1"/>
  <c r="W659" i="11"/>
  <c r="W717" i="11"/>
  <c r="AE41" i="39" s="1"/>
  <c r="W668" i="11"/>
  <c r="AE33" i="35" s="1"/>
  <c r="W680" i="11"/>
  <c r="AE34" i="38" s="1"/>
  <c r="Z117" i="38"/>
  <c r="Z364" i="38" s="1"/>
  <c r="AO137" i="54"/>
  <c r="Z117" i="34"/>
  <c r="Z364" i="34" s="1"/>
  <c r="AO137" i="50"/>
  <c r="AA117" i="39"/>
  <c r="AA364" i="39" s="1"/>
  <c r="AP137" i="55"/>
  <c r="E181" i="50"/>
  <c r="W58" i="34"/>
  <c r="AL58" i="34" s="1"/>
  <c r="I58" i="34" s="1"/>
  <c r="K58" i="34" s="1"/>
  <c r="AY21" i="34"/>
  <c r="AL4" i="50" s="1"/>
  <c r="Y118" i="35"/>
  <c r="Y388" i="35" s="1"/>
  <c r="AN138" i="51"/>
  <c r="U709" i="11"/>
  <c r="AC37" i="35"/>
  <c r="AC37" i="16"/>
  <c r="Z117" i="39"/>
  <c r="Z364" i="39" s="1"/>
  <c r="AO137" i="55"/>
  <c r="U742" i="11"/>
  <c r="AC133" i="35" s="1"/>
  <c r="T428" i="11"/>
  <c r="AB19" i="5" s="1"/>
  <c r="AB37" i="34"/>
  <c r="AB37" i="5"/>
  <c r="E156" i="51"/>
  <c r="AL136" i="50"/>
  <c r="W173" i="34"/>
  <c r="W110" i="34"/>
  <c r="W244" i="34" s="1"/>
  <c r="W48" i="34"/>
  <c r="X118" i="39"/>
  <c r="X388" i="39" s="1"/>
  <c r="AM138" i="55"/>
  <c r="W118" i="39"/>
  <c r="W388" i="39" s="1"/>
  <c r="AL138" i="55"/>
  <c r="AL136" i="54"/>
  <c r="E136" i="54"/>
  <c r="Y118" i="36"/>
  <c r="Y388" i="36" s="1"/>
  <c r="AN138" i="52"/>
  <c r="Y73" i="36"/>
  <c r="Y113" i="36"/>
  <c r="Y317" i="36" s="1"/>
  <c r="Y114" i="36"/>
  <c r="Y171" i="36"/>
  <c r="Y51" i="36"/>
  <c r="U83" i="38"/>
  <c r="V76" i="38" s="1"/>
  <c r="T148" i="11"/>
  <c r="T78" i="16"/>
  <c r="T83" i="16" s="1"/>
  <c r="U76" i="16" s="1"/>
  <c r="U269" i="11"/>
  <c r="V77" i="35"/>
  <c r="V83" i="35" s="1"/>
  <c r="W76" i="35" s="1"/>
  <c r="W78" i="35" s="1"/>
  <c r="AB117" i="36"/>
  <c r="AB364" i="36" s="1"/>
  <c r="AB111" i="36"/>
  <c r="AB270" i="36" s="1"/>
  <c r="AB172" i="36"/>
  <c r="T459" i="11"/>
  <c r="W690" i="11"/>
  <c r="AE35" i="39" s="1"/>
  <c r="W734" i="11"/>
  <c r="AE43" i="36" s="1"/>
  <c r="N624" i="11"/>
  <c r="E236" i="26" s="1"/>
  <c r="G236" i="26" s="1"/>
  <c r="T468" i="11"/>
  <c r="W688" i="11"/>
  <c r="AE35" i="37" s="1"/>
  <c r="W660" i="11"/>
  <c r="AE32" i="36" s="1"/>
  <c r="W681" i="11"/>
  <c r="AE34" i="39" s="1"/>
  <c r="Y89" i="11"/>
  <c r="W661" i="11"/>
  <c r="AE32" i="37" s="1"/>
  <c r="V558" i="11"/>
  <c r="W687" i="11"/>
  <c r="AE35" i="36" s="1"/>
  <c r="T784" i="11"/>
  <c r="V397" i="11"/>
  <c r="AD94" i="36" s="1"/>
  <c r="W650" i="11"/>
  <c r="W679" i="11"/>
  <c r="AE34" i="37" s="1"/>
  <c r="W733" i="11"/>
  <c r="AE43" i="35" s="1"/>
  <c r="U890" i="11"/>
  <c r="W736" i="11"/>
  <c r="AE43" i="38" s="1"/>
  <c r="S254" i="11"/>
  <c r="S355" i="11" s="1"/>
  <c r="S284" i="11" s="1"/>
  <c r="AA67" i="34" s="1"/>
  <c r="T477" i="11"/>
  <c r="T478" i="11" s="1"/>
  <c r="W652" i="11"/>
  <c r="AE31" i="37" s="1"/>
  <c r="U83" i="11"/>
  <c r="AC100" i="37" s="1"/>
  <c r="AC101" i="37" s="1"/>
  <c r="T592" i="11"/>
  <c r="N885" i="11"/>
  <c r="N813" i="11"/>
  <c r="AE41" i="35"/>
  <c r="P881" i="11"/>
  <c r="P809" i="11"/>
  <c r="AE31" i="36"/>
  <c r="AD34" i="16"/>
  <c r="U143" i="11"/>
  <c r="AB25" i="37"/>
  <c r="AB129" i="37"/>
  <c r="T756" i="11"/>
  <c r="T829" i="11"/>
  <c r="AB90" i="36"/>
  <c r="T410" i="11"/>
  <c r="V704" i="11"/>
  <c r="V700" i="11"/>
  <c r="V745" i="11"/>
  <c r="AD31" i="38"/>
  <c r="S596" i="11"/>
  <c r="S597" i="11" s="1"/>
  <c r="AB90" i="38"/>
  <c r="U90" i="11"/>
  <c r="U92" i="11" s="1"/>
  <c r="S588" i="11"/>
  <c r="R866" i="11"/>
  <c r="R902" i="11"/>
  <c r="U423" i="11"/>
  <c r="U432" i="11" s="1"/>
  <c r="R867" i="11"/>
  <c r="R903" i="11"/>
  <c r="T602" i="11"/>
  <c r="AB23" i="16"/>
  <c r="AB23" i="34"/>
  <c r="AB23" i="5"/>
  <c r="AD147" i="35"/>
  <c r="AD112" i="35"/>
  <c r="AD294" i="35" s="1"/>
  <c r="AD13" i="16"/>
  <c r="AD99" i="39"/>
  <c r="AD13" i="5"/>
  <c r="AD99" i="38"/>
  <c r="AD99" i="36"/>
  <c r="AD99" i="37"/>
  <c r="AD99" i="35"/>
  <c r="AD99" i="34"/>
  <c r="AD99" i="16"/>
  <c r="AD13" i="34"/>
  <c r="X520" i="11"/>
  <c r="X659" i="11" s="1"/>
  <c r="W529" i="11"/>
  <c r="W547" i="11" s="1"/>
  <c r="W565" i="11"/>
  <c r="W695" i="11"/>
  <c r="AE13" i="35"/>
  <c r="W525" i="11"/>
  <c r="AC32" i="16"/>
  <c r="AC32" i="34"/>
  <c r="AC32" i="5"/>
  <c r="AA90" i="16"/>
  <c r="V848" i="11"/>
  <c r="Y118" i="37"/>
  <c r="Y388" i="37" s="1"/>
  <c r="Y171" i="37"/>
  <c r="Y73" i="37"/>
  <c r="Y51" i="37"/>
  <c r="Y114" i="37"/>
  <c r="Y113" i="37"/>
  <c r="Y317" i="37" s="1"/>
  <c r="V749" i="11"/>
  <c r="Z48" i="36"/>
  <c r="AO138" i="52" s="1"/>
  <c r="Z110" i="36"/>
  <c r="Z244" i="36" s="1"/>
  <c r="Z173" i="36"/>
  <c r="S865" i="11"/>
  <c r="S901" i="11"/>
  <c r="U837" i="11"/>
  <c r="AC46" i="36"/>
  <c r="AC47" i="36" s="1"/>
  <c r="AC172" i="36" s="1"/>
  <c r="AC133" i="36"/>
  <c r="AC134" i="36" s="1"/>
  <c r="U891" i="11"/>
  <c r="T587" i="11"/>
  <c r="T596" i="11" s="1"/>
  <c r="AB129" i="39"/>
  <c r="AB25" i="39"/>
  <c r="AB105" i="39" s="1"/>
  <c r="AB220" i="39" s="1"/>
  <c r="Y20" i="5"/>
  <c r="Y8" i="5" s="1"/>
  <c r="Y104" i="5"/>
  <c r="Y196" i="5" s="1"/>
  <c r="AB129" i="36"/>
  <c r="AB25" i="36"/>
  <c r="AB105" i="36" s="1"/>
  <c r="AB220" i="36" s="1"/>
  <c r="T755" i="11"/>
  <c r="T828" i="11"/>
  <c r="AB25" i="35"/>
  <c r="AB105" i="35" s="1"/>
  <c r="AB220" i="35" s="1"/>
  <c r="AB129" i="35"/>
  <c r="T579" i="11"/>
  <c r="AD33" i="16"/>
  <c r="S504" i="11"/>
  <c r="S505" i="11" s="1"/>
  <c r="R606" i="11"/>
  <c r="AD31" i="36"/>
  <c r="V743" i="11"/>
  <c r="AB111" i="37"/>
  <c r="AB270" i="37" s="1"/>
  <c r="AB117" i="37"/>
  <c r="AB364" i="37" s="1"/>
  <c r="AB172" i="37"/>
  <c r="AC147" i="34"/>
  <c r="V674" i="11"/>
  <c r="AD147" i="5"/>
  <c r="AA42" i="6"/>
  <c r="V719" i="11"/>
  <c r="AD147" i="37"/>
  <c r="AD112" i="37"/>
  <c r="AD294" i="37" s="1"/>
  <c r="Z63" i="35"/>
  <c r="AA91" i="36"/>
  <c r="AA24" i="36"/>
  <c r="U839" i="11"/>
  <c r="AC133" i="38"/>
  <c r="AC46" i="38"/>
  <c r="U893" i="11"/>
  <c r="Z173" i="37"/>
  <c r="Z48" i="37"/>
  <c r="AO138" i="53" s="1"/>
  <c r="Z110" i="37"/>
  <c r="Z244" i="37" s="1"/>
  <c r="S400" i="11"/>
  <c r="AA94" i="39" s="1"/>
  <c r="T773" i="11"/>
  <c r="E238" i="51"/>
  <c r="G238" i="51" s="1"/>
  <c r="X524" i="11"/>
  <c r="W533" i="11"/>
  <c r="W560" i="11" s="1"/>
  <c r="W699" i="11"/>
  <c r="W708" i="11" s="1"/>
  <c r="AE37" i="39" s="1"/>
  <c r="W569" i="11"/>
  <c r="AE13" i="39"/>
  <c r="V664" i="11"/>
  <c r="AD32" i="35"/>
  <c r="T781" i="11"/>
  <c r="W677" i="11"/>
  <c r="AE34" i="35" s="1"/>
  <c r="S827" i="11"/>
  <c r="AA36" i="35"/>
  <c r="AA47" i="35" s="1"/>
  <c r="AP137" i="51" s="1"/>
  <c r="AA132" i="35"/>
  <c r="AA134" i="35" s="1"/>
  <c r="Z24" i="16"/>
  <c r="Z91" i="16"/>
  <c r="Z92" i="16" s="1"/>
  <c r="V559" i="11"/>
  <c r="AC34" i="16"/>
  <c r="AC34" i="5"/>
  <c r="AC34" i="34"/>
  <c r="AC147" i="16"/>
  <c r="U577" i="11"/>
  <c r="U586" i="11" s="1"/>
  <c r="U595" i="11" s="1"/>
  <c r="AC23" i="38"/>
  <c r="V541" i="11"/>
  <c r="V746" i="11"/>
  <c r="AA24" i="37"/>
  <c r="AA91" i="37"/>
  <c r="AA92" i="37" s="1"/>
  <c r="AA28" i="37"/>
  <c r="AP136" i="53" s="1"/>
  <c r="Z63" i="37"/>
  <c r="Z64" i="37" s="1"/>
  <c r="Z8" i="37"/>
  <c r="T508" i="11"/>
  <c r="S863" i="11"/>
  <c r="S899" i="11"/>
  <c r="T396" i="11"/>
  <c r="AB94" i="35" s="1"/>
  <c r="Q868" i="11"/>
  <c r="Q904" i="11"/>
  <c r="AA91" i="35"/>
  <c r="AA92" i="35" s="1"/>
  <c r="AA24" i="35"/>
  <c r="AA63" i="35" s="1"/>
  <c r="AE31" i="39"/>
  <c r="AC23" i="36"/>
  <c r="U575" i="11"/>
  <c r="U584" i="11" s="1"/>
  <c r="U593" i="11" s="1"/>
  <c r="V539" i="11"/>
  <c r="AC33" i="16"/>
  <c r="AC112" i="16" s="1"/>
  <c r="AC294" i="16" s="1"/>
  <c r="AC33" i="34"/>
  <c r="AC112" i="34" s="1"/>
  <c r="AC294" i="34" s="1"/>
  <c r="AC33" i="5"/>
  <c r="AC112" i="5" s="1"/>
  <c r="AC294" i="5" s="1"/>
  <c r="AB90" i="35"/>
  <c r="T129" i="11"/>
  <c r="V691" i="11"/>
  <c r="AD35" i="35"/>
  <c r="M886" i="11"/>
  <c r="M814" i="11"/>
  <c r="U84" i="16"/>
  <c r="U9" i="16"/>
  <c r="V683" i="11"/>
  <c r="T604" i="11"/>
  <c r="T613" i="11"/>
  <c r="AC43" i="16"/>
  <c r="AC43" i="5"/>
  <c r="AC43" i="34"/>
  <c r="X54" i="37"/>
  <c r="AZ20" i="37"/>
  <c r="AM3" i="53" s="1"/>
  <c r="X7" i="37"/>
  <c r="AD32" i="39"/>
  <c r="V742" i="11"/>
  <c r="U576" i="11"/>
  <c r="U783" i="11" s="1"/>
  <c r="AC23" i="37"/>
  <c r="V540" i="11"/>
  <c r="AA25" i="16"/>
  <c r="AA129" i="5"/>
  <c r="AA129" i="16"/>
  <c r="AA129" i="34"/>
  <c r="AA25" i="34"/>
  <c r="AA105" i="34" s="1"/>
  <c r="AA220" i="34" s="1"/>
  <c r="AA25" i="5"/>
  <c r="AA105" i="5" s="1"/>
  <c r="AA220" i="5" s="1"/>
  <c r="AD112" i="39"/>
  <c r="AD294" i="39" s="1"/>
  <c r="AD147" i="39"/>
  <c r="N882" i="11"/>
  <c r="N810" i="11"/>
  <c r="AA91" i="38"/>
  <c r="AA92" i="38" s="1"/>
  <c r="AA24" i="38"/>
  <c r="AA63" i="38" s="1"/>
  <c r="AB72" i="36"/>
  <c r="AB53" i="36"/>
  <c r="BD21" i="36" s="1"/>
  <c r="AQ4" i="52" s="1"/>
  <c r="AB115" i="36"/>
  <c r="AB340" i="36" s="1"/>
  <c r="S786" i="11"/>
  <c r="V739" i="11"/>
  <c r="X521" i="11"/>
  <c r="W696" i="11"/>
  <c r="W705" i="11" s="1"/>
  <c r="AE37" i="36" s="1"/>
  <c r="W530" i="11"/>
  <c r="W548" i="11" s="1"/>
  <c r="W566" i="11"/>
  <c r="AE13" i="36"/>
  <c r="W846" i="11"/>
  <c r="AB25" i="38"/>
  <c r="AB105" i="38" s="1"/>
  <c r="AB220" i="38" s="1"/>
  <c r="AB129" i="38"/>
  <c r="S603" i="11"/>
  <c r="S612" i="11"/>
  <c r="U578" i="11"/>
  <c r="U587" i="11" s="1"/>
  <c r="U596" i="11" s="1"/>
  <c r="AC23" i="39"/>
  <c r="V542" i="11"/>
  <c r="V655" i="11"/>
  <c r="AB90" i="37"/>
  <c r="T782" i="11"/>
  <c r="U747" i="11"/>
  <c r="AD43" i="16"/>
  <c r="V534" i="11"/>
  <c r="V561" i="11" s="1"/>
  <c r="W686" i="11"/>
  <c r="Z91" i="34"/>
  <c r="Z92" i="34" s="1"/>
  <c r="Z24" i="34"/>
  <c r="Z63" i="34" s="1"/>
  <c r="W671" i="11"/>
  <c r="AE33" i="38" s="1"/>
  <c r="AA105" i="38"/>
  <c r="AA220" i="38" s="1"/>
  <c r="U552" i="11"/>
  <c r="X522" i="11"/>
  <c r="X670" i="11" s="1"/>
  <c r="AF33" i="37" s="1"/>
  <c r="W531" i="11"/>
  <c r="W697" i="11"/>
  <c r="W706" i="11" s="1"/>
  <c r="AE37" i="37" s="1"/>
  <c r="W567" i="11"/>
  <c r="AE13" i="37"/>
  <c r="W847" i="11"/>
  <c r="W735" i="11"/>
  <c r="AE43" i="37" s="1"/>
  <c r="AA105" i="36"/>
  <c r="AA220" i="36" s="1"/>
  <c r="AB90" i="39"/>
  <c r="V718" i="11"/>
  <c r="AD41" i="35"/>
  <c r="N884" i="11"/>
  <c r="N812" i="11"/>
  <c r="X79" i="11"/>
  <c r="S175" i="11"/>
  <c r="S188" i="11" s="1"/>
  <c r="T585" i="11"/>
  <c r="T594" i="11" s="1"/>
  <c r="AC23" i="35"/>
  <c r="U543" i="11"/>
  <c r="U574" i="11"/>
  <c r="U583" i="11" s="1"/>
  <c r="V538" i="11"/>
  <c r="V570" i="11"/>
  <c r="V87" i="38"/>
  <c r="V93" i="38" s="1"/>
  <c r="W86" i="38" s="1"/>
  <c r="AA90" i="34"/>
  <c r="AD147" i="38"/>
  <c r="AD112" i="38"/>
  <c r="AD294" i="38" s="1"/>
  <c r="X523" i="11"/>
  <c r="W532" i="11"/>
  <c r="W550" i="11" s="1"/>
  <c r="W568" i="11"/>
  <c r="W698" i="11"/>
  <c r="W707" i="11" s="1"/>
  <c r="AE37" i="38" s="1"/>
  <c r="AE13" i="38"/>
  <c r="AC41" i="16"/>
  <c r="AC41" i="34"/>
  <c r="AC41" i="5"/>
  <c r="V656" i="11"/>
  <c r="V692" i="11"/>
  <c r="W715" i="11"/>
  <c r="AE41" i="37" s="1"/>
  <c r="AD147" i="36"/>
  <c r="AD112" i="36"/>
  <c r="AD294" i="36" s="1"/>
  <c r="V551" i="11"/>
  <c r="AA105" i="35"/>
  <c r="AA220" i="35" s="1"/>
  <c r="AA91" i="39"/>
  <c r="AA92" i="39" s="1"/>
  <c r="AA24" i="39"/>
  <c r="V744" i="11"/>
  <c r="AA92" i="36"/>
  <c r="Z105" i="5"/>
  <c r="Z220" i="5" s="1"/>
  <c r="T785" i="11"/>
  <c r="S602" i="11"/>
  <c r="S611" i="11"/>
  <c r="T611" i="11" s="1"/>
  <c r="X67" i="34"/>
  <c r="X72" i="34" s="1"/>
  <c r="X67" i="16"/>
  <c r="U270" i="11"/>
  <c r="T77" i="34"/>
  <c r="T83" i="34" s="1"/>
  <c r="U76" i="34" s="1"/>
  <c r="U78" i="34" s="1"/>
  <c r="AD72" i="36"/>
  <c r="AD53" i="36"/>
  <c r="BF21" i="36" s="1"/>
  <c r="AS4" i="52" s="1"/>
  <c r="AD115" i="36"/>
  <c r="AD340" i="36" s="1"/>
  <c r="X874" i="11"/>
  <c r="X362" i="11"/>
  <c r="X380" i="11" s="1"/>
  <c r="U102" i="11"/>
  <c r="AC100" i="38"/>
  <c r="AC101" i="38" s="1"/>
  <c r="AC100" i="34"/>
  <c r="AC101" i="34" s="1"/>
  <c r="U209" i="11"/>
  <c r="Y474" i="11"/>
  <c r="Y465" i="11"/>
  <c r="Y407" i="11"/>
  <c r="Y425" i="11" s="1"/>
  <c r="Y117" i="11"/>
  <c r="Y126" i="11"/>
  <c r="Y145" i="11" s="1"/>
  <c r="AG12" i="37"/>
  <c r="X172" i="11"/>
  <c r="X251" i="11" s="1"/>
  <c r="X328" i="11" s="1"/>
  <c r="AA36" i="11"/>
  <c r="AA54" i="11"/>
  <c r="AB45" i="11"/>
  <c r="AY21" i="38"/>
  <c r="AL4" i="54" s="1"/>
  <c r="W58" i="38"/>
  <c r="AL58" i="38" s="1"/>
  <c r="I58" i="38" s="1"/>
  <c r="K58" i="38" s="1"/>
  <c r="Z111" i="39"/>
  <c r="Z270" i="39" s="1"/>
  <c r="Z172" i="39"/>
  <c r="G208" i="51"/>
  <c r="E151" i="51"/>
  <c r="G209" i="51" s="1"/>
  <c r="AE80" i="37"/>
  <c r="Y72" i="34"/>
  <c r="Y28" i="34"/>
  <c r="AN136" i="50" s="1"/>
  <c r="Y53" i="34"/>
  <c r="BA21" i="34" s="1"/>
  <c r="AN4" i="50" s="1"/>
  <c r="Y115" i="34"/>
  <c r="Y340" i="34" s="1"/>
  <c r="T503" i="11"/>
  <c r="T512" i="11" s="1"/>
  <c r="AO137" i="56"/>
  <c r="Z172" i="16"/>
  <c r="AO137" i="26"/>
  <c r="Z111" i="16"/>
  <c r="Z270" i="16" s="1"/>
  <c r="AB148" i="34"/>
  <c r="AB145" i="34"/>
  <c r="AK139" i="51"/>
  <c r="V6" i="39"/>
  <c r="V130" i="39"/>
  <c r="V136" i="39" s="1"/>
  <c r="V140" i="39" s="1"/>
  <c r="V97" i="34"/>
  <c r="W262" i="11"/>
  <c r="W343" i="11" s="1"/>
  <c r="X208" i="11"/>
  <c r="W217" i="11"/>
  <c r="W344" i="11" s="1"/>
  <c r="AB145" i="38"/>
  <c r="AB148" i="38"/>
  <c r="AI3" i="56"/>
  <c r="AI3" i="26"/>
  <c r="G168" i="51"/>
  <c r="Z34" i="11"/>
  <c r="Z52" i="11"/>
  <c r="AA43" i="11"/>
  <c r="Z47" i="11"/>
  <c r="Z41" i="11"/>
  <c r="AE148" i="36"/>
  <c r="E236" i="55"/>
  <c r="G236" i="55" s="1"/>
  <c r="Q356" i="11"/>
  <c r="R351" i="11" s="1"/>
  <c r="AA111" i="39"/>
  <c r="AA270" i="39" s="1"/>
  <c r="AA172" i="39"/>
  <c r="X113" i="39"/>
  <c r="X317" i="39" s="1"/>
  <c r="X51" i="39"/>
  <c r="X73" i="39"/>
  <c r="X171" i="39"/>
  <c r="X114" i="39"/>
  <c r="Y113" i="35"/>
  <c r="Y317" i="35" s="1"/>
  <c r="Y51" i="35"/>
  <c r="Y73" i="35"/>
  <c r="Y114" i="35"/>
  <c r="Y171" i="35"/>
  <c r="Z111" i="34"/>
  <c r="Z270" i="34" s="1"/>
  <c r="Z172" i="34"/>
  <c r="X434" i="11"/>
  <c r="X775" i="11" s="1"/>
  <c r="AF19" i="37"/>
  <c r="Z198" i="11"/>
  <c r="Z63" i="11"/>
  <c r="Z137" i="11"/>
  <c r="W259" i="11"/>
  <c r="W316" i="11" s="1"/>
  <c r="X205" i="11"/>
  <c r="X214" i="11" s="1"/>
  <c r="X317" i="11" s="1"/>
  <c r="W48" i="38"/>
  <c r="W110" i="38"/>
  <c r="W244" i="38" s="1"/>
  <c r="W173" i="38"/>
  <c r="G208" i="56"/>
  <c r="E151" i="56"/>
  <c r="G209" i="56" s="1"/>
  <c r="E136" i="56"/>
  <c r="AL136" i="56"/>
  <c r="W110" i="16"/>
  <c r="W244" i="16" s="1"/>
  <c r="W173" i="16"/>
  <c r="AL136" i="26"/>
  <c r="W48" i="16"/>
  <c r="W118" i="16" s="1"/>
  <c r="W388" i="16" s="1"/>
  <c r="E136" i="26"/>
  <c r="T310" i="11"/>
  <c r="T279" i="11" s="1"/>
  <c r="AB67" i="35" s="1"/>
  <c r="AE128" i="37"/>
  <c r="AE21" i="37"/>
  <c r="AE104" i="37" s="1"/>
  <c r="AE196" i="37" s="1"/>
  <c r="Z172" i="38"/>
  <c r="Z111" i="38"/>
  <c r="Z270" i="38" s="1"/>
  <c r="T59" i="5"/>
  <c r="V6" i="16"/>
  <c r="N6" i="11" s="1"/>
  <c r="V130" i="16"/>
  <c r="V136" i="16" s="1"/>
  <c r="V140" i="16" s="1"/>
  <c r="V7" i="5"/>
  <c r="V57" i="5"/>
  <c r="V59" i="5" s="1"/>
  <c r="V54" i="5"/>
  <c r="T12" i="6" s="1"/>
  <c r="T173" i="11"/>
  <c r="T252" i="11" s="1"/>
  <c r="T59" i="16"/>
  <c r="Y196" i="11"/>
  <c r="Y61" i="11"/>
  <c r="Y65" i="11" s="1"/>
  <c r="Y135" i="11"/>
  <c r="Y56" i="11"/>
  <c r="Y180" i="11" s="1"/>
  <c r="W171" i="11"/>
  <c r="W250" i="11" s="1"/>
  <c r="W319" i="11" s="1"/>
  <c r="W280" i="11" s="1"/>
  <c r="AE67" i="36" s="1"/>
  <c r="U78" i="39"/>
  <c r="U77" i="39"/>
  <c r="V454" i="11"/>
  <c r="V405" i="11"/>
  <c r="V463" i="11"/>
  <c r="V472" i="11"/>
  <c r="V124" i="11"/>
  <c r="V115" i="11"/>
  <c r="AD12" i="35"/>
  <c r="W78" i="11"/>
  <c r="AK139" i="52"/>
  <c r="AD20" i="37"/>
  <c r="AD81" i="37"/>
  <c r="AA132" i="38"/>
  <c r="AA134" i="38" s="1"/>
  <c r="AA36" i="38"/>
  <c r="AA47" i="38" s="1"/>
  <c r="S513" i="11"/>
  <c r="AA36" i="16" s="1"/>
  <c r="AA47" i="16" s="1"/>
  <c r="AA117" i="16" s="1"/>
  <c r="AA364" i="16" s="1"/>
  <c r="T59" i="35"/>
  <c r="AL57" i="35"/>
  <c r="I57" i="35" s="1"/>
  <c r="K57" i="35" s="1"/>
  <c r="Z110" i="35"/>
  <c r="Z244" i="35" s="1"/>
  <c r="Z173" i="35"/>
  <c r="Z48" i="35"/>
  <c r="X64" i="16"/>
  <c r="AO142" i="56"/>
  <c r="AO142" i="55"/>
  <c r="AO142" i="53"/>
  <c r="AO142" i="51"/>
  <c r="Z111" i="5"/>
  <c r="Z270" i="5" s="1"/>
  <c r="AO142" i="52"/>
  <c r="AO142" i="54"/>
  <c r="Z172" i="5"/>
  <c r="AO142" i="50"/>
  <c r="AO142" i="26"/>
  <c r="X207" i="11"/>
  <c r="W261" i="11"/>
  <c r="W216" i="11"/>
  <c r="AC51" i="11"/>
  <c r="AD42" i="11"/>
  <c r="AB37" i="11"/>
  <c r="AC37" i="11" s="1"/>
  <c r="AB55" i="11"/>
  <c r="AC46" i="11"/>
  <c r="E151" i="53"/>
  <c r="G209" i="53" s="1"/>
  <c r="G208" i="53"/>
  <c r="E151" i="55"/>
  <c r="G209" i="55" s="1"/>
  <c r="G208" i="55"/>
  <c r="T59" i="38"/>
  <c r="Y67" i="38"/>
  <c r="Y67" i="16"/>
  <c r="AA115" i="35"/>
  <c r="AA340" i="35" s="1"/>
  <c r="AA72" i="35"/>
  <c r="AA53" i="35"/>
  <c r="BC21" i="35" s="1"/>
  <c r="AP4" i="51" s="1"/>
  <c r="AA28" i="35"/>
  <c r="AP136" i="51" s="1"/>
  <c r="V93" i="16"/>
  <c r="W86" i="16" s="1"/>
  <c r="V97" i="16"/>
  <c r="V263" i="11"/>
  <c r="V352" i="11" s="1"/>
  <c r="T875" i="11"/>
  <c r="T363" i="11"/>
  <c r="T381" i="11" s="1"/>
  <c r="G168" i="53"/>
  <c r="G168" i="56"/>
  <c r="Y38" i="11"/>
  <c r="Y32" i="11"/>
  <c r="V84" i="39"/>
  <c r="O623" i="11"/>
  <c r="E237" i="55" s="1"/>
  <c r="G237" i="55" s="1"/>
  <c r="AC145" i="35"/>
  <c r="AC148" i="35"/>
  <c r="X84" i="35"/>
  <c r="Q619" i="11"/>
  <c r="Q628" i="11" s="1"/>
  <c r="Q881" i="11" s="1"/>
  <c r="V87" i="11"/>
  <c r="AA80" i="16"/>
  <c r="Z20" i="34"/>
  <c r="Z81" i="34"/>
  <c r="R338" i="11"/>
  <c r="S333" i="11" s="1"/>
  <c r="Z67" i="38"/>
  <c r="V335" i="11"/>
  <c r="S337" i="11"/>
  <c r="S282" i="11" s="1"/>
  <c r="S272" i="11"/>
  <c r="S275" i="11" s="1"/>
  <c r="AB195" i="11"/>
  <c r="AB231" i="11" s="1"/>
  <c r="AB60" i="11"/>
  <c r="AA199" i="11"/>
  <c r="AA64" i="11"/>
  <c r="AA138" i="11"/>
  <c r="V329" i="11"/>
  <c r="W324" i="11" s="1"/>
  <c r="W329" i="11" s="1"/>
  <c r="X324" i="11" s="1"/>
  <c r="G208" i="50"/>
  <c r="E151" i="50"/>
  <c r="G209" i="50" s="1"/>
  <c r="T59" i="34"/>
  <c r="U476" i="11"/>
  <c r="U467" i="11"/>
  <c r="U458" i="11"/>
  <c r="U409" i="11"/>
  <c r="U427" i="11" s="1"/>
  <c r="U128" i="11"/>
  <c r="U147" i="11" s="1"/>
  <c r="U119" i="11"/>
  <c r="AC12" i="39"/>
  <c r="V82" i="11"/>
  <c r="V91" i="11" s="1"/>
  <c r="S778" i="11"/>
  <c r="AA19" i="5"/>
  <c r="AA19" i="34"/>
  <c r="S347" i="11"/>
  <c r="T342" i="11" s="1"/>
  <c r="V130" i="34"/>
  <c r="V136" i="34" s="1"/>
  <c r="V140" i="34" s="1"/>
  <c r="V6" i="34"/>
  <c r="V97" i="37"/>
  <c r="V93" i="37"/>
  <c r="W86" i="37" s="1"/>
  <c r="Y206" i="11"/>
  <c r="Y215" i="11" s="1"/>
  <c r="Y326" i="11" s="1"/>
  <c r="X260" i="11"/>
  <c r="X325" i="11" s="1"/>
  <c r="G168" i="50"/>
  <c r="AL143" i="56"/>
  <c r="W171" i="5"/>
  <c r="W114" i="5"/>
  <c r="AL143" i="54"/>
  <c r="AL144" i="54" s="1"/>
  <c r="AL143" i="53"/>
  <c r="AL144" i="53" s="1"/>
  <c r="W142" i="39"/>
  <c r="W113" i="5"/>
  <c r="W317" i="5" s="1"/>
  <c r="W142" i="36"/>
  <c r="W142" i="38"/>
  <c r="W73" i="5"/>
  <c r="AL143" i="55"/>
  <c r="W142" i="5"/>
  <c r="AL143" i="51"/>
  <c r="AL144" i="51" s="1"/>
  <c r="W142" i="34"/>
  <c r="AL143" i="26"/>
  <c r="AL144" i="26" s="1"/>
  <c r="W142" i="37"/>
  <c r="AL143" i="50"/>
  <c r="AL144" i="50" s="1"/>
  <c r="W142" i="35"/>
  <c r="W51" i="5"/>
  <c r="W142" i="16"/>
  <c r="AL143" i="52"/>
  <c r="AL144" i="52" s="1"/>
  <c r="S311" i="11"/>
  <c r="T306" i="11" s="1"/>
  <c r="R273" i="11"/>
  <c r="S268" i="11" s="1"/>
  <c r="BB21" i="35"/>
  <c r="AO4" i="51" s="1"/>
  <c r="AA80" i="38"/>
  <c r="Z20" i="5"/>
  <c r="Z72" i="5"/>
  <c r="Z67" i="5"/>
  <c r="AA35" i="11"/>
  <c r="AA53" i="11"/>
  <c r="AB44" i="11"/>
  <c r="V334" i="11"/>
  <c r="AA94" i="16"/>
  <c r="AK139" i="53"/>
  <c r="AX20" i="38"/>
  <c r="AK3" i="54" s="1"/>
  <c r="V57" i="38"/>
  <c r="V59" i="38" s="1"/>
  <c r="V54" i="38"/>
  <c r="V7" i="38"/>
  <c r="AC33" i="11"/>
  <c r="Z81" i="16"/>
  <c r="Z82" i="16" s="1"/>
  <c r="Z20" i="16"/>
  <c r="G208" i="26"/>
  <c r="E151" i="26"/>
  <c r="G209" i="26" s="1"/>
  <c r="V320" i="11"/>
  <c r="W315" i="11" s="1"/>
  <c r="S365" i="11"/>
  <c r="AB148" i="39"/>
  <c r="AB145" i="39"/>
  <c r="U179" i="11"/>
  <c r="U183" i="11" s="1"/>
  <c r="T189" i="11"/>
  <c r="V130" i="37"/>
  <c r="V136" i="37" s="1"/>
  <c r="V140" i="37" s="1"/>
  <c r="V6" i="37"/>
  <c r="V97" i="35"/>
  <c r="Y115" i="5"/>
  <c r="Y340" i="5" s="1"/>
  <c r="Y6" i="5"/>
  <c r="Y28" i="5"/>
  <c r="Y53" i="5"/>
  <c r="T435" i="11"/>
  <c r="AB19" i="38"/>
  <c r="AB19" i="16"/>
  <c r="G168" i="54"/>
  <c r="V218" i="11"/>
  <c r="V353" i="11" s="1"/>
  <c r="W114" i="39"/>
  <c r="W113" i="39"/>
  <c r="W317" i="39" s="1"/>
  <c r="W51" i="39"/>
  <c r="E171" i="55" s="1"/>
  <c r="W73" i="39"/>
  <c r="W171" i="39"/>
  <c r="U170" i="11"/>
  <c r="U249" i="11" s="1"/>
  <c r="I59" i="36"/>
  <c r="K59" i="36" s="1"/>
  <c r="AL59" i="36"/>
  <c r="S757" i="11"/>
  <c r="AA21" i="38"/>
  <c r="AA104" i="38" s="1"/>
  <c r="AA196" i="38" s="1"/>
  <c r="AA128" i="38"/>
  <c r="AA128" i="5"/>
  <c r="AA128" i="16"/>
  <c r="AA21" i="16"/>
  <c r="AA104" i="16" s="1"/>
  <c r="AA196" i="16" s="1"/>
  <c r="Y181" i="11"/>
  <c r="Z197" i="11"/>
  <c r="Z62" i="11"/>
  <c r="Z80" i="11" s="1"/>
  <c r="Z89" i="11" s="1"/>
  <c r="Z136" i="11"/>
  <c r="AD132" i="36"/>
  <c r="AD36" i="36"/>
  <c r="G170" i="52"/>
  <c r="G170" i="54"/>
  <c r="G170" i="53"/>
  <c r="G170" i="55"/>
  <c r="G170" i="51"/>
  <c r="Y115" i="39"/>
  <c r="Y340" i="39" s="1"/>
  <c r="Y53" i="39"/>
  <c r="BA21" i="39" s="1"/>
  <c r="AN4" i="55" s="1"/>
  <c r="Y72" i="39"/>
  <c r="Y28" i="39"/>
  <c r="AN136" i="55" s="1"/>
  <c r="Z62" i="35"/>
  <c r="Z8" i="35"/>
  <c r="AA81" i="35"/>
  <c r="AA82" i="35" s="1"/>
  <c r="AA20" i="35"/>
  <c r="G208" i="52"/>
  <c r="E151" i="52"/>
  <c r="G209" i="52" s="1"/>
  <c r="S383" i="11"/>
  <c r="T364" i="11"/>
  <c r="T382" i="11" s="1"/>
  <c r="T876" i="11"/>
  <c r="W308" i="11"/>
  <c r="Y81" i="34"/>
  <c r="Y82" i="34" s="1"/>
  <c r="Y20" i="34"/>
  <c r="Y62" i="39"/>
  <c r="Y64" i="39" s="1"/>
  <c r="Y8" i="39"/>
  <c r="V130" i="35"/>
  <c r="V136" i="35" s="1"/>
  <c r="V140" i="35" s="1"/>
  <c r="V6" i="35"/>
  <c r="V93" i="36"/>
  <c r="W86" i="36" s="1"/>
  <c r="V97" i="36"/>
  <c r="T502" i="11"/>
  <c r="T511" i="11" s="1"/>
  <c r="G168" i="26"/>
  <c r="X110" i="38"/>
  <c r="X244" i="38" s="1"/>
  <c r="X48" i="38"/>
  <c r="X173" i="38"/>
  <c r="AA62" i="36"/>
  <c r="U872" i="11"/>
  <c r="U360" i="11"/>
  <c r="AB148" i="5"/>
  <c r="Y33" i="6"/>
  <c r="Y49" i="6" s="1"/>
  <c r="Z81" i="39"/>
  <c r="Z82" i="39" s="1"/>
  <c r="Z20" i="39"/>
  <c r="Z80" i="34"/>
  <c r="Z104" i="34"/>
  <c r="Z196" i="34" s="1"/>
  <c r="AF148" i="37"/>
  <c r="AF145" i="37"/>
  <c r="Y64" i="35"/>
  <c r="AA128" i="34"/>
  <c r="AA21" i="5"/>
  <c r="AA21" i="34"/>
  <c r="G208" i="54"/>
  <c r="E151" i="54"/>
  <c r="G209" i="54" s="1"/>
  <c r="AE72" i="37"/>
  <c r="AE115" i="37"/>
  <c r="AE340" i="37" s="1"/>
  <c r="AE53" i="37"/>
  <c r="BG21" i="37" s="1"/>
  <c r="AT4" i="53" s="1"/>
  <c r="AA72" i="36"/>
  <c r="AA28" i="36"/>
  <c r="AP136" i="52" s="1"/>
  <c r="AA53" i="36"/>
  <c r="BC21" i="36" s="1"/>
  <c r="AP4" i="52" s="1"/>
  <c r="AA115" i="36"/>
  <c r="AA340" i="36" s="1"/>
  <c r="T174" i="11"/>
  <c r="T253" i="11" s="1"/>
  <c r="T346" i="11" s="1"/>
  <c r="T283" i="11" s="1"/>
  <c r="AB67" i="39" s="1"/>
  <c r="W307" i="11"/>
  <c r="X486" i="11"/>
  <c r="X487" i="11" s="1"/>
  <c r="X495" i="11"/>
  <c r="X496" i="11" s="1"/>
  <c r="X200" i="11"/>
  <c r="X139" i="11"/>
  <c r="V130" i="38"/>
  <c r="V136" i="38" s="1"/>
  <c r="V140" i="38" s="1"/>
  <c r="V6" i="38"/>
  <c r="V97" i="38"/>
  <c r="U475" i="11"/>
  <c r="U477" i="11" s="1"/>
  <c r="U478" i="11" s="1"/>
  <c r="U466" i="11"/>
  <c r="U457" i="11"/>
  <c r="U408" i="11"/>
  <c r="U426" i="11" s="1"/>
  <c r="U127" i="11"/>
  <c r="U146" i="11" s="1"/>
  <c r="U118" i="11"/>
  <c r="AC12" i="38"/>
  <c r="V81" i="11"/>
  <c r="AC62" i="37"/>
  <c r="AA148" i="34"/>
  <c r="AA145" i="34"/>
  <c r="R355" i="11"/>
  <c r="R284" i="11" s="1"/>
  <c r="Z67" i="34" s="1"/>
  <c r="R384" i="11"/>
  <c r="R385" i="11" s="1"/>
  <c r="AD82" i="37"/>
  <c r="AA80" i="39"/>
  <c r="V93" i="34"/>
  <c r="W86" i="34" s="1"/>
  <c r="V281" i="11"/>
  <c r="AD67" i="37" s="1"/>
  <c r="AM141" i="56"/>
  <c r="AM141" i="52"/>
  <c r="X110" i="5"/>
  <c r="X244" i="5" s="1"/>
  <c r="AM141" i="26"/>
  <c r="X48" i="5"/>
  <c r="X118" i="5" s="1"/>
  <c r="X388" i="5" s="1"/>
  <c r="AM141" i="50"/>
  <c r="X173" i="5"/>
  <c r="AM141" i="53"/>
  <c r="AM141" i="54"/>
  <c r="AM141" i="55"/>
  <c r="AM141" i="51"/>
  <c r="AA72" i="39"/>
  <c r="AA115" i="39"/>
  <c r="AA340" i="39" s="1"/>
  <c r="AA53" i="39"/>
  <c r="BC21" i="39" s="1"/>
  <c r="AP4" i="55" s="1"/>
  <c r="AB21" i="35"/>
  <c r="AB104" i="35" s="1"/>
  <c r="AB196" i="35" s="1"/>
  <c r="AB128" i="35"/>
  <c r="Y62" i="38"/>
  <c r="Y64" i="38" s="1"/>
  <c r="Y8" i="38"/>
  <c r="Z81" i="38"/>
  <c r="Z82" i="38" s="1"/>
  <c r="Z20" i="38"/>
  <c r="E181" i="56"/>
  <c r="E181" i="26"/>
  <c r="W58" i="16"/>
  <c r="AY21" i="16"/>
  <c r="V84" i="38"/>
  <c r="O622" i="11"/>
  <c r="N633" i="11"/>
  <c r="V84" i="16" s="1"/>
  <c r="X54" i="35"/>
  <c r="AZ20" i="35"/>
  <c r="AM3" i="51" s="1"/>
  <c r="X7" i="35"/>
  <c r="V9" i="36"/>
  <c r="V95" i="36"/>
  <c r="V96" i="36" s="1"/>
  <c r="V9" i="39"/>
  <c r="V95" i="35"/>
  <c r="V96" i="35" s="1"/>
  <c r="V9" i="38"/>
  <c r="V9" i="37"/>
  <c r="O187" i="11"/>
  <c r="V95" i="16"/>
  <c r="V96" i="16" s="1"/>
  <c r="V9" i="35"/>
  <c r="V95" i="34"/>
  <c r="V96" i="34" s="1"/>
  <c r="V95" i="37"/>
  <c r="V96" i="37" s="1"/>
  <c r="V95" i="38"/>
  <c r="V96" i="38" s="1"/>
  <c r="V95" i="39"/>
  <c r="V96" i="39" s="1"/>
  <c r="T436" i="11"/>
  <c r="T777" i="11" s="1"/>
  <c r="AB19" i="39"/>
  <c r="Y204" i="11"/>
  <c r="X258" i="11"/>
  <c r="X213" i="11"/>
  <c r="AC148" i="5"/>
  <c r="Z33" i="6"/>
  <c r="Z49" i="6" s="1"/>
  <c r="Y8" i="16"/>
  <c r="Q8" i="11" s="1"/>
  <c r="Y62" i="16"/>
  <c r="Y64" i="16" s="1"/>
  <c r="V130" i="36"/>
  <c r="V136" i="36" s="1"/>
  <c r="V140" i="36" s="1"/>
  <c r="V6" i="36"/>
  <c r="V97" i="39"/>
  <c r="AK144" i="52"/>
  <c r="Z173" i="39"/>
  <c r="Z48" i="39"/>
  <c r="Z110" i="39"/>
  <c r="Z244" i="39" s="1"/>
  <c r="AB148" i="16"/>
  <c r="AB145" i="16"/>
  <c r="G168" i="55"/>
  <c r="G168" i="52"/>
  <c r="U499" i="11"/>
  <c r="S758" i="11"/>
  <c r="AA21" i="39"/>
  <c r="AA28" i="39" s="1"/>
  <c r="AP136" i="55" s="1"/>
  <c r="AA128" i="39"/>
  <c r="X215" i="11"/>
  <c r="X326" i="11" s="1"/>
  <c r="V93" i="39"/>
  <c r="W86" i="39" s="1"/>
  <c r="AK139" i="54"/>
  <c r="V93" i="35"/>
  <c r="W86" i="35" s="1"/>
  <c r="AH71" i="34" l="1"/>
  <c r="AH138" i="34"/>
  <c r="R33" i="12"/>
  <c r="AA768" i="11"/>
  <c r="AB763" i="11"/>
  <c r="AI71" i="35"/>
  <c r="AI138" i="35"/>
  <c r="AI71" i="16"/>
  <c r="AI138" i="5"/>
  <c r="AI138" i="16"/>
  <c r="AD132" i="37"/>
  <c r="AD36" i="37"/>
  <c r="R148" i="12"/>
  <c r="R156" i="12" s="1"/>
  <c r="R160" i="12" s="1"/>
  <c r="X456" i="11"/>
  <c r="W501" i="11"/>
  <c r="W510" i="11" s="1"/>
  <c r="B88" i="8"/>
  <c r="C221" i="11"/>
  <c r="AD34" i="5"/>
  <c r="AE19" i="36"/>
  <c r="E237" i="53"/>
  <c r="O630" i="11"/>
  <c r="X687" i="11"/>
  <c r="AF35" i="36" s="1"/>
  <c r="V78" i="37"/>
  <c r="V83" i="37" s="1"/>
  <c r="W76" i="37" s="1"/>
  <c r="V850" i="11"/>
  <c r="E236" i="56"/>
  <c r="X464" i="11"/>
  <c r="T774" i="11"/>
  <c r="AB21" i="36"/>
  <c r="AB128" i="36"/>
  <c r="W558" i="11"/>
  <c r="G237" i="52"/>
  <c r="O629" i="11"/>
  <c r="O882" i="11" s="1"/>
  <c r="V433" i="11"/>
  <c r="AD19" i="36"/>
  <c r="AD80" i="36" s="1"/>
  <c r="AD33" i="5"/>
  <c r="U433" i="11"/>
  <c r="AC19" i="36"/>
  <c r="AC80" i="36" s="1"/>
  <c r="AC111" i="37"/>
  <c r="AC270" i="37" s="1"/>
  <c r="X717" i="11"/>
  <c r="AF41" i="39" s="1"/>
  <c r="AR137" i="53"/>
  <c r="AC117" i="37"/>
  <c r="AC364" i="37" s="1"/>
  <c r="Z64" i="35"/>
  <c r="AD43" i="34"/>
  <c r="W556" i="11"/>
  <c r="W500" i="11"/>
  <c r="W509" i="11" s="1"/>
  <c r="W551" i="11"/>
  <c r="AC19" i="35"/>
  <c r="AC80" i="35" s="1"/>
  <c r="W845" i="11"/>
  <c r="T52" i="6"/>
  <c r="T17" i="6"/>
  <c r="L138" i="24" s="1"/>
  <c r="W739" i="11"/>
  <c r="Y62" i="5"/>
  <c r="Y64" i="5" s="1"/>
  <c r="AJ3" i="26"/>
  <c r="W125" i="11"/>
  <c r="W144" i="11" s="1"/>
  <c r="W849" i="11"/>
  <c r="V873" i="11"/>
  <c r="V361" i="11"/>
  <c r="V379" i="11" s="1"/>
  <c r="U873" i="11"/>
  <c r="U361" i="11"/>
  <c r="U379" i="11" s="1"/>
  <c r="V51" i="34"/>
  <c r="V57" i="34" s="1"/>
  <c r="V59" i="34" s="1"/>
  <c r="V73" i="34"/>
  <c r="V171" i="34"/>
  <c r="V118" i="34"/>
  <c r="V388" i="34" s="1"/>
  <c r="X737" i="11"/>
  <c r="AF43" i="39" s="1"/>
  <c r="S615" i="11"/>
  <c r="AC111" i="36"/>
  <c r="AC270" i="36" s="1"/>
  <c r="AK138" i="50"/>
  <c r="AK139" i="50" s="1"/>
  <c r="AL58" i="16"/>
  <c r="I58" i="16" s="1"/>
  <c r="K58" i="16" s="1"/>
  <c r="V114" i="34"/>
  <c r="V77" i="36"/>
  <c r="V83" i="36" s="1"/>
  <c r="W76" i="36" s="1"/>
  <c r="W664" i="11"/>
  <c r="AE32" i="5" s="1"/>
  <c r="Q809" i="11"/>
  <c r="X734" i="11"/>
  <c r="AF43" i="36" s="1"/>
  <c r="X688" i="11"/>
  <c r="AF35" i="37" s="1"/>
  <c r="X714" i="11"/>
  <c r="AF41" i="36" s="1"/>
  <c r="X663" i="11"/>
  <c r="AF32" i="39" s="1"/>
  <c r="V118" i="16"/>
  <c r="V388" i="16" s="1"/>
  <c r="V73" i="16"/>
  <c r="V113" i="16"/>
  <c r="V317" i="16" s="1"/>
  <c r="AK138" i="56"/>
  <c r="AK139" i="56" s="1"/>
  <c r="V51" i="16"/>
  <c r="V114" i="16"/>
  <c r="AK138" i="26"/>
  <c r="AK139" i="26" s="1"/>
  <c r="V171" i="16"/>
  <c r="AK4" i="26"/>
  <c r="AK4" i="56"/>
  <c r="D137" i="46"/>
  <c r="F137" i="46" s="1"/>
  <c r="AE32" i="35"/>
  <c r="D137" i="47"/>
  <c r="F137" i="47" s="1"/>
  <c r="Z82" i="34"/>
  <c r="E236" i="50"/>
  <c r="G236" i="50" s="1"/>
  <c r="AB19" i="34"/>
  <c r="AB80" i="34" s="1"/>
  <c r="D137" i="48"/>
  <c r="F137" i="48" s="1"/>
  <c r="D137" i="44"/>
  <c r="F137" i="44" s="1"/>
  <c r="D137" i="45"/>
  <c r="F137" i="45" s="1"/>
  <c r="W655" i="11"/>
  <c r="X662" i="11"/>
  <c r="AF32" i="38" s="1"/>
  <c r="U781" i="11"/>
  <c r="W665" i="11"/>
  <c r="X650" i="11"/>
  <c r="AF31" i="35" s="1"/>
  <c r="U459" i="11"/>
  <c r="X716" i="11"/>
  <c r="AF41" i="38" s="1"/>
  <c r="X679" i="11"/>
  <c r="AF34" i="37" s="1"/>
  <c r="AE31" i="35"/>
  <c r="X686" i="11"/>
  <c r="AF35" i="35" s="1"/>
  <c r="X733" i="11"/>
  <c r="AF43" i="35" s="1"/>
  <c r="X654" i="11"/>
  <c r="AF31" i="39" s="1"/>
  <c r="AA117" i="38"/>
  <c r="AA364" i="38" s="1"/>
  <c r="AP137" i="54"/>
  <c r="Z118" i="35"/>
  <c r="Z388" i="35" s="1"/>
  <c r="AO138" i="51"/>
  <c r="AC37" i="34"/>
  <c r="AC37" i="5"/>
  <c r="AC117" i="36"/>
  <c r="AC364" i="36" s="1"/>
  <c r="AR137" i="52"/>
  <c r="W743" i="11"/>
  <c r="AE133" i="36" s="1"/>
  <c r="U836" i="11"/>
  <c r="AC46" i="35"/>
  <c r="W118" i="34"/>
  <c r="W388" i="34" s="1"/>
  <c r="W113" i="34"/>
  <c r="W317" i="34" s="1"/>
  <c r="AL138" i="50"/>
  <c r="W114" i="34"/>
  <c r="W171" i="34"/>
  <c r="W73" i="34"/>
  <c r="W51" i="34"/>
  <c r="V709" i="11"/>
  <c r="AD37" i="16"/>
  <c r="AD37" i="35"/>
  <c r="Z118" i="39"/>
  <c r="Z388" i="39" s="1"/>
  <c r="AO138" i="55"/>
  <c r="X118" i="38"/>
  <c r="X388" i="38" s="1"/>
  <c r="AM138" i="54"/>
  <c r="W118" i="38"/>
  <c r="W388" i="38" s="1"/>
  <c r="AL138" i="54"/>
  <c r="U77" i="34"/>
  <c r="U83" i="34" s="1"/>
  <c r="V76" i="34" s="1"/>
  <c r="Y7" i="36"/>
  <c r="Y54" i="36"/>
  <c r="BA20" i="36"/>
  <c r="AN3" i="52" s="1"/>
  <c r="AC100" i="16"/>
  <c r="AC101" i="16" s="1"/>
  <c r="U84" i="11"/>
  <c r="X672" i="11"/>
  <c r="AF33" i="39" s="1"/>
  <c r="W549" i="11"/>
  <c r="U468" i="11"/>
  <c r="AA20" i="5"/>
  <c r="T830" i="11"/>
  <c r="AC12" i="34"/>
  <c r="AC148" i="34" s="1"/>
  <c r="AC100" i="39"/>
  <c r="AC101" i="39" s="1"/>
  <c r="X678" i="11"/>
  <c r="AF34" i="36" s="1"/>
  <c r="U784" i="11"/>
  <c r="X681" i="11"/>
  <c r="AF34" i="39" s="1"/>
  <c r="AA132" i="16"/>
  <c r="AA134" i="16" s="1"/>
  <c r="T399" i="11"/>
  <c r="AC12" i="5"/>
  <c r="AA33" i="6" s="1"/>
  <c r="AA49" i="6" s="1"/>
  <c r="U227" i="11"/>
  <c r="S759" i="11"/>
  <c r="S868" i="11" s="1"/>
  <c r="AA104" i="39"/>
  <c r="AA196" i="39" s="1"/>
  <c r="W397" i="11"/>
  <c r="AE94" i="36" s="1"/>
  <c r="AC100" i="35"/>
  <c r="AC101" i="35" s="1"/>
  <c r="S384" i="11"/>
  <c r="S385" i="11" s="1"/>
  <c r="X651" i="11"/>
  <c r="W749" i="11"/>
  <c r="AC12" i="16"/>
  <c r="AC145" i="16" s="1"/>
  <c r="U120" i="11"/>
  <c r="U121" i="11" s="1"/>
  <c r="X473" i="11"/>
  <c r="AC100" i="36"/>
  <c r="AC101" i="36" s="1"/>
  <c r="X281" i="11"/>
  <c r="AF67" i="37" s="1"/>
  <c r="AF115" i="37" s="1"/>
  <c r="AF340" i="37" s="1"/>
  <c r="T400" i="11"/>
  <c r="AB94" i="39" s="1"/>
  <c r="U396" i="11"/>
  <c r="X680" i="11"/>
  <c r="AF34" i="38" s="1"/>
  <c r="X660" i="11"/>
  <c r="AF32" i="36" s="1"/>
  <c r="X669" i="11"/>
  <c r="AF33" i="36" s="1"/>
  <c r="W746" i="11"/>
  <c r="W840" i="11" s="1"/>
  <c r="W218" i="11"/>
  <c r="W353" i="11" s="1"/>
  <c r="X53" i="34"/>
  <c r="AZ21" i="34" s="1"/>
  <c r="AM4" i="50" s="1"/>
  <c r="U585" i="11"/>
  <c r="U594" i="11" s="1"/>
  <c r="W744" i="11"/>
  <c r="AE133" i="37" s="1"/>
  <c r="U602" i="11"/>
  <c r="U611" i="11"/>
  <c r="U605" i="11"/>
  <c r="AF32" i="35"/>
  <c r="N9" i="11"/>
  <c r="N886" i="11"/>
  <c r="N814" i="11"/>
  <c r="U428" i="11"/>
  <c r="AC19" i="5" s="1"/>
  <c r="X455" i="11"/>
  <c r="AA132" i="5"/>
  <c r="AA134" i="5" s="1"/>
  <c r="X653" i="11"/>
  <c r="U579" i="11"/>
  <c r="U786" i="11" s="1"/>
  <c r="AC25" i="35"/>
  <c r="AC105" i="35" s="1"/>
  <c r="AC220" i="35" s="1"/>
  <c r="AC129" i="35"/>
  <c r="X652" i="11"/>
  <c r="AD31" i="16"/>
  <c r="V747" i="11"/>
  <c r="AD31" i="34"/>
  <c r="AD31" i="5"/>
  <c r="W557" i="11"/>
  <c r="AA91" i="16"/>
  <c r="AA92" i="16" s="1"/>
  <c r="AA24" i="16"/>
  <c r="AA63" i="16" s="1"/>
  <c r="AD46" i="35"/>
  <c r="V836" i="11"/>
  <c r="AD133" i="35"/>
  <c r="V890" i="11"/>
  <c r="W673" i="11"/>
  <c r="T504" i="11"/>
  <c r="T505" i="11" s="1"/>
  <c r="Z63" i="16"/>
  <c r="W738" i="11"/>
  <c r="AE13" i="16"/>
  <c r="AE99" i="39"/>
  <c r="AE13" i="34"/>
  <c r="AE99" i="38"/>
  <c r="AE99" i="37"/>
  <c r="AE99" i="35"/>
  <c r="W552" i="11"/>
  <c r="AE13" i="5"/>
  <c r="AE99" i="36"/>
  <c r="AE99" i="34"/>
  <c r="AE99" i="16"/>
  <c r="X713" i="11"/>
  <c r="W682" i="11"/>
  <c r="AE147" i="5"/>
  <c r="AB42" i="6"/>
  <c r="AD112" i="5"/>
  <c r="AD294" i="5" s="1"/>
  <c r="AB132" i="35"/>
  <c r="AB134" i="35" s="1"/>
  <c r="AB36" i="35"/>
  <c r="AB47" i="35" s="1"/>
  <c r="AQ137" i="51" s="1"/>
  <c r="T776" i="11"/>
  <c r="U503" i="11"/>
  <c r="U512" i="11" s="1"/>
  <c r="AC132" i="39" s="1"/>
  <c r="AC134" i="39" s="1"/>
  <c r="X406" i="11"/>
  <c r="X424" i="11" s="1"/>
  <c r="X689" i="11"/>
  <c r="AF35" i="38" s="1"/>
  <c r="AC23" i="16"/>
  <c r="AC23" i="5"/>
  <c r="AC23" i="34"/>
  <c r="V578" i="11"/>
  <c r="V785" i="11" s="1"/>
  <c r="AD23" i="39"/>
  <c r="W542" i="11"/>
  <c r="Y521" i="11"/>
  <c r="Y733" i="11" s="1"/>
  <c r="X530" i="11"/>
  <c r="X548" i="11" s="1"/>
  <c r="AF13" i="36"/>
  <c r="X566" i="11"/>
  <c r="X696" i="11"/>
  <c r="X705" i="11" s="1"/>
  <c r="AF37" i="36" s="1"/>
  <c r="V577" i="11"/>
  <c r="V784" i="11" s="1"/>
  <c r="AD23" i="38"/>
  <c r="W541" i="11"/>
  <c r="AA117" i="35"/>
  <c r="AA364" i="35" s="1"/>
  <c r="AA111" i="35"/>
  <c r="AA270" i="35" s="1"/>
  <c r="AA172" i="35"/>
  <c r="Y524" i="11"/>
  <c r="Y663" i="11" s="1"/>
  <c r="AG32" i="39" s="1"/>
  <c r="X569" i="11"/>
  <c r="X533" i="11"/>
  <c r="X551" i="11" s="1"/>
  <c r="AF13" i="39"/>
  <c r="X699" i="11"/>
  <c r="X708" i="11" s="1"/>
  <c r="AF37" i="39" s="1"/>
  <c r="AA105" i="16"/>
  <c r="AA220" i="16" s="1"/>
  <c r="Y520" i="11"/>
  <c r="X565" i="11"/>
  <c r="X529" i="11"/>
  <c r="X547" i="11" s="1"/>
  <c r="X525" i="11"/>
  <c r="AF13" i="35"/>
  <c r="X695" i="11"/>
  <c r="W674" i="11"/>
  <c r="AB90" i="34"/>
  <c r="U410" i="11"/>
  <c r="U129" i="11"/>
  <c r="AC25" i="36"/>
  <c r="AC105" i="36" s="1"/>
  <c r="AC220" i="36" s="1"/>
  <c r="AC129" i="36"/>
  <c r="U755" i="11"/>
  <c r="U828" i="11"/>
  <c r="AA63" i="36"/>
  <c r="AA64" i="36" s="1"/>
  <c r="AB129" i="16"/>
  <c r="AB25" i="16"/>
  <c r="AB105" i="16" s="1"/>
  <c r="AB220" i="16" s="1"/>
  <c r="AB129" i="5"/>
  <c r="AB129" i="34"/>
  <c r="AB25" i="5"/>
  <c r="AB24" i="5" s="1"/>
  <c r="AB63" i="5" s="1"/>
  <c r="AB25" i="34"/>
  <c r="AB105" i="34" s="1"/>
  <c r="AB220" i="34" s="1"/>
  <c r="AE147" i="35"/>
  <c r="AE112" i="35"/>
  <c r="AE294" i="35" s="1"/>
  <c r="S867" i="11"/>
  <c r="S903" i="11"/>
  <c r="V9" i="16"/>
  <c r="T437" i="11"/>
  <c r="T778" i="11" s="1"/>
  <c r="AA104" i="5"/>
  <c r="AA196" i="5" s="1"/>
  <c r="W559" i="11"/>
  <c r="X661" i="11"/>
  <c r="AF32" i="37" s="1"/>
  <c r="AC46" i="16"/>
  <c r="AC133" i="16"/>
  <c r="AC133" i="5"/>
  <c r="U841" i="11"/>
  <c r="AC133" i="34"/>
  <c r="AC46" i="34"/>
  <c r="U895" i="11"/>
  <c r="AB91" i="38"/>
  <c r="AB92" i="38" s="1"/>
  <c r="AB24" i="38"/>
  <c r="AB63" i="38" s="1"/>
  <c r="X736" i="11"/>
  <c r="AF43" i="38" s="1"/>
  <c r="X735" i="11"/>
  <c r="AF43" i="37" s="1"/>
  <c r="AA24" i="5"/>
  <c r="AC90" i="36"/>
  <c r="X690" i="11"/>
  <c r="AF35" i="39" s="1"/>
  <c r="Z118" i="37"/>
  <c r="Z388" i="37" s="1"/>
  <c r="Z51" i="37"/>
  <c r="Z113" i="37"/>
  <c r="Z317" i="37" s="1"/>
  <c r="Z73" i="37"/>
  <c r="Z171" i="37"/>
  <c r="Z114" i="37"/>
  <c r="AB91" i="35"/>
  <c r="AB92" i="35" s="1"/>
  <c r="AB24" i="35"/>
  <c r="AB63" i="35" s="1"/>
  <c r="AB24" i="39"/>
  <c r="AB63" i="39" s="1"/>
  <c r="AB91" i="39"/>
  <c r="AB92" i="39" s="1"/>
  <c r="W704" i="11"/>
  <c r="W742" i="11" s="1"/>
  <c r="W700" i="11"/>
  <c r="AD147" i="34"/>
  <c r="AD112" i="34"/>
  <c r="AD294" i="34" s="1"/>
  <c r="W683" i="11"/>
  <c r="T786" i="11"/>
  <c r="T827" i="11"/>
  <c r="AB309" i="11"/>
  <c r="AD309" i="11" s="1"/>
  <c r="AD231" i="11"/>
  <c r="AB24" i="37"/>
  <c r="AB91" i="37"/>
  <c r="AB92" i="37" s="1"/>
  <c r="AB28" i="37"/>
  <c r="AQ136" i="53" s="1"/>
  <c r="T754" i="11"/>
  <c r="AF12" i="36"/>
  <c r="V423" i="11"/>
  <c r="V432" i="11" s="1"/>
  <c r="V773" i="11" s="1"/>
  <c r="X88" i="11"/>
  <c r="AC90" i="35"/>
  <c r="Y522" i="11"/>
  <c r="Y679" i="11" s="1"/>
  <c r="AG34" i="37" s="1"/>
  <c r="X697" i="11"/>
  <c r="X706" i="11" s="1"/>
  <c r="AF37" i="37" s="1"/>
  <c r="X567" i="11"/>
  <c r="X847" i="11"/>
  <c r="X531" i="11"/>
  <c r="AF13" i="37"/>
  <c r="U785" i="11"/>
  <c r="AF31" i="36"/>
  <c r="AA91" i="34"/>
  <c r="AA92" i="34" s="1"/>
  <c r="AA24" i="34"/>
  <c r="AC90" i="37"/>
  <c r="U782" i="11"/>
  <c r="AC90" i="38"/>
  <c r="Y7" i="37"/>
  <c r="Y54" i="37"/>
  <c r="BA20" i="37"/>
  <c r="AN3" i="53" s="1"/>
  <c r="X677" i="11"/>
  <c r="AF34" i="35" s="1"/>
  <c r="W570" i="11"/>
  <c r="AD147" i="16"/>
  <c r="AD112" i="16"/>
  <c r="AD294" i="16" s="1"/>
  <c r="S614" i="11"/>
  <c r="T614" i="11" s="1"/>
  <c r="U614" i="11" s="1"/>
  <c r="S605" i="11"/>
  <c r="S606" i="11" s="1"/>
  <c r="U508" i="11"/>
  <c r="U827" i="11" s="1"/>
  <c r="U773" i="11"/>
  <c r="X116" i="11"/>
  <c r="X171" i="11" s="1"/>
  <c r="X250" i="11" s="1"/>
  <c r="X319" i="11" s="1"/>
  <c r="X280" i="11" s="1"/>
  <c r="AF67" i="36" s="1"/>
  <c r="V499" i="11"/>
  <c r="V838" i="11"/>
  <c r="AD133" i="37"/>
  <c r="AD134" i="37" s="1"/>
  <c r="AD46" i="37"/>
  <c r="AD47" i="37" s="1"/>
  <c r="AS137" i="53" s="1"/>
  <c r="V892" i="11"/>
  <c r="X671" i="11"/>
  <c r="AF33" i="38" s="1"/>
  <c r="T612" i="11"/>
  <c r="U612" i="11" s="1"/>
  <c r="T603" i="11"/>
  <c r="AD41" i="16"/>
  <c r="AD41" i="5"/>
  <c r="AD41" i="34"/>
  <c r="W691" i="11"/>
  <c r="AE35" i="35"/>
  <c r="AC90" i="39"/>
  <c r="U603" i="11"/>
  <c r="AD35" i="16"/>
  <c r="AD35" i="34"/>
  <c r="AD35" i="5"/>
  <c r="AA48" i="37"/>
  <c r="AP138" i="53" s="1"/>
  <c r="AA173" i="37"/>
  <c r="AA110" i="37"/>
  <c r="AA244" i="37" s="1"/>
  <c r="U604" i="11"/>
  <c r="U613" i="11"/>
  <c r="AD133" i="36"/>
  <c r="AD134" i="36" s="1"/>
  <c r="V837" i="11"/>
  <c r="AD46" i="36"/>
  <c r="AD47" i="36" s="1"/>
  <c r="AS137" i="52" s="1"/>
  <c r="V891" i="11"/>
  <c r="T864" i="11"/>
  <c r="T900" i="11"/>
  <c r="T605" i="11"/>
  <c r="W719" i="11"/>
  <c r="AB90" i="16"/>
  <c r="T610" i="11"/>
  <c r="T601" i="11"/>
  <c r="T597" i="11"/>
  <c r="T615" i="11" s="1"/>
  <c r="U77" i="16"/>
  <c r="U78" i="16"/>
  <c r="V840" i="11"/>
  <c r="AD133" i="39"/>
  <c r="AD46" i="39"/>
  <c r="V894" i="11"/>
  <c r="AA8" i="36"/>
  <c r="S401" i="11"/>
  <c r="U83" i="39"/>
  <c r="V76" i="39" s="1"/>
  <c r="V78" i="39" s="1"/>
  <c r="X398" i="11"/>
  <c r="AF94" i="37" s="1"/>
  <c r="AA63" i="39"/>
  <c r="W848" i="11"/>
  <c r="Y523" i="11"/>
  <c r="AF13" i="38"/>
  <c r="X698" i="11"/>
  <c r="X707" i="11" s="1"/>
  <c r="AF37" i="38" s="1"/>
  <c r="X568" i="11"/>
  <c r="X532" i="11"/>
  <c r="X550" i="11" s="1"/>
  <c r="AD23" i="35"/>
  <c r="V543" i="11"/>
  <c r="V574" i="11"/>
  <c r="V583" i="11" s="1"/>
  <c r="W538" i="11"/>
  <c r="X715" i="11"/>
  <c r="AF41" i="37" s="1"/>
  <c r="AB105" i="37"/>
  <c r="AB220" i="37" s="1"/>
  <c r="AE147" i="36"/>
  <c r="AE112" i="36"/>
  <c r="AE294" i="36" s="1"/>
  <c r="AE32" i="16"/>
  <c r="AC25" i="37"/>
  <c r="AC105" i="37" s="1"/>
  <c r="AC220" i="37" s="1"/>
  <c r="AC129" i="37"/>
  <c r="U829" i="11"/>
  <c r="U756" i="11"/>
  <c r="AC25" i="38"/>
  <c r="AC105" i="38" s="1"/>
  <c r="AC220" i="38" s="1"/>
  <c r="AC129" i="38"/>
  <c r="AE147" i="39"/>
  <c r="AE112" i="39"/>
  <c r="AE294" i="39" s="1"/>
  <c r="AE31" i="16"/>
  <c r="AE31" i="5"/>
  <c r="AE31" i="34"/>
  <c r="AB24" i="36"/>
  <c r="AB91" i="36"/>
  <c r="AB92" i="36" s="1"/>
  <c r="AB28" i="36"/>
  <c r="AQ136" i="52" s="1"/>
  <c r="Z118" i="36"/>
  <c r="Z388" i="36" s="1"/>
  <c r="Z171" i="36"/>
  <c r="Z73" i="36"/>
  <c r="Z114" i="36"/>
  <c r="Z113" i="36"/>
  <c r="Z317" i="36" s="1"/>
  <c r="Z51" i="36"/>
  <c r="X668" i="11"/>
  <c r="X845" i="11" s="1"/>
  <c r="W692" i="11"/>
  <c r="W656" i="11"/>
  <c r="V839" i="11"/>
  <c r="AD46" i="38"/>
  <c r="AD133" i="38"/>
  <c r="V893" i="11"/>
  <c r="T588" i="11"/>
  <c r="V143" i="11"/>
  <c r="V360" i="11" s="1"/>
  <c r="AD23" i="37"/>
  <c r="V576" i="11"/>
  <c r="V783" i="11" s="1"/>
  <c r="W540" i="11"/>
  <c r="S866" i="11"/>
  <c r="S902" i="11"/>
  <c r="AE112" i="38"/>
  <c r="AE294" i="38" s="1"/>
  <c r="AE147" i="38"/>
  <c r="U588" i="11"/>
  <c r="U592" i="11"/>
  <c r="AE147" i="37"/>
  <c r="AE112" i="37"/>
  <c r="AE294" i="37" s="1"/>
  <c r="T175" i="11"/>
  <c r="T188" i="11" s="1"/>
  <c r="AC25" i="39"/>
  <c r="AC129" i="39"/>
  <c r="V575" i="11"/>
  <c r="V782" i="11" s="1"/>
  <c r="AD23" i="36"/>
  <c r="W539" i="11"/>
  <c r="AA63" i="37"/>
  <c r="AA64" i="37" s="1"/>
  <c r="AA8" i="37"/>
  <c r="AD32" i="16"/>
  <c r="AD32" i="5"/>
  <c r="AD32" i="34"/>
  <c r="W534" i="11"/>
  <c r="W561" i="11" s="1"/>
  <c r="V552" i="11"/>
  <c r="V90" i="11"/>
  <c r="V92" i="11" s="1"/>
  <c r="W745" i="11"/>
  <c r="T865" i="11"/>
  <c r="T901" i="11"/>
  <c r="W718" i="11"/>
  <c r="X28" i="34"/>
  <c r="V269" i="11"/>
  <c r="V270" i="11"/>
  <c r="S273" i="11"/>
  <c r="T268" i="11" s="1"/>
  <c r="Z67" i="16"/>
  <c r="Z53" i="16" s="1"/>
  <c r="BB21" i="16" s="1"/>
  <c r="X115" i="34"/>
  <c r="X340" i="34" s="1"/>
  <c r="X72" i="16"/>
  <c r="X53" i="16"/>
  <c r="AZ21" i="16" s="1"/>
  <c r="X115" i="16"/>
  <c r="X340" i="16" s="1"/>
  <c r="X28" i="16"/>
  <c r="W77" i="35"/>
  <c r="W83" i="35" s="1"/>
  <c r="X76" i="35" s="1"/>
  <c r="X77" i="35" s="1"/>
  <c r="W263" i="11"/>
  <c r="W352" i="11" s="1"/>
  <c r="AA173" i="39"/>
  <c r="AA48" i="39"/>
  <c r="AA110" i="39"/>
  <c r="AA244" i="39" s="1"/>
  <c r="Y84" i="35"/>
  <c r="R619" i="11"/>
  <c r="AE72" i="36"/>
  <c r="AE115" i="36"/>
  <c r="AE340" i="36" s="1"/>
  <c r="AE53" i="36"/>
  <c r="BG21" i="36" s="1"/>
  <c r="AT4" i="52" s="1"/>
  <c r="G181" i="26"/>
  <c r="E182" i="26"/>
  <c r="G182" i="26" s="1"/>
  <c r="AA20" i="34"/>
  <c r="AA81" i="34"/>
  <c r="G181" i="52"/>
  <c r="E182" i="52"/>
  <c r="G182" i="52" s="1"/>
  <c r="U875" i="11"/>
  <c r="U363" i="11"/>
  <c r="U381" i="11" s="1"/>
  <c r="V9" i="5"/>
  <c r="E237" i="54"/>
  <c r="O624" i="11"/>
  <c r="E237" i="26" s="1"/>
  <c r="Z8" i="38"/>
  <c r="Z62" i="38"/>
  <c r="Z64" i="38" s="1"/>
  <c r="T758" i="11"/>
  <c r="AB128" i="39"/>
  <c r="AB21" i="39"/>
  <c r="AB28" i="39" s="1"/>
  <c r="AQ136" i="55" s="1"/>
  <c r="G181" i="53"/>
  <c r="E182" i="53"/>
  <c r="G182" i="53" s="1"/>
  <c r="U502" i="11"/>
  <c r="U511" i="11" s="1"/>
  <c r="AA62" i="35"/>
  <c r="AA64" i="35" s="1"/>
  <c r="AA8" i="35"/>
  <c r="AN141" i="56"/>
  <c r="AN141" i="52"/>
  <c r="Y110" i="5"/>
  <c r="Y244" i="5" s="1"/>
  <c r="AN141" i="26"/>
  <c r="Y48" i="5"/>
  <c r="Y118" i="5" s="1"/>
  <c r="Y388" i="5" s="1"/>
  <c r="AN141" i="50"/>
  <c r="Y173" i="5"/>
  <c r="AN141" i="54"/>
  <c r="AN141" i="53"/>
  <c r="AN141" i="51"/>
  <c r="AN141" i="55"/>
  <c r="W320" i="11"/>
  <c r="X315" i="11" s="1"/>
  <c r="Z62" i="5"/>
  <c r="Z64" i="5" s="1"/>
  <c r="Z8" i="5"/>
  <c r="AL144" i="56"/>
  <c r="Z206" i="11"/>
  <c r="Z215" i="11" s="1"/>
  <c r="Z326" i="11" s="1"/>
  <c r="Y260" i="11"/>
  <c r="Y325" i="11" s="1"/>
  <c r="S338" i="11"/>
  <c r="T333" i="11" s="1"/>
  <c r="W334" i="11"/>
  <c r="Z171" i="35"/>
  <c r="Z51" i="35"/>
  <c r="Z114" i="35"/>
  <c r="Z113" i="35"/>
  <c r="Z317" i="35" s="1"/>
  <c r="Z73" i="35"/>
  <c r="AA111" i="16"/>
  <c r="AA270" i="16" s="1"/>
  <c r="AP137" i="56"/>
  <c r="AP137" i="26"/>
  <c r="AA172" i="16"/>
  <c r="AD62" i="37"/>
  <c r="G204" i="26"/>
  <c r="E145" i="26"/>
  <c r="AL138" i="56"/>
  <c r="W51" i="16"/>
  <c r="W171" i="16"/>
  <c r="W73" i="16"/>
  <c r="W114" i="16"/>
  <c r="W113" i="16"/>
  <c r="W317" i="16" s="1"/>
  <c r="AL138" i="26"/>
  <c r="T383" i="11"/>
  <c r="AF128" i="37"/>
  <c r="AF21" i="37"/>
  <c r="AF104" i="37" s="1"/>
  <c r="AF196" i="37" s="1"/>
  <c r="X7" i="39"/>
  <c r="AZ20" i="39"/>
  <c r="AM3" i="55" s="1"/>
  <c r="X54" i="39"/>
  <c r="E238" i="55"/>
  <c r="G238" i="55" s="1"/>
  <c r="Y172" i="11"/>
  <c r="Y251" i="11" s="1"/>
  <c r="Y328" i="11" s="1"/>
  <c r="Y281" i="11" s="1"/>
  <c r="AG67" i="37" s="1"/>
  <c r="AC145" i="38"/>
  <c r="AC148" i="38"/>
  <c r="Z73" i="39"/>
  <c r="Z51" i="39"/>
  <c r="Z114" i="39"/>
  <c r="Z171" i="39"/>
  <c r="Z113" i="39"/>
  <c r="Z317" i="39" s="1"/>
  <c r="O190" i="11"/>
  <c r="O191" i="11" s="1"/>
  <c r="V9" i="34"/>
  <c r="V78" i="38"/>
  <c r="V77" i="38"/>
  <c r="AL4" i="56"/>
  <c r="AL4" i="26"/>
  <c r="AC128" i="35"/>
  <c r="AC21" i="35"/>
  <c r="U148" i="11"/>
  <c r="X73" i="38"/>
  <c r="X171" i="38"/>
  <c r="X51" i="38"/>
  <c r="X113" i="38"/>
  <c r="X317" i="38" s="1"/>
  <c r="X114" i="38"/>
  <c r="T831" i="11"/>
  <c r="Z465" i="11"/>
  <c r="Z407" i="11"/>
  <c r="Z425" i="11" s="1"/>
  <c r="Z474" i="11"/>
  <c r="Z117" i="11"/>
  <c r="Z126" i="11"/>
  <c r="Z145" i="11" s="1"/>
  <c r="AH12" i="37"/>
  <c r="AB35" i="11"/>
  <c r="AC35" i="11" s="1"/>
  <c r="AB53" i="11"/>
  <c r="AC44" i="11"/>
  <c r="AE80" i="36"/>
  <c r="V476" i="11"/>
  <c r="V467" i="11"/>
  <c r="V458" i="11"/>
  <c r="V409" i="11"/>
  <c r="V427" i="11" s="1"/>
  <c r="V128" i="11"/>
  <c r="V147" i="11" s="1"/>
  <c r="V119" i="11"/>
  <c r="AD12" i="39"/>
  <c r="W82" i="11"/>
  <c r="W91" i="11" s="1"/>
  <c r="AA67" i="5"/>
  <c r="AA72" i="5"/>
  <c r="Y28" i="16"/>
  <c r="Y115" i="16"/>
  <c r="Y340" i="16" s="1"/>
  <c r="Y72" i="16"/>
  <c r="Y53" i="16"/>
  <c r="BA21" i="16" s="1"/>
  <c r="X261" i="11"/>
  <c r="X216" i="11"/>
  <c r="Y207" i="11"/>
  <c r="Y486" i="11"/>
  <c r="Y487" i="11" s="1"/>
  <c r="Y495" i="11"/>
  <c r="Y496" i="11" s="1"/>
  <c r="Y200" i="11"/>
  <c r="Y139" i="11"/>
  <c r="T337" i="11"/>
  <c r="T282" i="11" s="1"/>
  <c r="G204" i="51"/>
  <c r="E145" i="51"/>
  <c r="E145" i="56"/>
  <c r="G204" i="56"/>
  <c r="Y434" i="11"/>
  <c r="Y775" i="11" s="1"/>
  <c r="AG19" i="37"/>
  <c r="AD148" i="5"/>
  <c r="AB80" i="39"/>
  <c r="AA81" i="39"/>
  <c r="AA82" i="39" s="1"/>
  <c r="AA20" i="39"/>
  <c r="O631" i="11"/>
  <c r="G181" i="50"/>
  <c r="E182" i="50"/>
  <c r="G182" i="50" s="1"/>
  <c r="AM143" i="56"/>
  <c r="AM144" i="56" s="1"/>
  <c r="X142" i="38"/>
  <c r="X142" i="5"/>
  <c r="AM143" i="55"/>
  <c r="AM144" i="55" s="1"/>
  <c r="X142" i="37"/>
  <c r="X171" i="5"/>
  <c r="AM143" i="51"/>
  <c r="AM144" i="51" s="1"/>
  <c r="X73" i="5"/>
  <c r="X142" i="36"/>
  <c r="X114" i="5"/>
  <c r="AM143" i="26"/>
  <c r="X142" i="34"/>
  <c r="X51" i="5"/>
  <c r="AM143" i="50"/>
  <c r="AM143" i="53"/>
  <c r="AM144" i="53" s="1"/>
  <c r="X142" i="35"/>
  <c r="X142" i="16"/>
  <c r="AM143" i="52"/>
  <c r="AM144" i="52" s="1"/>
  <c r="X113" i="5"/>
  <c r="X317" i="5" s="1"/>
  <c r="AM143" i="54"/>
  <c r="X142" i="39"/>
  <c r="V466" i="11"/>
  <c r="V457" i="11"/>
  <c r="V459" i="11" s="1"/>
  <c r="V475" i="11"/>
  <c r="V408" i="11"/>
  <c r="V426" i="11" s="1"/>
  <c r="V127" i="11"/>
  <c r="V146" i="11" s="1"/>
  <c r="V118" i="11"/>
  <c r="AD12" i="38"/>
  <c r="W81" i="11"/>
  <c r="AA173" i="36"/>
  <c r="AA48" i="36"/>
  <c r="AA110" i="36"/>
  <c r="AA244" i="36" s="1"/>
  <c r="U378" i="11"/>
  <c r="AA20" i="38"/>
  <c r="AA81" i="38"/>
  <c r="AA82" i="38" s="1"/>
  <c r="AB80" i="16"/>
  <c r="AA197" i="11"/>
  <c r="AA136" i="11"/>
  <c r="AA62" i="11"/>
  <c r="AA80" i="11" s="1"/>
  <c r="AA89" i="11" s="1"/>
  <c r="AE128" i="36"/>
  <c r="AE21" i="36"/>
  <c r="AE104" i="36" s="1"/>
  <c r="AE196" i="36" s="1"/>
  <c r="T347" i="11"/>
  <c r="U342" i="11" s="1"/>
  <c r="AC148" i="39"/>
  <c r="AC145" i="39"/>
  <c r="AA67" i="38"/>
  <c r="AA67" i="16"/>
  <c r="Z8" i="34"/>
  <c r="Z62" i="34"/>
  <c r="Z64" i="34" s="1"/>
  <c r="AA110" i="35"/>
  <c r="AA244" i="35" s="1"/>
  <c r="AA173" i="35"/>
  <c r="AA48" i="35"/>
  <c r="Y28" i="38"/>
  <c r="AN136" i="54" s="1"/>
  <c r="Y53" i="38"/>
  <c r="BA21" i="38" s="1"/>
  <c r="AN4" i="54" s="1"/>
  <c r="Y115" i="38"/>
  <c r="Y340" i="38" s="1"/>
  <c r="Y72" i="38"/>
  <c r="AB94" i="38"/>
  <c r="AB94" i="16"/>
  <c r="AE20" i="37"/>
  <c r="AE81" i="37"/>
  <c r="AE82" i="37" s="1"/>
  <c r="E145" i="50"/>
  <c r="G204" i="50"/>
  <c r="G181" i="56"/>
  <c r="E182" i="56"/>
  <c r="G182" i="56" s="1"/>
  <c r="X308" i="11"/>
  <c r="AB81" i="35"/>
  <c r="AB82" i="35" s="1"/>
  <c r="AB20" i="35"/>
  <c r="Y8" i="34"/>
  <c r="Y62" i="34"/>
  <c r="Y64" i="34" s="1"/>
  <c r="W54" i="39"/>
  <c r="E156" i="55" s="1"/>
  <c r="AY20" i="39"/>
  <c r="AL3" i="55" s="1"/>
  <c r="W7" i="39"/>
  <c r="W57" i="39"/>
  <c r="AB80" i="38"/>
  <c r="T311" i="11"/>
  <c r="U306" i="11" s="1"/>
  <c r="U174" i="11"/>
  <c r="U253" i="11" s="1"/>
  <c r="U346" i="11" s="1"/>
  <c r="U283" i="11" s="1"/>
  <c r="AC67" i="39" s="1"/>
  <c r="X329" i="11"/>
  <c r="Y324" i="11" s="1"/>
  <c r="AL144" i="55"/>
  <c r="AA172" i="38"/>
  <c r="AA111" i="38"/>
  <c r="AA270" i="38" s="1"/>
  <c r="W472" i="11"/>
  <c r="W463" i="11"/>
  <c r="W454" i="11"/>
  <c r="W405" i="11"/>
  <c r="W124" i="11"/>
  <c r="W115" i="11"/>
  <c r="AE12" i="35"/>
  <c r="X78" i="11"/>
  <c r="E145" i="54"/>
  <c r="G204" i="54"/>
  <c r="W51" i="38"/>
  <c r="E171" i="54" s="1"/>
  <c r="W113" i="38"/>
  <c r="W317" i="38" s="1"/>
  <c r="W73" i="38"/>
  <c r="W171" i="38"/>
  <c r="W114" i="38"/>
  <c r="X307" i="11"/>
  <c r="Y110" i="39"/>
  <c r="Y244" i="39" s="1"/>
  <c r="Y173" i="39"/>
  <c r="Y48" i="39"/>
  <c r="T757" i="11"/>
  <c r="AB128" i="38"/>
  <c r="AB21" i="38"/>
  <c r="AB104" i="38" s="1"/>
  <c r="AB196" i="38" s="1"/>
  <c r="AB128" i="16"/>
  <c r="AB128" i="5"/>
  <c r="AB21" i="16"/>
  <c r="AB104" i="16" s="1"/>
  <c r="AB196" i="16" s="1"/>
  <c r="G236" i="56"/>
  <c r="Z115" i="5"/>
  <c r="Z340" i="5" s="1"/>
  <c r="Z6" i="5"/>
  <c r="Z28" i="5"/>
  <c r="Z53" i="5"/>
  <c r="U364" i="11"/>
  <c r="U382" i="11" s="1"/>
  <c r="U876" i="11"/>
  <c r="T401" i="11"/>
  <c r="Y362" i="11"/>
  <c r="Y380" i="11" s="1"/>
  <c r="Y874" i="11"/>
  <c r="AD145" i="35"/>
  <c r="AD148" i="35"/>
  <c r="E145" i="53"/>
  <c r="G204" i="53"/>
  <c r="Y205" i="11"/>
  <c r="Y214" i="11" s="1"/>
  <c r="Y317" i="11" s="1"/>
  <c r="X259" i="11"/>
  <c r="X316" i="11" s="1"/>
  <c r="R356" i="11"/>
  <c r="S351" i="11" s="1"/>
  <c r="S356" i="11" s="1"/>
  <c r="T351" i="11" s="1"/>
  <c r="AB36" i="39"/>
  <c r="AB47" i="39" s="1"/>
  <c r="AB132" i="39"/>
  <c r="AB134" i="39" s="1"/>
  <c r="AB36" i="11"/>
  <c r="AC36" i="11" s="1"/>
  <c r="AB54" i="11"/>
  <c r="AC45" i="11"/>
  <c r="AA53" i="34"/>
  <c r="BC21" i="34" s="1"/>
  <c r="AP4" i="50" s="1"/>
  <c r="AA115" i="34"/>
  <c r="AA340" i="34" s="1"/>
  <c r="AA72" i="34"/>
  <c r="AA28" i="34"/>
  <c r="AP136" i="50" s="1"/>
  <c r="Z204" i="11"/>
  <c r="Y258" i="11"/>
  <c r="Y213" i="11"/>
  <c r="G181" i="54"/>
  <c r="E182" i="54"/>
  <c r="G182" i="54" s="1"/>
  <c r="G181" i="51"/>
  <c r="E182" i="51"/>
  <c r="G182" i="51" s="1"/>
  <c r="Z72" i="34"/>
  <c r="Z28" i="34"/>
  <c r="AO136" i="50" s="1"/>
  <c r="Z115" i="34"/>
  <c r="Z340" i="34" s="1"/>
  <c r="Z53" i="34"/>
  <c r="BB21" i="34" s="1"/>
  <c r="AO4" i="50" s="1"/>
  <c r="U173" i="11"/>
  <c r="U252" i="11" s="1"/>
  <c r="AB72" i="39"/>
  <c r="AB115" i="39"/>
  <c r="AB340" i="39" s="1"/>
  <c r="AB53" i="39"/>
  <c r="BD21" i="39" s="1"/>
  <c r="AQ4" i="55" s="1"/>
  <c r="AA62" i="5"/>
  <c r="Z8" i="39"/>
  <c r="Z62" i="39"/>
  <c r="Z64" i="39" s="1"/>
  <c r="U310" i="11"/>
  <c r="U279" i="11" s="1"/>
  <c r="AC67" i="35" s="1"/>
  <c r="V179" i="11"/>
  <c r="V183" i="11" s="1"/>
  <c r="U189" i="11"/>
  <c r="U436" i="11"/>
  <c r="AC19" i="39"/>
  <c r="AC195" i="11"/>
  <c r="AC134" i="11"/>
  <c r="AC60" i="11"/>
  <c r="AD51" i="11"/>
  <c r="V83" i="11"/>
  <c r="AD12" i="16" s="1"/>
  <c r="Y79" i="11"/>
  <c r="T254" i="11"/>
  <c r="T272" i="11" s="1"/>
  <c r="G204" i="52"/>
  <c r="E145" i="52"/>
  <c r="AA34" i="11"/>
  <c r="AA52" i="11"/>
  <c r="AB43" i="11"/>
  <c r="AA47" i="11"/>
  <c r="AA41" i="11"/>
  <c r="X262" i="11"/>
  <c r="X343" i="11" s="1"/>
  <c r="X217" i="11"/>
  <c r="X344" i="11" s="1"/>
  <c r="Y208" i="11"/>
  <c r="AA198" i="11"/>
  <c r="AA63" i="11"/>
  <c r="AA137" i="11"/>
  <c r="AA81" i="16"/>
  <c r="AA82" i="16" s="1"/>
  <c r="AA20" i="16"/>
  <c r="Z62" i="16"/>
  <c r="Z8" i="16"/>
  <c r="R8" i="11" s="1"/>
  <c r="W54" i="5"/>
  <c r="U12" i="6" s="1"/>
  <c r="W7" i="5"/>
  <c r="W57" i="5"/>
  <c r="AL57" i="5" s="1"/>
  <c r="AA80" i="34"/>
  <c r="AA104" i="34"/>
  <c r="AA196" i="34" s="1"/>
  <c r="Z72" i="38"/>
  <c r="Z28" i="38"/>
  <c r="AO136" i="54" s="1"/>
  <c r="Z53" i="38"/>
  <c r="BB21" i="38" s="1"/>
  <c r="AO4" i="54" s="1"/>
  <c r="Z115" i="38"/>
  <c r="Z340" i="38" s="1"/>
  <c r="AF148" i="36"/>
  <c r="AF145" i="36"/>
  <c r="AC55" i="11"/>
  <c r="AD46" i="11"/>
  <c r="AL59" i="35"/>
  <c r="I59" i="35"/>
  <c r="V170" i="11"/>
  <c r="V249" i="11" s="1"/>
  <c r="AB53" i="35"/>
  <c r="BD21" i="35" s="1"/>
  <c r="AQ4" i="51" s="1"/>
  <c r="AB115" i="35"/>
  <c r="AB340" i="35" s="1"/>
  <c r="AB72" i="35"/>
  <c r="AB28" i="35"/>
  <c r="AQ136" i="51" s="1"/>
  <c r="Z196" i="11"/>
  <c r="Z61" i="11"/>
  <c r="Z65" i="11" s="1"/>
  <c r="Z135" i="11"/>
  <c r="Z56" i="11"/>
  <c r="Z180" i="11" s="1"/>
  <c r="Z181" i="11" s="1"/>
  <c r="AG148" i="37"/>
  <c r="AG145" i="37"/>
  <c r="AB21" i="5"/>
  <c r="AB20" i="5" s="1"/>
  <c r="AB21" i="34"/>
  <c r="AB104" i="34" s="1"/>
  <c r="AB196" i="34" s="1"/>
  <c r="AB128" i="34"/>
  <c r="V84" i="34"/>
  <c r="AB132" i="38"/>
  <c r="AB134" i="38" s="1"/>
  <c r="AB36" i="38"/>
  <c r="AB47" i="38" s="1"/>
  <c r="T513" i="11"/>
  <c r="T759" i="11" s="1"/>
  <c r="G181" i="55"/>
  <c r="E182" i="55"/>
  <c r="G182" i="55" s="1"/>
  <c r="AD115" i="37"/>
  <c r="AD340" i="37" s="1"/>
  <c r="AD72" i="37"/>
  <c r="AD53" i="37"/>
  <c r="BF21" i="37" s="1"/>
  <c r="AS4" i="53" s="1"/>
  <c r="U435" i="11"/>
  <c r="U776" i="11" s="1"/>
  <c r="AC19" i="38"/>
  <c r="AC19" i="16"/>
  <c r="AC94" i="35"/>
  <c r="AE36" i="36"/>
  <c r="AE132" i="36"/>
  <c r="W87" i="11"/>
  <c r="O632" i="11"/>
  <c r="AB199" i="11"/>
  <c r="AB235" i="11" s="1"/>
  <c r="AB64" i="11"/>
  <c r="W335" i="11"/>
  <c r="AA132" i="34"/>
  <c r="AA134" i="34" s="1"/>
  <c r="AA36" i="34"/>
  <c r="AA47" i="34" s="1"/>
  <c r="AA36" i="5"/>
  <c r="V872" i="11"/>
  <c r="G204" i="55"/>
  <c r="E145" i="55"/>
  <c r="T365" i="11"/>
  <c r="AF80" i="37"/>
  <c r="BA20" i="35"/>
  <c r="AN3" i="51" s="1"/>
  <c r="Y54" i="35"/>
  <c r="Y7" i="35"/>
  <c r="Z32" i="11"/>
  <c r="Z38" i="11"/>
  <c r="Y110" i="34"/>
  <c r="Y244" i="34" s="1"/>
  <c r="Y173" i="34"/>
  <c r="Y48" i="34"/>
  <c r="AI138" i="34" l="1"/>
  <c r="AI71" i="34"/>
  <c r="AE132" i="37"/>
  <c r="AE36" i="37"/>
  <c r="X501" i="11"/>
  <c r="X510" i="11" s="1"/>
  <c r="Y456" i="11"/>
  <c r="AE134" i="37"/>
  <c r="B89" i="8"/>
  <c r="C230" i="11"/>
  <c r="AB768" i="11"/>
  <c r="AC763" i="11"/>
  <c r="AJ138" i="35"/>
  <c r="AJ71" i="35"/>
  <c r="AJ71" i="16"/>
  <c r="AJ138" i="5"/>
  <c r="AJ138" i="16"/>
  <c r="AE32" i="34"/>
  <c r="O810" i="11"/>
  <c r="W84" i="36"/>
  <c r="AC104" i="35"/>
  <c r="AC196" i="35" s="1"/>
  <c r="W84" i="37"/>
  <c r="W78" i="37" s="1"/>
  <c r="P621" i="11"/>
  <c r="P630" i="11" s="1"/>
  <c r="P811" i="11" s="1"/>
  <c r="O883" i="11"/>
  <c r="O811" i="11"/>
  <c r="P620" i="11"/>
  <c r="P629" i="11" s="1"/>
  <c r="G237" i="53"/>
  <c r="E238" i="53"/>
  <c r="G238" i="53" s="1"/>
  <c r="U831" i="11"/>
  <c r="W891" i="11"/>
  <c r="W837" i="11"/>
  <c r="V774" i="11"/>
  <c r="AD128" i="36"/>
  <c r="AD21" i="36"/>
  <c r="U774" i="11"/>
  <c r="AC128" i="36"/>
  <c r="AC21" i="36"/>
  <c r="AB104" i="36"/>
  <c r="AB196" i="36" s="1"/>
  <c r="AB81" i="36"/>
  <c r="AB82" i="36" s="1"/>
  <c r="AB20" i="36"/>
  <c r="AB62" i="36" s="1"/>
  <c r="AB104" i="39"/>
  <c r="AB196" i="39" s="1"/>
  <c r="Y686" i="11"/>
  <c r="X84" i="36"/>
  <c r="V54" i="34"/>
  <c r="V7" i="34"/>
  <c r="AX20" i="34"/>
  <c r="AK3" i="50" s="1"/>
  <c r="E170" i="50"/>
  <c r="G170" i="50" s="1"/>
  <c r="W873" i="11"/>
  <c r="W361" i="11"/>
  <c r="W379" i="11" s="1"/>
  <c r="U52" i="6"/>
  <c r="U17" i="6"/>
  <c r="M138" i="24" s="1"/>
  <c r="X125" i="11"/>
  <c r="X144" i="11" s="1"/>
  <c r="X361" i="11" s="1"/>
  <c r="X379" i="11" s="1"/>
  <c r="X549" i="11"/>
  <c r="AA82" i="34"/>
  <c r="W892" i="11"/>
  <c r="W838" i="11"/>
  <c r="AA8" i="5"/>
  <c r="V468" i="11"/>
  <c r="X848" i="11"/>
  <c r="W894" i="11"/>
  <c r="Y653" i="11"/>
  <c r="AE133" i="39"/>
  <c r="X500" i="11"/>
  <c r="X509" i="11" s="1"/>
  <c r="AE46" i="39"/>
  <c r="Y714" i="11"/>
  <c r="AG41" i="36" s="1"/>
  <c r="AD19" i="35"/>
  <c r="V120" i="11"/>
  <c r="V121" i="11" s="1"/>
  <c r="X397" i="11"/>
  <c r="AF94" i="36" s="1"/>
  <c r="X558" i="11"/>
  <c r="Y668" i="11"/>
  <c r="AG33" i="35" s="1"/>
  <c r="Y713" i="11"/>
  <c r="X557" i="11"/>
  <c r="E170" i="56"/>
  <c r="G170" i="56" s="1"/>
  <c r="AX20" i="16"/>
  <c r="V7" i="16"/>
  <c r="N7" i="11" s="1"/>
  <c r="E170" i="26"/>
  <c r="G170" i="26" s="1"/>
  <c r="V54" i="16"/>
  <c r="V57" i="16"/>
  <c r="V59" i="16" s="1"/>
  <c r="AE46" i="36"/>
  <c r="AE47" i="36" s="1"/>
  <c r="AE134" i="36"/>
  <c r="AC145" i="34"/>
  <c r="K59" i="35"/>
  <c r="AC19" i="34"/>
  <c r="AC80" i="34" s="1"/>
  <c r="P810" i="11"/>
  <c r="X743" i="11"/>
  <c r="X891" i="11" s="1"/>
  <c r="W77" i="36"/>
  <c r="W83" i="11"/>
  <c r="U754" i="11"/>
  <c r="U863" i="11" s="1"/>
  <c r="X746" i="11"/>
  <c r="X894" i="11" s="1"/>
  <c r="V781" i="11"/>
  <c r="AC132" i="35"/>
  <c r="AC134" i="35" s="1"/>
  <c r="AC36" i="35"/>
  <c r="AC47" i="35" s="1"/>
  <c r="AC172" i="35" s="1"/>
  <c r="Y662" i="11"/>
  <c r="AG32" i="38" s="1"/>
  <c r="X846" i="11"/>
  <c r="AC148" i="16"/>
  <c r="S904" i="11"/>
  <c r="W78" i="36"/>
  <c r="AC36" i="39"/>
  <c r="AC47" i="39" s="1"/>
  <c r="AC172" i="39" s="1"/>
  <c r="V477" i="11"/>
  <c r="V478" i="11" s="1"/>
  <c r="Y671" i="11"/>
  <c r="AG33" i="38" s="1"/>
  <c r="X849" i="11"/>
  <c r="U513" i="11"/>
  <c r="AC36" i="5" s="1"/>
  <c r="AC47" i="5" s="1"/>
  <c r="AC117" i="5" s="1"/>
  <c r="AC364" i="5" s="1"/>
  <c r="X556" i="11"/>
  <c r="X655" i="11"/>
  <c r="AF31" i="34" s="1"/>
  <c r="Y672" i="11"/>
  <c r="AG33" i="39" s="1"/>
  <c r="Y660" i="11"/>
  <c r="AG32" i="36" s="1"/>
  <c r="Z72" i="16"/>
  <c r="Y689" i="11"/>
  <c r="AG35" i="38" s="1"/>
  <c r="Y654" i="11"/>
  <c r="AG31" i="39" s="1"/>
  <c r="Y669" i="11"/>
  <c r="AG33" i="36" s="1"/>
  <c r="AE117" i="36"/>
  <c r="AE364" i="36" s="1"/>
  <c r="AD37" i="34"/>
  <c r="AD37" i="5"/>
  <c r="AC117" i="39"/>
  <c r="AC364" i="39" s="1"/>
  <c r="E171" i="50"/>
  <c r="AY20" i="34"/>
  <c r="AL3" i="50" s="1"/>
  <c r="W7" i="34"/>
  <c r="W57" i="34"/>
  <c r="W54" i="34"/>
  <c r="W709" i="11"/>
  <c r="AE37" i="35"/>
  <c r="AE37" i="16"/>
  <c r="AB117" i="38"/>
  <c r="AB364" i="38" s="1"/>
  <c r="AQ137" i="54"/>
  <c r="AB117" i="39"/>
  <c r="AB364" i="39" s="1"/>
  <c r="AQ137" i="55"/>
  <c r="AA118" i="35"/>
  <c r="AA388" i="35" s="1"/>
  <c r="AP138" i="51"/>
  <c r="AA117" i="34"/>
  <c r="AA364" i="34" s="1"/>
  <c r="AP137" i="50"/>
  <c r="Y118" i="34"/>
  <c r="Y388" i="34" s="1"/>
  <c r="AN138" i="50"/>
  <c r="X48" i="34"/>
  <c r="X114" i="34" s="1"/>
  <c r="AM136" i="50"/>
  <c r="AA118" i="39"/>
  <c r="AA388" i="39" s="1"/>
  <c r="AP138" i="55"/>
  <c r="Y118" i="39"/>
  <c r="Y388" i="39" s="1"/>
  <c r="AN138" i="55"/>
  <c r="Z28" i="16"/>
  <c r="AO136" i="56" s="1"/>
  <c r="Z115" i="16"/>
  <c r="Z340" i="16" s="1"/>
  <c r="AA118" i="36"/>
  <c r="AA388" i="36" s="1"/>
  <c r="AP138" i="52"/>
  <c r="V148" i="11"/>
  <c r="W269" i="11"/>
  <c r="AF72" i="37"/>
  <c r="AF53" i="37"/>
  <c r="BH21" i="37" s="1"/>
  <c r="AU4" i="53" s="1"/>
  <c r="V78" i="34"/>
  <c r="AE46" i="37"/>
  <c r="AE47" i="37" s="1"/>
  <c r="AT137" i="53" s="1"/>
  <c r="U504" i="11"/>
  <c r="U505" i="11" s="1"/>
  <c r="Y717" i="11"/>
  <c r="AG41" i="39" s="1"/>
  <c r="Y681" i="11"/>
  <c r="AG34" i="39" s="1"/>
  <c r="Y715" i="11"/>
  <c r="AG41" i="37" s="1"/>
  <c r="Y659" i="11"/>
  <c r="X560" i="11"/>
  <c r="Y651" i="11"/>
  <c r="X738" i="11"/>
  <c r="AF43" i="34" s="1"/>
  <c r="Y677" i="11"/>
  <c r="AG34" i="35" s="1"/>
  <c r="AB105" i="5"/>
  <c r="AB220" i="5" s="1"/>
  <c r="X78" i="35"/>
  <c r="X83" i="35" s="1"/>
  <c r="Y76" i="35" s="1"/>
  <c r="Y77" i="35" s="1"/>
  <c r="Z64" i="16"/>
  <c r="AF19" i="36"/>
  <c r="Y716" i="11"/>
  <c r="AG41" i="38" s="1"/>
  <c r="X433" i="11"/>
  <c r="X774" i="11" s="1"/>
  <c r="Y737" i="11"/>
  <c r="AG43" i="39" s="1"/>
  <c r="Y678" i="11"/>
  <c r="AG34" i="36" s="1"/>
  <c r="Y652" i="11"/>
  <c r="W270" i="11"/>
  <c r="V428" i="11"/>
  <c r="AD19" i="34" s="1"/>
  <c r="X739" i="11"/>
  <c r="V77" i="39"/>
  <c r="V83" i="39" s="1"/>
  <c r="W76" i="39" s="1"/>
  <c r="U83" i="16"/>
  <c r="V76" i="16" s="1"/>
  <c r="X173" i="34"/>
  <c r="X110" i="34"/>
  <c r="X244" i="34" s="1"/>
  <c r="AB132" i="5"/>
  <c r="AB134" i="5" s="1"/>
  <c r="W747" i="11"/>
  <c r="W841" i="11" s="1"/>
  <c r="E238" i="26"/>
  <c r="G238" i="26" s="1"/>
  <c r="G237" i="26"/>
  <c r="AG35" i="35"/>
  <c r="T275" i="11"/>
  <c r="AB67" i="5" s="1"/>
  <c r="T273" i="11"/>
  <c r="U268" i="11" s="1"/>
  <c r="AD117" i="36"/>
  <c r="AD364" i="36" s="1"/>
  <c r="AD172" i="36"/>
  <c r="AD111" i="36"/>
  <c r="AD270" i="36" s="1"/>
  <c r="AE133" i="5"/>
  <c r="AG43" i="35"/>
  <c r="U777" i="11"/>
  <c r="U399" i="11"/>
  <c r="AC94" i="38" s="1"/>
  <c r="W423" i="11"/>
  <c r="W432" i="11" s="1"/>
  <c r="W773" i="11" s="1"/>
  <c r="U830" i="11"/>
  <c r="AB132" i="16"/>
  <c r="AB134" i="16" s="1"/>
  <c r="Z79" i="11"/>
  <c r="V396" i="11"/>
  <c r="AD94" i="35" s="1"/>
  <c r="W499" i="11"/>
  <c r="U400" i="11"/>
  <c r="AC94" i="39" s="1"/>
  <c r="Y398" i="11"/>
  <c r="AG94" i="37" s="1"/>
  <c r="W836" i="11"/>
  <c r="AE46" i="35"/>
  <c r="AE133" i="35"/>
  <c r="W890" i="11"/>
  <c r="W575" i="11"/>
  <c r="W584" i="11" s="1"/>
  <c r="W593" i="11" s="1"/>
  <c r="AE23" i="36"/>
  <c r="X539" i="11"/>
  <c r="AC91" i="39"/>
  <c r="AC92" i="39" s="1"/>
  <c r="AC24" i="39"/>
  <c r="AC63" i="39" s="1"/>
  <c r="V585" i="11"/>
  <c r="V594" i="11" s="1"/>
  <c r="AD25" i="37"/>
  <c r="AD105" i="37" s="1"/>
  <c r="AD220" i="37" s="1"/>
  <c r="AD129" i="37"/>
  <c r="V829" i="11"/>
  <c r="V756" i="11"/>
  <c r="AA118" i="37"/>
  <c r="AA388" i="37" s="1"/>
  <c r="AA114" i="37"/>
  <c r="AA113" i="37"/>
  <c r="AA317" i="37" s="1"/>
  <c r="AA51" i="37"/>
  <c r="AA171" i="37"/>
  <c r="AA73" i="37"/>
  <c r="AC105" i="39"/>
  <c r="AC220" i="39" s="1"/>
  <c r="Y661" i="11"/>
  <c r="AG32" i="37" s="1"/>
  <c r="AB24" i="34"/>
  <c r="AB63" i="34" s="1"/>
  <c r="AB91" i="34"/>
  <c r="AB92" i="34" s="1"/>
  <c r="Y650" i="11"/>
  <c r="W577" i="11"/>
  <c r="W586" i="11" s="1"/>
  <c r="W595" i="11" s="1"/>
  <c r="AE23" i="38"/>
  <c r="X541" i="11"/>
  <c r="AC90" i="16"/>
  <c r="AC24" i="35"/>
  <c r="AC63" i="35" s="1"/>
  <c r="AC91" i="35"/>
  <c r="AC92" i="35" s="1"/>
  <c r="AB36" i="16"/>
  <c r="AB47" i="16" s="1"/>
  <c r="AB117" i="16" s="1"/>
  <c r="AB364" i="16" s="1"/>
  <c r="T866" i="11"/>
  <c r="T902" i="11"/>
  <c r="V503" i="11"/>
  <c r="V512" i="11" s="1"/>
  <c r="AD132" i="39" s="1"/>
  <c r="AD134" i="39" s="1"/>
  <c r="E238" i="54"/>
  <c r="G238" i="54" s="1"/>
  <c r="G237" i="54"/>
  <c r="AE41" i="16"/>
  <c r="AE41" i="5"/>
  <c r="AE41" i="34"/>
  <c r="AD90" i="36"/>
  <c r="AE23" i="35"/>
  <c r="W543" i="11"/>
  <c r="W574" i="11"/>
  <c r="W583" i="11" s="1"/>
  <c r="W592" i="11" s="1"/>
  <c r="X538" i="11"/>
  <c r="AG31" i="38"/>
  <c r="Z523" i="11"/>
  <c r="Z653" i="11" s="1"/>
  <c r="Y698" i="11"/>
  <c r="Y707" i="11" s="1"/>
  <c r="AG37" i="38" s="1"/>
  <c r="Y532" i="11"/>
  <c r="Y550" i="11" s="1"/>
  <c r="Y568" i="11"/>
  <c r="AG13" i="38"/>
  <c r="AF147" i="37"/>
  <c r="AF112" i="37"/>
  <c r="AF294" i="37" s="1"/>
  <c r="U175" i="11"/>
  <c r="U188" i="11" s="1"/>
  <c r="U864" i="11"/>
  <c r="U900" i="11"/>
  <c r="X570" i="11"/>
  <c r="AD90" i="38"/>
  <c r="Y687" i="11"/>
  <c r="AG35" i="36" s="1"/>
  <c r="Y734" i="11"/>
  <c r="AG43" i="36" s="1"/>
  <c r="AE147" i="34"/>
  <c r="AC129" i="5"/>
  <c r="AC129" i="16"/>
  <c r="AC25" i="16"/>
  <c r="AC105" i="16" s="1"/>
  <c r="AC220" i="16" s="1"/>
  <c r="AC129" i="34"/>
  <c r="AC25" i="5"/>
  <c r="AC24" i="5" s="1"/>
  <c r="AC63" i="5" s="1"/>
  <c r="AC25" i="34"/>
  <c r="AC105" i="34" s="1"/>
  <c r="AC220" i="34" s="1"/>
  <c r="AF133" i="39"/>
  <c r="AD129" i="36"/>
  <c r="AD25" i="36"/>
  <c r="V828" i="11"/>
  <c r="V755" i="11"/>
  <c r="AD90" i="37"/>
  <c r="X559" i="11"/>
  <c r="AF43" i="16"/>
  <c r="Z522" i="11"/>
  <c r="Z679" i="11" s="1"/>
  <c r="AH34" i="37" s="1"/>
  <c r="Y531" i="11"/>
  <c r="Y549" i="11" s="1"/>
  <c r="Y567" i="11"/>
  <c r="AG13" i="37"/>
  <c r="Y697" i="11"/>
  <c r="Y706" i="11" s="1"/>
  <c r="AG37" i="37" s="1"/>
  <c r="AB104" i="5"/>
  <c r="AB196" i="5" s="1"/>
  <c r="AF13" i="16"/>
  <c r="AF99" i="36"/>
  <c r="AF99" i="35"/>
  <c r="AF99" i="34"/>
  <c r="AF99" i="16"/>
  <c r="AF99" i="38"/>
  <c r="AF13" i="5"/>
  <c r="AF13" i="34"/>
  <c r="X552" i="11"/>
  <c r="AF99" i="39"/>
  <c r="AF99" i="37"/>
  <c r="AD90" i="39"/>
  <c r="AE34" i="16"/>
  <c r="AE34" i="34"/>
  <c r="AE34" i="5"/>
  <c r="X719" i="11"/>
  <c r="AE33" i="16"/>
  <c r="AE112" i="16" s="1"/>
  <c r="AE294" i="16" s="1"/>
  <c r="AE33" i="34"/>
  <c r="AE112" i="34" s="1"/>
  <c r="AE294" i="34" s="1"/>
  <c r="AE33" i="5"/>
  <c r="AF31" i="38"/>
  <c r="X745" i="11"/>
  <c r="V129" i="11"/>
  <c r="V592" i="11"/>
  <c r="T606" i="11"/>
  <c r="AE35" i="16"/>
  <c r="AE35" i="34"/>
  <c r="AE35" i="5"/>
  <c r="V508" i="11"/>
  <c r="V754" i="11" s="1"/>
  <c r="AA63" i="34"/>
  <c r="T863" i="11"/>
  <c r="T899" i="11"/>
  <c r="AA63" i="5"/>
  <c r="AA64" i="5" s="1"/>
  <c r="AC91" i="36"/>
  <c r="AC92" i="36" s="1"/>
  <c r="AC24" i="36"/>
  <c r="AC28" i="36"/>
  <c r="AR136" i="52" s="1"/>
  <c r="X704" i="11"/>
  <c r="X700" i="11"/>
  <c r="AD25" i="38"/>
  <c r="AD105" i="38" s="1"/>
  <c r="AD220" i="38" s="1"/>
  <c r="AD129" i="38"/>
  <c r="AG31" i="36"/>
  <c r="AD25" i="39"/>
  <c r="AD129" i="39"/>
  <c r="X718" i="11"/>
  <c r="AF41" i="35"/>
  <c r="X656" i="11"/>
  <c r="X674" i="11"/>
  <c r="U899" i="11"/>
  <c r="O885" i="11"/>
  <c r="O813" i="11"/>
  <c r="O884" i="11"/>
  <c r="O812" i="11"/>
  <c r="T867" i="11"/>
  <c r="T903" i="11"/>
  <c r="W839" i="11"/>
  <c r="AE46" i="38"/>
  <c r="AE133" i="38"/>
  <c r="W893" i="11"/>
  <c r="X673" i="11"/>
  <c r="AF33" i="35"/>
  <c r="AF112" i="35" s="1"/>
  <c r="AF294" i="35" s="1"/>
  <c r="AB173" i="36"/>
  <c r="AB48" i="36"/>
  <c r="AQ138" i="52" s="1"/>
  <c r="AB110" i="36"/>
  <c r="AB244" i="36" s="1"/>
  <c r="U865" i="11"/>
  <c r="U901" i="11"/>
  <c r="AB48" i="37"/>
  <c r="AQ138" i="53" s="1"/>
  <c r="AB173" i="37"/>
  <c r="AB110" i="37"/>
  <c r="AB244" i="37" s="1"/>
  <c r="Z54" i="37"/>
  <c r="Z7" i="37"/>
  <c r="BB20" i="37"/>
  <c r="AO3" i="53" s="1"/>
  <c r="AB24" i="16"/>
  <c r="AB63" i="16" s="1"/>
  <c r="AB91" i="16"/>
  <c r="AB92" i="16" s="1"/>
  <c r="Z524" i="11"/>
  <c r="Z681" i="11" s="1"/>
  <c r="AH34" i="39" s="1"/>
  <c r="Y533" i="11"/>
  <c r="Y551" i="11" s="1"/>
  <c r="Y569" i="11"/>
  <c r="AG13" i="39"/>
  <c r="Y699" i="11"/>
  <c r="Y708" i="11" s="1"/>
  <c r="AG37" i="39" s="1"/>
  <c r="Y736" i="11"/>
  <c r="AG43" i="38" s="1"/>
  <c r="AC90" i="34"/>
  <c r="AB117" i="35"/>
  <c r="AB364" i="35" s="1"/>
  <c r="AB111" i="35"/>
  <c r="AB270" i="35" s="1"/>
  <c r="AB172" i="35"/>
  <c r="X683" i="11"/>
  <c r="AD133" i="5"/>
  <c r="AD46" i="16"/>
  <c r="AD133" i="16"/>
  <c r="AD133" i="34"/>
  <c r="AD46" i="34"/>
  <c r="V841" i="11"/>
  <c r="V895" i="11"/>
  <c r="X691" i="11"/>
  <c r="W90" i="11"/>
  <c r="W92" i="11" s="1"/>
  <c r="V584" i="11"/>
  <c r="V593" i="11" s="1"/>
  <c r="BB20" i="36"/>
  <c r="AO3" i="52" s="1"/>
  <c r="Z7" i="36"/>
  <c r="Z54" i="36"/>
  <c r="V579" i="11"/>
  <c r="V786" i="11" s="1"/>
  <c r="AD25" i="35"/>
  <c r="AD105" i="35" s="1"/>
  <c r="AD220" i="35" s="1"/>
  <c r="AD129" i="35"/>
  <c r="Y680" i="11"/>
  <c r="AG34" i="38" s="1"/>
  <c r="Y670" i="11"/>
  <c r="AG33" i="37" s="1"/>
  <c r="Y688" i="11"/>
  <c r="AG35" i="37" s="1"/>
  <c r="Y88" i="11"/>
  <c r="Z88" i="11" s="1"/>
  <c r="X534" i="11"/>
  <c r="X561" i="11" s="1"/>
  <c r="Z520" i="11"/>
  <c r="Z713" i="11" s="1"/>
  <c r="AG13" i="35"/>
  <c r="Y695" i="11"/>
  <c r="Y525" i="11"/>
  <c r="Y529" i="11"/>
  <c r="Y556" i="11" s="1"/>
  <c r="Y565" i="11"/>
  <c r="Y690" i="11"/>
  <c r="AG35" i="39" s="1"/>
  <c r="V586" i="11"/>
  <c r="V595" i="11" s="1"/>
  <c r="Y735" i="11"/>
  <c r="AG43" i="37" s="1"/>
  <c r="Z521" i="11"/>
  <c r="Z651" i="11" s="1"/>
  <c r="AG13" i="36"/>
  <c r="Y696" i="11"/>
  <c r="Y705" i="11" s="1"/>
  <c r="AG37" i="36" s="1"/>
  <c r="Y530" i="11"/>
  <c r="Y548" i="11" s="1"/>
  <c r="Y566" i="11"/>
  <c r="W850" i="11"/>
  <c r="AF147" i="5"/>
  <c r="AC42" i="6"/>
  <c r="AE112" i="5"/>
  <c r="AE294" i="5" s="1"/>
  <c r="X749" i="11"/>
  <c r="AE147" i="16"/>
  <c r="W143" i="11"/>
  <c r="W360" i="11" s="1"/>
  <c r="U601" i="11"/>
  <c r="U606" i="11" s="1"/>
  <c r="U610" i="11"/>
  <c r="U597" i="11"/>
  <c r="U615" i="11" s="1"/>
  <c r="AE23" i="37"/>
  <c r="W576" i="11"/>
  <c r="W783" i="11" s="1"/>
  <c r="X540" i="11"/>
  <c r="AB63" i="36"/>
  <c r="AB64" i="36" s="1"/>
  <c r="AB8" i="36"/>
  <c r="AD23" i="16"/>
  <c r="AD23" i="34"/>
  <c r="AD23" i="5"/>
  <c r="AF112" i="38"/>
  <c r="AF294" i="38" s="1"/>
  <c r="AF147" i="38"/>
  <c r="V410" i="11"/>
  <c r="AB63" i="37"/>
  <c r="AB64" i="37" s="1"/>
  <c r="AB8" i="37"/>
  <c r="AG41" i="35"/>
  <c r="AF112" i="39"/>
  <c r="AF294" i="39" s="1"/>
  <c r="AF147" i="39"/>
  <c r="AE23" i="39"/>
  <c r="W578" i="11"/>
  <c r="W587" i="11" s="1"/>
  <c r="X542" i="11"/>
  <c r="X692" i="11"/>
  <c r="AE43" i="16"/>
  <c r="AE43" i="34"/>
  <c r="AE43" i="5"/>
  <c r="AF31" i="37"/>
  <c r="X744" i="11"/>
  <c r="X664" i="11"/>
  <c r="AB345" i="11"/>
  <c r="AD345" i="11" s="1"/>
  <c r="AD235" i="11"/>
  <c r="T868" i="11"/>
  <c r="T904" i="11"/>
  <c r="AC91" i="38"/>
  <c r="AC92" i="38" s="1"/>
  <c r="AC24" i="38"/>
  <c r="AC63" i="38" s="1"/>
  <c r="AC91" i="37"/>
  <c r="AC92" i="37" s="1"/>
  <c r="AC24" i="37"/>
  <c r="AC28" i="37"/>
  <c r="AR136" i="53" s="1"/>
  <c r="AD90" i="35"/>
  <c r="AD117" i="37"/>
  <c r="AD364" i="37" s="1"/>
  <c r="AD172" i="37"/>
  <c r="AD111" i="37"/>
  <c r="AD270" i="37" s="1"/>
  <c r="AF147" i="35"/>
  <c r="AF31" i="16"/>
  <c r="AF147" i="36"/>
  <c r="AF112" i="36"/>
  <c r="AF294" i="36" s="1"/>
  <c r="V587" i="11"/>
  <c r="X682" i="11"/>
  <c r="X665" i="11"/>
  <c r="AM136" i="26"/>
  <c r="X173" i="16"/>
  <c r="AM136" i="56"/>
  <c r="X110" i="16"/>
  <c r="X244" i="16" s="1"/>
  <c r="X48" i="16"/>
  <c r="X118" i="16" s="1"/>
  <c r="X388" i="16" s="1"/>
  <c r="AM4" i="26"/>
  <c r="AM4" i="56"/>
  <c r="Y329" i="11"/>
  <c r="Z324" i="11" s="1"/>
  <c r="V83" i="38"/>
  <c r="W76" i="38" s="1"/>
  <c r="X218" i="11"/>
  <c r="X353" i="11" s="1"/>
  <c r="AF115" i="36"/>
  <c r="AF340" i="36" s="1"/>
  <c r="AF72" i="36"/>
  <c r="AF53" i="36"/>
  <c r="BH21" i="36" s="1"/>
  <c r="AU4" i="52" s="1"/>
  <c r="E148" i="55"/>
  <c r="G206" i="55"/>
  <c r="E146" i="55"/>
  <c r="Z116" i="11"/>
  <c r="AH12" i="36"/>
  <c r="AO4" i="56"/>
  <c r="AO4" i="26"/>
  <c r="AA47" i="5"/>
  <c r="AA117" i="5" s="1"/>
  <c r="AA364" i="5" s="1"/>
  <c r="AC80" i="38"/>
  <c r="AA172" i="34"/>
  <c r="AA111" i="34"/>
  <c r="AA270" i="34" s="1"/>
  <c r="U757" i="11"/>
  <c r="AC128" i="38"/>
  <c r="AC21" i="38"/>
  <c r="AC104" i="38" s="1"/>
  <c r="AC196" i="38" s="1"/>
  <c r="AB172" i="16"/>
  <c r="AB20" i="34"/>
  <c r="AB81" i="34"/>
  <c r="AB82" i="34" s="1"/>
  <c r="AB34" i="11"/>
  <c r="AB52" i="11"/>
  <c r="AC43" i="11"/>
  <c r="AB41" i="11"/>
  <c r="AC41" i="11" s="1"/>
  <c r="AD41" i="11" s="1"/>
  <c r="AB47" i="11"/>
  <c r="U337" i="11"/>
  <c r="U282" i="11" s="1"/>
  <c r="AO141" i="56"/>
  <c r="AO141" i="52"/>
  <c r="Z48" i="5"/>
  <c r="Z118" i="5" s="1"/>
  <c r="Z388" i="5" s="1"/>
  <c r="AO141" i="26"/>
  <c r="Z173" i="5"/>
  <c r="AO141" i="50"/>
  <c r="Z110" i="5"/>
  <c r="Z244" i="5" s="1"/>
  <c r="AO141" i="55"/>
  <c r="AO141" i="51"/>
  <c r="AO141" i="54"/>
  <c r="AO141" i="53"/>
  <c r="X263" i="11"/>
  <c r="X352" i="11" s="1"/>
  <c r="W7" i="38"/>
  <c r="W57" i="38"/>
  <c r="AY20" i="38"/>
  <c r="AL3" i="54" s="1"/>
  <c r="W54" i="38"/>
  <c r="E156" i="54" s="1"/>
  <c r="AE145" i="35"/>
  <c r="AE148" i="35"/>
  <c r="AD80" i="35"/>
  <c r="AA28" i="38"/>
  <c r="AP136" i="54" s="1"/>
  <c r="AA115" i="38"/>
  <c r="AA340" i="38" s="1"/>
  <c r="AA53" i="38"/>
  <c r="BC21" i="38" s="1"/>
  <c r="AP4" i="54" s="1"/>
  <c r="AA72" i="38"/>
  <c r="V363" i="11"/>
  <c r="V381" i="11" s="1"/>
  <c r="V875" i="11"/>
  <c r="X335" i="11"/>
  <c r="Z434" i="11"/>
  <c r="AH19" i="37"/>
  <c r="X7" i="38"/>
  <c r="X54" i="38"/>
  <c r="AZ20" i="38"/>
  <c r="AM3" i="54" s="1"/>
  <c r="E148" i="26"/>
  <c r="G206" i="26"/>
  <c r="E146" i="26"/>
  <c r="W102" i="11"/>
  <c r="W227" i="11"/>
  <c r="W84" i="11"/>
  <c r="AE100" i="39"/>
  <c r="AE101" i="39" s="1"/>
  <c r="AE100" i="38"/>
  <c r="AE101" i="38" s="1"/>
  <c r="AE100" i="36"/>
  <c r="AE101" i="36" s="1"/>
  <c r="AE100" i="37"/>
  <c r="AE101" i="37" s="1"/>
  <c r="AE100" i="35"/>
  <c r="AE101" i="35" s="1"/>
  <c r="AE12" i="5"/>
  <c r="AE100" i="16"/>
  <c r="AE101" i="16" s="1"/>
  <c r="AE100" i="34"/>
  <c r="AE101" i="34" s="1"/>
  <c r="AE12" i="34"/>
  <c r="W209" i="11"/>
  <c r="V435" i="11"/>
  <c r="AD19" i="38"/>
  <c r="AD19" i="16"/>
  <c r="X87" i="11"/>
  <c r="AB172" i="38"/>
  <c r="AB111" i="38"/>
  <c r="AB270" i="38" s="1"/>
  <c r="AA38" i="11"/>
  <c r="AA32" i="11"/>
  <c r="Y473" i="11"/>
  <c r="Z473" i="11" s="1"/>
  <c r="Y464" i="11"/>
  <c r="Z464" i="11" s="1"/>
  <c r="Y455" i="11"/>
  <c r="Z455" i="11" s="1"/>
  <c r="Y406" i="11"/>
  <c r="Y424" i="11" s="1"/>
  <c r="Y125" i="11"/>
  <c r="Y144" i="11" s="1"/>
  <c r="Y116" i="11"/>
  <c r="AG12" i="36"/>
  <c r="AC80" i="39"/>
  <c r="U254" i="11"/>
  <c r="U272" i="11" s="1"/>
  <c r="E148" i="54"/>
  <c r="G206" i="54"/>
  <c r="E146" i="54"/>
  <c r="W170" i="11"/>
  <c r="W249" i="11" s="1"/>
  <c r="W59" i="39"/>
  <c r="AL57" i="39"/>
  <c r="I57" i="39" s="1"/>
  <c r="K57" i="39" s="1"/>
  <c r="E146" i="50"/>
  <c r="G206" i="50"/>
  <c r="E148" i="50"/>
  <c r="AD21" i="35"/>
  <c r="AD104" i="35" s="1"/>
  <c r="AD196" i="35" s="1"/>
  <c r="AD128" i="35"/>
  <c r="AA171" i="35"/>
  <c r="AA114" i="35"/>
  <c r="AA51" i="35"/>
  <c r="AA113" i="35"/>
  <c r="AA317" i="35" s="1"/>
  <c r="AA73" i="35"/>
  <c r="AA114" i="36"/>
  <c r="AA73" i="36"/>
  <c r="AA113" i="36"/>
  <c r="AA317" i="36" s="1"/>
  <c r="AA171" i="36"/>
  <c r="AA51" i="36"/>
  <c r="AN4" i="56"/>
  <c r="AN4" i="26"/>
  <c r="AD148" i="39"/>
  <c r="AD145" i="39"/>
  <c r="AL139" i="54"/>
  <c r="V77" i="34"/>
  <c r="AB8" i="5"/>
  <c r="AB62" i="5"/>
  <c r="AB64" i="5" s="1"/>
  <c r="AB81" i="38"/>
  <c r="AB82" i="38" s="1"/>
  <c r="AB20" i="38"/>
  <c r="Z54" i="39"/>
  <c r="BB20" i="39"/>
  <c r="AO3" i="55" s="1"/>
  <c r="Z7" i="39"/>
  <c r="AL139" i="53"/>
  <c r="AA8" i="16"/>
  <c r="S8" i="11" s="1"/>
  <c r="AA62" i="16"/>
  <c r="AA64" i="16" s="1"/>
  <c r="Y217" i="11"/>
  <c r="Y344" i="11" s="1"/>
  <c r="Z208" i="11"/>
  <c r="Y262" i="11"/>
  <c r="Y343" i="11" s="1"/>
  <c r="V227" i="11"/>
  <c r="V102" i="11"/>
  <c r="V84" i="11"/>
  <c r="AD100" i="39"/>
  <c r="AD101" i="39" s="1"/>
  <c r="AD100" i="38"/>
  <c r="AD101" i="38" s="1"/>
  <c r="AD100" i="36"/>
  <c r="AD101" i="36" s="1"/>
  <c r="AD100" i="37"/>
  <c r="AD101" i="37" s="1"/>
  <c r="AD100" i="35"/>
  <c r="AD101" i="35" s="1"/>
  <c r="AD100" i="34"/>
  <c r="AD101" i="34" s="1"/>
  <c r="AD12" i="5"/>
  <c r="AD100" i="16"/>
  <c r="AD101" i="16" s="1"/>
  <c r="AD12" i="34"/>
  <c r="V209" i="11"/>
  <c r="U758" i="11"/>
  <c r="AC128" i="39"/>
  <c r="AC21" i="39"/>
  <c r="AC104" i="39" s="1"/>
  <c r="AC196" i="39" s="1"/>
  <c r="AC53" i="35"/>
  <c r="BE21" i="35" s="1"/>
  <c r="AR4" i="51" s="1"/>
  <c r="AC72" i="35"/>
  <c r="AC115" i="35"/>
  <c r="AC340" i="35" s="1"/>
  <c r="AC28" i="35"/>
  <c r="AR136" i="51" s="1"/>
  <c r="Y308" i="11"/>
  <c r="AC54" i="11"/>
  <c r="AD45" i="11"/>
  <c r="Y259" i="11"/>
  <c r="Y316" i="11" s="1"/>
  <c r="Z205" i="11"/>
  <c r="AB8" i="35"/>
  <c r="AB62" i="35"/>
  <c r="AB64" i="35" s="1"/>
  <c r="V502" i="11"/>
  <c r="V511" i="11" s="1"/>
  <c r="E148" i="56"/>
  <c r="G206" i="56"/>
  <c r="E146" i="56"/>
  <c r="V174" i="11"/>
  <c r="V253" i="11" s="1"/>
  <c r="V346" i="11" s="1"/>
  <c r="V283" i="11" s="1"/>
  <c r="AD67" i="39" s="1"/>
  <c r="AC53" i="11"/>
  <c r="AD44" i="11"/>
  <c r="AL139" i="55"/>
  <c r="AL139" i="52"/>
  <c r="T338" i="11"/>
  <c r="U333" i="11" s="1"/>
  <c r="AB20" i="39"/>
  <c r="AB81" i="39"/>
  <c r="AB82" i="39" s="1"/>
  <c r="W476" i="11"/>
  <c r="W467" i="11"/>
  <c r="W458" i="11"/>
  <c r="W409" i="11"/>
  <c r="W427" i="11" s="1"/>
  <c r="W128" i="11"/>
  <c r="W147" i="11" s="1"/>
  <c r="W119" i="11"/>
  <c r="AE12" i="39"/>
  <c r="X82" i="11"/>
  <c r="X91" i="11" s="1"/>
  <c r="E237" i="56"/>
  <c r="D138" i="44"/>
  <c r="D138" i="47"/>
  <c r="D138" i="48"/>
  <c r="D138" i="46"/>
  <c r="E237" i="50"/>
  <c r="D138" i="45"/>
  <c r="Y113" i="34"/>
  <c r="Y317" i="34" s="1"/>
  <c r="Y171" i="34"/>
  <c r="Y114" i="34"/>
  <c r="Y73" i="34"/>
  <c r="Y51" i="34"/>
  <c r="V378" i="11"/>
  <c r="V310" i="11"/>
  <c r="V279" i="11" s="1"/>
  <c r="AD67" i="35" s="1"/>
  <c r="AC199" i="11"/>
  <c r="AC138" i="11"/>
  <c r="AC64" i="11"/>
  <c r="AD64" i="11" s="1"/>
  <c r="AD55" i="11"/>
  <c r="W59" i="5"/>
  <c r="I57" i="5"/>
  <c r="K57" i="5" s="1"/>
  <c r="AD195" i="11"/>
  <c r="F147" i="51"/>
  <c r="C32" i="51" s="1"/>
  <c r="AO136" i="26"/>
  <c r="Y307" i="11"/>
  <c r="AB198" i="11"/>
  <c r="AB234" i="11" s="1"/>
  <c r="AB63" i="11"/>
  <c r="AG115" i="37"/>
  <c r="AG340" i="37" s="1"/>
  <c r="AG72" i="37"/>
  <c r="AG53" i="37"/>
  <c r="BI21" i="37" s="1"/>
  <c r="AV4" i="53" s="1"/>
  <c r="U311" i="11"/>
  <c r="V306" i="11" s="1"/>
  <c r="AE62" i="37"/>
  <c r="AA8" i="38"/>
  <c r="AA62" i="38"/>
  <c r="AA64" i="38" s="1"/>
  <c r="W457" i="11"/>
  <c r="W408" i="11"/>
  <c r="W426" i="11" s="1"/>
  <c r="W475" i="11"/>
  <c r="W466" i="11"/>
  <c r="W118" i="11"/>
  <c r="W127" i="11"/>
  <c r="W146" i="11" s="1"/>
  <c r="AE12" i="38"/>
  <c r="AE12" i="16"/>
  <c r="X81" i="11"/>
  <c r="AM144" i="50"/>
  <c r="W84" i="38"/>
  <c r="P622" i="11"/>
  <c r="P631" i="11" s="1"/>
  <c r="P884" i="11" s="1"/>
  <c r="O633" i="11"/>
  <c r="W9" i="5" s="1"/>
  <c r="E148" i="51"/>
  <c r="G206" i="51"/>
  <c r="E146" i="51"/>
  <c r="V364" i="11"/>
  <c r="V382" i="11" s="1"/>
  <c r="V876" i="11"/>
  <c r="AB197" i="11"/>
  <c r="AB233" i="11" s="1"/>
  <c r="AB62" i="11"/>
  <c r="AB80" i="11" s="1"/>
  <c r="AB108" i="11" s="1"/>
  <c r="AD108" i="11" s="1"/>
  <c r="F228" i="53" s="1"/>
  <c r="G228" i="53" s="1"/>
  <c r="AH148" i="37"/>
  <c r="AH145" i="37"/>
  <c r="AC20" i="35"/>
  <c r="AC81" i="35"/>
  <c r="AC82" i="35" s="1"/>
  <c r="O877" i="11"/>
  <c r="W89" i="39"/>
  <c r="W87" i="39" s="1"/>
  <c r="W89" i="38"/>
  <c r="W87" i="38" s="1"/>
  <c r="W89" i="36"/>
  <c r="W87" i="36" s="1"/>
  <c r="W89" i="37"/>
  <c r="W87" i="37" s="1"/>
  <c r="W89" i="35"/>
  <c r="W87" i="35" s="1"/>
  <c r="W89" i="34"/>
  <c r="W87" i="34" s="1"/>
  <c r="W127" i="5"/>
  <c r="W130" i="5" s="1"/>
  <c r="W136" i="5" s="1"/>
  <c r="W140" i="5" s="1"/>
  <c r="W89" i="16"/>
  <c r="W87" i="16" s="1"/>
  <c r="O832" i="11"/>
  <c r="W127" i="35"/>
  <c r="W127" i="36"/>
  <c r="W127" i="38"/>
  <c r="W127" i="34"/>
  <c r="W127" i="16"/>
  <c r="W127" i="39"/>
  <c r="W127" i="37"/>
  <c r="AL139" i="26"/>
  <c r="BB20" i="35"/>
  <c r="AO3" i="51" s="1"/>
  <c r="Z54" i="35"/>
  <c r="Z7" i="35"/>
  <c r="X320" i="11"/>
  <c r="Y315" i="11" s="1"/>
  <c r="AN143" i="56"/>
  <c r="AN144" i="56" s="1"/>
  <c r="Y73" i="5"/>
  <c r="Y142" i="5"/>
  <c r="AN143" i="54"/>
  <c r="AN144" i="54" s="1"/>
  <c r="AN143" i="55"/>
  <c r="AN144" i="55" s="1"/>
  <c r="Y142" i="16"/>
  <c r="AN143" i="53"/>
  <c r="AN144" i="53" s="1"/>
  <c r="Y142" i="39"/>
  <c r="Y171" i="5"/>
  <c r="Y142" i="38"/>
  <c r="Y114" i="5"/>
  <c r="AN143" i="51"/>
  <c r="Y142" i="36"/>
  <c r="Y142" i="37"/>
  <c r="Y51" i="5"/>
  <c r="AN143" i="52"/>
  <c r="AN144" i="52" s="1"/>
  <c r="Y142" i="34"/>
  <c r="Y113" i="5"/>
  <c r="Y317" i="5" s="1"/>
  <c r="AN143" i="50"/>
  <c r="AN144" i="50" s="1"/>
  <c r="Y142" i="35"/>
  <c r="AN143" i="26"/>
  <c r="AN144" i="26" s="1"/>
  <c r="AC132" i="38"/>
  <c r="AC134" i="38" s="1"/>
  <c r="AC36" i="38"/>
  <c r="AC47" i="38" s="1"/>
  <c r="AC36" i="16"/>
  <c r="AC47" i="16" s="1"/>
  <c r="AC117" i="16" s="1"/>
  <c r="AC364" i="16" s="1"/>
  <c r="AC132" i="5"/>
  <c r="AC134" i="5" s="1"/>
  <c r="AC132" i="16"/>
  <c r="AC134" i="16" s="1"/>
  <c r="Z874" i="11"/>
  <c r="Z362" i="11"/>
  <c r="Z380" i="11" s="1"/>
  <c r="AA196" i="11"/>
  <c r="AA61" i="11"/>
  <c r="AA65" i="11" s="1"/>
  <c r="AA135" i="11"/>
  <c r="AA56" i="11"/>
  <c r="AA180" i="11" s="1"/>
  <c r="AC94" i="16"/>
  <c r="AB110" i="35"/>
  <c r="AB244" i="35" s="1"/>
  <c r="AB173" i="35"/>
  <c r="AB48" i="35"/>
  <c r="Z110" i="38"/>
  <c r="Z244" i="38" s="1"/>
  <c r="Z173" i="38"/>
  <c r="Z48" i="38"/>
  <c r="G206" i="52"/>
  <c r="E146" i="52"/>
  <c r="E148" i="52"/>
  <c r="AD60" i="11"/>
  <c r="AB110" i="39"/>
  <c r="AB244" i="39" s="1"/>
  <c r="AB48" i="39"/>
  <c r="AB173" i="39"/>
  <c r="Z110" i="34"/>
  <c r="Z244" i="34" s="1"/>
  <c r="Z173" i="34"/>
  <c r="Z48" i="34"/>
  <c r="AA204" i="11"/>
  <c r="Z258" i="11"/>
  <c r="Z213" i="11"/>
  <c r="G206" i="53"/>
  <c r="E146" i="53"/>
  <c r="E148" i="53"/>
  <c r="Y113" i="39"/>
  <c r="Y317" i="39" s="1"/>
  <c r="Y171" i="39"/>
  <c r="Y73" i="39"/>
  <c r="Y114" i="39"/>
  <c r="Y51" i="39"/>
  <c r="U347" i="11"/>
  <c r="V342" i="11" s="1"/>
  <c r="AA474" i="11"/>
  <c r="AA465" i="11"/>
  <c r="AA407" i="11"/>
  <c r="AA425" i="11" s="1"/>
  <c r="AA126" i="11"/>
  <c r="AA145" i="11" s="1"/>
  <c r="AA117" i="11"/>
  <c r="AI12" i="37"/>
  <c r="AD145" i="16"/>
  <c r="AD148" i="16"/>
  <c r="X54" i="5"/>
  <c r="V12" i="6" s="1"/>
  <c r="X7" i="5"/>
  <c r="AA8" i="39"/>
  <c r="AA62" i="39"/>
  <c r="AA64" i="39" s="1"/>
  <c r="AN136" i="56"/>
  <c r="Y48" i="16"/>
  <c r="Y118" i="16" s="1"/>
  <c r="Y388" i="16" s="1"/>
  <c r="Y173" i="16"/>
  <c r="AN136" i="26"/>
  <c r="Y110" i="16"/>
  <c r="Y244" i="16" s="1"/>
  <c r="V436" i="11"/>
  <c r="V777" i="11" s="1"/>
  <c r="AD19" i="39"/>
  <c r="W95" i="39"/>
  <c r="W96" i="39" s="1"/>
  <c r="W95" i="34"/>
  <c r="W96" i="34" s="1"/>
  <c r="W95" i="37"/>
  <c r="W96" i="37" s="1"/>
  <c r="W95" i="16"/>
  <c r="W96" i="16" s="1"/>
  <c r="W9" i="36"/>
  <c r="W9" i="38"/>
  <c r="P187" i="11"/>
  <c r="W95" i="36"/>
  <c r="W96" i="36" s="1"/>
  <c r="W9" i="35"/>
  <c r="W95" i="35"/>
  <c r="W96" i="35" s="1"/>
  <c r="W9" i="39"/>
  <c r="W9" i="37"/>
  <c r="W95" i="38"/>
  <c r="W96" i="38" s="1"/>
  <c r="AL139" i="51"/>
  <c r="Z260" i="11"/>
  <c r="Z325" i="11" s="1"/>
  <c r="AA206" i="11"/>
  <c r="AA215" i="11" s="1"/>
  <c r="AA326" i="11" s="1"/>
  <c r="W179" i="11"/>
  <c r="W183" i="11" s="1"/>
  <c r="V189" i="11"/>
  <c r="W84" i="39"/>
  <c r="P623" i="11"/>
  <c r="P632" i="11" s="1"/>
  <c r="P885" i="11" s="1"/>
  <c r="AC80" i="16"/>
  <c r="AB132" i="34"/>
  <c r="AB134" i="34" s="1"/>
  <c r="AB36" i="34"/>
  <c r="AB47" i="34" s="1"/>
  <c r="AB36" i="5"/>
  <c r="AB47" i="5" s="1"/>
  <c r="AB117" i="5" s="1"/>
  <c r="AB364" i="5" s="1"/>
  <c r="Z495" i="11"/>
  <c r="Z496" i="11" s="1"/>
  <c r="Z200" i="11"/>
  <c r="Z486" i="11"/>
  <c r="Z487" i="11" s="1"/>
  <c r="Z139" i="11"/>
  <c r="AB81" i="16"/>
  <c r="AB82" i="16" s="1"/>
  <c r="AB20" i="16"/>
  <c r="AE81" i="36"/>
  <c r="AE82" i="36" s="1"/>
  <c r="AE20" i="36"/>
  <c r="U365" i="11"/>
  <c r="AD148" i="38"/>
  <c r="AD145" i="38"/>
  <c r="AM144" i="54"/>
  <c r="AG80" i="37"/>
  <c r="AB72" i="5"/>
  <c r="Z172" i="11"/>
  <c r="Z251" i="11" s="1"/>
  <c r="Z328" i="11" s="1"/>
  <c r="Z281" i="11" s="1"/>
  <c r="AH67" i="37" s="1"/>
  <c r="U437" i="11"/>
  <c r="U778" i="11" s="1"/>
  <c r="AL139" i="50"/>
  <c r="E171" i="56"/>
  <c r="W57" i="16"/>
  <c r="W54" i="16"/>
  <c r="E171" i="26"/>
  <c r="AY20" i="16"/>
  <c r="W7" i="16"/>
  <c r="O7" i="11" s="1"/>
  <c r="AA62" i="34"/>
  <c r="AA8" i="34"/>
  <c r="AA171" i="39"/>
  <c r="AA114" i="39"/>
  <c r="AA73" i="39"/>
  <c r="AA113" i="39"/>
  <c r="AA317" i="39" s="1"/>
  <c r="AA51" i="39"/>
  <c r="AC53" i="39"/>
  <c r="BE21" i="39" s="1"/>
  <c r="AR4" i="55" s="1"/>
  <c r="AC115" i="39"/>
  <c r="AC340" i="39" s="1"/>
  <c r="AC72" i="39"/>
  <c r="X334" i="11"/>
  <c r="AA181" i="11"/>
  <c r="T355" i="11"/>
  <c r="T284" i="11" s="1"/>
  <c r="AB67" i="34" s="1"/>
  <c r="T384" i="11"/>
  <c r="T385" i="11" s="1"/>
  <c r="AA173" i="34"/>
  <c r="AA110" i="34"/>
  <c r="AA244" i="34" s="1"/>
  <c r="AA48" i="34"/>
  <c r="AB111" i="39"/>
  <c r="AB270" i="39" s="1"/>
  <c r="AB172" i="39"/>
  <c r="AF128" i="36"/>
  <c r="AF21" i="36"/>
  <c r="X472" i="11"/>
  <c r="X463" i="11"/>
  <c r="X405" i="11"/>
  <c r="X115" i="11"/>
  <c r="X124" i="11"/>
  <c r="X454" i="11"/>
  <c r="AF12" i="35"/>
  <c r="Y78" i="11"/>
  <c r="Y173" i="38"/>
  <c r="Y48" i="38"/>
  <c r="Y110" i="38"/>
  <c r="Y244" i="38" s="1"/>
  <c r="AA115" i="16"/>
  <c r="AA340" i="16" s="1"/>
  <c r="AA53" i="16"/>
  <c r="BC21" i="16" s="1"/>
  <c r="AA28" i="16"/>
  <c r="AA72" i="16"/>
  <c r="U383" i="11"/>
  <c r="V173" i="11"/>
  <c r="V252" i="11" s="1"/>
  <c r="AM144" i="26"/>
  <c r="AG128" i="37"/>
  <c r="AG21" i="37"/>
  <c r="AG104" i="37" s="1"/>
  <c r="AG196" i="37" s="1"/>
  <c r="AB67" i="38"/>
  <c r="Z207" i="11"/>
  <c r="Y261" i="11"/>
  <c r="Y216" i="11"/>
  <c r="AA28" i="5"/>
  <c r="AA115" i="5"/>
  <c r="AA340" i="5" s="1"/>
  <c r="AA53" i="5"/>
  <c r="AA6" i="5"/>
  <c r="AF20" i="37"/>
  <c r="AF81" i="37"/>
  <c r="AF82" i="37" s="1"/>
  <c r="AL139" i="56"/>
  <c r="R628" i="11"/>
  <c r="AC768" i="11" l="1"/>
  <c r="AK138" i="35"/>
  <c r="AK71" i="35"/>
  <c r="AL71" i="35" s="1"/>
  <c r="AK71" i="16"/>
  <c r="AL71" i="16" s="1"/>
  <c r="AK138" i="16"/>
  <c r="AK138" i="5"/>
  <c r="AD763" i="11"/>
  <c r="AC105" i="5"/>
  <c r="AC220" i="5" s="1"/>
  <c r="AJ138" i="34"/>
  <c r="AJ71" i="34"/>
  <c r="Z456" i="11"/>
  <c r="Y501" i="11"/>
  <c r="Y510" i="11" s="1"/>
  <c r="C239" i="11"/>
  <c r="B90" i="8"/>
  <c r="AF132" i="37"/>
  <c r="AF36" i="37"/>
  <c r="AF46" i="39"/>
  <c r="X840" i="11"/>
  <c r="Y849" i="11"/>
  <c r="X84" i="37"/>
  <c r="P883" i="11"/>
  <c r="Q621" i="11"/>
  <c r="Q630" i="11" s="1"/>
  <c r="Q811" i="11" s="1"/>
  <c r="AF133" i="36"/>
  <c r="AF46" i="36"/>
  <c r="P882" i="11"/>
  <c r="Q620" i="11"/>
  <c r="Q629" i="11" s="1"/>
  <c r="X837" i="11"/>
  <c r="W77" i="37"/>
  <c r="W83" i="37" s="1"/>
  <c r="X76" i="37" s="1"/>
  <c r="X78" i="37" s="1"/>
  <c r="E156" i="50"/>
  <c r="AC104" i="36"/>
  <c r="AC196" i="36" s="1"/>
  <c r="AC81" i="36"/>
  <c r="AC82" i="36" s="1"/>
  <c r="AC20" i="36"/>
  <c r="AC62" i="36" s="1"/>
  <c r="V400" i="11"/>
  <c r="AD94" i="39" s="1"/>
  <c r="AD104" i="36"/>
  <c r="AD196" i="36" s="1"/>
  <c r="AD81" i="36"/>
  <c r="AD82" i="36" s="1"/>
  <c r="AD20" i="36"/>
  <c r="AD62" i="36" s="1"/>
  <c r="O9" i="11"/>
  <c r="X873" i="11"/>
  <c r="AR137" i="51"/>
  <c r="Y683" i="11"/>
  <c r="AC36" i="34"/>
  <c r="AC47" i="34" s="1"/>
  <c r="V52" i="6"/>
  <c r="V17" i="6"/>
  <c r="N138" i="24" s="1"/>
  <c r="Y845" i="11"/>
  <c r="AC132" i="34"/>
  <c r="AC134" i="34" s="1"/>
  <c r="Y846" i="11"/>
  <c r="AC117" i="35"/>
  <c r="AC364" i="35" s="1"/>
  <c r="Z672" i="11"/>
  <c r="AH33" i="39" s="1"/>
  <c r="AE19" i="35"/>
  <c r="Y559" i="11"/>
  <c r="AF132" i="36"/>
  <c r="AF36" i="36"/>
  <c r="Y739" i="11"/>
  <c r="Z654" i="11"/>
  <c r="AF31" i="5"/>
  <c r="X113" i="34"/>
  <c r="X317" i="34" s="1"/>
  <c r="W83" i="36"/>
  <c r="X76" i="36" s="1"/>
  <c r="X77" i="36" s="1"/>
  <c r="X171" i="34"/>
  <c r="X51" i="34"/>
  <c r="AZ20" i="34" s="1"/>
  <c r="AM3" i="50" s="1"/>
  <c r="X73" i="34"/>
  <c r="Z652" i="11"/>
  <c r="AH31" i="37" s="1"/>
  <c r="AE133" i="16"/>
  <c r="AE46" i="16"/>
  <c r="Y749" i="11"/>
  <c r="AK3" i="56"/>
  <c r="AK3" i="26"/>
  <c r="AE111" i="36"/>
  <c r="AE270" i="36" s="1"/>
  <c r="AE172" i="36"/>
  <c r="AT137" i="52"/>
  <c r="AQ137" i="26"/>
  <c r="AR137" i="55"/>
  <c r="AQ137" i="56"/>
  <c r="AC111" i="39"/>
  <c r="AC270" i="39" s="1"/>
  <c r="AC28" i="39"/>
  <c r="AR136" i="55" s="1"/>
  <c r="AA64" i="34"/>
  <c r="X83" i="11"/>
  <c r="X227" i="11" s="1"/>
  <c r="AC111" i="35"/>
  <c r="AC270" i="35" s="1"/>
  <c r="AF43" i="5"/>
  <c r="AB111" i="16"/>
  <c r="AB270" i="16" s="1"/>
  <c r="Z670" i="11"/>
  <c r="AH33" i="37" s="1"/>
  <c r="W468" i="11"/>
  <c r="Y848" i="11"/>
  <c r="AG31" i="37"/>
  <c r="P812" i="11"/>
  <c r="W477" i="11"/>
  <c r="W478" i="11" s="1"/>
  <c r="Z690" i="11"/>
  <c r="AH35" i="39" s="1"/>
  <c r="W895" i="11"/>
  <c r="Z678" i="11"/>
  <c r="AH34" i="36" s="1"/>
  <c r="Y557" i="11"/>
  <c r="W784" i="11"/>
  <c r="AF104" i="36"/>
  <c r="AF196" i="36" s="1"/>
  <c r="Z662" i="11"/>
  <c r="AH32" i="38" s="1"/>
  <c r="X709" i="11"/>
  <c r="AF37" i="16"/>
  <c r="AF37" i="35"/>
  <c r="AE46" i="34"/>
  <c r="AE37" i="34"/>
  <c r="AE37" i="5"/>
  <c r="AE133" i="34"/>
  <c r="AC117" i="38"/>
  <c r="AC364" i="38" s="1"/>
  <c r="AR137" i="54"/>
  <c r="AC117" i="34"/>
  <c r="AC364" i="34" s="1"/>
  <c r="AR137" i="50"/>
  <c r="X742" i="11"/>
  <c r="AB117" i="34"/>
  <c r="AB364" i="34" s="1"/>
  <c r="AQ137" i="50"/>
  <c r="AB118" i="35"/>
  <c r="AB388" i="35" s="1"/>
  <c r="AQ138" i="51"/>
  <c r="Y673" i="11"/>
  <c r="Y850" i="11" s="1"/>
  <c r="W59" i="34"/>
  <c r="AL57" i="34"/>
  <c r="I57" i="34" s="1"/>
  <c r="K57" i="34" s="1"/>
  <c r="Y664" i="11"/>
  <c r="AG32" i="34" s="1"/>
  <c r="Z118" i="34"/>
  <c r="Z388" i="34" s="1"/>
  <c r="AO138" i="50"/>
  <c r="AA118" i="34"/>
  <c r="AA388" i="34" s="1"/>
  <c r="AP138" i="50"/>
  <c r="X118" i="34"/>
  <c r="X388" i="34" s="1"/>
  <c r="AM138" i="50"/>
  <c r="AM139" i="50" s="1"/>
  <c r="AB118" i="39"/>
  <c r="AB388" i="39" s="1"/>
  <c r="AQ138" i="55"/>
  <c r="Y118" i="38"/>
  <c r="Y388" i="38" s="1"/>
  <c r="AN138" i="54"/>
  <c r="Z118" i="38"/>
  <c r="Z388" i="38" s="1"/>
  <c r="AO138" i="54"/>
  <c r="Z173" i="16"/>
  <c r="Z48" i="16"/>
  <c r="Z118" i="16" s="1"/>
  <c r="Z388" i="16" s="1"/>
  <c r="Z110" i="16"/>
  <c r="Z244" i="16" s="1"/>
  <c r="V83" i="34"/>
  <c r="W76" i="34" s="1"/>
  <c r="U273" i="11"/>
  <c r="V268" i="11" s="1"/>
  <c r="X269" i="11"/>
  <c r="X270" i="11"/>
  <c r="AF80" i="36"/>
  <c r="W396" i="11"/>
  <c r="AE94" i="35" s="1"/>
  <c r="V830" i="11"/>
  <c r="AG32" i="35"/>
  <c r="Z714" i="11"/>
  <c r="AH41" i="36" s="1"/>
  <c r="Y560" i="11"/>
  <c r="Y674" i="11"/>
  <c r="Z671" i="11"/>
  <c r="AH33" i="38" s="1"/>
  <c r="W459" i="11"/>
  <c r="V776" i="11"/>
  <c r="Z736" i="11"/>
  <c r="AH43" i="38" s="1"/>
  <c r="Z715" i="11"/>
  <c r="AH41" i="37" s="1"/>
  <c r="V399" i="11"/>
  <c r="V401" i="11" s="1"/>
  <c r="Z398" i="11"/>
  <c r="AH94" i="37" s="1"/>
  <c r="W872" i="11"/>
  <c r="AD19" i="5"/>
  <c r="Z734" i="11"/>
  <c r="AH43" i="36" s="1"/>
  <c r="Z677" i="11"/>
  <c r="AH34" i="35" s="1"/>
  <c r="AD36" i="39"/>
  <c r="AD47" i="39" s="1"/>
  <c r="AD172" i="39" s="1"/>
  <c r="V831" i="11"/>
  <c r="Z406" i="11"/>
  <c r="Z424" i="11" s="1"/>
  <c r="Z433" i="11" s="1"/>
  <c r="Y718" i="11"/>
  <c r="AG41" i="5" s="1"/>
  <c r="Z689" i="11"/>
  <c r="AH35" i="38" s="1"/>
  <c r="AE111" i="37"/>
  <c r="AE270" i="37" s="1"/>
  <c r="AE117" i="37"/>
  <c r="AE364" i="37" s="1"/>
  <c r="AE172" i="37"/>
  <c r="Y570" i="11"/>
  <c r="U338" i="11"/>
  <c r="V333" i="11" s="1"/>
  <c r="Z716" i="11"/>
  <c r="AH41" i="38" s="1"/>
  <c r="V78" i="16"/>
  <c r="V77" i="16"/>
  <c r="Z329" i="11"/>
  <c r="AA324" i="11" s="1"/>
  <c r="W9" i="34"/>
  <c r="W9" i="16"/>
  <c r="U401" i="11"/>
  <c r="Y746" i="11"/>
  <c r="AG133" i="39" s="1"/>
  <c r="W602" i="11"/>
  <c r="AH41" i="35"/>
  <c r="AH31" i="36"/>
  <c r="W596" i="11"/>
  <c r="AB336" i="11"/>
  <c r="AD336" i="11" s="1"/>
  <c r="AD234" i="11"/>
  <c r="D139" i="46"/>
  <c r="F139" i="46" s="1"/>
  <c r="F138" i="46"/>
  <c r="Z775" i="11"/>
  <c r="AC21" i="16"/>
  <c r="AC104" i="16" s="1"/>
  <c r="AC196" i="16" s="1"/>
  <c r="AC173" i="37"/>
  <c r="AC48" i="37"/>
  <c r="AR138" i="53" s="1"/>
  <c r="AC110" i="37"/>
  <c r="AC244" i="37" s="1"/>
  <c r="X578" i="11"/>
  <c r="X587" i="11" s="1"/>
  <c r="X596" i="11" s="1"/>
  <c r="AF23" i="39"/>
  <c r="Y542" i="11"/>
  <c r="AD90" i="16"/>
  <c r="V604" i="11"/>
  <c r="V613" i="11"/>
  <c r="Y534" i="11"/>
  <c r="Y561" i="11" s="1"/>
  <c r="AD91" i="35"/>
  <c r="AD92" i="35" s="1"/>
  <c r="AD24" i="35"/>
  <c r="AD63" i="35" s="1"/>
  <c r="AF35" i="16"/>
  <c r="AF35" i="5"/>
  <c r="AF35" i="34"/>
  <c r="AH31" i="39"/>
  <c r="AA524" i="11"/>
  <c r="Z533" i="11"/>
  <c r="Z551" i="11" s="1"/>
  <c r="AH13" i="39"/>
  <c r="Z569" i="11"/>
  <c r="Z699" i="11"/>
  <c r="Z708" i="11" s="1"/>
  <c r="AH37" i="39" s="1"/>
  <c r="AB118" i="37"/>
  <c r="AB388" i="37" s="1"/>
  <c r="AB73" i="37"/>
  <c r="AB171" i="37"/>
  <c r="AB113" i="37"/>
  <c r="AB317" i="37" s="1"/>
  <c r="AB114" i="37"/>
  <c r="AB51" i="37"/>
  <c r="AF41" i="16"/>
  <c r="AF41" i="5"/>
  <c r="AF41" i="34"/>
  <c r="AF147" i="16"/>
  <c r="Y847" i="11"/>
  <c r="W579" i="11"/>
  <c r="W786" i="11" s="1"/>
  <c r="AE25" i="35"/>
  <c r="AE105" i="35" s="1"/>
  <c r="AE220" i="35" s="1"/>
  <c r="AE129" i="35"/>
  <c r="Y655" i="11"/>
  <c r="AG31" i="35"/>
  <c r="W410" i="11"/>
  <c r="X423" i="11"/>
  <c r="X432" i="11" s="1"/>
  <c r="X773" i="11" s="1"/>
  <c r="D139" i="48"/>
  <c r="F139" i="48" s="1"/>
  <c r="F138" i="48"/>
  <c r="AC128" i="16"/>
  <c r="AC63" i="37"/>
  <c r="AC64" i="37" s="1"/>
  <c r="AC8" i="37"/>
  <c r="AF32" i="16"/>
  <c r="AF32" i="34"/>
  <c r="AF32" i="5"/>
  <c r="Z735" i="11"/>
  <c r="AH43" i="37" s="1"/>
  <c r="Z669" i="11"/>
  <c r="AH33" i="36" s="1"/>
  <c r="AG13" i="16"/>
  <c r="AG99" i="35"/>
  <c r="AG99" i="34"/>
  <c r="AG13" i="5"/>
  <c r="AG13" i="34"/>
  <c r="AG99" i="39"/>
  <c r="AG99" i="16"/>
  <c r="AG99" i="38"/>
  <c r="AG99" i="36"/>
  <c r="AG99" i="37"/>
  <c r="Z686" i="11"/>
  <c r="AD25" i="16"/>
  <c r="AD105" i="16" s="1"/>
  <c r="AD220" i="16" s="1"/>
  <c r="AD129" i="16"/>
  <c r="AD129" i="5"/>
  <c r="AD25" i="34"/>
  <c r="AD105" i="34" s="1"/>
  <c r="AD220" i="34" s="1"/>
  <c r="AD25" i="5"/>
  <c r="AD24" i="5" s="1"/>
  <c r="AD63" i="5" s="1"/>
  <c r="AD129" i="34"/>
  <c r="AF46" i="38"/>
  <c r="X839" i="11"/>
  <c r="AF133" i="38"/>
  <c r="X893" i="11"/>
  <c r="Y682" i="11"/>
  <c r="Z688" i="11"/>
  <c r="AH35" i="37" s="1"/>
  <c r="AC24" i="16"/>
  <c r="AC63" i="16" s="1"/>
  <c r="AC91" i="16"/>
  <c r="AC92" i="16" s="1"/>
  <c r="AH31" i="38"/>
  <c r="AE23" i="16"/>
  <c r="AE23" i="34"/>
  <c r="AE23" i="5"/>
  <c r="X577" i="11"/>
  <c r="X784" i="11" s="1"/>
  <c r="AF23" i="38"/>
  <c r="Y541" i="11"/>
  <c r="AD24" i="37"/>
  <c r="AD91" i="37"/>
  <c r="AD92" i="37" s="1"/>
  <c r="AD28" i="37"/>
  <c r="AS136" i="53" s="1"/>
  <c r="AE129" i="36"/>
  <c r="AE25" i="36"/>
  <c r="AE105" i="36" s="1"/>
  <c r="AE220" i="36" s="1"/>
  <c r="W828" i="11"/>
  <c r="W755" i="11"/>
  <c r="Y691" i="11"/>
  <c r="O886" i="11"/>
  <c r="O814" i="11"/>
  <c r="D139" i="47"/>
  <c r="F139" i="47" s="1"/>
  <c r="F138" i="47"/>
  <c r="V175" i="11"/>
  <c r="V188" i="11" s="1"/>
  <c r="X838" i="11"/>
  <c r="AF46" i="37"/>
  <c r="AF47" i="37" s="1"/>
  <c r="AU137" i="53" s="1"/>
  <c r="AF133" i="37"/>
  <c r="AF134" i="37" s="1"/>
  <c r="X892" i="11"/>
  <c r="AE25" i="39"/>
  <c r="AE105" i="39" s="1"/>
  <c r="AE220" i="39" s="1"/>
  <c r="AE129" i="39"/>
  <c r="AG32" i="16"/>
  <c r="AG32" i="5"/>
  <c r="Z737" i="11"/>
  <c r="AH43" i="39" s="1"/>
  <c r="Z659" i="11"/>
  <c r="Z668" i="11"/>
  <c r="Z845" i="11" s="1"/>
  <c r="AG112" i="35"/>
  <c r="AG294" i="35" s="1"/>
  <c r="AG147" i="35"/>
  <c r="AD91" i="39"/>
  <c r="AD92" i="39" s="1"/>
  <c r="AD24" i="39"/>
  <c r="AD63" i="39" s="1"/>
  <c r="Y656" i="11"/>
  <c r="Z661" i="11"/>
  <c r="AH32" i="37" s="1"/>
  <c r="W601" i="11"/>
  <c r="AE90" i="38"/>
  <c r="BC20" i="37"/>
  <c r="AP3" i="53" s="1"/>
  <c r="AA7" i="37"/>
  <c r="AA54" i="37"/>
  <c r="V612" i="11"/>
  <c r="V603" i="11"/>
  <c r="W508" i="11"/>
  <c r="W754" i="11" s="1"/>
  <c r="D139" i="44"/>
  <c r="F139" i="44" s="1"/>
  <c r="F138" i="44"/>
  <c r="X747" i="11"/>
  <c r="W785" i="11"/>
  <c r="X576" i="11"/>
  <c r="AF23" i="37"/>
  <c r="Y540" i="11"/>
  <c r="Z660" i="11"/>
  <c r="AH32" i="36" s="1"/>
  <c r="AG147" i="36"/>
  <c r="AG112" i="36"/>
  <c r="AG294" i="36" s="1"/>
  <c r="Z663" i="11"/>
  <c r="AH32" i="39" s="1"/>
  <c r="AC48" i="36"/>
  <c r="AR138" i="52" s="1"/>
  <c r="AC110" i="36"/>
  <c r="AC244" i="36" s="1"/>
  <c r="AC173" i="36"/>
  <c r="X850" i="11"/>
  <c r="V864" i="11"/>
  <c r="V900" i="11"/>
  <c r="W781" i="11"/>
  <c r="AE129" i="38"/>
  <c r="AE25" i="38"/>
  <c r="Y744" i="11"/>
  <c r="Y547" i="11"/>
  <c r="Y552" i="11" s="1"/>
  <c r="X143" i="11"/>
  <c r="X872" i="11" s="1"/>
  <c r="R881" i="11"/>
  <c r="R809" i="11"/>
  <c r="AB327" i="11"/>
  <c r="AD327" i="11" s="1"/>
  <c r="AD233" i="11"/>
  <c r="W84" i="16"/>
  <c r="W148" i="11"/>
  <c r="E238" i="56"/>
  <c r="G238" i="56" s="1"/>
  <c r="G237" i="56"/>
  <c r="U867" i="11"/>
  <c r="U903" i="11"/>
  <c r="U866" i="11"/>
  <c r="U902" i="11"/>
  <c r="Z125" i="11"/>
  <c r="Z144" i="11" s="1"/>
  <c r="Z873" i="11" s="1"/>
  <c r="AF34" i="16"/>
  <c r="AF34" i="5"/>
  <c r="AF34" i="34"/>
  <c r="AG41" i="16"/>
  <c r="AD105" i="5"/>
  <c r="AD220" i="5" s="1"/>
  <c r="W585" i="11"/>
  <c r="W594" i="11" s="1"/>
  <c r="AE129" i="37"/>
  <c r="AE25" i="37"/>
  <c r="AE105" i="37" s="1"/>
  <c r="AE220" i="37" s="1"/>
  <c r="W756" i="11"/>
  <c r="W829" i="11"/>
  <c r="Z733" i="11"/>
  <c r="Z687" i="11"/>
  <c r="AH35" i="36" s="1"/>
  <c r="Z650" i="11"/>
  <c r="Z717" i="11"/>
  <c r="AH41" i="39" s="1"/>
  <c r="AB118" i="36"/>
  <c r="AB388" i="36" s="1"/>
  <c r="AB171" i="36"/>
  <c r="AB73" i="36"/>
  <c r="AB113" i="36"/>
  <c r="AB317" i="36" s="1"/>
  <c r="AB51" i="36"/>
  <c r="AB114" i="36"/>
  <c r="Y743" i="11"/>
  <c r="AC63" i="36"/>
  <c r="AC64" i="36" s="1"/>
  <c r="V601" i="11"/>
  <c r="V610" i="11"/>
  <c r="W610" i="11" s="1"/>
  <c r="AD105" i="39"/>
  <c r="AD220" i="39" s="1"/>
  <c r="Y558" i="11"/>
  <c r="AA522" i="11"/>
  <c r="AA670" i="11" s="1"/>
  <c r="AI33" i="37" s="1"/>
  <c r="AH13" i="37"/>
  <c r="Z847" i="11"/>
  <c r="Z697" i="11"/>
  <c r="Z706" i="11" s="1"/>
  <c r="AH37" i="37" s="1"/>
  <c r="Z567" i="11"/>
  <c r="Z531" i="11"/>
  <c r="Z549" i="11" s="1"/>
  <c r="Z680" i="11"/>
  <c r="AH34" i="38" s="1"/>
  <c r="AA523" i="11"/>
  <c r="AA653" i="11" s="1"/>
  <c r="AH13" i="38"/>
  <c r="Z698" i="11"/>
  <c r="Z707" i="11" s="1"/>
  <c r="AH37" i="38" s="1"/>
  <c r="Z568" i="11"/>
  <c r="Z532" i="11"/>
  <c r="Z550" i="11" s="1"/>
  <c r="W604" i="11"/>
  <c r="W613" i="11"/>
  <c r="AB89" i="11"/>
  <c r="V596" i="11"/>
  <c r="AE90" i="39"/>
  <c r="AD90" i="34"/>
  <c r="W129" i="11"/>
  <c r="AA520" i="11"/>
  <c r="Z695" i="11"/>
  <c r="Z565" i="11"/>
  <c r="AH13" i="35"/>
  <c r="Z525" i="11"/>
  <c r="Z529" i="11"/>
  <c r="Z556" i="11" s="1"/>
  <c r="V602" i="11"/>
  <c r="V611" i="11"/>
  <c r="W611" i="11" s="1"/>
  <c r="V504" i="11"/>
  <c r="V505" i="11" s="1"/>
  <c r="V588" i="11"/>
  <c r="AF147" i="34"/>
  <c r="AD91" i="36"/>
  <c r="AD92" i="36" s="1"/>
  <c r="AD24" i="36"/>
  <c r="AD28" i="36"/>
  <c r="AS136" i="52" s="1"/>
  <c r="AE90" i="35"/>
  <c r="X575" i="11"/>
  <c r="X782" i="11" s="1"/>
  <c r="AF23" i="36"/>
  <c r="Y539" i="11"/>
  <c r="P813" i="11"/>
  <c r="D139" i="45"/>
  <c r="F139" i="45" s="1"/>
  <c r="F138" i="45"/>
  <c r="V863" i="11"/>
  <c r="V899" i="11"/>
  <c r="Z500" i="11"/>
  <c r="Z509" i="11" s="1"/>
  <c r="AH132" i="36" s="1"/>
  <c r="AA521" i="11"/>
  <c r="Z846" i="11"/>
  <c r="Z566" i="11"/>
  <c r="Z530" i="11"/>
  <c r="Z548" i="11" s="1"/>
  <c r="AH13" i="36"/>
  <c r="Z696" i="11"/>
  <c r="Z705" i="11" s="1"/>
  <c r="AH37" i="36" s="1"/>
  <c r="X90" i="11"/>
  <c r="X92" i="11" s="1"/>
  <c r="AD91" i="38"/>
  <c r="AD92" i="38" s="1"/>
  <c r="AD24" i="38"/>
  <c r="AD63" i="38" s="1"/>
  <c r="AD36" i="35"/>
  <c r="AD47" i="35" s="1"/>
  <c r="AS137" i="51" s="1"/>
  <c r="V827" i="11"/>
  <c r="AD132" i="35"/>
  <c r="AD134" i="35" s="1"/>
  <c r="Y692" i="11"/>
  <c r="Y719" i="11"/>
  <c r="Y665" i="11"/>
  <c r="AG147" i="37"/>
  <c r="AG112" i="37"/>
  <c r="AG294" i="37" s="1"/>
  <c r="AC91" i="34"/>
  <c r="AC92" i="34" s="1"/>
  <c r="AC24" i="34"/>
  <c r="AC63" i="34" s="1"/>
  <c r="AG112" i="38"/>
  <c r="AG294" i="38" s="1"/>
  <c r="AG147" i="38"/>
  <c r="Y745" i="11"/>
  <c r="AD105" i="36"/>
  <c r="AD220" i="36" s="1"/>
  <c r="V865" i="11"/>
  <c r="V901" i="11"/>
  <c r="W782" i="11"/>
  <c r="Y738" i="11"/>
  <c r="E238" i="50"/>
  <c r="G238" i="50" s="1"/>
  <c r="G237" i="50"/>
  <c r="AC128" i="5"/>
  <c r="AE90" i="37"/>
  <c r="Y704" i="11"/>
  <c r="Y742" i="11" s="1"/>
  <c r="Y700" i="11"/>
  <c r="AG112" i="39"/>
  <c r="AG294" i="39" s="1"/>
  <c r="AG147" i="39"/>
  <c r="AF33" i="16"/>
  <c r="AF112" i="16" s="1"/>
  <c r="AF294" i="16" s="1"/>
  <c r="AF33" i="5"/>
  <c r="AF112" i="5" s="1"/>
  <c r="AF294" i="5" s="1"/>
  <c r="AF33" i="34"/>
  <c r="AF112" i="34" s="1"/>
  <c r="AF294" i="34" s="1"/>
  <c r="AG33" i="16"/>
  <c r="AG33" i="34"/>
  <c r="AG147" i="5"/>
  <c r="AD42" i="6"/>
  <c r="X543" i="11"/>
  <c r="AF23" i="35"/>
  <c r="X574" i="11"/>
  <c r="X781" i="11" s="1"/>
  <c r="Y538" i="11"/>
  <c r="AF133" i="35"/>
  <c r="AF46" i="35"/>
  <c r="X836" i="11"/>
  <c r="X890" i="11"/>
  <c r="AE90" i="36"/>
  <c r="AM138" i="56"/>
  <c r="AM139" i="56" s="1"/>
  <c r="AM138" i="26"/>
  <c r="AM139" i="26" s="1"/>
  <c r="X114" i="16"/>
  <c r="X171" i="16"/>
  <c r="AM139" i="55"/>
  <c r="X51" i="16"/>
  <c r="AM139" i="53"/>
  <c r="X113" i="16"/>
  <c r="X317" i="16" s="1"/>
  <c r="X73" i="16"/>
  <c r="AM139" i="52"/>
  <c r="AM139" i="51"/>
  <c r="AM139" i="54"/>
  <c r="W77" i="38"/>
  <c r="AB67" i="16"/>
  <c r="AB53" i="16" s="1"/>
  <c r="BD21" i="16" s="1"/>
  <c r="Y78" i="35"/>
  <c r="Y83" i="35" s="1"/>
  <c r="Z76" i="35" s="1"/>
  <c r="AH72" i="37"/>
  <c r="AH115" i="37"/>
  <c r="AH340" i="37" s="1"/>
  <c r="AH53" i="37"/>
  <c r="BJ21" i="37" s="1"/>
  <c r="AW4" i="53" s="1"/>
  <c r="AA874" i="11"/>
  <c r="AA362" i="11"/>
  <c r="AA380" i="11" s="1"/>
  <c r="AB115" i="34"/>
  <c r="AB340" i="34" s="1"/>
  <c r="AB53" i="34"/>
  <c r="BD21" i="34" s="1"/>
  <c r="AQ4" i="50" s="1"/>
  <c r="AB72" i="34"/>
  <c r="AB28" i="34"/>
  <c r="AQ136" i="50" s="1"/>
  <c r="Y335" i="11"/>
  <c r="AP4" i="56"/>
  <c r="AP4" i="26"/>
  <c r="X499" i="11"/>
  <c r="AF81" i="36"/>
  <c r="AF20" i="36"/>
  <c r="G171" i="50"/>
  <c r="E172" i="50"/>
  <c r="G172" i="50" s="1"/>
  <c r="G171" i="54"/>
  <c r="E172" i="54"/>
  <c r="G172" i="54" s="1"/>
  <c r="V347" i="11"/>
  <c r="W342" i="11" s="1"/>
  <c r="Y54" i="39"/>
  <c r="BA20" i="39"/>
  <c r="AN3" i="55" s="1"/>
  <c r="Y7" i="39"/>
  <c r="Z308" i="11"/>
  <c r="AA79" i="11"/>
  <c r="AA88" i="11" s="1"/>
  <c r="AR137" i="56"/>
  <c r="AC172" i="16"/>
  <c r="AR137" i="26"/>
  <c r="AC111" i="16"/>
  <c r="AC270" i="16" s="1"/>
  <c r="W97" i="39"/>
  <c r="W93" i="39"/>
  <c r="X86" i="39" s="1"/>
  <c r="V311" i="11"/>
  <c r="W306" i="11" s="1"/>
  <c r="Y263" i="11"/>
  <c r="Y352" i="11" s="1"/>
  <c r="W174" i="11"/>
  <c r="W253" i="11" s="1"/>
  <c r="W346" i="11" s="1"/>
  <c r="W283" i="11" s="1"/>
  <c r="AE67" i="39" s="1"/>
  <c r="AB62" i="39"/>
  <c r="AB64" i="39" s="1"/>
  <c r="AB8" i="39"/>
  <c r="Y218" i="11"/>
  <c r="Y353" i="11" s="1"/>
  <c r="Z262" i="11"/>
  <c r="Z343" i="11" s="1"/>
  <c r="Z217" i="11"/>
  <c r="Z344" i="11" s="1"/>
  <c r="AA208" i="11"/>
  <c r="AA54" i="36"/>
  <c r="BC20" i="36"/>
  <c r="AP3" i="52" s="1"/>
  <c r="AA7" i="36"/>
  <c r="AA7" i="35"/>
  <c r="AA54" i="35"/>
  <c r="BC20" i="35"/>
  <c r="AP3" i="51" s="1"/>
  <c r="AC33" i="6"/>
  <c r="AC49" i="6" s="1"/>
  <c r="AF148" i="5"/>
  <c r="AA173" i="38"/>
  <c r="AA48" i="38"/>
  <c r="AA110" i="38"/>
  <c r="AA244" i="38" s="1"/>
  <c r="AO143" i="56"/>
  <c r="Z142" i="39"/>
  <c r="Z114" i="5"/>
  <c r="AO143" i="55"/>
  <c r="Z142" i="38"/>
  <c r="Z51" i="5"/>
  <c r="AO143" i="51"/>
  <c r="AO144" i="51" s="1"/>
  <c r="Z142" i="37"/>
  <c r="AO143" i="52"/>
  <c r="Z142" i="36"/>
  <c r="Z113" i="5"/>
  <c r="Z317" i="5" s="1"/>
  <c r="AO143" i="50"/>
  <c r="AO144" i="50" s="1"/>
  <c r="Z142" i="34"/>
  <c r="Z73" i="5"/>
  <c r="AO143" i="26"/>
  <c r="Z142" i="35"/>
  <c r="Z142" i="5"/>
  <c r="Z142" i="16"/>
  <c r="AO143" i="54"/>
  <c r="Z171" i="5"/>
  <c r="AO143" i="53"/>
  <c r="AO144" i="53" s="1"/>
  <c r="AB196" i="11"/>
  <c r="AB232" i="11" s="1"/>
  <c r="AB61" i="11"/>
  <c r="AB65" i="11" s="1"/>
  <c r="AB56" i="11"/>
  <c r="AB180" i="11" s="1"/>
  <c r="AB181" i="11" s="1"/>
  <c r="G207" i="55"/>
  <c r="E152" i="55"/>
  <c r="Z84" i="35"/>
  <c r="S619" i="11"/>
  <c r="S628" i="11" s="1"/>
  <c r="S881" i="11" s="1"/>
  <c r="Y334" i="11"/>
  <c r="Y269" i="11"/>
  <c r="AL3" i="56"/>
  <c r="AL3" i="26"/>
  <c r="G171" i="53"/>
  <c r="E172" i="53"/>
  <c r="G172" i="53" s="1"/>
  <c r="AI148" i="37"/>
  <c r="AI145" i="37"/>
  <c r="Z307" i="11"/>
  <c r="AC172" i="38"/>
  <c r="AC111" i="38"/>
  <c r="AC270" i="38" s="1"/>
  <c r="Y54" i="5"/>
  <c r="W12" i="6" s="1"/>
  <c r="Y7" i="5"/>
  <c r="W6" i="37"/>
  <c r="W130" i="37"/>
  <c r="W136" i="37" s="1"/>
  <c r="W140" i="37" s="1"/>
  <c r="W97" i="16"/>
  <c r="W93" i="16"/>
  <c r="X86" i="16" s="1"/>
  <c r="W435" i="11"/>
  <c r="W776" i="11" s="1"/>
  <c r="AE19" i="38"/>
  <c r="AE80" i="35"/>
  <c r="Y54" i="34"/>
  <c r="Y7" i="34"/>
  <c r="BA20" i="34"/>
  <c r="AN3" i="50" s="1"/>
  <c r="W364" i="11"/>
  <c r="W382" i="11" s="1"/>
  <c r="W876" i="11"/>
  <c r="W378" i="11"/>
  <c r="G207" i="50"/>
  <c r="E152" i="50"/>
  <c r="G207" i="54"/>
  <c r="E152" i="54"/>
  <c r="AC34" i="11"/>
  <c r="AC38" i="11" s="1"/>
  <c r="AB38" i="11"/>
  <c r="AB32" i="11"/>
  <c r="AC32" i="11" s="1"/>
  <c r="AH148" i="36"/>
  <c r="AH145" i="36"/>
  <c r="AF100" i="36"/>
  <c r="AF101" i="36" s="1"/>
  <c r="AF100" i="37"/>
  <c r="AF101" i="37" s="1"/>
  <c r="AA54" i="39"/>
  <c r="BC20" i="39"/>
  <c r="AP3" i="55" s="1"/>
  <c r="AA7" i="39"/>
  <c r="G171" i="56"/>
  <c r="E172" i="56"/>
  <c r="G172" i="56" s="1"/>
  <c r="AB62" i="16"/>
  <c r="AB64" i="16" s="1"/>
  <c r="AB8" i="16"/>
  <c r="T8" i="11" s="1"/>
  <c r="X179" i="11"/>
  <c r="X183" i="11" s="1"/>
  <c r="W189" i="11"/>
  <c r="AA172" i="11"/>
  <c r="AA251" i="11" s="1"/>
  <c r="AA328" i="11" s="1"/>
  <c r="AA281" i="11" s="1"/>
  <c r="AI67" i="37" s="1"/>
  <c r="AB204" i="11"/>
  <c r="AA258" i="11"/>
  <c r="AA213" i="11"/>
  <c r="W130" i="39"/>
  <c r="W136" i="39" s="1"/>
  <c r="W140" i="39" s="1"/>
  <c r="W6" i="39"/>
  <c r="AB465" i="11"/>
  <c r="AB407" i="11"/>
  <c r="AB474" i="11"/>
  <c r="AB126" i="11"/>
  <c r="AB117" i="11"/>
  <c r="AJ12" i="37"/>
  <c r="W84" i="34"/>
  <c r="W77" i="34" s="1"/>
  <c r="X475" i="11"/>
  <c r="X466" i="11"/>
  <c r="X457" i="11"/>
  <c r="X408" i="11"/>
  <c r="X426" i="11" s="1"/>
  <c r="X118" i="11"/>
  <c r="X127" i="11"/>
  <c r="X146" i="11" s="1"/>
  <c r="AF12" i="38"/>
  <c r="AF12" i="16"/>
  <c r="Y81" i="11"/>
  <c r="W502" i="11"/>
  <c r="W511" i="11" s="1"/>
  <c r="AE128" i="35"/>
  <c r="AE21" i="35"/>
  <c r="AE104" i="35" s="1"/>
  <c r="AE196" i="35" s="1"/>
  <c r="W436" i="11"/>
  <c r="W777" i="11" s="1"/>
  <c r="AE19" i="39"/>
  <c r="G207" i="56"/>
  <c r="E152" i="56"/>
  <c r="AC173" i="35"/>
  <c r="AC48" i="35"/>
  <c r="AC110" i="35"/>
  <c r="AC244" i="35" s="1"/>
  <c r="AD148" i="34"/>
  <c r="AD145" i="34"/>
  <c r="AB62" i="38"/>
  <c r="AB64" i="38" s="1"/>
  <c r="AB8" i="38"/>
  <c r="AD80" i="34"/>
  <c r="V337" i="11"/>
  <c r="V282" i="11" s="1"/>
  <c r="AF62" i="37"/>
  <c r="AD94" i="16"/>
  <c r="Y171" i="38"/>
  <c r="Y114" i="38"/>
  <c r="Y51" i="38"/>
  <c r="Y73" i="38"/>
  <c r="Y113" i="38"/>
  <c r="Y317" i="38" s="1"/>
  <c r="X170" i="11"/>
  <c r="X249" i="11" s="1"/>
  <c r="E158" i="55"/>
  <c r="E158" i="51"/>
  <c r="E158" i="52"/>
  <c r="E158" i="53"/>
  <c r="E156" i="56"/>
  <c r="E158" i="56" s="1"/>
  <c r="E158" i="54"/>
  <c r="E158" i="50"/>
  <c r="AB28" i="5"/>
  <c r="AB6" i="5"/>
  <c r="AB115" i="5"/>
  <c r="AB340" i="5" s="1"/>
  <c r="AB53" i="5"/>
  <c r="P190" i="11"/>
  <c r="Z51" i="34"/>
  <c r="Z73" i="34"/>
  <c r="Z171" i="34"/>
  <c r="Z114" i="34"/>
  <c r="Z113" i="34"/>
  <c r="Z317" i="34" s="1"/>
  <c r="W130" i="16"/>
  <c r="W136" i="16" s="1"/>
  <c r="W140" i="16" s="1"/>
  <c r="W6" i="16"/>
  <c r="O6" i="11" s="1"/>
  <c r="W97" i="34"/>
  <c r="W93" i="34"/>
  <c r="X86" i="34" s="1"/>
  <c r="X87" i="34" s="1"/>
  <c r="AC62" i="35"/>
  <c r="AC64" i="35" s="1"/>
  <c r="AC8" i="35"/>
  <c r="P624" i="11"/>
  <c r="AE148" i="16"/>
  <c r="AE145" i="16"/>
  <c r="W428" i="11"/>
  <c r="AE19" i="16" s="1"/>
  <c r="W503" i="11"/>
  <c r="W512" i="11" s="1"/>
  <c r="AL59" i="39"/>
  <c r="I59" i="39"/>
  <c r="K59" i="39" s="1"/>
  <c r="AG148" i="36"/>
  <c r="AG145" i="36"/>
  <c r="AH80" i="37"/>
  <c r="U275" i="11"/>
  <c r="AC81" i="38"/>
  <c r="AC82" i="38" s="1"/>
  <c r="AC20" i="38"/>
  <c r="AP142" i="56"/>
  <c r="AP142" i="55"/>
  <c r="AP142" i="52"/>
  <c r="AP142" i="51"/>
  <c r="AA172" i="5"/>
  <c r="AP142" i="50"/>
  <c r="AP142" i="53"/>
  <c r="AP142" i="26"/>
  <c r="AP142" i="54"/>
  <c r="AA111" i="5"/>
  <c r="AA270" i="5" s="1"/>
  <c r="Z216" i="11"/>
  <c r="AA207" i="11"/>
  <c r="Z261" i="11"/>
  <c r="G171" i="26"/>
  <c r="E172" i="26"/>
  <c r="G172" i="26" s="1"/>
  <c r="AR142" i="56"/>
  <c r="AR142" i="54"/>
  <c r="AC172" i="5"/>
  <c r="AC111" i="5"/>
  <c r="AC270" i="5" s="1"/>
  <c r="AR142" i="50"/>
  <c r="AR142" i="55"/>
  <c r="AR142" i="26"/>
  <c r="AR142" i="53"/>
  <c r="AR142" i="51"/>
  <c r="AR142" i="52"/>
  <c r="AB53" i="38"/>
  <c r="BD21" i="38" s="1"/>
  <c r="AQ4" i="54" s="1"/>
  <c r="AB28" i="38"/>
  <c r="AQ136" i="54" s="1"/>
  <c r="AB115" i="38"/>
  <c r="AB340" i="38" s="1"/>
  <c r="AB72" i="38"/>
  <c r="G171" i="52"/>
  <c r="E172" i="52"/>
  <c r="G172" i="52" s="1"/>
  <c r="AD80" i="39"/>
  <c r="AN138" i="56"/>
  <c r="Y171" i="16"/>
  <c r="Y113" i="16"/>
  <c r="Y317" i="16" s="1"/>
  <c r="Y73" i="16"/>
  <c r="AN138" i="26"/>
  <c r="Y51" i="16"/>
  <c r="Y114" i="16"/>
  <c r="AA434" i="11"/>
  <c r="AA775" i="11" s="1"/>
  <c r="AI19" i="37"/>
  <c r="G207" i="52"/>
  <c r="E152" i="52"/>
  <c r="AB51" i="35"/>
  <c r="AB73" i="35"/>
  <c r="AB171" i="35"/>
  <c r="AB113" i="35"/>
  <c r="AB317" i="35" s="1"/>
  <c r="AB114" i="35"/>
  <c r="AN144" i="51"/>
  <c r="W130" i="34"/>
  <c r="W136" i="34" s="1"/>
  <c r="W140" i="34" s="1"/>
  <c r="W6" i="34"/>
  <c r="W97" i="35"/>
  <c r="W93" i="35"/>
  <c r="X86" i="35" s="1"/>
  <c r="AE148" i="38"/>
  <c r="AE145" i="38"/>
  <c r="AL59" i="5"/>
  <c r="I59" i="5"/>
  <c r="K59" i="5" s="1"/>
  <c r="AD72" i="35"/>
  <c r="AD53" i="35"/>
  <c r="BF21" i="35" s="1"/>
  <c r="AS4" i="51" s="1"/>
  <c r="AD115" i="35"/>
  <c r="AD340" i="35" s="1"/>
  <c r="AD28" i="35"/>
  <c r="AS136" i="51" s="1"/>
  <c r="Z259" i="11"/>
  <c r="Z316" i="11" s="1"/>
  <c r="AA205" i="11"/>
  <c r="AA214" i="11" s="1"/>
  <c r="AA317" i="11" s="1"/>
  <c r="AB33" i="6"/>
  <c r="AB49" i="6" s="1"/>
  <c r="AE148" i="5"/>
  <c r="AD20" i="35"/>
  <c r="AD81" i="35"/>
  <c r="AD82" i="35" s="1"/>
  <c r="Y171" i="11"/>
  <c r="Y250" i="11" s="1"/>
  <c r="Y319" i="11" s="1"/>
  <c r="Y280" i="11" s="1"/>
  <c r="AG67" i="36" s="1"/>
  <c r="Z214" i="11"/>
  <c r="Z317" i="11" s="1"/>
  <c r="AH128" i="37"/>
  <c r="AH21" i="37"/>
  <c r="AH104" i="37" s="1"/>
  <c r="AH196" i="37" s="1"/>
  <c r="V383" i="11"/>
  <c r="AC67" i="38"/>
  <c r="AC111" i="34"/>
  <c r="AC270" i="34" s="1"/>
  <c r="AC172" i="34"/>
  <c r="AG20" i="37"/>
  <c r="AG81" i="37"/>
  <c r="AG82" i="37" s="1"/>
  <c r="AA171" i="34"/>
  <c r="AA114" i="34"/>
  <c r="AA113" i="34"/>
  <c r="AA317" i="34" s="1"/>
  <c r="AA51" i="34"/>
  <c r="AA73" i="34"/>
  <c r="W59" i="16"/>
  <c r="AL57" i="16"/>
  <c r="I57" i="16" s="1"/>
  <c r="K57" i="16" s="1"/>
  <c r="U759" i="11"/>
  <c r="AC128" i="34"/>
  <c r="AC21" i="34"/>
  <c r="AC104" i="34" s="1"/>
  <c r="AC196" i="34" s="1"/>
  <c r="AC21" i="5"/>
  <c r="AQ142" i="56"/>
  <c r="AQ142" i="54"/>
  <c r="AQ142" i="52"/>
  <c r="AB172" i="5"/>
  <c r="AB111" i="5"/>
  <c r="AB270" i="5" s="1"/>
  <c r="AQ142" i="55"/>
  <c r="AQ142" i="53"/>
  <c r="AQ142" i="50"/>
  <c r="AQ142" i="26"/>
  <c r="AQ142" i="51"/>
  <c r="W78" i="39"/>
  <c r="W77" i="39"/>
  <c r="AB206" i="11"/>
  <c r="AA260" i="11"/>
  <c r="AA325" i="11" s="1"/>
  <c r="V758" i="11"/>
  <c r="AD128" i="39"/>
  <c r="AD21" i="39"/>
  <c r="AD104" i="39" s="1"/>
  <c r="AD196" i="39" s="1"/>
  <c r="AA495" i="11"/>
  <c r="AA496" i="11" s="1"/>
  <c r="AA486" i="11"/>
  <c r="AA487" i="11" s="1"/>
  <c r="AA200" i="11"/>
  <c r="AA139" i="11"/>
  <c r="W130" i="38"/>
  <c r="W136" i="38" s="1"/>
  <c r="W140" i="38" s="1"/>
  <c r="W6" i="38"/>
  <c r="W97" i="37"/>
  <c r="W93" i="37"/>
  <c r="X86" i="37" s="1"/>
  <c r="W363" i="11"/>
  <c r="W381" i="11" s="1"/>
  <c r="W875" i="11"/>
  <c r="AD199" i="11"/>
  <c r="F147" i="55"/>
  <c r="C32" i="55" s="1"/>
  <c r="V254" i="11"/>
  <c r="V272" i="11" s="1"/>
  <c r="W78" i="38"/>
  <c r="AD132" i="38"/>
  <c r="AD134" i="38" s="1"/>
  <c r="AD36" i="38"/>
  <c r="AD47" i="38" s="1"/>
  <c r="V513" i="11"/>
  <c r="AD132" i="16" s="1"/>
  <c r="AD134" i="16" s="1"/>
  <c r="V437" i="11"/>
  <c r="V778" i="11" s="1"/>
  <c r="W310" i="11"/>
  <c r="W279" i="11" s="1"/>
  <c r="AE67" i="35" s="1"/>
  <c r="Y873" i="11"/>
  <c r="Y361" i="11"/>
  <c r="Y379" i="11" s="1"/>
  <c r="AD80" i="16"/>
  <c r="AE145" i="34"/>
  <c r="AE148" i="34"/>
  <c r="G207" i="26"/>
  <c r="E152" i="26"/>
  <c r="W59" i="38"/>
  <c r="AL57" i="38"/>
  <c r="I57" i="38" s="1"/>
  <c r="K57" i="38" s="1"/>
  <c r="AB62" i="34"/>
  <c r="AB64" i="34" s="1"/>
  <c r="AB8" i="34"/>
  <c r="AH36" i="36"/>
  <c r="Y472" i="11"/>
  <c r="Y454" i="11"/>
  <c r="Y405" i="11"/>
  <c r="Y115" i="11"/>
  <c r="Y463" i="11"/>
  <c r="Y124" i="11"/>
  <c r="AG12" i="35"/>
  <c r="Z78" i="11"/>
  <c r="G171" i="51"/>
  <c r="E172" i="51"/>
  <c r="G172" i="51" s="1"/>
  <c r="AE62" i="36"/>
  <c r="AB172" i="34"/>
  <c r="AB111" i="34"/>
  <c r="AB270" i="34" s="1"/>
  <c r="X84" i="39"/>
  <c r="Q623" i="11"/>
  <c r="Q632" i="11" s="1"/>
  <c r="Q885" i="11" s="1"/>
  <c r="G207" i="53"/>
  <c r="E152" i="53"/>
  <c r="W130" i="36"/>
  <c r="W136" i="36" s="1"/>
  <c r="W140" i="36" s="1"/>
  <c r="W6" i="36"/>
  <c r="W97" i="36"/>
  <c r="W93" i="36"/>
  <c r="X86" i="36" s="1"/>
  <c r="X84" i="38"/>
  <c r="Q622" i="11"/>
  <c r="P633" i="11"/>
  <c r="P886" i="11" s="1"/>
  <c r="W173" i="11"/>
  <c r="W252" i="11" s="1"/>
  <c r="V365" i="11"/>
  <c r="X458" i="11"/>
  <c r="X409" i="11"/>
  <c r="X427" i="11" s="1"/>
  <c r="X476" i="11"/>
  <c r="X467" i="11"/>
  <c r="X119" i="11"/>
  <c r="X128" i="11"/>
  <c r="X147" i="11" s="1"/>
  <c r="AF12" i="39"/>
  <c r="Y82" i="11"/>
  <c r="Y91" i="11" s="1"/>
  <c r="AC197" i="11"/>
  <c r="AC136" i="11"/>
  <c r="AC62" i="11"/>
  <c r="AD62" i="11" s="1"/>
  <c r="F183" i="53" s="1"/>
  <c r="AD53" i="11"/>
  <c r="AC81" i="39"/>
  <c r="AC82" i="39" s="1"/>
  <c r="AC20" i="39"/>
  <c r="W120" i="11"/>
  <c r="Y433" i="11"/>
  <c r="Y774" i="11" s="1"/>
  <c r="AG19" i="36"/>
  <c r="AD80" i="38"/>
  <c r="AP141" i="56"/>
  <c r="AP141" i="51"/>
  <c r="AP141" i="52"/>
  <c r="AP141" i="54"/>
  <c r="AP141" i="53"/>
  <c r="AA173" i="5"/>
  <c r="AP141" i="26"/>
  <c r="AA110" i="5"/>
  <c r="AA244" i="5" s="1"/>
  <c r="AP141" i="50"/>
  <c r="AA48" i="5"/>
  <c r="AA118" i="5" s="1"/>
  <c r="AA388" i="5" s="1"/>
  <c r="AP141" i="55"/>
  <c r="AP136" i="56"/>
  <c r="AA48" i="16"/>
  <c r="AA118" i="16" s="1"/>
  <c r="AA388" i="16" s="1"/>
  <c r="AA110" i="16"/>
  <c r="AA244" i="16" s="1"/>
  <c r="AP136" i="26"/>
  <c r="AA173" i="16"/>
  <c r="AF148" i="35"/>
  <c r="AF145" i="35"/>
  <c r="G171" i="55"/>
  <c r="E172" i="55"/>
  <c r="G172" i="55" s="1"/>
  <c r="AB114" i="39"/>
  <c r="AB73" i="39"/>
  <c r="AB51" i="39"/>
  <c r="AB113" i="39"/>
  <c r="AB317" i="39" s="1"/>
  <c r="AB171" i="39"/>
  <c r="Z113" i="38"/>
  <c r="Z317" i="38" s="1"/>
  <c r="Z51" i="38"/>
  <c r="Z73" i="38"/>
  <c r="Z171" i="38"/>
  <c r="Z114" i="38"/>
  <c r="W6" i="35"/>
  <c r="W130" i="35"/>
  <c r="W136" i="35" s="1"/>
  <c r="W140" i="35" s="1"/>
  <c r="W93" i="38"/>
  <c r="X86" i="38" s="1"/>
  <c r="W97" i="38"/>
  <c r="G207" i="51"/>
  <c r="E152" i="51"/>
  <c r="AE145" i="39"/>
  <c r="AE148" i="39"/>
  <c r="AD53" i="39"/>
  <c r="BF21" i="39" s="1"/>
  <c r="AS4" i="55" s="1"/>
  <c r="AD115" i="39"/>
  <c r="AD340" i="39" s="1"/>
  <c r="AD72" i="39"/>
  <c r="AC198" i="11"/>
  <c r="AC137" i="11"/>
  <c r="AC63" i="11"/>
  <c r="AD63" i="11" s="1"/>
  <c r="AD54" i="11"/>
  <c r="U355" i="11"/>
  <c r="U284" i="11" s="1"/>
  <c r="AC67" i="34" s="1"/>
  <c r="U384" i="11"/>
  <c r="U385" i="11" s="1"/>
  <c r="Y500" i="11"/>
  <c r="Y509" i="11" s="1"/>
  <c r="Y87" i="11"/>
  <c r="V757" i="11"/>
  <c r="AD21" i="38"/>
  <c r="AD104" i="38" s="1"/>
  <c r="AD196" i="38" s="1"/>
  <c r="AD128" i="38"/>
  <c r="AD128" i="16"/>
  <c r="AD128" i="5"/>
  <c r="AC52" i="11"/>
  <c r="AD43" i="11"/>
  <c r="AC47" i="11"/>
  <c r="AD47" i="11" s="1"/>
  <c r="T356" i="11"/>
  <c r="U351" i="11" s="1"/>
  <c r="AG132" i="37" l="1"/>
  <c r="AG36" i="37"/>
  <c r="AA456" i="11"/>
  <c r="Z501" i="11"/>
  <c r="Z510" i="11" s="1"/>
  <c r="AD768" i="11"/>
  <c r="AL138" i="34" s="1"/>
  <c r="AL138" i="35"/>
  <c r="AL138" i="5"/>
  <c r="AL138" i="16"/>
  <c r="C248" i="11"/>
  <c r="B91" i="8"/>
  <c r="AK71" i="34"/>
  <c r="AL71" i="34" s="1"/>
  <c r="AK138" i="34"/>
  <c r="AC48" i="39"/>
  <c r="AC118" i="39" s="1"/>
  <c r="AC388" i="39" s="1"/>
  <c r="AC8" i="36"/>
  <c r="Z849" i="11"/>
  <c r="AA690" i="11"/>
  <c r="AI35" i="39" s="1"/>
  <c r="Q883" i="11"/>
  <c r="Y84" i="37"/>
  <c r="R621" i="11"/>
  <c r="R630" i="11" s="1"/>
  <c r="R811" i="11" s="1"/>
  <c r="AF47" i="36"/>
  <c r="AF134" i="36"/>
  <c r="X77" i="37"/>
  <c r="X83" i="37" s="1"/>
  <c r="Y76" i="37" s="1"/>
  <c r="Q882" i="11"/>
  <c r="R620" i="11"/>
  <c r="R629" i="11" s="1"/>
  <c r="Q810" i="11"/>
  <c r="Y84" i="36"/>
  <c r="X7" i="34"/>
  <c r="AH19" i="36"/>
  <c r="X54" i="34"/>
  <c r="AD94" i="38"/>
  <c r="AF100" i="35"/>
  <c r="AF101" i="35" s="1"/>
  <c r="X209" i="11"/>
  <c r="AF100" i="38"/>
  <c r="AF101" i="38" s="1"/>
  <c r="X360" i="11"/>
  <c r="X378" i="11" s="1"/>
  <c r="AF12" i="5"/>
  <c r="AG148" i="5" s="1"/>
  <c r="AF100" i="39"/>
  <c r="AF101" i="39" s="1"/>
  <c r="AF12" i="34"/>
  <c r="AF145" i="34" s="1"/>
  <c r="X102" i="11"/>
  <c r="AF100" i="16"/>
  <c r="AF101" i="16" s="1"/>
  <c r="X84" i="11"/>
  <c r="AG41" i="34"/>
  <c r="AF100" i="34"/>
  <c r="AF101" i="34" s="1"/>
  <c r="AF82" i="36"/>
  <c r="W52" i="6"/>
  <c r="W17" i="6"/>
  <c r="O138" i="24" s="1"/>
  <c r="AG33" i="5"/>
  <c r="AA669" i="11"/>
  <c r="AI33" i="36" s="1"/>
  <c r="W827" i="11"/>
  <c r="X785" i="11"/>
  <c r="X584" i="11"/>
  <c r="X593" i="11" s="1"/>
  <c r="X611" i="11" s="1"/>
  <c r="AU137" i="52"/>
  <c r="AF117" i="36"/>
  <c r="AF364" i="36" s="1"/>
  <c r="AF111" i="36"/>
  <c r="AF270" i="36" s="1"/>
  <c r="AF172" i="36"/>
  <c r="AC110" i="39"/>
  <c r="AC244" i="39" s="1"/>
  <c r="W78" i="34"/>
  <c r="W83" i="34" s="1"/>
  <c r="X76" i="34" s="1"/>
  <c r="AC173" i="39"/>
  <c r="X78" i="36"/>
  <c r="X83" i="36" s="1"/>
  <c r="Y76" i="36" s="1"/>
  <c r="Y77" i="36" s="1"/>
  <c r="AO138" i="26"/>
  <c r="AO139" i="26" s="1"/>
  <c r="Z114" i="16"/>
  <c r="Z73" i="16"/>
  <c r="Z113" i="16"/>
  <c r="Z317" i="16" s="1"/>
  <c r="AD111" i="39"/>
  <c r="AD270" i="39" s="1"/>
  <c r="Z171" i="16"/>
  <c r="AF19" i="35"/>
  <c r="AC81" i="16"/>
  <c r="AC82" i="16" s="1"/>
  <c r="Z51" i="16"/>
  <c r="Z54" i="16" s="1"/>
  <c r="AC20" i="16"/>
  <c r="AO138" i="56"/>
  <c r="AO139" i="56" s="1"/>
  <c r="W254" i="11"/>
  <c r="AA678" i="11"/>
  <c r="AI34" i="36" s="1"/>
  <c r="Z656" i="11"/>
  <c r="Z558" i="11"/>
  <c r="AA733" i="11"/>
  <c r="AA398" i="11"/>
  <c r="AI94" i="37" s="1"/>
  <c r="AA736" i="11"/>
  <c r="AI43" i="38" s="1"/>
  <c r="Z683" i="11"/>
  <c r="X477" i="11"/>
  <c r="X478" i="11" s="1"/>
  <c r="AA737" i="11"/>
  <c r="AI43" i="39" s="1"/>
  <c r="U356" i="11"/>
  <c r="V351" i="11" s="1"/>
  <c r="AD117" i="38"/>
  <c r="AD364" i="38" s="1"/>
  <c r="AS137" i="54"/>
  <c r="AC118" i="35"/>
  <c r="AC388" i="35" s="1"/>
  <c r="AR138" i="51"/>
  <c r="Y709" i="11"/>
  <c r="AG37" i="16"/>
  <c r="AG37" i="35"/>
  <c r="AD117" i="39"/>
  <c r="AD364" i="39" s="1"/>
  <c r="AS137" i="55"/>
  <c r="I59" i="34"/>
  <c r="AL59" i="34"/>
  <c r="AF37" i="5"/>
  <c r="AF37" i="34"/>
  <c r="Z361" i="11"/>
  <c r="Z379" i="11" s="1"/>
  <c r="AA329" i="11"/>
  <c r="AB324" i="11" s="1"/>
  <c r="AA118" i="38"/>
  <c r="AA388" i="38" s="1"/>
  <c r="AP138" i="54"/>
  <c r="AP139" i="54" s="1"/>
  <c r="W83" i="38"/>
  <c r="X76" i="38" s="1"/>
  <c r="X78" i="38" s="1"/>
  <c r="V83" i="16"/>
  <c r="W76" i="16" s="1"/>
  <c r="W77" i="16" s="1"/>
  <c r="Y894" i="11"/>
  <c r="Y397" i="11"/>
  <c r="AG94" i="36" s="1"/>
  <c r="AA714" i="11"/>
  <c r="AI41" i="36" s="1"/>
  <c r="AA660" i="11"/>
  <c r="AI32" i="36" s="1"/>
  <c r="Y840" i="11"/>
  <c r="X129" i="11"/>
  <c r="AA734" i="11"/>
  <c r="AI43" i="36" s="1"/>
  <c r="AG46" i="39"/>
  <c r="AA671" i="11"/>
  <c r="AI33" i="38" s="1"/>
  <c r="AA651" i="11"/>
  <c r="AI31" i="36" s="1"/>
  <c r="Z674" i="11"/>
  <c r="Z171" i="11"/>
  <c r="Z250" i="11" s="1"/>
  <c r="Z319" i="11" s="1"/>
  <c r="Z280" i="11" s="1"/>
  <c r="AH67" i="36" s="1"/>
  <c r="Z848" i="11"/>
  <c r="Z682" i="11"/>
  <c r="AH34" i="5" s="1"/>
  <c r="AD132" i="5"/>
  <c r="AD134" i="5" s="1"/>
  <c r="W400" i="11"/>
  <c r="AE94" i="39" s="1"/>
  <c r="AD36" i="16"/>
  <c r="AD47" i="16" s="1"/>
  <c r="AD117" i="16" s="1"/>
  <c r="AD364" i="16" s="1"/>
  <c r="X468" i="11"/>
  <c r="AA672" i="11"/>
  <c r="AI33" i="39" s="1"/>
  <c r="AD28" i="39"/>
  <c r="W830" i="11"/>
  <c r="W347" i="11"/>
  <c r="X342" i="11" s="1"/>
  <c r="Z744" i="11"/>
  <c r="AH46" i="37" s="1"/>
  <c r="AO139" i="50"/>
  <c r="AH34" i="16"/>
  <c r="V275" i="11"/>
  <c r="AD67" i="5" s="1"/>
  <c r="V273" i="11"/>
  <c r="W268" i="11" s="1"/>
  <c r="AI31" i="38"/>
  <c r="Y143" i="11"/>
  <c r="Y872" i="11" s="1"/>
  <c r="AA695" i="11"/>
  <c r="AA529" i="11"/>
  <c r="AA556" i="11" s="1"/>
  <c r="AA525" i="11"/>
  <c r="AB601" i="11"/>
  <c r="AI13" i="35"/>
  <c r="AA565" i="11"/>
  <c r="V866" i="11"/>
  <c r="V902" i="11"/>
  <c r="X503" i="11"/>
  <c r="X512" i="11" s="1"/>
  <c r="AF132" i="39" s="1"/>
  <c r="AF134" i="39" s="1"/>
  <c r="W399" i="11"/>
  <c r="AE94" i="38" s="1"/>
  <c r="Y83" i="11"/>
  <c r="AG100" i="39" s="1"/>
  <c r="AG101" i="39" s="1"/>
  <c r="V867" i="11"/>
  <c r="V903" i="11"/>
  <c r="AF90" i="35"/>
  <c r="AA735" i="11"/>
  <c r="AI43" i="37" s="1"/>
  <c r="AF90" i="36"/>
  <c r="AH13" i="16"/>
  <c r="AH99" i="36"/>
  <c r="AH13" i="34"/>
  <c r="AH99" i="34"/>
  <c r="AH13" i="5"/>
  <c r="AH99" i="37"/>
  <c r="AH99" i="39"/>
  <c r="AH99" i="38"/>
  <c r="AH99" i="35"/>
  <c r="AH99" i="16"/>
  <c r="Z704" i="11"/>
  <c r="Z700" i="11"/>
  <c r="V605" i="11"/>
  <c r="V606" i="11" s="1"/>
  <c r="V614" i="11"/>
  <c r="W614" i="11" s="1"/>
  <c r="X614" i="11" s="1"/>
  <c r="AA689" i="11"/>
  <c r="AI35" i="38" s="1"/>
  <c r="AA680" i="11"/>
  <c r="AI34" i="38" s="1"/>
  <c r="W612" i="11"/>
  <c r="W603" i="11"/>
  <c r="AE132" i="35"/>
  <c r="AE134" i="35" s="1"/>
  <c r="AE36" i="35"/>
  <c r="AE47" i="35" s="1"/>
  <c r="AT137" i="51" s="1"/>
  <c r="W597" i="11"/>
  <c r="X586" i="11"/>
  <c r="X595" i="11" s="1"/>
  <c r="AE90" i="16"/>
  <c r="AD24" i="16"/>
  <c r="AD63" i="16" s="1"/>
  <c r="AD91" i="16"/>
  <c r="AD92" i="16" s="1"/>
  <c r="AA663" i="11"/>
  <c r="AI32" i="39" s="1"/>
  <c r="Z746" i="11"/>
  <c r="AF25" i="39"/>
  <c r="AF129" i="39"/>
  <c r="Y837" i="11"/>
  <c r="AG133" i="36"/>
  <c r="AG46" i="36"/>
  <c r="Y891" i="11"/>
  <c r="Z774" i="11"/>
  <c r="W437" i="11"/>
  <c r="W778" i="11" s="1"/>
  <c r="X428" i="11"/>
  <c r="X583" i="11"/>
  <c r="AH147" i="36"/>
  <c r="AH112" i="36"/>
  <c r="AH294" i="36" s="1"/>
  <c r="AI43" i="35"/>
  <c r="AA659" i="11"/>
  <c r="AA713" i="11"/>
  <c r="AB713" i="11" s="1"/>
  <c r="AA716" i="11"/>
  <c r="AI41" i="38" s="1"/>
  <c r="AF133" i="5"/>
  <c r="AF133" i="16"/>
  <c r="AF46" i="16"/>
  <c r="X841" i="11"/>
  <c r="AF46" i="34"/>
  <c r="AF133" i="34"/>
  <c r="X895" i="11"/>
  <c r="Z745" i="11"/>
  <c r="Z749" i="11"/>
  <c r="AA749" i="11" s="1"/>
  <c r="AG112" i="5"/>
  <c r="AG294" i="5" s="1"/>
  <c r="AH147" i="5"/>
  <c r="AE42" i="6"/>
  <c r="Z719" i="11"/>
  <c r="AG31" i="16"/>
  <c r="Y747" i="11"/>
  <c r="AG31" i="34"/>
  <c r="AG31" i="5"/>
  <c r="Z560" i="11"/>
  <c r="AC118" i="37"/>
  <c r="AC388" i="37" s="1"/>
  <c r="AC73" i="37"/>
  <c r="AC113" i="37"/>
  <c r="AC317" i="37" s="1"/>
  <c r="AC114" i="37"/>
  <c r="AC51" i="37"/>
  <c r="AC171" i="37"/>
  <c r="W605" i="11"/>
  <c r="AG133" i="38"/>
  <c r="AG46" i="38"/>
  <c r="Y839" i="11"/>
  <c r="Y893" i="11"/>
  <c r="AA697" i="11"/>
  <c r="AA706" i="11" s="1"/>
  <c r="AA567" i="11"/>
  <c r="AB670" i="11"/>
  <c r="AA531" i="11"/>
  <c r="AA549" i="11" s="1"/>
  <c r="AB549" i="11" s="1"/>
  <c r="AA847" i="11"/>
  <c r="AI13" i="37"/>
  <c r="AB603" i="11"/>
  <c r="AH35" i="35"/>
  <c r="Z691" i="11"/>
  <c r="Q624" i="11"/>
  <c r="W863" i="11"/>
  <c r="W899" i="11"/>
  <c r="X502" i="11"/>
  <c r="X511" i="11" s="1"/>
  <c r="AF132" i="38" s="1"/>
  <c r="AF134" i="38" s="1"/>
  <c r="Z557" i="11"/>
  <c r="AF25" i="36"/>
  <c r="AF105" i="36" s="1"/>
  <c r="AF220" i="36" s="1"/>
  <c r="AF129" i="36"/>
  <c r="X828" i="11"/>
  <c r="X755" i="11"/>
  <c r="AH147" i="35"/>
  <c r="AA662" i="11"/>
  <c r="AI32" i="38" s="1"/>
  <c r="AA652" i="11"/>
  <c r="AB652" i="11" s="1"/>
  <c r="BD20" i="36"/>
  <c r="AQ3" i="52" s="1"/>
  <c r="AB7" i="36"/>
  <c r="AB54" i="36"/>
  <c r="Z738" i="11"/>
  <c r="AA739" i="11" s="1"/>
  <c r="AH43" i="35"/>
  <c r="W175" i="11"/>
  <c r="W188" i="11" s="1"/>
  <c r="Z547" i="11"/>
  <c r="Y576" i="11"/>
  <c r="Y783" i="11" s="1"/>
  <c r="AG23" i="37"/>
  <c r="Z540" i="11"/>
  <c r="AE91" i="39"/>
  <c r="AE92" i="39" s="1"/>
  <c r="AE24" i="39"/>
  <c r="AE63" i="39" s="1"/>
  <c r="AD48" i="37"/>
  <c r="AS138" i="53" s="1"/>
  <c r="AD110" i="37"/>
  <c r="AD244" i="37" s="1"/>
  <c r="AD173" i="37"/>
  <c r="AG112" i="16"/>
  <c r="AG294" i="16" s="1"/>
  <c r="AG147" i="16"/>
  <c r="Y836" i="11"/>
  <c r="AG133" i="35"/>
  <c r="AG46" i="35"/>
  <c r="Y890" i="11"/>
  <c r="AA717" i="11"/>
  <c r="AI41" i="39" s="1"/>
  <c r="AA654" i="11"/>
  <c r="AB654" i="11" s="1"/>
  <c r="Y578" i="11"/>
  <c r="AG23" i="39"/>
  <c r="Z542" i="11"/>
  <c r="W588" i="11"/>
  <c r="AA686" i="11"/>
  <c r="AB686" i="11" s="1"/>
  <c r="AA688" i="11"/>
  <c r="AI35" i="37" s="1"/>
  <c r="Z742" i="11"/>
  <c r="Z655" i="11"/>
  <c r="AA656" i="11" s="1"/>
  <c r="AH31" i="35"/>
  <c r="AE24" i="36"/>
  <c r="AE91" i="36"/>
  <c r="AE92" i="36" s="1"/>
  <c r="AE28" i="36"/>
  <c r="AT136" i="52" s="1"/>
  <c r="AF25" i="38"/>
  <c r="AF105" i="38" s="1"/>
  <c r="AF220" i="38" s="1"/>
  <c r="AF129" i="38"/>
  <c r="AD21" i="16"/>
  <c r="AD104" i="16" s="1"/>
  <c r="AD196" i="16" s="1"/>
  <c r="X84" i="16"/>
  <c r="Y423" i="11"/>
  <c r="AG19" i="35" s="1"/>
  <c r="U868" i="11"/>
  <c r="U904" i="11"/>
  <c r="AB425" i="11"/>
  <c r="AJ19" i="37" s="1"/>
  <c r="AB136" i="11"/>
  <c r="AB145" i="11" s="1"/>
  <c r="AB318" i="11"/>
  <c r="AD318" i="11" s="1"/>
  <c r="AD232" i="11"/>
  <c r="AD236" i="11" s="1"/>
  <c r="AB236" i="11"/>
  <c r="X508" i="11"/>
  <c r="X827" i="11" s="1"/>
  <c r="AG43" i="16"/>
  <c r="AG43" i="34"/>
  <c r="AG43" i="5"/>
  <c r="Y90" i="11"/>
  <c r="Y92" i="11" s="1"/>
  <c r="AA687" i="11"/>
  <c r="AI35" i="36" s="1"/>
  <c r="AB602" i="11"/>
  <c r="AI13" i="36"/>
  <c r="AB714" i="11"/>
  <c r="AB669" i="11"/>
  <c r="AA566" i="11"/>
  <c r="AA530" i="11"/>
  <c r="AA557" i="11" s="1"/>
  <c r="AB733" i="11"/>
  <c r="AA696" i="11"/>
  <c r="AA705" i="11" s="1"/>
  <c r="AA668" i="11"/>
  <c r="AA845" i="11" s="1"/>
  <c r="Z559" i="11"/>
  <c r="V597" i="11"/>
  <c r="V615" i="11" s="1"/>
  <c r="Y838" i="11"/>
  <c r="AG46" i="37"/>
  <c r="AG47" i="37" s="1"/>
  <c r="AV137" i="53" s="1"/>
  <c r="AG133" i="37"/>
  <c r="AG134" i="37" s="1"/>
  <c r="Y892" i="11"/>
  <c r="AF90" i="37"/>
  <c r="Z673" i="11"/>
  <c r="Z850" i="11" s="1"/>
  <c r="AH33" i="35"/>
  <c r="AH112" i="35" s="1"/>
  <c r="AH294" i="35" s="1"/>
  <c r="Z665" i="11"/>
  <c r="AH147" i="39"/>
  <c r="AH112" i="39"/>
  <c r="AH294" i="39" s="1"/>
  <c r="Z718" i="11"/>
  <c r="AD117" i="35"/>
  <c r="AD364" i="35" s="1"/>
  <c r="AD111" i="35"/>
  <c r="AD270" i="35" s="1"/>
  <c r="AD172" i="35"/>
  <c r="AA679" i="11"/>
  <c r="AI34" i="37" s="1"/>
  <c r="W865" i="11"/>
  <c r="W901" i="11"/>
  <c r="AE91" i="38"/>
  <c r="AE92" i="38" s="1"/>
  <c r="AE24" i="38"/>
  <c r="AE63" i="38" s="1"/>
  <c r="AC118" i="36"/>
  <c r="AC388" i="36" s="1"/>
  <c r="AC113" i="36"/>
  <c r="AC317" i="36" s="1"/>
  <c r="AC73" i="36"/>
  <c r="AC51" i="36"/>
  <c r="AC171" i="36"/>
  <c r="AC114" i="36"/>
  <c r="AF129" i="37"/>
  <c r="AF25" i="37"/>
  <c r="AF105" i="37" s="1"/>
  <c r="AF220" i="37" s="1"/>
  <c r="X829" i="11"/>
  <c r="X756" i="11"/>
  <c r="Z664" i="11"/>
  <c r="AA665" i="11" s="1"/>
  <c r="AH32" i="35"/>
  <c r="X459" i="11"/>
  <c r="AD63" i="37"/>
  <c r="AD64" i="37" s="1"/>
  <c r="AD8" i="37"/>
  <c r="AD91" i="34"/>
  <c r="AD92" i="34" s="1"/>
  <c r="AD24" i="34"/>
  <c r="AD63" i="34" s="1"/>
  <c r="AE24" i="35"/>
  <c r="AE63" i="35" s="1"/>
  <c r="AE91" i="35"/>
  <c r="AE92" i="35" s="1"/>
  <c r="AA681" i="11"/>
  <c r="AI34" i="39" s="1"/>
  <c r="X605" i="11"/>
  <c r="AF23" i="16"/>
  <c r="AF23" i="5"/>
  <c r="AF23" i="34"/>
  <c r="Z838" i="11"/>
  <c r="X396" i="11"/>
  <c r="AF94" i="35" s="1"/>
  <c r="W831" i="11"/>
  <c r="S809" i="11"/>
  <c r="Y543" i="11"/>
  <c r="Y574" i="11"/>
  <c r="Y781" i="11" s="1"/>
  <c r="AG23" i="35"/>
  <c r="Z538" i="11"/>
  <c r="AG23" i="36"/>
  <c r="Y575" i="11"/>
  <c r="Y584" i="11" s="1"/>
  <c r="Y593" i="11" s="1"/>
  <c r="Z539" i="11"/>
  <c r="AD110" i="36"/>
  <c r="AD244" i="36" s="1"/>
  <c r="AD173" i="36"/>
  <c r="AD48" i="36"/>
  <c r="AS138" i="52" s="1"/>
  <c r="AA677" i="11"/>
  <c r="AI34" i="35" s="1"/>
  <c r="AB604" i="11"/>
  <c r="AA698" i="11"/>
  <c r="AA707" i="11" s="1"/>
  <c r="AA568" i="11"/>
  <c r="AB653" i="11"/>
  <c r="AI13" i="38"/>
  <c r="AA532" i="11"/>
  <c r="AA550" i="11" s="1"/>
  <c r="AB550" i="11" s="1"/>
  <c r="AH147" i="37"/>
  <c r="AH112" i="37"/>
  <c r="AH294" i="37" s="1"/>
  <c r="AE24" i="37"/>
  <c r="AE91" i="37"/>
  <c r="AE92" i="37" s="1"/>
  <c r="AE28" i="37"/>
  <c r="AT136" i="53" s="1"/>
  <c r="X585" i="11"/>
  <c r="X594" i="11" s="1"/>
  <c r="AE105" i="38"/>
  <c r="AE220" i="38" s="1"/>
  <c r="AF111" i="37"/>
  <c r="AF270" i="37" s="1"/>
  <c r="AF172" i="37"/>
  <c r="AF117" i="37"/>
  <c r="AF364" i="37" s="1"/>
  <c r="AG35" i="16"/>
  <c r="AG35" i="5"/>
  <c r="AG35" i="34"/>
  <c r="AG23" i="38"/>
  <c r="Y577" i="11"/>
  <c r="Y586" i="11" s="1"/>
  <c r="Y595" i="11" s="1"/>
  <c r="Z541" i="11"/>
  <c r="AG34" i="16"/>
  <c r="AG34" i="5"/>
  <c r="AG34" i="34"/>
  <c r="X410" i="11"/>
  <c r="AE25" i="16"/>
  <c r="AE105" i="16" s="1"/>
  <c r="AE220" i="16" s="1"/>
  <c r="AE129" i="5"/>
  <c r="AE129" i="16"/>
  <c r="AE25" i="5"/>
  <c r="AE24" i="5" s="1"/>
  <c r="AE63" i="5" s="1"/>
  <c r="AE129" i="34"/>
  <c r="AE25" i="34"/>
  <c r="AE105" i="34" s="1"/>
  <c r="AE220" i="34" s="1"/>
  <c r="BD20" i="37"/>
  <c r="AQ3" i="53" s="1"/>
  <c r="AB54" i="37"/>
  <c r="AB7" i="37"/>
  <c r="AB663" i="11"/>
  <c r="AA849" i="11"/>
  <c r="AB605" i="11"/>
  <c r="AI13" i="39"/>
  <c r="AA699" i="11"/>
  <c r="AA708" i="11" s="1"/>
  <c r="AB690" i="11"/>
  <c r="AA569" i="11"/>
  <c r="AA533" i="11"/>
  <c r="AA551" i="11" s="1"/>
  <c r="AB551" i="11" s="1"/>
  <c r="AB672" i="11"/>
  <c r="AC20" i="5"/>
  <c r="AC62" i="5" s="1"/>
  <c r="AC64" i="5" s="1"/>
  <c r="AC104" i="5"/>
  <c r="AC196" i="5" s="1"/>
  <c r="Q813" i="11"/>
  <c r="P814" i="11"/>
  <c r="X579" i="11"/>
  <c r="AF25" i="35"/>
  <c r="AF129" i="35"/>
  <c r="AD63" i="36"/>
  <c r="AD64" i="36" s="1"/>
  <c r="AD8" i="36"/>
  <c r="Z534" i="11"/>
  <c r="Z561" i="11" s="1"/>
  <c r="Z570" i="11"/>
  <c r="AA650" i="11"/>
  <c r="AB650" i="11" s="1"/>
  <c r="AH112" i="38"/>
  <c r="AH294" i="38" s="1"/>
  <c r="AH147" i="38"/>
  <c r="AA715" i="11"/>
  <c r="AI41" i="37" s="1"/>
  <c r="AA661" i="11"/>
  <c r="AI32" i="37" s="1"/>
  <c r="X783" i="11"/>
  <c r="W504" i="11"/>
  <c r="W505" i="11" s="1"/>
  <c r="W864" i="11"/>
  <c r="W900" i="11"/>
  <c r="AF90" i="38"/>
  <c r="AE90" i="34"/>
  <c r="Z739" i="11"/>
  <c r="AG147" i="34"/>
  <c r="AG112" i="34"/>
  <c r="AG294" i="34" s="1"/>
  <c r="Z692" i="11"/>
  <c r="AF105" i="39"/>
  <c r="AF220" i="39" s="1"/>
  <c r="AF90" i="39"/>
  <c r="Z743" i="11"/>
  <c r="AB28" i="16"/>
  <c r="AQ136" i="26" s="1"/>
  <c r="X54" i="16"/>
  <c r="X7" i="16"/>
  <c r="P7" i="11" s="1"/>
  <c r="AZ20" i="16"/>
  <c r="AB72" i="16"/>
  <c r="AB115" i="16"/>
  <c r="AB340" i="16" s="1"/>
  <c r="Y270" i="11"/>
  <c r="AC67" i="16"/>
  <c r="AC115" i="16" s="1"/>
  <c r="AC340" i="16" s="1"/>
  <c r="W83" i="39"/>
  <c r="X76" i="39" s="1"/>
  <c r="X77" i="39" s="1"/>
  <c r="AO139" i="51"/>
  <c r="Y84" i="39"/>
  <c r="R623" i="11"/>
  <c r="R632" i="11" s="1"/>
  <c r="R885" i="11" s="1"/>
  <c r="W355" i="11"/>
  <c r="W284" i="11" s="1"/>
  <c r="AE67" i="34" s="1"/>
  <c r="W384" i="11"/>
  <c r="AF19" i="34"/>
  <c r="AF19" i="5"/>
  <c r="AE94" i="16"/>
  <c r="Y458" i="11"/>
  <c r="Y409" i="11"/>
  <c r="Y427" i="11" s="1"/>
  <c r="Y476" i="11"/>
  <c r="Y467" i="11"/>
  <c r="Y119" i="11"/>
  <c r="Y128" i="11"/>
  <c r="Y147" i="11" s="1"/>
  <c r="AG12" i="39"/>
  <c r="Z82" i="11"/>
  <c r="Z91" i="11" s="1"/>
  <c r="G210" i="53"/>
  <c r="E153" i="53"/>
  <c r="G211" i="53" s="1"/>
  <c r="AE115" i="35"/>
  <c r="AE340" i="35" s="1"/>
  <c r="AE53" i="35"/>
  <c r="BG21" i="35" s="1"/>
  <c r="AT4" i="51" s="1"/>
  <c r="AE72" i="35"/>
  <c r="AE28" i="35"/>
  <c r="AT136" i="51" s="1"/>
  <c r="AD132" i="34"/>
  <c r="AD134" i="34" s="1"/>
  <c r="AD36" i="34"/>
  <c r="AD47" i="34" s="1"/>
  <c r="AD36" i="5"/>
  <c r="AD47" i="5" s="1"/>
  <c r="AD117" i="5" s="1"/>
  <c r="AD364" i="5" s="1"/>
  <c r="AH80" i="36"/>
  <c r="Y54" i="16"/>
  <c r="BA20" i="16"/>
  <c r="Y7" i="16"/>
  <c r="Q7" i="11" s="1"/>
  <c r="AN139" i="56"/>
  <c r="AC62" i="38"/>
  <c r="AC64" i="38" s="1"/>
  <c r="AC8" i="38"/>
  <c r="Z7" i="34"/>
  <c r="BB20" i="34"/>
  <c r="AO3" i="50" s="1"/>
  <c r="Z54" i="34"/>
  <c r="AQ141" i="56"/>
  <c r="AB173" i="5"/>
  <c r="AQ141" i="51"/>
  <c r="AQ141" i="52"/>
  <c r="AQ141" i="54"/>
  <c r="AQ141" i="53"/>
  <c r="AQ141" i="55"/>
  <c r="AB110" i="5"/>
  <c r="AB244" i="5" s="1"/>
  <c r="AQ141" i="50"/>
  <c r="AB48" i="5"/>
  <c r="AB118" i="5" s="1"/>
  <c r="AB388" i="5" s="1"/>
  <c r="AQ141" i="26"/>
  <c r="AE20" i="35"/>
  <c r="AE81" i="35"/>
  <c r="AE82" i="35" s="1"/>
  <c r="X363" i="11"/>
  <c r="X381" i="11" s="1"/>
  <c r="X875" i="11"/>
  <c r="AJ148" i="37"/>
  <c r="AJ145" i="37"/>
  <c r="AB79" i="11"/>
  <c r="AB107" i="11" s="1"/>
  <c r="AD107" i="11" s="1"/>
  <c r="F228" i="52" s="1"/>
  <c r="G228" i="52" s="1"/>
  <c r="W311" i="11"/>
  <c r="X306" i="11" s="1"/>
  <c r="AC196" i="11"/>
  <c r="AC135" i="11"/>
  <c r="AC61" i="11"/>
  <c r="AD52" i="11"/>
  <c r="AC56" i="11"/>
  <c r="AC180" i="11" s="1"/>
  <c r="AC181" i="11" s="1"/>
  <c r="Z87" i="11"/>
  <c r="AD198" i="11"/>
  <c r="F147" i="54"/>
  <c r="C32" i="54" s="1"/>
  <c r="AB54" i="39"/>
  <c r="BD20" i="39"/>
  <c r="AQ3" i="55" s="1"/>
  <c r="AB7" i="39"/>
  <c r="AP138" i="56"/>
  <c r="AP139" i="56" s="1"/>
  <c r="AA51" i="16"/>
  <c r="AP139" i="53"/>
  <c r="AA171" i="16"/>
  <c r="AA114" i="16"/>
  <c r="AP139" i="55"/>
  <c r="AP139" i="52"/>
  <c r="AP138" i="26"/>
  <c r="AP139" i="50"/>
  <c r="AP139" i="51"/>
  <c r="AA113" i="16"/>
  <c r="AA317" i="16" s="1"/>
  <c r="AA73" i="16"/>
  <c r="AD197" i="11"/>
  <c r="F147" i="53"/>
  <c r="C32" i="53" s="1"/>
  <c r="AF145" i="39"/>
  <c r="AF148" i="39"/>
  <c r="X84" i="34"/>
  <c r="AB260" i="11"/>
  <c r="AC206" i="11"/>
  <c r="AC260" i="11" s="1"/>
  <c r="AC325" i="11" s="1"/>
  <c r="AC20" i="34"/>
  <c r="AC81" i="34"/>
  <c r="AC82" i="34" s="1"/>
  <c r="AH21" i="36"/>
  <c r="AH104" i="36" s="1"/>
  <c r="AH196" i="36" s="1"/>
  <c r="AH128" i="36"/>
  <c r="AG115" i="36"/>
  <c r="AG340" i="36" s="1"/>
  <c r="AG72" i="36"/>
  <c r="AG53" i="36"/>
  <c r="BI21" i="36" s="1"/>
  <c r="AV4" i="52" s="1"/>
  <c r="AI80" i="37"/>
  <c r="AN139" i="50"/>
  <c r="AB215" i="11"/>
  <c r="X173" i="11"/>
  <c r="X252" i="11" s="1"/>
  <c r="AB901" i="11"/>
  <c r="AB398" i="11"/>
  <c r="AJ94" i="37" s="1"/>
  <c r="AB172" i="11"/>
  <c r="AA308" i="11"/>
  <c r="Y179" i="11"/>
  <c r="Y183" i="11" s="1"/>
  <c r="X189" i="11"/>
  <c r="AE80" i="16"/>
  <c r="G210" i="55"/>
  <c r="E153" i="55"/>
  <c r="G211" i="55" s="1"/>
  <c r="AO144" i="26"/>
  <c r="AA113" i="38"/>
  <c r="AA317" i="38" s="1"/>
  <c r="AA171" i="38"/>
  <c r="AA114" i="38"/>
  <c r="AA73" i="38"/>
  <c r="AA51" i="38"/>
  <c r="Z218" i="11"/>
  <c r="Z353" i="11" s="1"/>
  <c r="AD62" i="35"/>
  <c r="AD64" i="35" s="1"/>
  <c r="AD8" i="35"/>
  <c r="AI21" i="37"/>
  <c r="AI104" i="37" s="1"/>
  <c r="AI196" i="37" s="1"/>
  <c r="AI128" i="37"/>
  <c r="AN139" i="54"/>
  <c r="Z334" i="11"/>
  <c r="AC72" i="5"/>
  <c r="AC67" i="5"/>
  <c r="AE132" i="39"/>
  <c r="AE134" i="39" s="1"/>
  <c r="AE36" i="39"/>
  <c r="AE47" i="39" s="1"/>
  <c r="BA20" i="38"/>
  <c r="AN3" i="54" s="1"/>
  <c r="Y7" i="38"/>
  <c r="Y54" i="38"/>
  <c r="AQ4" i="56"/>
  <c r="AQ4" i="26"/>
  <c r="AD67" i="38"/>
  <c r="G210" i="56"/>
  <c r="E153" i="56"/>
  <c r="G211" i="56" s="1"/>
  <c r="X435" i="11"/>
  <c r="AF19" i="38"/>
  <c r="AF19" i="16"/>
  <c r="AA307" i="11"/>
  <c r="AE80" i="38"/>
  <c r="Z7" i="5"/>
  <c r="Z54" i="5"/>
  <c r="X12" i="6" s="1"/>
  <c r="X876" i="11"/>
  <c r="X364" i="11"/>
  <c r="X382" i="11" s="1"/>
  <c r="V759" i="11"/>
  <c r="AD128" i="34"/>
  <c r="AD21" i="34"/>
  <c r="AD104" i="34" s="1"/>
  <c r="AD196" i="34" s="1"/>
  <c r="AD21" i="5"/>
  <c r="AG36" i="36"/>
  <c r="AG47" i="36" s="1"/>
  <c r="AG132" i="36"/>
  <c r="AG134" i="36" s="1"/>
  <c r="AG80" i="36"/>
  <c r="X174" i="11"/>
  <c r="X253" i="11" s="1"/>
  <c r="X346" i="11" s="1"/>
  <c r="X283" i="11" s="1"/>
  <c r="AF67" i="39" s="1"/>
  <c r="AN139" i="26"/>
  <c r="AB207" i="11"/>
  <c r="AA261" i="11"/>
  <c r="AA216" i="11"/>
  <c r="P877" i="11"/>
  <c r="X89" i="39"/>
  <c r="X97" i="39" s="1"/>
  <c r="X89" i="38"/>
  <c r="X89" i="36"/>
  <c r="X97" i="36" s="1"/>
  <c r="X89" i="37"/>
  <c r="X87" i="37" s="1"/>
  <c r="X93" i="37" s="1"/>
  <c r="Y86" i="37" s="1"/>
  <c r="X89" i="35"/>
  <c r="X97" i="35" s="1"/>
  <c r="X89" i="34"/>
  <c r="X97" i="34" s="1"/>
  <c r="X127" i="5"/>
  <c r="X130" i="5" s="1"/>
  <c r="X136" i="5" s="1"/>
  <c r="X140" i="5" s="1"/>
  <c r="X89" i="16"/>
  <c r="X97" i="16" s="1"/>
  <c r="P832" i="11"/>
  <c r="X127" i="16"/>
  <c r="X127" i="39"/>
  <c r="X127" i="37"/>
  <c r="X127" i="38"/>
  <c r="X127" i="36"/>
  <c r="X127" i="34"/>
  <c r="X127" i="35"/>
  <c r="AF36" i="38"/>
  <c r="AF47" i="38" s="1"/>
  <c r="AC204" i="11"/>
  <c r="AB258" i="11"/>
  <c r="AB213" i="11"/>
  <c r="G210" i="54"/>
  <c r="E153" i="54"/>
  <c r="G211" i="54" s="1"/>
  <c r="W757" i="11"/>
  <c r="AE21" i="38"/>
  <c r="AE104" i="38" s="1"/>
  <c r="AE196" i="38" s="1"/>
  <c r="AE128" i="38"/>
  <c r="AE128" i="5"/>
  <c r="AE128" i="16"/>
  <c r="AE21" i="16"/>
  <c r="AE104" i="16" s="1"/>
  <c r="AE196" i="16" s="1"/>
  <c r="AE72" i="39"/>
  <c r="AE115" i="39"/>
  <c r="AE340" i="39" s="1"/>
  <c r="AE53" i="39"/>
  <c r="BG21" i="39" s="1"/>
  <c r="AT4" i="55" s="1"/>
  <c r="AC114" i="39"/>
  <c r="AB110" i="34"/>
  <c r="AB244" i="34" s="1"/>
  <c r="AB173" i="34"/>
  <c r="AB48" i="34"/>
  <c r="AO139" i="54"/>
  <c r="AP143" i="56"/>
  <c r="AP144" i="56" s="1"/>
  <c r="AA142" i="38"/>
  <c r="AA114" i="5"/>
  <c r="AP143" i="52"/>
  <c r="AP144" i="52" s="1"/>
  <c r="AA142" i="39"/>
  <c r="AA51" i="5"/>
  <c r="AP143" i="54"/>
  <c r="AP144" i="54" s="1"/>
  <c r="AA142" i="36"/>
  <c r="AP143" i="53"/>
  <c r="AP144" i="53" s="1"/>
  <c r="AA142" i="37"/>
  <c r="AA113" i="5"/>
  <c r="AA317" i="5" s="1"/>
  <c r="AP143" i="26"/>
  <c r="AP144" i="26" s="1"/>
  <c r="AA142" i="35"/>
  <c r="AA73" i="5"/>
  <c r="AP143" i="50"/>
  <c r="AA142" i="5"/>
  <c r="AA142" i="34"/>
  <c r="AA171" i="5"/>
  <c r="AA142" i="16"/>
  <c r="AP143" i="55"/>
  <c r="AP144" i="55" s="1"/>
  <c r="AP143" i="51"/>
  <c r="AG128" i="36"/>
  <c r="AG21" i="36"/>
  <c r="Y499" i="11"/>
  <c r="AD172" i="38"/>
  <c r="AD111" i="38"/>
  <c r="AD270" i="38" s="1"/>
  <c r="AC53" i="38"/>
  <c r="BE21" i="38" s="1"/>
  <c r="AR4" i="54" s="1"/>
  <c r="AC28" i="38"/>
  <c r="AR136" i="54" s="1"/>
  <c r="AC115" i="38"/>
  <c r="AC340" i="38" s="1"/>
  <c r="AC72" i="38"/>
  <c r="AN139" i="55"/>
  <c r="AO139" i="55"/>
  <c r="AB48" i="38"/>
  <c r="AB173" i="38"/>
  <c r="AB110" i="38"/>
  <c r="AB244" i="38" s="1"/>
  <c r="Z335" i="11"/>
  <c r="P191" i="11"/>
  <c r="X310" i="11"/>
  <c r="X279" i="11" s="1"/>
  <c r="AF67" i="35" s="1"/>
  <c r="AE132" i="38"/>
  <c r="AE134" i="38" s="1"/>
  <c r="AE36" i="38"/>
  <c r="AE47" i="38" s="1"/>
  <c r="AE132" i="5"/>
  <c r="AE134" i="5" s="1"/>
  <c r="W513" i="11"/>
  <c r="AE36" i="16" s="1"/>
  <c r="AE47" i="16" s="1"/>
  <c r="W365" i="11"/>
  <c r="AB700" i="11"/>
  <c r="AB495" i="11"/>
  <c r="AB486" i="11"/>
  <c r="AB200" i="11"/>
  <c r="AO144" i="55"/>
  <c r="AA262" i="11"/>
  <c r="AA343" i="11" s="1"/>
  <c r="AA217" i="11"/>
  <c r="AA344" i="11" s="1"/>
  <c r="AB208" i="11"/>
  <c r="Y320" i="11"/>
  <c r="Z315" i="11" s="1"/>
  <c r="Y170" i="11"/>
  <c r="Y249" i="11" s="1"/>
  <c r="AC115" i="34"/>
  <c r="AC340" i="34" s="1"/>
  <c r="AC53" i="34"/>
  <c r="BE21" i="34" s="1"/>
  <c r="AR4" i="50" s="1"/>
  <c r="AC72" i="34"/>
  <c r="AC28" i="34"/>
  <c r="AR136" i="50" s="1"/>
  <c r="BB20" i="38"/>
  <c r="AO3" i="54" s="1"/>
  <c r="Z7" i="38"/>
  <c r="Z54" i="38"/>
  <c r="AC80" i="11"/>
  <c r="AC89" i="11" s="1"/>
  <c r="Q631" i="11"/>
  <c r="Z472" i="11"/>
  <c r="Z463" i="11"/>
  <c r="Z454" i="11"/>
  <c r="Z405" i="11"/>
  <c r="Z124" i="11"/>
  <c r="Z115" i="11"/>
  <c r="AH12" i="35"/>
  <c r="AA78" i="11"/>
  <c r="AL59" i="38"/>
  <c r="I59" i="38"/>
  <c r="K59" i="38" s="1"/>
  <c r="AD81" i="39"/>
  <c r="AD82" i="39" s="1"/>
  <c r="AD20" i="39"/>
  <c r="AL59" i="16"/>
  <c r="I59" i="16"/>
  <c r="K59" i="16" s="1"/>
  <c r="AG62" i="37"/>
  <c r="AA259" i="11"/>
  <c r="AA316" i="11" s="1"/>
  <c r="AB205" i="11"/>
  <c r="AN139" i="53"/>
  <c r="AO139" i="53"/>
  <c r="AE19" i="34"/>
  <c r="AE19" i="5"/>
  <c r="X120" i="11"/>
  <c r="X121" i="11" s="1"/>
  <c r="AE80" i="39"/>
  <c r="Y475" i="11"/>
  <c r="Y466" i="11"/>
  <c r="Y457" i="11"/>
  <c r="Y408" i="11"/>
  <c r="Y426" i="11" s="1"/>
  <c r="Y118" i="11"/>
  <c r="Y127" i="11"/>
  <c r="Y146" i="11" s="1"/>
  <c r="AG12" i="38"/>
  <c r="AG12" i="16"/>
  <c r="Z81" i="11"/>
  <c r="G210" i="50"/>
  <c r="E153" i="50"/>
  <c r="G211" i="50" s="1"/>
  <c r="W383" i="11"/>
  <c r="Z263" i="11"/>
  <c r="Z352" i="11" s="1"/>
  <c r="Z77" i="35"/>
  <c r="Z78" i="35"/>
  <c r="AO144" i="54"/>
  <c r="W121" i="11"/>
  <c r="W337" i="11"/>
  <c r="W282" i="11" s="1"/>
  <c r="W272" i="11"/>
  <c r="AG148" i="35"/>
  <c r="AG145" i="35"/>
  <c r="AI115" i="37"/>
  <c r="AI340" i="37" s="1"/>
  <c r="AI72" i="37"/>
  <c r="AI53" i="37"/>
  <c r="BK21" i="37" s="1"/>
  <c r="AX4" i="53" s="1"/>
  <c r="AH20" i="37"/>
  <c r="AH81" i="37"/>
  <c r="AH82" i="37" s="1"/>
  <c r="AB54" i="35"/>
  <c r="BD20" i="35"/>
  <c r="AQ3" i="51" s="1"/>
  <c r="AB7" i="35"/>
  <c r="AN139" i="51"/>
  <c r="AF80" i="35"/>
  <c r="W758" i="11"/>
  <c r="AE21" i="39"/>
  <c r="AE104" i="39" s="1"/>
  <c r="AE196" i="39" s="1"/>
  <c r="AE128" i="39"/>
  <c r="AF148" i="16"/>
  <c r="AF145" i="16"/>
  <c r="V338" i="11"/>
  <c r="W333" i="11" s="1"/>
  <c r="X148" i="11"/>
  <c r="AA84" i="35"/>
  <c r="T619" i="11"/>
  <c r="T628" i="11" s="1"/>
  <c r="AF62" i="36"/>
  <c r="X436" i="11"/>
  <c r="X437" i="11" s="1"/>
  <c r="X778" i="11" s="1"/>
  <c r="AF19" i="39"/>
  <c r="AD20" i="38"/>
  <c r="AD81" i="38"/>
  <c r="AD82" i="38" s="1"/>
  <c r="G210" i="51"/>
  <c r="E153" i="51"/>
  <c r="G211" i="51" s="1"/>
  <c r="AC62" i="39"/>
  <c r="AC64" i="39" s="1"/>
  <c r="AC8" i="39"/>
  <c r="Y209" i="11"/>
  <c r="G210" i="26"/>
  <c r="E153" i="26"/>
  <c r="G211" i="26" s="1"/>
  <c r="V355" i="11"/>
  <c r="V284" i="11" s="1"/>
  <c r="AD67" i="34" s="1"/>
  <c r="V384" i="11"/>
  <c r="V385" i="11" s="1"/>
  <c r="BC20" i="34"/>
  <c r="AP3" i="50" s="1"/>
  <c r="AA7" i="34"/>
  <c r="AA54" i="34"/>
  <c r="AD173" i="35"/>
  <c r="AD48" i="35"/>
  <c r="AD110" i="35"/>
  <c r="AD244" i="35" s="1"/>
  <c r="G210" i="52"/>
  <c r="E153" i="52"/>
  <c r="G211" i="52" s="1"/>
  <c r="AN139" i="52"/>
  <c r="AO139" i="52"/>
  <c r="AF128" i="35"/>
  <c r="AF21" i="35"/>
  <c r="AC51" i="35"/>
  <c r="AC114" i="35"/>
  <c r="AC73" i="35"/>
  <c r="AC113" i="35"/>
  <c r="AC317" i="35" s="1"/>
  <c r="AC171" i="35"/>
  <c r="AF148" i="38"/>
  <c r="AF145" i="38"/>
  <c r="AC8" i="16"/>
  <c r="U8" i="11" s="1"/>
  <c r="AC62" i="16"/>
  <c r="AC64" i="16" s="1"/>
  <c r="AO144" i="52"/>
  <c r="AO144" i="56"/>
  <c r="AA473" i="11"/>
  <c r="AA464" i="11"/>
  <c r="AA406" i="11"/>
  <c r="AA424" i="11" s="1"/>
  <c r="AA455" i="11"/>
  <c r="AA125" i="11"/>
  <c r="AA144" i="11" s="1"/>
  <c r="AA116" i="11"/>
  <c r="AI12" i="36"/>
  <c r="AH36" i="37" l="1"/>
  <c r="AH132" i="37"/>
  <c r="AB456" i="11"/>
  <c r="AB501" i="11" s="1"/>
  <c r="AB510" i="11" s="1"/>
  <c r="AA501" i="11"/>
  <c r="AA510" i="11" s="1"/>
  <c r="Y432" i="11"/>
  <c r="Y773" i="11" s="1"/>
  <c r="AH47" i="37"/>
  <c r="Y78" i="37"/>
  <c r="B92" i="8"/>
  <c r="C257" i="11"/>
  <c r="AC171" i="39"/>
  <c r="AC51" i="39"/>
  <c r="AC73" i="39"/>
  <c r="AR138" i="55"/>
  <c r="AC113" i="39"/>
  <c r="AC317" i="39" s="1"/>
  <c r="AF36" i="39"/>
  <c r="AF47" i="39" s="1"/>
  <c r="AP139" i="26"/>
  <c r="AF104" i="35"/>
  <c r="AF196" i="35" s="1"/>
  <c r="X754" i="11"/>
  <c r="X830" i="11"/>
  <c r="Z397" i="11"/>
  <c r="AH94" i="36" s="1"/>
  <c r="R883" i="11"/>
  <c r="S621" i="11"/>
  <c r="S630" i="11" s="1"/>
  <c r="S811" i="11" s="1"/>
  <c r="Z84" i="37"/>
  <c r="AB660" i="11"/>
  <c r="AJ32" i="36" s="1"/>
  <c r="AL32" i="36" s="1"/>
  <c r="S620" i="11"/>
  <c r="S629" i="11" s="1"/>
  <c r="Z84" i="36"/>
  <c r="R810" i="11"/>
  <c r="R882" i="11"/>
  <c r="AD33" i="6"/>
  <c r="AD49" i="6" s="1"/>
  <c r="AF132" i="35"/>
  <c r="AF134" i="35" s="1"/>
  <c r="Y77" i="37"/>
  <c r="Y83" i="37" s="1"/>
  <c r="Z76" i="37" s="1"/>
  <c r="AB717" i="11"/>
  <c r="AD717" i="11" s="1"/>
  <c r="AD20" i="16"/>
  <c r="AD81" i="16"/>
  <c r="AD82" i="16" s="1"/>
  <c r="AB678" i="11"/>
  <c r="AD678" i="11" s="1"/>
  <c r="AB737" i="11"/>
  <c r="AJ43" i="39" s="1"/>
  <c r="AL43" i="39" s="1"/>
  <c r="AA848" i="11"/>
  <c r="AB671" i="11"/>
  <c r="Y360" i="11"/>
  <c r="BB20" i="16"/>
  <c r="AO3" i="56" s="1"/>
  <c r="AF148" i="34"/>
  <c r="Y755" i="11"/>
  <c r="Z892" i="11"/>
  <c r="AF36" i="35"/>
  <c r="AF47" i="35" s="1"/>
  <c r="AU137" i="51" s="1"/>
  <c r="AH133" i="37"/>
  <c r="AH134" i="37" s="1"/>
  <c r="AA846" i="11"/>
  <c r="AG100" i="16"/>
  <c r="AG101" i="16" s="1"/>
  <c r="Y468" i="11"/>
  <c r="X504" i="11"/>
  <c r="X505" i="11" s="1"/>
  <c r="Y227" i="11"/>
  <c r="X52" i="6"/>
  <c r="X17" i="6"/>
  <c r="P138" i="24" s="1"/>
  <c r="AA547" i="11"/>
  <c r="AB547" i="11" s="1"/>
  <c r="X602" i="11"/>
  <c r="AB736" i="11"/>
  <c r="AJ43" i="38" s="1"/>
  <c r="AL43" i="38" s="1"/>
  <c r="AB662" i="11"/>
  <c r="AJ32" i="38" s="1"/>
  <c r="AL32" i="38" s="1"/>
  <c r="AB689" i="11"/>
  <c r="AD689" i="11" s="1"/>
  <c r="AG12" i="5"/>
  <c r="Y84" i="11"/>
  <c r="AG12" i="34"/>
  <c r="AG148" i="34" s="1"/>
  <c r="Y102" i="11"/>
  <c r="AB434" i="11"/>
  <c r="AB775" i="11" s="1"/>
  <c r="AB651" i="11"/>
  <c r="AJ31" i="36" s="1"/>
  <c r="AL31" i="36" s="1"/>
  <c r="X400" i="11"/>
  <c r="AF94" i="39" s="1"/>
  <c r="Y782" i="11"/>
  <c r="AG100" i="34"/>
  <c r="AG101" i="34" s="1"/>
  <c r="AG100" i="37"/>
  <c r="AG101" i="37" s="1"/>
  <c r="AG100" i="36"/>
  <c r="AG101" i="36" s="1"/>
  <c r="AG100" i="38"/>
  <c r="AG101" i="38" s="1"/>
  <c r="AG100" i="35"/>
  <c r="AG101" i="35" s="1"/>
  <c r="AE21" i="5"/>
  <c r="AE20" i="5" s="1"/>
  <c r="Y78" i="36"/>
  <c r="Y83" i="36" s="1"/>
  <c r="Z76" i="36" s="1"/>
  <c r="Z78" i="36" s="1"/>
  <c r="AC8" i="5"/>
  <c r="AD111" i="16"/>
  <c r="AD270" i="16" s="1"/>
  <c r="AS137" i="26"/>
  <c r="AS137" i="56"/>
  <c r="AD172" i="16"/>
  <c r="K59" i="34"/>
  <c r="E156" i="26"/>
  <c r="E158" i="26" s="1"/>
  <c r="Z7" i="16"/>
  <c r="R7" i="11" s="1"/>
  <c r="Y120" i="11"/>
  <c r="Y121" i="11" s="1"/>
  <c r="Z320" i="11"/>
  <c r="AA315" i="11" s="1"/>
  <c r="AB734" i="11"/>
  <c r="AD734" i="11" s="1"/>
  <c r="AE21" i="34"/>
  <c r="AE81" i="34" s="1"/>
  <c r="W606" i="11"/>
  <c r="AA682" i="11"/>
  <c r="AI34" i="34" s="1"/>
  <c r="AE128" i="34"/>
  <c r="AA674" i="11"/>
  <c r="AA683" i="11"/>
  <c r="AA560" i="11"/>
  <c r="AF117" i="39"/>
  <c r="AF364" i="39" s="1"/>
  <c r="AU137" i="55"/>
  <c r="AG117" i="36"/>
  <c r="AG364" i="36" s="1"/>
  <c r="AV137" i="52"/>
  <c r="Z709" i="11"/>
  <c r="AH37" i="35"/>
  <c r="AH37" i="16"/>
  <c r="AD118" i="35"/>
  <c r="AD388" i="35" s="1"/>
  <c r="AS138" i="51"/>
  <c r="AG37" i="34"/>
  <c r="AG37" i="5"/>
  <c r="AE117" i="38"/>
  <c r="AE364" i="38" s="1"/>
  <c r="AT137" i="54"/>
  <c r="AE117" i="39"/>
  <c r="AE364" i="39" s="1"/>
  <c r="AT137" i="55"/>
  <c r="AD708" i="11"/>
  <c r="AI37" i="39"/>
  <c r="AL37" i="39" s="1"/>
  <c r="I37" i="39" s="1"/>
  <c r="K37" i="39" s="1"/>
  <c r="W401" i="11"/>
  <c r="AF117" i="38"/>
  <c r="AF364" i="38" s="1"/>
  <c r="AU137" i="54"/>
  <c r="AD707" i="11"/>
  <c r="AI37" i="38"/>
  <c r="AL37" i="38" s="1"/>
  <c r="I37" i="38" s="1"/>
  <c r="K37" i="38" s="1"/>
  <c r="AH117" i="37"/>
  <c r="AH364" i="37" s="1"/>
  <c r="AW137" i="53"/>
  <c r="AH34" i="34"/>
  <c r="AD117" i="34"/>
  <c r="AD364" i="34" s="1"/>
  <c r="AS137" i="50"/>
  <c r="AD705" i="11"/>
  <c r="AI37" i="36"/>
  <c r="AL37" i="36" s="1"/>
  <c r="I37" i="36" s="1"/>
  <c r="K37" i="36" s="1"/>
  <c r="AD706" i="11"/>
  <c r="AI37" i="37"/>
  <c r="AL37" i="37" s="1"/>
  <c r="I37" i="37" s="1"/>
  <c r="K37" i="37" s="1"/>
  <c r="X87" i="16"/>
  <c r="AB118" i="34"/>
  <c r="AB388" i="34" s="1"/>
  <c r="AQ138" i="50"/>
  <c r="X77" i="38"/>
  <c r="X83" i="38" s="1"/>
  <c r="Y76" i="38" s="1"/>
  <c r="AB110" i="16"/>
  <c r="AB244" i="16" s="1"/>
  <c r="AD110" i="39"/>
  <c r="AD244" i="39" s="1"/>
  <c r="AS136" i="55"/>
  <c r="X383" i="11"/>
  <c r="AB118" i="38"/>
  <c r="AB388" i="38" s="1"/>
  <c r="AQ138" i="54"/>
  <c r="AQ136" i="56"/>
  <c r="AB48" i="16"/>
  <c r="AB118" i="16" s="1"/>
  <c r="AB388" i="16" s="1"/>
  <c r="AB173" i="16"/>
  <c r="AC53" i="16"/>
  <c r="BE21" i="16" s="1"/>
  <c r="AR4" i="26" s="1"/>
  <c r="X78" i="39"/>
  <c r="X83" i="39" s="1"/>
  <c r="Y76" i="39" s="1"/>
  <c r="Y77" i="39" s="1"/>
  <c r="W78" i="16"/>
  <c r="W83" i="16" s="1"/>
  <c r="X76" i="16" s="1"/>
  <c r="X77" i="16" s="1"/>
  <c r="W273" i="11"/>
  <c r="X268" i="11" s="1"/>
  <c r="X365" i="11"/>
  <c r="Y148" i="11"/>
  <c r="Z270" i="11"/>
  <c r="AE132" i="16"/>
  <c r="AE134" i="16" s="1"/>
  <c r="AC72" i="16"/>
  <c r="AA738" i="11"/>
  <c r="AI43" i="5" s="1"/>
  <c r="Y396" i="11"/>
  <c r="AC28" i="16"/>
  <c r="AR136" i="26" s="1"/>
  <c r="X776" i="11"/>
  <c r="X399" i="11"/>
  <c r="AF94" i="38" s="1"/>
  <c r="AB681" i="11"/>
  <c r="AJ34" i="39" s="1"/>
  <c r="AL34" i="39" s="1"/>
  <c r="I34" i="39" s="1"/>
  <c r="K34" i="39" s="1"/>
  <c r="AA743" i="11"/>
  <c r="AA837" i="11" s="1"/>
  <c r="AD173" i="39"/>
  <c r="AB687" i="11"/>
  <c r="AJ35" i="36" s="1"/>
  <c r="AL35" i="36" s="1"/>
  <c r="I35" i="36" s="1"/>
  <c r="K35" i="36" s="1"/>
  <c r="Y477" i="11"/>
  <c r="Y478" i="11" s="1"/>
  <c r="AA559" i="11"/>
  <c r="AB668" i="11"/>
  <c r="AD668" i="11" s="1"/>
  <c r="AD48" i="39"/>
  <c r="AD72" i="5"/>
  <c r="X254" i="11"/>
  <c r="X355" i="11" s="1"/>
  <c r="X284" i="11" s="1"/>
  <c r="AF67" i="34" s="1"/>
  <c r="X347" i="11"/>
  <c r="Y342" i="11" s="1"/>
  <c r="T881" i="11"/>
  <c r="T809" i="11"/>
  <c r="Y602" i="11"/>
  <c r="Y611" i="11"/>
  <c r="AJ31" i="35"/>
  <c r="AD650" i="11"/>
  <c r="Y604" i="11"/>
  <c r="AB874" i="11"/>
  <c r="AB362" i="11"/>
  <c r="AB380" i="11" s="1"/>
  <c r="AJ35" i="35"/>
  <c r="AD686" i="11"/>
  <c r="X777" i="11"/>
  <c r="Z143" i="11"/>
  <c r="Z872" i="11" s="1"/>
  <c r="V868" i="11"/>
  <c r="V904" i="11"/>
  <c r="X513" i="11"/>
  <c r="AF36" i="5" s="1"/>
  <c r="AF47" i="5" s="1"/>
  <c r="AF117" i="5" s="1"/>
  <c r="AF364" i="5" s="1"/>
  <c r="R813" i="11"/>
  <c r="AI147" i="39"/>
  <c r="AI112" i="39"/>
  <c r="AI294" i="39" s="1"/>
  <c r="Y784" i="11"/>
  <c r="X603" i="11"/>
  <c r="X612" i="11"/>
  <c r="AB680" i="11"/>
  <c r="X87" i="39"/>
  <c r="X93" i="39" s="1"/>
  <c r="Y86" i="39" s="1"/>
  <c r="AH33" i="16"/>
  <c r="AH112" i="16" s="1"/>
  <c r="AH294" i="16" s="1"/>
  <c r="AH33" i="5"/>
  <c r="AH112" i="5" s="1"/>
  <c r="AH294" i="5" s="1"/>
  <c r="AH33" i="34"/>
  <c r="AH112" i="34" s="1"/>
  <c r="AH294" i="34" s="1"/>
  <c r="AJ43" i="36"/>
  <c r="AL43" i="36" s="1"/>
  <c r="AB735" i="11"/>
  <c r="AB354" i="11"/>
  <c r="AD354" i="11" s="1"/>
  <c r="AB271" i="11"/>
  <c r="AD271" i="11" s="1"/>
  <c r="AE63" i="36"/>
  <c r="AE64" i="36" s="1"/>
  <c r="AE8" i="36"/>
  <c r="Z578" i="11"/>
  <c r="Z785" i="11" s="1"/>
  <c r="AH23" i="39"/>
  <c r="AA542" i="11"/>
  <c r="AA744" i="11"/>
  <c r="AI31" i="37"/>
  <c r="AJ33" i="37"/>
  <c r="AL33" i="37" s="1"/>
  <c r="AD670" i="11"/>
  <c r="Z423" i="11"/>
  <c r="Z837" i="11"/>
  <c r="AH133" i="36"/>
  <c r="AH134" i="36" s="1"/>
  <c r="AH46" i="36"/>
  <c r="AH47" i="36" s="1"/>
  <c r="AW137" i="52" s="1"/>
  <c r="Z891" i="11"/>
  <c r="X87" i="36"/>
  <c r="X93" i="36" s="1"/>
  <c r="Y86" i="36" s="1"/>
  <c r="AJ35" i="39"/>
  <c r="AL35" i="39" s="1"/>
  <c r="I35" i="39" s="1"/>
  <c r="K35" i="39" s="1"/>
  <c r="AD690" i="11"/>
  <c r="AE24" i="34"/>
  <c r="AE63" i="34" s="1"/>
  <c r="AE91" i="34"/>
  <c r="AE92" i="34" s="1"/>
  <c r="AE173" i="37"/>
  <c r="AE48" i="37"/>
  <c r="AT138" i="53" s="1"/>
  <c r="AE110" i="37"/>
  <c r="AE244" i="37" s="1"/>
  <c r="AG25" i="36"/>
  <c r="AG28" i="36" s="1"/>
  <c r="AV136" i="52" s="1"/>
  <c r="AG129" i="36"/>
  <c r="AG90" i="35"/>
  <c r="AH41" i="16"/>
  <c r="AH41" i="34"/>
  <c r="AH41" i="5"/>
  <c r="AA673" i="11"/>
  <c r="AB674" i="11" s="1"/>
  <c r="AI33" i="35"/>
  <c r="AI112" i="35" s="1"/>
  <c r="AI294" i="35" s="1"/>
  <c r="AD736" i="11"/>
  <c r="AD118" i="37"/>
  <c r="AD388" i="37" s="1"/>
  <c r="AD113" i="37"/>
  <c r="AD317" i="37" s="1"/>
  <c r="AD51" i="37"/>
  <c r="AD171" i="37"/>
  <c r="AD114" i="37"/>
  <c r="AD73" i="37"/>
  <c r="AB715" i="11"/>
  <c r="AA558" i="11"/>
  <c r="AI41" i="35"/>
  <c r="AA718" i="11"/>
  <c r="AB719" i="11" s="1"/>
  <c r="AA719" i="11"/>
  <c r="AI13" i="16"/>
  <c r="AB683" i="11"/>
  <c r="AI99" i="38"/>
  <c r="AI99" i="36"/>
  <c r="AB749" i="11"/>
  <c r="AD749" i="11" s="1"/>
  <c r="AI13" i="34"/>
  <c r="AI99" i="39"/>
  <c r="AI13" i="5"/>
  <c r="AI99" i="37"/>
  <c r="AI99" i="35"/>
  <c r="AI99" i="34"/>
  <c r="AI99" i="16"/>
  <c r="AA745" i="11"/>
  <c r="AB88" i="11"/>
  <c r="W867" i="11"/>
  <c r="W903" i="11"/>
  <c r="Y502" i="11"/>
  <c r="Y511" i="11" s="1"/>
  <c r="AG132" i="38" s="1"/>
  <c r="AG134" i="38" s="1"/>
  <c r="Z499" i="11"/>
  <c r="AG104" i="36"/>
  <c r="AG196" i="36" s="1"/>
  <c r="Y503" i="11"/>
  <c r="Y512" i="11" s="1"/>
  <c r="AG132" i="39" s="1"/>
  <c r="AG134" i="39" s="1"/>
  <c r="AB716" i="11"/>
  <c r="AJ33" i="38"/>
  <c r="AL33" i="38" s="1"/>
  <c r="AD671" i="11"/>
  <c r="AG25" i="35"/>
  <c r="AG129" i="35"/>
  <c r="Y579" i="11"/>
  <c r="Y786" i="11" s="1"/>
  <c r="AH111" i="37"/>
  <c r="AH270" i="37" s="1"/>
  <c r="AH172" i="37"/>
  <c r="Z90" i="11"/>
  <c r="Z92" i="11" s="1"/>
  <c r="AH31" i="16"/>
  <c r="AH31" i="5"/>
  <c r="AH31" i="34"/>
  <c r="Z747" i="11"/>
  <c r="AG90" i="39"/>
  <c r="AF91" i="36"/>
  <c r="AF92" i="36" s="1"/>
  <c r="AF24" i="36"/>
  <c r="AF28" i="36"/>
  <c r="AU136" i="52" s="1"/>
  <c r="AI147" i="37"/>
  <c r="AI112" i="37"/>
  <c r="AI294" i="37" s="1"/>
  <c r="AB679" i="11"/>
  <c r="AA664" i="11"/>
  <c r="AB665" i="11" s="1"/>
  <c r="AD665" i="11" s="1"/>
  <c r="AI32" i="35"/>
  <c r="X588" i="11"/>
  <c r="X592" i="11"/>
  <c r="AI34" i="16"/>
  <c r="Z552" i="11"/>
  <c r="AH147" i="16"/>
  <c r="AB677" i="11"/>
  <c r="X863" i="11"/>
  <c r="X899" i="11"/>
  <c r="Y864" i="11"/>
  <c r="Y900" i="11"/>
  <c r="AH23" i="38"/>
  <c r="Z577" i="11"/>
  <c r="Z784" i="11" s="1"/>
  <c r="AA541" i="11"/>
  <c r="AE63" i="37"/>
  <c r="AE64" i="37" s="1"/>
  <c r="AE8" i="37"/>
  <c r="AG23" i="16"/>
  <c r="AG23" i="34"/>
  <c r="AG23" i="5"/>
  <c r="X87" i="35"/>
  <c r="X93" i="35" s="1"/>
  <c r="Y86" i="35" s="1"/>
  <c r="AF90" i="34"/>
  <c r="AC54" i="36"/>
  <c r="BE20" i="36"/>
  <c r="AR3" i="52" s="1"/>
  <c r="AC7" i="36"/>
  <c r="AD660" i="11"/>
  <c r="Z836" i="11"/>
  <c r="AH133" i="35"/>
  <c r="AH46" i="35"/>
  <c r="Z890" i="11"/>
  <c r="AG129" i="39"/>
  <c r="AG25" i="39"/>
  <c r="AH35" i="16"/>
  <c r="AH35" i="5"/>
  <c r="AH35" i="34"/>
  <c r="AB661" i="11"/>
  <c r="AA570" i="11"/>
  <c r="AI147" i="35"/>
  <c r="Y508" i="11"/>
  <c r="AG36" i="35" s="1"/>
  <c r="AG47" i="35" s="1"/>
  <c r="AJ32" i="39"/>
  <c r="AL32" i="39" s="1"/>
  <c r="AD663" i="11"/>
  <c r="AD118" i="36"/>
  <c r="AD388" i="36" s="1"/>
  <c r="AD113" i="36"/>
  <c r="AD317" i="36" s="1"/>
  <c r="AD73" i="36"/>
  <c r="AD171" i="36"/>
  <c r="AD114" i="36"/>
  <c r="AD51" i="36"/>
  <c r="AG90" i="36"/>
  <c r="Y583" i="11"/>
  <c r="AH32" i="16"/>
  <c r="AH32" i="34"/>
  <c r="AH32" i="5"/>
  <c r="Y459" i="11"/>
  <c r="Y587" i="11"/>
  <c r="Y596" i="11" s="1"/>
  <c r="Z576" i="11"/>
  <c r="Z783" i="11" s="1"/>
  <c r="AH23" i="37"/>
  <c r="AA540" i="11"/>
  <c r="AH43" i="16"/>
  <c r="AH43" i="5"/>
  <c r="AH43" i="34"/>
  <c r="X175" i="11"/>
  <c r="X188" i="11" s="1"/>
  <c r="AB688" i="11"/>
  <c r="AA692" i="11"/>
  <c r="AH147" i="34"/>
  <c r="AB659" i="11"/>
  <c r="AA534" i="11"/>
  <c r="AA561" i="11" s="1"/>
  <c r="Q884" i="11"/>
  <c r="Q812" i="11"/>
  <c r="AD20" i="5"/>
  <c r="AD62" i="5" s="1"/>
  <c r="AD64" i="5" s="1"/>
  <c r="AD104" i="5"/>
  <c r="AD196" i="5" s="1"/>
  <c r="AF24" i="35"/>
  <c r="AF63" i="35" s="1"/>
  <c r="AF91" i="35"/>
  <c r="AF92" i="35" s="1"/>
  <c r="AJ33" i="39"/>
  <c r="AL33" i="39" s="1"/>
  <c r="AD672" i="11"/>
  <c r="AG25" i="38"/>
  <c r="AG129" i="38"/>
  <c r="AI147" i="38"/>
  <c r="AI112" i="38"/>
  <c r="AI294" i="38" s="1"/>
  <c r="X865" i="11"/>
  <c r="X901" i="11"/>
  <c r="X87" i="38"/>
  <c r="X93" i="38" s="1"/>
  <c r="Y86" i="38" s="1"/>
  <c r="AG111" i="37"/>
  <c r="AG270" i="37" s="1"/>
  <c r="AG117" i="37"/>
  <c r="AG364" i="37" s="1"/>
  <c r="AG172" i="37"/>
  <c r="AJ43" i="35"/>
  <c r="AL43" i="35" s="1"/>
  <c r="AD733" i="11"/>
  <c r="AJ41" i="36"/>
  <c r="AL41" i="36" s="1"/>
  <c r="I41" i="36" s="1"/>
  <c r="K41" i="36" s="1"/>
  <c r="L41" i="36" s="1"/>
  <c r="AD714" i="11"/>
  <c r="AF24" i="38"/>
  <c r="AF63" i="38" s="1"/>
  <c r="AF91" i="38"/>
  <c r="AF92" i="38" s="1"/>
  <c r="AA691" i="11"/>
  <c r="AI35" i="35"/>
  <c r="Y785" i="11"/>
  <c r="AG90" i="37"/>
  <c r="X604" i="11"/>
  <c r="X613" i="11"/>
  <c r="Y613" i="11" s="1"/>
  <c r="AJ41" i="35"/>
  <c r="AL41" i="35" s="1"/>
  <c r="I41" i="35" s="1"/>
  <c r="K41" i="35" s="1"/>
  <c r="L41" i="35" s="1"/>
  <c r="AD713" i="11"/>
  <c r="AA704" i="11"/>
  <c r="AA700" i="11"/>
  <c r="Y828" i="11"/>
  <c r="AA548" i="11"/>
  <c r="AB548" i="11" s="1"/>
  <c r="W866" i="11"/>
  <c r="W902" i="11"/>
  <c r="AF129" i="5"/>
  <c r="AF25" i="16"/>
  <c r="AF105" i="16" s="1"/>
  <c r="AF220" i="16" s="1"/>
  <c r="AF129" i="16"/>
  <c r="AF25" i="34"/>
  <c r="AF129" i="34"/>
  <c r="AF25" i="5"/>
  <c r="AF24" i="5" s="1"/>
  <c r="AF63" i="5" s="1"/>
  <c r="AE91" i="16"/>
  <c r="AE92" i="16" s="1"/>
  <c r="AE24" i="16"/>
  <c r="AE63" i="16" s="1"/>
  <c r="AJ31" i="38"/>
  <c r="AL31" i="38" s="1"/>
  <c r="AD653" i="11"/>
  <c r="X786" i="11"/>
  <c r="AE105" i="5"/>
  <c r="AE220" i="5" s="1"/>
  <c r="AI147" i="36"/>
  <c r="AI112" i="36"/>
  <c r="AI294" i="36" s="1"/>
  <c r="AE48" i="36"/>
  <c r="AT138" i="52" s="1"/>
  <c r="AE110" i="36"/>
  <c r="AE244" i="36" s="1"/>
  <c r="AE173" i="36"/>
  <c r="AA746" i="11"/>
  <c r="AI31" i="39"/>
  <c r="Y585" i="11"/>
  <c r="Y594" i="11" s="1"/>
  <c r="AG129" i="37"/>
  <c r="AG25" i="37"/>
  <c r="Y829" i="11"/>
  <c r="Y756" i="11"/>
  <c r="AJ31" i="37"/>
  <c r="AD652" i="11"/>
  <c r="AC54" i="37"/>
  <c r="BE20" i="37"/>
  <c r="AR3" i="53" s="1"/>
  <c r="AC7" i="37"/>
  <c r="AG133" i="16"/>
  <c r="AG46" i="16"/>
  <c r="AG133" i="5"/>
  <c r="AG46" i="34"/>
  <c r="Y841" i="11"/>
  <c r="AG133" i="34"/>
  <c r="Y895" i="11"/>
  <c r="AH46" i="38"/>
  <c r="Z839" i="11"/>
  <c r="AH133" i="38"/>
  <c r="Z893" i="11"/>
  <c r="AI43" i="16"/>
  <c r="AF24" i="39"/>
  <c r="AF63" i="39" s="1"/>
  <c r="AF91" i="39"/>
  <c r="AF92" i="39" s="1"/>
  <c r="W615" i="11"/>
  <c r="AF42" i="6"/>
  <c r="AI147" i="5"/>
  <c r="AB251" i="11"/>
  <c r="AB328" i="11" s="1"/>
  <c r="AB154" i="11"/>
  <c r="AD154" i="11" s="1"/>
  <c r="AI31" i="35"/>
  <c r="AA655" i="11"/>
  <c r="AA742" i="11"/>
  <c r="AJ31" i="39"/>
  <c r="AD654" i="11"/>
  <c r="AJ41" i="39"/>
  <c r="AL41" i="39" s="1"/>
  <c r="I41" i="39" s="1"/>
  <c r="K41" i="39" s="1"/>
  <c r="AG90" i="38"/>
  <c r="Z575" i="11"/>
  <c r="AH23" i="36"/>
  <c r="AA539" i="11"/>
  <c r="Z574" i="11"/>
  <c r="Z583" i="11" s="1"/>
  <c r="Z543" i="11"/>
  <c r="AH23" i="35"/>
  <c r="AA538" i="11"/>
  <c r="AF90" i="16"/>
  <c r="AF91" i="37"/>
  <c r="AF92" i="37" s="1"/>
  <c r="AF24" i="37"/>
  <c r="AF28" i="37"/>
  <c r="AU136" i="53" s="1"/>
  <c r="AJ33" i="36"/>
  <c r="AL33" i="36" s="1"/>
  <c r="AD669" i="11"/>
  <c r="Y410" i="11"/>
  <c r="X864" i="11"/>
  <c r="X900" i="11"/>
  <c r="Z840" i="11"/>
  <c r="AH133" i="39"/>
  <c r="AH46" i="39"/>
  <c r="Z894" i="11"/>
  <c r="AE117" i="35"/>
  <c r="AE364" i="35" s="1"/>
  <c r="AE111" i="35"/>
  <c r="AE270" i="35" s="1"/>
  <c r="AE172" i="35"/>
  <c r="AF105" i="35"/>
  <c r="AF220" i="35" s="1"/>
  <c r="Y129" i="11"/>
  <c r="AD67" i="16"/>
  <c r="AD53" i="16" s="1"/>
  <c r="BF21" i="16" s="1"/>
  <c r="Z269" i="11"/>
  <c r="AM3" i="26"/>
  <c r="AM3" i="56"/>
  <c r="X93" i="34"/>
  <c r="Y86" i="34" s="1"/>
  <c r="Z83" i="35"/>
  <c r="AA76" i="35" s="1"/>
  <c r="AA78" i="35" s="1"/>
  <c r="X93" i="16"/>
  <c r="Y86" i="16" s="1"/>
  <c r="AC215" i="11"/>
  <c r="AC326" i="11" s="1"/>
  <c r="AF128" i="34"/>
  <c r="AF21" i="5"/>
  <c r="AF20" i="5" s="1"/>
  <c r="AF21" i="34"/>
  <c r="AF104" i="34" s="1"/>
  <c r="AF196" i="34" s="1"/>
  <c r="AD115" i="34"/>
  <c r="AD340" i="34" s="1"/>
  <c r="AD72" i="34"/>
  <c r="AD53" i="34"/>
  <c r="BF21" i="34" s="1"/>
  <c r="AS4" i="50" s="1"/>
  <c r="AD28" i="34"/>
  <c r="AS136" i="50" s="1"/>
  <c r="AE81" i="39"/>
  <c r="AE82" i="39" s="1"/>
  <c r="AE20" i="39"/>
  <c r="Y173" i="11"/>
  <c r="Y399" i="11" s="1"/>
  <c r="AA472" i="11"/>
  <c r="AA463" i="11"/>
  <c r="AA454" i="11"/>
  <c r="AA405" i="11"/>
  <c r="AA124" i="11"/>
  <c r="AA115" i="11"/>
  <c r="AI12" i="35"/>
  <c r="AB78" i="11"/>
  <c r="AB106" i="11" s="1"/>
  <c r="AJ80" i="37"/>
  <c r="AP144" i="50"/>
  <c r="AE28" i="39"/>
  <c r="AT136" i="55" s="1"/>
  <c r="X6" i="37"/>
  <c r="X130" i="37"/>
  <c r="X136" i="37" s="1"/>
  <c r="X140" i="37" s="1"/>
  <c r="X97" i="37"/>
  <c r="AA263" i="11"/>
  <c r="AA352" i="11" s="1"/>
  <c r="AD53" i="38"/>
  <c r="BF21" i="38" s="1"/>
  <c r="AS4" i="54" s="1"/>
  <c r="AD28" i="38"/>
  <c r="AS136" i="54" s="1"/>
  <c r="AD115" i="38"/>
  <c r="AD340" i="38" s="1"/>
  <c r="AD72" i="38"/>
  <c r="AA54" i="38"/>
  <c r="BC20" i="38"/>
  <c r="AP3" i="54" s="1"/>
  <c r="AA7" i="38"/>
  <c r="AD28" i="5"/>
  <c r="AD53" i="5"/>
  <c r="AD115" i="5"/>
  <c r="AD340" i="5" s="1"/>
  <c r="AD6" i="5"/>
  <c r="Y435" i="11"/>
  <c r="Y776" i="11" s="1"/>
  <c r="AG19" i="38"/>
  <c r="AH145" i="35"/>
  <c r="AH148" i="35"/>
  <c r="Y84" i="38"/>
  <c r="R622" i="11"/>
  <c r="R624" i="11" s="1"/>
  <c r="Q633" i="11"/>
  <c r="Y84" i="16" s="1"/>
  <c r="AC110" i="38"/>
  <c r="AC244" i="38" s="1"/>
  <c r="AC173" i="38"/>
  <c r="AC48" i="38"/>
  <c r="AA54" i="5"/>
  <c r="Y12" i="6" s="1"/>
  <c r="AA7" i="5"/>
  <c r="X130" i="39"/>
  <c r="X136" i="39" s="1"/>
  <c r="X140" i="39" s="1"/>
  <c r="X6" i="39"/>
  <c r="AF53" i="39"/>
  <c r="BH21" i="39" s="1"/>
  <c r="AU4" i="55" s="1"/>
  <c r="AF72" i="39"/>
  <c r="AF115" i="39"/>
  <c r="AF340" i="39" s="1"/>
  <c r="AD81" i="34"/>
  <c r="AD82" i="34" s="1"/>
  <c r="AD20" i="34"/>
  <c r="AB326" i="11"/>
  <c r="AB325" i="11"/>
  <c r="AD260" i="11"/>
  <c r="AD61" i="11"/>
  <c r="AC65" i="11"/>
  <c r="AN3" i="56"/>
  <c r="AN3" i="26"/>
  <c r="Y436" i="11"/>
  <c r="Y831" i="11" s="1"/>
  <c r="AG19" i="39"/>
  <c r="AC54" i="35"/>
  <c r="BE20" i="35"/>
  <c r="AR3" i="51" s="1"/>
  <c r="AC7" i="35"/>
  <c r="AE80" i="34"/>
  <c r="AC205" i="11"/>
  <c r="AC259" i="11" s="1"/>
  <c r="AC316" i="11" s="1"/>
  <c r="AB259" i="11"/>
  <c r="Z170" i="11"/>
  <c r="Z249" i="11" s="1"/>
  <c r="AC456" i="11"/>
  <c r="AC474" i="11"/>
  <c r="AC407" i="11"/>
  <c r="AC425" i="11" s="1"/>
  <c r="AC465" i="11"/>
  <c r="AC126" i="11"/>
  <c r="AC145" i="11" s="1"/>
  <c r="AC117" i="11"/>
  <c r="AK12" i="37"/>
  <c r="AF72" i="35"/>
  <c r="AF115" i="35"/>
  <c r="AF340" i="35" s="1"/>
  <c r="AF53" i="35"/>
  <c r="BH21" i="35" s="1"/>
  <c r="AU4" i="51" s="1"/>
  <c r="AF28" i="35"/>
  <c r="AU136" i="51" s="1"/>
  <c r="AP144" i="51"/>
  <c r="AE81" i="16"/>
  <c r="AE82" i="16" s="1"/>
  <c r="AE20" i="16"/>
  <c r="AF172" i="38"/>
  <c r="AF111" i="38"/>
  <c r="AF270" i="38" s="1"/>
  <c r="X6" i="16"/>
  <c r="P6" i="11" s="1"/>
  <c r="X130" i="16"/>
  <c r="X136" i="16" s="1"/>
  <c r="X140" i="16" s="1"/>
  <c r="X97" i="38"/>
  <c r="X77" i="34"/>
  <c r="X78" i="34"/>
  <c r="AC79" i="11"/>
  <c r="AF132" i="34"/>
  <c r="AF134" i="34" s="1"/>
  <c r="Z84" i="39"/>
  <c r="S623" i="11"/>
  <c r="S632" i="11" s="1"/>
  <c r="AD114" i="35"/>
  <c r="AD113" i="35"/>
  <c r="AD317" i="35" s="1"/>
  <c r="AD51" i="35"/>
  <c r="AD171" i="35"/>
  <c r="AD73" i="35"/>
  <c r="AA171" i="11"/>
  <c r="AA250" i="11" s="1"/>
  <c r="AA319" i="11" s="1"/>
  <c r="AA280" i="11" s="1"/>
  <c r="AI67" i="36" s="1"/>
  <c r="W338" i="11"/>
  <c r="X333" i="11" s="1"/>
  <c r="AJ36" i="37"/>
  <c r="AJ132" i="37"/>
  <c r="AD62" i="39"/>
  <c r="AD64" i="39" s="1"/>
  <c r="AD8" i="39"/>
  <c r="AD8" i="16"/>
  <c r="V8" i="11" s="1"/>
  <c r="AD62" i="16"/>
  <c r="AD64" i="16" s="1"/>
  <c r="AE132" i="34"/>
  <c r="AE134" i="34" s="1"/>
  <c r="AE36" i="34"/>
  <c r="AE47" i="34" s="1"/>
  <c r="AE36" i="5"/>
  <c r="AE47" i="5" s="1"/>
  <c r="AE117" i="5" s="1"/>
  <c r="AE364" i="5" s="1"/>
  <c r="AB73" i="38"/>
  <c r="AB114" i="38"/>
  <c r="AB113" i="38"/>
  <c r="AB317" i="38" s="1"/>
  <c r="AB51" i="38"/>
  <c r="AB171" i="38"/>
  <c r="AG80" i="35"/>
  <c r="BC20" i="16"/>
  <c r="AA7" i="16"/>
  <c r="S7" i="11" s="1"/>
  <c r="AA54" i="16"/>
  <c r="X311" i="11"/>
  <c r="Y306" i="11" s="1"/>
  <c r="Z476" i="11"/>
  <c r="Z467" i="11"/>
  <c r="Z458" i="11"/>
  <c r="Z409" i="11"/>
  <c r="Z427" i="11" s="1"/>
  <c r="Z119" i="11"/>
  <c r="Z128" i="11"/>
  <c r="Z147" i="11" s="1"/>
  <c r="AH12" i="39"/>
  <c r="AA82" i="11"/>
  <c r="AA91" i="11" s="1"/>
  <c r="AI148" i="36"/>
  <c r="AI145" i="36"/>
  <c r="AA873" i="11"/>
  <c r="AA361" i="11"/>
  <c r="AA379" i="11" s="1"/>
  <c r="AF172" i="39"/>
  <c r="AF111" i="39"/>
  <c r="AF270" i="39" s="1"/>
  <c r="AD62" i="38"/>
  <c r="AD64" i="38" s="1"/>
  <c r="AD8" i="38"/>
  <c r="AA500" i="11"/>
  <c r="AA509" i="11" s="1"/>
  <c r="AF80" i="39"/>
  <c r="W275" i="11"/>
  <c r="Z475" i="11"/>
  <c r="Z466" i="11"/>
  <c r="Z457" i="11"/>
  <c r="Z408" i="11"/>
  <c r="Z426" i="11" s="1"/>
  <c r="Z118" i="11"/>
  <c r="Z127" i="11"/>
  <c r="Z146" i="11" s="1"/>
  <c r="AH12" i="38"/>
  <c r="AA81" i="11"/>
  <c r="Z83" i="11"/>
  <c r="AH12" i="16" s="1"/>
  <c r="AB262" i="11"/>
  <c r="AB343" i="11" s="1"/>
  <c r="AC208" i="11"/>
  <c r="AB217" i="11"/>
  <c r="X9" i="37"/>
  <c r="X95" i="39"/>
  <c r="X96" i="39" s="1"/>
  <c r="X9" i="39"/>
  <c r="X95" i="37"/>
  <c r="X96" i="37" s="1"/>
  <c r="X95" i="36"/>
  <c r="X96" i="36" s="1"/>
  <c r="X9" i="35"/>
  <c r="X95" i="38"/>
  <c r="X96" i="38" s="1"/>
  <c r="X95" i="16"/>
  <c r="X96" i="16" s="1"/>
  <c r="P9" i="11"/>
  <c r="Q187" i="11"/>
  <c r="X95" i="35"/>
  <c r="X96" i="35" s="1"/>
  <c r="X9" i="5"/>
  <c r="X9" i="38"/>
  <c r="X9" i="34"/>
  <c r="X95" i="34"/>
  <c r="X96" i="34" s="1"/>
  <c r="X9" i="36"/>
  <c r="X9" i="16"/>
  <c r="AG21" i="35"/>
  <c r="AG104" i="35" s="1"/>
  <c r="AG196" i="35" s="1"/>
  <c r="AG128" i="35"/>
  <c r="AB308" i="11"/>
  <c r="X6" i="35"/>
  <c r="X130" i="35"/>
  <c r="X136" i="35" s="1"/>
  <c r="X140" i="35" s="1"/>
  <c r="W759" i="11"/>
  <c r="AE172" i="39"/>
  <c r="AE111" i="39"/>
  <c r="AE270" i="39" s="1"/>
  <c r="X337" i="11"/>
  <c r="X282" i="11" s="1"/>
  <c r="AH20" i="36"/>
  <c r="AH81" i="36"/>
  <c r="AH82" i="36" s="1"/>
  <c r="AA87" i="11"/>
  <c r="AB473" i="11"/>
  <c r="AB464" i="11"/>
  <c r="AB455" i="11"/>
  <c r="AB406" i="11"/>
  <c r="AB125" i="11"/>
  <c r="AB116" i="11"/>
  <c r="AJ12" i="36"/>
  <c r="AE62" i="35"/>
  <c r="AE64" i="35" s="1"/>
  <c r="AE8" i="35"/>
  <c r="AS142" i="56"/>
  <c r="AS142" i="54"/>
  <c r="AS142" i="52"/>
  <c r="AS142" i="50"/>
  <c r="AD172" i="5"/>
  <c r="AD111" i="5"/>
  <c r="AD270" i="5" s="1"/>
  <c r="AS142" i="55"/>
  <c r="AS142" i="26"/>
  <c r="AS142" i="53"/>
  <c r="AS142" i="51"/>
  <c r="AG145" i="39"/>
  <c r="AG148" i="39"/>
  <c r="AA433" i="11"/>
  <c r="AA774" i="11" s="1"/>
  <c r="AI19" i="36"/>
  <c r="X758" i="11"/>
  <c r="AF128" i="39"/>
  <c r="AF21" i="39"/>
  <c r="AF104" i="39" s="1"/>
  <c r="AF196" i="39" s="1"/>
  <c r="AH62" i="37"/>
  <c r="AE67" i="38"/>
  <c r="AE67" i="16"/>
  <c r="AG148" i="16"/>
  <c r="AG145" i="16"/>
  <c r="Y310" i="11"/>
  <c r="Y279" i="11" s="1"/>
  <c r="AG67" i="35" s="1"/>
  <c r="Y428" i="11"/>
  <c r="AG19" i="16" s="1"/>
  <c r="BE20" i="39"/>
  <c r="AR3" i="55" s="1"/>
  <c r="AC54" i="39"/>
  <c r="AC7" i="39"/>
  <c r="AB307" i="11"/>
  <c r="X130" i="34"/>
  <c r="X136" i="34" s="1"/>
  <c r="X140" i="34" s="1"/>
  <c r="X6" i="34"/>
  <c r="AA335" i="11"/>
  <c r="AF80" i="16"/>
  <c r="AI20" i="37"/>
  <c r="AI81" i="37"/>
  <c r="AI82" i="37" s="1"/>
  <c r="AF94" i="16"/>
  <c r="AD111" i="34"/>
  <c r="AD270" i="34" s="1"/>
  <c r="AD172" i="34"/>
  <c r="Y876" i="11"/>
  <c r="Y364" i="11"/>
  <c r="Y382" i="11" s="1"/>
  <c r="W385" i="11"/>
  <c r="AQ139" i="55"/>
  <c r="AQ139" i="51"/>
  <c r="AQ139" i="52"/>
  <c r="AQ139" i="53"/>
  <c r="AF81" i="35"/>
  <c r="AF82" i="35" s="1"/>
  <c r="AF20" i="35"/>
  <c r="AH148" i="5"/>
  <c r="AE33" i="6"/>
  <c r="AE49" i="6" s="1"/>
  <c r="AB84" i="35"/>
  <c r="U619" i="11"/>
  <c r="AG148" i="38"/>
  <c r="AG145" i="38"/>
  <c r="AE117" i="16"/>
  <c r="AE364" i="16" s="1"/>
  <c r="AT137" i="26"/>
  <c r="AE172" i="16"/>
  <c r="AT137" i="56"/>
  <c r="AE111" i="16"/>
  <c r="AE270" i="16" s="1"/>
  <c r="AO3" i="26"/>
  <c r="AB171" i="34"/>
  <c r="AB114" i="34"/>
  <c r="AB113" i="34"/>
  <c r="AB317" i="34" s="1"/>
  <c r="AB51" i="34"/>
  <c r="AB73" i="34"/>
  <c r="AE20" i="38"/>
  <c r="AE81" i="38"/>
  <c r="AE82" i="38" s="1"/>
  <c r="AC258" i="11"/>
  <c r="AC213" i="11"/>
  <c r="X130" i="36"/>
  <c r="X136" i="36" s="1"/>
  <c r="X140" i="36" s="1"/>
  <c r="X6" i="36"/>
  <c r="AA334" i="11"/>
  <c r="AA269" i="11"/>
  <c r="X831" i="11"/>
  <c r="AF80" i="38"/>
  <c r="AC53" i="5"/>
  <c r="AC115" i="5"/>
  <c r="AC340" i="5" s="1"/>
  <c r="AC6" i="5"/>
  <c r="AC28" i="5"/>
  <c r="Z179" i="11"/>
  <c r="Z183" i="11" s="1"/>
  <c r="Y189" i="11"/>
  <c r="AC700" i="11"/>
  <c r="AC486" i="11"/>
  <c r="AC487" i="11" s="1"/>
  <c r="AC477" i="11"/>
  <c r="AC478" i="11" s="1"/>
  <c r="AC468" i="11"/>
  <c r="AC459" i="11"/>
  <c r="AC504" i="11"/>
  <c r="AC505" i="11" s="1"/>
  <c r="AC410" i="11"/>
  <c r="AC495" i="11"/>
  <c r="AC496" i="11" s="1"/>
  <c r="AC200" i="11"/>
  <c r="AC129" i="11"/>
  <c r="AC139" i="11"/>
  <c r="Y378" i="11"/>
  <c r="Y174" i="11"/>
  <c r="Y253" i="11" s="1"/>
  <c r="Y346" i="11" s="1"/>
  <c r="Y283" i="11" s="1"/>
  <c r="AG67" i="39" s="1"/>
  <c r="AE115" i="34"/>
  <c r="AE340" i="34" s="1"/>
  <c r="AE72" i="34"/>
  <c r="AE53" i="34"/>
  <c r="BG21" i="34" s="1"/>
  <c r="AT4" i="50" s="1"/>
  <c r="Y875" i="11"/>
  <c r="Y363" i="11"/>
  <c r="Y381" i="11" s="1"/>
  <c r="AC173" i="34"/>
  <c r="AC110" i="34"/>
  <c r="AC244" i="34" s="1"/>
  <c r="AC48" i="34"/>
  <c r="AG94" i="35"/>
  <c r="AE172" i="38"/>
  <c r="AE111" i="38"/>
  <c r="AE270" i="38" s="1"/>
  <c r="AG81" i="36"/>
  <c r="AG82" i="36" s="1"/>
  <c r="AG20" i="36"/>
  <c r="X130" i="38"/>
  <c r="X136" i="38" s="1"/>
  <c r="X140" i="38" s="1"/>
  <c r="X6" i="38"/>
  <c r="AB261" i="11"/>
  <c r="AB216" i="11"/>
  <c r="AC207" i="11"/>
  <c r="AG111" i="36"/>
  <c r="AG270" i="36" s="1"/>
  <c r="AG172" i="36"/>
  <c r="X757" i="11"/>
  <c r="AF128" i="38"/>
  <c r="AF21" i="38"/>
  <c r="AF104" i="38" s="1"/>
  <c r="AF196" i="38" s="1"/>
  <c r="AF21" i="16"/>
  <c r="AF81" i="16" s="1"/>
  <c r="AF128" i="16"/>
  <c r="AF128" i="5"/>
  <c r="AB214" i="11"/>
  <c r="AA218" i="11"/>
  <c r="AA353" i="11" s="1"/>
  <c r="AC62" i="34"/>
  <c r="AC64" i="34" s="1"/>
  <c r="AC8" i="34"/>
  <c r="AD196" i="11"/>
  <c r="F147" i="52"/>
  <c r="C32" i="52" s="1"/>
  <c r="AD56" i="11"/>
  <c r="F147" i="26" s="1"/>
  <c r="C32" i="26" s="1"/>
  <c r="V356" i="11"/>
  <c r="W351" i="11" s="1"/>
  <c r="W356" i="11" s="1"/>
  <c r="X351" i="11" s="1"/>
  <c r="AQ143" i="56"/>
  <c r="AQ144" i="56" s="1"/>
  <c r="AB142" i="35"/>
  <c r="AB73" i="5"/>
  <c r="AQ143" i="50"/>
  <c r="AQ144" i="50" s="1"/>
  <c r="AB142" i="34"/>
  <c r="AB142" i="5"/>
  <c r="AB142" i="16"/>
  <c r="AQ143" i="55"/>
  <c r="AQ144" i="55" s="1"/>
  <c r="AQ143" i="26"/>
  <c r="AQ144" i="26" s="1"/>
  <c r="AB171" i="5"/>
  <c r="AQ143" i="51"/>
  <c r="AQ144" i="51" s="1"/>
  <c r="AB51" i="5"/>
  <c r="AB142" i="39"/>
  <c r="AB114" i="5"/>
  <c r="AQ143" i="52"/>
  <c r="AQ144" i="52" s="1"/>
  <c r="AB142" i="38"/>
  <c r="AB142" i="36"/>
  <c r="AQ143" i="54"/>
  <c r="AQ144" i="54" s="1"/>
  <c r="AB142" i="37"/>
  <c r="AQ143" i="53"/>
  <c r="AQ144" i="53" s="1"/>
  <c r="AB113" i="5"/>
  <c r="AB317" i="5" s="1"/>
  <c r="AH72" i="36"/>
  <c r="AH115" i="36"/>
  <c r="AH340" i="36" s="1"/>
  <c r="AH53" i="36"/>
  <c r="BJ21" i="36" s="1"/>
  <c r="AW4" i="52" s="1"/>
  <c r="AE110" i="35"/>
  <c r="AE244" i="35" s="1"/>
  <c r="AE173" i="35"/>
  <c r="AE48" i="35"/>
  <c r="AF80" i="34"/>
  <c r="AD662" i="11" l="1"/>
  <c r="AB739" i="11"/>
  <c r="AD739" i="11" s="1"/>
  <c r="AI132" i="37"/>
  <c r="AI36" i="37"/>
  <c r="C267" i="11"/>
  <c r="B93" i="8"/>
  <c r="AD737" i="11"/>
  <c r="AE104" i="34"/>
  <c r="AE196" i="34" s="1"/>
  <c r="AJ34" i="36"/>
  <c r="AL34" i="36" s="1"/>
  <c r="I34" i="36" s="1"/>
  <c r="K34" i="36" s="1"/>
  <c r="AB738" i="11"/>
  <c r="AF172" i="35"/>
  <c r="AF117" i="35"/>
  <c r="AF364" i="35" s="1"/>
  <c r="AF111" i="35"/>
  <c r="AF270" i="35" s="1"/>
  <c r="AE28" i="34"/>
  <c r="AT136" i="50" s="1"/>
  <c r="Z78" i="37"/>
  <c r="S883" i="11"/>
  <c r="T621" i="11"/>
  <c r="T630" i="11" s="1"/>
  <c r="T811" i="11" s="1"/>
  <c r="AA84" i="37"/>
  <c r="S882" i="11"/>
  <c r="AA84" i="36"/>
  <c r="S810" i="11"/>
  <c r="T620" i="11"/>
  <c r="T629" i="11" s="1"/>
  <c r="Z77" i="37"/>
  <c r="Z83" i="37" s="1"/>
  <c r="AA76" i="37" s="1"/>
  <c r="AA850" i="11"/>
  <c r="AJ128" i="37"/>
  <c r="AJ21" i="37"/>
  <c r="AJ104" i="37" s="1"/>
  <c r="AJ196" i="37" s="1"/>
  <c r="AB682" i="11"/>
  <c r="AE20" i="34"/>
  <c r="AE8" i="34" s="1"/>
  <c r="AG145" i="34"/>
  <c r="AG36" i="39"/>
  <c r="AG47" i="39" s="1"/>
  <c r="AV137" i="55" s="1"/>
  <c r="Y513" i="11"/>
  <c r="AG36" i="16" s="1"/>
  <c r="AG47" i="16" s="1"/>
  <c r="AG117" i="16" s="1"/>
  <c r="AG364" i="16" s="1"/>
  <c r="AB718" i="11"/>
  <c r="AJ41" i="5" s="1"/>
  <c r="AB746" i="11"/>
  <c r="AB840" i="11" s="1"/>
  <c r="AG105" i="36"/>
  <c r="AG220" i="36" s="1"/>
  <c r="AJ35" i="38"/>
  <c r="AL35" i="38" s="1"/>
  <c r="I35" i="38" s="1"/>
  <c r="K35" i="38" s="1"/>
  <c r="Y52" i="6"/>
  <c r="Y17" i="6"/>
  <c r="Q138" i="24" s="1"/>
  <c r="AD683" i="11"/>
  <c r="AL31" i="37"/>
  <c r="F138" i="53" s="1"/>
  <c r="AB745" i="11"/>
  <c r="AJ133" i="38" s="1"/>
  <c r="Z468" i="11"/>
  <c r="Y504" i="11"/>
  <c r="Y505" i="11" s="1"/>
  <c r="AB655" i="11"/>
  <c r="AE104" i="5"/>
  <c r="AE196" i="5" s="1"/>
  <c r="AB673" i="11"/>
  <c r="AD674" i="11"/>
  <c r="AB743" i="11"/>
  <c r="AJ46" i="36" s="1"/>
  <c r="Z477" i="11"/>
  <c r="Z478" i="11" s="1"/>
  <c r="AD651" i="11"/>
  <c r="AD655" i="11" s="1"/>
  <c r="X401" i="11"/>
  <c r="Y78" i="39"/>
  <c r="Y83" i="39" s="1"/>
  <c r="Z76" i="39" s="1"/>
  <c r="Z77" i="39" s="1"/>
  <c r="Z77" i="36"/>
  <c r="Z83" i="36" s="1"/>
  <c r="AA76" i="36" s="1"/>
  <c r="AC110" i="16"/>
  <c r="AC244" i="16" s="1"/>
  <c r="AF104" i="5"/>
  <c r="AF196" i="5" s="1"/>
  <c r="AD8" i="5"/>
  <c r="X759" i="11"/>
  <c r="AI43" i="34"/>
  <c r="AB691" i="11"/>
  <c r="AJ35" i="34" s="1"/>
  <c r="AD687" i="11"/>
  <c r="AF36" i="34"/>
  <c r="AF47" i="34" s="1"/>
  <c r="AU137" i="50" s="1"/>
  <c r="AI34" i="5"/>
  <c r="AQ138" i="56"/>
  <c r="AQ139" i="56" s="1"/>
  <c r="AJ33" i="35"/>
  <c r="AL33" i="35" s="1"/>
  <c r="F140" i="51" s="1"/>
  <c r="AF105" i="5"/>
  <c r="AF220" i="5" s="1"/>
  <c r="AB113" i="16"/>
  <c r="AB317" i="16" s="1"/>
  <c r="Z459" i="11"/>
  <c r="AB171" i="16"/>
  <c r="I32" i="36"/>
  <c r="K32" i="36" s="1"/>
  <c r="F139" i="52"/>
  <c r="I31" i="36"/>
  <c r="K31" i="36" s="1"/>
  <c r="F138" i="52"/>
  <c r="AI37" i="35"/>
  <c r="AL37" i="35" s="1"/>
  <c r="I37" i="35" s="1"/>
  <c r="K37" i="35" s="1"/>
  <c r="AI37" i="16"/>
  <c r="AL37" i="16" s="1"/>
  <c r="I37" i="16" s="1"/>
  <c r="K37" i="16" s="1"/>
  <c r="I43" i="35"/>
  <c r="K43" i="35" s="1"/>
  <c r="L43" i="35" s="1"/>
  <c r="F142" i="51"/>
  <c r="I43" i="36"/>
  <c r="K43" i="36" s="1"/>
  <c r="L43" i="36" s="1"/>
  <c r="F142" i="52"/>
  <c r="I31" i="37"/>
  <c r="K31" i="37" s="1"/>
  <c r="L31" i="37" s="1"/>
  <c r="I32" i="38"/>
  <c r="K32" i="38" s="1"/>
  <c r="L32" i="38" s="1"/>
  <c r="F139" i="54"/>
  <c r="I31" i="38"/>
  <c r="K31" i="38" s="1"/>
  <c r="L31" i="38" s="1"/>
  <c r="F138" i="54"/>
  <c r="AH37" i="34"/>
  <c r="AH37" i="5"/>
  <c r="I33" i="36"/>
  <c r="K33" i="36" s="1"/>
  <c r="F140" i="52"/>
  <c r="I32" i="39"/>
  <c r="K32" i="39" s="1"/>
  <c r="F139" i="55"/>
  <c r="AE118" i="35"/>
  <c r="AE388" i="35" s="1"/>
  <c r="AT138" i="51"/>
  <c r="I33" i="37"/>
  <c r="K33" i="37" s="1"/>
  <c r="L33" i="37" s="1"/>
  <c r="F140" i="53"/>
  <c r="AE117" i="34"/>
  <c r="AE364" i="34" s="1"/>
  <c r="AT137" i="50"/>
  <c r="I33" i="39"/>
  <c r="K33" i="39" s="1"/>
  <c r="L33" i="39" s="1"/>
  <c r="F140" i="55"/>
  <c r="I43" i="39"/>
  <c r="K43" i="39" s="1"/>
  <c r="L43" i="39" s="1"/>
  <c r="F142" i="55"/>
  <c r="Z586" i="11"/>
  <c r="Z595" i="11" s="1"/>
  <c r="Z604" i="11" s="1"/>
  <c r="I43" i="38"/>
  <c r="K43" i="38" s="1"/>
  <c r="L43" i="38" s="1"/>
  <c r="F142" i="54"/>
  <c r="AG117" i="35"/>
  <c r="AG364" i="35" s="1"/>
  <c r="AV137" i="51"/>
  <c r="I33" i="38"/>
  <c r="K33" i="38" s="1"/>
  <c r="L33" i="38" s="1"/>
  <c r="F140" i="54"/>
  <c r="AC118" i="34"/>
  <c r="AC388" i="34" s="1"/>
  <c r="AR138" i="50"/>
  <c r="Y77" i="38"/>
  <c r="AD118" i="39"/>
  <c r="AD388" i="39" s="1"/>
  <c r="AS138" i="55"/>
  <c r="AD115" i="16"/>
  <c r="AD340" i="16" s="1"/>
  <c r="AR4" i="56"/>
  <c r="AC214" i="11"/>
  <c r="AC317" i="11" s="1"/>
  <c r="AC118" i="38"/>
  <c r="AC388" i="38" s="1"/>
  <c r="AR138" i="54"/>
  <c r="AR139" i="54" s="1"/>
  <c r="AQ139" i="50"/>
  <c r="AB114" i="16"/>
  <c r="AQ139" i="54"/>
  <c r="AB51" i="16"/>
  <c r="AB54" i="16" s="1"/>
  <c r="AB73" i="16"/>
  <c r="AQ138" i="26"/>
  <c r="AQ139" i="26" s="1"/>
  <c r="AR136" i="56"/>
  <c r="AC48" i="16"/>
  <c r="AC118" i="16" s="1"/>
  <c r="AC388" i="16" s="1"/>
  <c r="X78" i="16"/>
  <c r="X83" i="16" s="1"/>
  <c r="Y76" i="16" s="1"/>
  <c r="AC173" i="16"/>
  <c r="AD113" i="39"/>
  <c r="AD317" i="39" s="1"/>
  <c r="AD73" i="39"/>
  <c r="AD51" i="39"/>
  <c r="BF20" i="39" s="1"/>
  <c r="AS3" i="55" s="1"/>
  <c r="AG132" i="35"/>
  <c r="AG134" i="35" s="1"/>
  <c r="Y437" i="11"/>
  <c r="AG21" i="5" s="1"/>
  <c r="Y777" i="11"/>
  <c r="AA891" i="11"/>
  <c r="AD681" i="11"/>
  <c r="AD746" i="11" s="1"/>
  <c r="AL133" i="39" s="1"/>
  <c r="Z585" i="11"/>
  <c r="Z594" i="11" s="1"/>
  <c r="Z603" i="11" s="1"/>
  <c r="Y754" i="11"/>
  <c r="AG132" i="16"/>
  <c r="AG134" i="16" s="1"/>
  <c r="Z360" i="11"/>
  <c r="AI46" i="36"/>
  <c r="AG132" i="5"/>
  <c r="AG134" i="5" s="1"/>
  <c r="X384" i="11"/>
  <c r="X385" i="11" s="1"/>
  <c r="AI133" i="36"/>
  <c r="AD719" i="11"/>
  <c r="Y827" i="11"/>
  <c r="X272" i="11"/>
  <c r="X275" i="11" s="1"/>
  <c r="AF72" i="5" s="1"/>
  <c r="AG36" i="38"/>
  <c r="AG47" i="38" s="1"/>
  <c r="AG172" i="38" s="1"/>
  <c r="Z396" i="11"/>
  <c r="AH94" i="35" s="1"/>
  <c r="R631" i="11"/>
  <c r="R884" i="11" s="1"/>
  <c r="X356" i="11"/>
  <c r="Y351" i="11" s="1"/>
  <c r="Y830" i="11"/>
  <c r="AB742" i="11"/>
  <c r="AJ133" i="35" s="1"/>
  <c r="AD114" i="39"/>
  <c r="AD171" i="39"/>
  <c r="S885" i="11"/>
  <c r="S813" i="11"/>
  <c r="AG48" i="36"/>
  <c r="AG73" i="36" s="1"/>
  <c r="AG110" i="36"/>
  <c r="AG244" i="36" s="1"/>
  <c r="AG173" i="36"/>
  <c r="AG91" i="35"/>
  <c r="AG92" i="35" s="1"/>
  <c r="AG24" i="35"/>
  <c r="AG63" i="35" s="1"/>
  <c r="W868" i="11"/>
  <c r="W904" i="11"/>
  <c r="AA423" i="11"/>
  <c r="AA432" i="11" s="1"/>
  <c r="AH25" i="36"/>
  <c r="AH105" i="36" s="1"/>
  <c r="AH220" i="36" s="1"/>
  <c r="AH129" i="36"/>
  <c r="Z828" i="11"/>
  <c r="Z755" i="11"/>
  <c r="AF104" i="16"/>
  <c r="AF196" i="16" s="1"/>
  <c r="X867" i="11"/>
  <c r="X903" i="11"/>
  <c r="Z120" i="11"/>
  <c r="Y252" i="11"/>
  <c r="Y254" i="11" s="1"/>
  <c r="Y272" i="11" s="1"/>
  <c r="Y275" i="11" s="1"/>
  <c r="Y175" i="11"/>
  <c r="Y188" i="11" s="1"/>
  <c r="AH90" i="35"/>
  <c r="Z782" i="11"/>
  <c r="Y865" i="11"/>
  <c r="Y901" i="11"/>
  <c r="AF91" i="16"/>
  <c r="AF92" i="16" s="1"/>
  <c r="AF24" i="16"/>
  <c r="AF63" i="16" s="1"/>
  <c r="AA709" i="11"/>
  <c r="AA747" i="11" s="1"/>
  <c r="AD704" i="11"/>
  <c r="AD709" i="11" s="1"/>
  <c r="AB664" i="11"/>
  <c r="AJ32" i="35"/>
  <c r="AL32" i="35" s="1"/>
  <c r="AD659" i="11"/>
  <c r="Y614" i="11"/>
  <c r="Y605" i="11"/>
  <c r="BF20" i="36"/>
  <c r="AS3" i="52" s="1"/>
  <c r="AD7" i="36"/>
  <c r="AD54" i="36"/>
  <c r="AI32" i="16"/>
  <c r="AI32" i="34"/>
  <c r="AI32" i="5"/>
  <c r="AA552" i="11"/>
  <c r="AI147" i="34"/>
  <c r="AI33" i="16"/>
  <c r="AI112" i="16" s="1"/>
  <c r="AI294" i="16" s="1"/>
  <c r="AI33" i="34"/>
  <c r="AI112" i="34" s="1"/>
  <c r="AI294" i="34" s="1"/>
  <c r="AI33" i="5"/>
  <c r="AI112" i="5" s="1"/>
  <c r="AI294" i="5" s="1"/>
  <c r="Z410" i="11"/>
  <c r="Z587" i="11"/>
  <c r="Z596" i="11" s="1"/>
  <c r="AH129" i="39"/>
  <c r="AH25" i="39"/>
  <c r="AL35" i="35"/>
  <c r="I35" i="35" s="1"/>
  <c r="K35" i="35" s="1"/>
  <c r="L35" i="35" s="1"/>
  <c r="AJ31" i="16"/>
  <c r="AJ31" i="34"/>
  <c r="AJ31" i="5"/>
  <c r="Z592" i="11"/>
  <c r="AB263" i="11"/>
  <c r="AB352" i="11" s="1"/>
  <c r="Y400" i="11"/>
  <c r="AG94" i="39" s="1"/>
  <c r="AH19" i="35"/>
  <c r="AH80" i="35" s="1"/>
  <c r="AA397" i="11"/>
  <c r="AI94" i="36" s="1"/>
  <c r="Q886" i="11"/>
  <c r="Q814" i="11"/>
  <c r="AF63" i="37"/>
  <c r="AF64" i="37" s="1"/>
  <c r="AF8" i="37"/>
  <c r="Z579" i="11"/>
  <c r="Z786" i="11" s="1"/>
  <c r="AH25" i="35"/>
  <c r="AH129" i="35"/>
  <c r="Z584" i="11"/>
  <c r="Z593" i="11" s="1"/>
  <c r="AL31" i="39"/>
  <c r="AJ33" i="16"/>
  <c r="AJ33" i="34"/>
  <c r="AJ33" i="5"/>
  <c r="AJ41" i="16"/>
  <c r="AJ41" i="34"/>
  <c r="AI35" i="16"/>
  <c r="AI35" i="34"/>
  <c r="AI35" i="5"/>
  <c r="AH90" i="37"/>
  <c r="AH133" i="16"/>
  <c r="AH133" i="5"/>
  <c r="AH46" i="16"/>
  <c r="AH46" i="34"/>
  <c r="AH133" i="34"/>
  <c r="Z841" i="11"/>
  <c r="Z895" i="11"/>
  <c r="AI41" i="16"/>
  <c r="AI41" i="34"/>
  <c r="AI41" i="5"/>
  <c r="AG91" i="39"/>
  <c r="AG92" i="39" s="1"/>
  <c r="AG24" i="39"/>
  <c r="AG63" i="39" s="1"/>
  <c r="AF110" i="37"/>
  <c r="AF244" i="37" s="1"/>
  <c r="AF48" i="37"/>
  <c r="AU138" i="53" s="1"/>
  <c r="AF173" i="37"/>
  <c r="AG24" i="37"/>
  <c r="AG91" i="37"/>
  <c r="AG92" i="37" s="1"/>
  <c r="AG28" i="37"/>
  <c r="AV136" i="53" s="1"/>
  <c r="AG91" i="38"/>
  <c r="AG92" i="38" s="1"/>
  <c r="AG24" i="38"/>
  <c r="AG63" i="38" s="1"/>
  <c r="Z508" i="11"/>
  <c r="AD54" i="37"/>
  <c r="BF20" i="37"/>
  <c r="AS3" i="53" s="1"/>
  <c r="AD7" i="37"/>
  <c r="AH117" i="36"/>
  <c r="AH364" i="36" s="1"/>
  <c r="AH172" i="36"/>
  <c r="AH111" i="36"/>
  <c r="AH270" i="36" s="1"/>
  <c r="AD673" i="11"/>
  <c r="Z432" i="11"/>
  <c r="Z773" i="11" s="1"/>
  <c r="Y863" i="11"/>
  <c r="Y899" i="11"/>
  <c r="AA83" i="11"/>
  <c r="AA84" i="11" s="1"/>
  <c r="Z781" i="11"/>
  <c r="AI46" i="35"/>
  <c r="AA836" i="11"/>
  <c r="AI133" i="35"/>
  <c r="AA890" i="11"/>
  <c r="Y612" i="11"/>
  <c r="Z612" i="11" s="1"/>
  <c r="Y603" i="11"/>
  <c r="AH129" i="37"/>
  <c r="AH25" i="37"/>
  <c r="AH105" i="37" s="1"/>
  <c r="AH220" i="37" s="1"/>
  <c r="Z756" i="11"/>
  <c r="Z829" i="11"/>
  <c r="AH129" i="38"/>
  <c r="AH25" i="38"/>
  <c r="AH105" i="38" s="1"/>
  <c r="AH220" i="38" s="1"/>
  <c r="AJ41" i="38"/>
  <c r="AL41" i="38" s="1"/>
  <c r="I41" i="38" s="1"/>
  <c r="K41" i="38" s="1"/>
  <c r="AD716" i="11"/>
  <c r="AJ147" i="5"/>
  <c r="AG42" i="6"/>
  <c r="AH90" i="36"/>
  <c r="AJ43" i="16"/>
  <c r="AL43" i="16" s="1"/>
  <c r="AJ43" i="34"/>
  <c r="AJ43" i="5"/>
  <c r="AI147" i="16"/>
  <c r="AI23" i="37"/>
  <c r="AA576" i="11"/>
  <c r="AA783" i="11" s="1"/>
  <c r="AB540" i="11"/>
  <c r="AA577" i="11"/>
  <c r="AA784" i="11" s="1"/>
  <c r="AI23" i="38"/>
  <c r="AB541" i="11"/>
  <c r="Z428" i="11"/>
  <c r="AH19" i="34" s="1"/>
  <c r="AB424" i="11"/>
  <c r="AB433" i="11" s="1"/>
  <c r="AB774" i="11" s="1"/>
  <c r="AB135" i="11"/>
  <c r="AB144" i="11" s="1"/>
  <c r="AI31" i="16"/>
  <c r="AI31" i="34"/>
  <c r="AI31" i="5"/>
  <c r="AJ35" i="37"/>
  <c r="AL35" i="37" s="1"/>
  <c r="I35" i="37" s="1"/>
  <c r="K35" i="37" s="1"/>
  <c r="AD688" i="11"/>
  <c r="AD691" i="11" s="1"/>
  <c r="Y588" i="11"/>
  <c r="Y592" i="11"/>
  <c r="AJ32" i="37"/>
  <c r="AL32" i="37" s="1"/>
  <c r="AD661" i="11"/>
  <c r="AG90" i="16"/>
  <c r="AJ34" i="35"/>
  <c r="AL34" i="35" s="1"/>
  <c r="I34" i="35" s="1"/>
  <c r="K34" i="35" s="1"/>
  <c r="AD677" i="11"/>
  <c r="X610" i="11"/>
  <c r="X601" i="11"/>
  <c r="X597" i="11"/>
  <c r="X615" i="11" s="1"/>
  <c r="AJ34" i="16"/>
  <c r="AL34" i="16" s="1"/>
  <c r="I34" i="16" s="1"/>
  <c r="K34" i="16" s="1"/>
  <c r="AJ34" i="34"/>
  <c r="AL34" i="34" s="1"/>
  <c r="I34" i="34" s="1"/>
  <c r="K34" i="34" s="1"/>
  <c r="AJ34" i="5"/>
  <c r="AG105" i="35"/>
  <c r="AG220" i="35" s="1"/>
  <c r="AA838" i="11"/>
  <c r="AI46" i="37"/>
  <c r="AI133" i="37"/>
  <c r="AI134" i="37" s="1"/>
  <c r="AA892" i="11"/>
  <c r="AA143" i="11"/>
  <c r="AA872" i="11" s="1"/>
  <c r="AH23" i="16"/>
  <c r="AH23" i="34"/>
  <c r="AH23" i="5"/>
  <c r="AE118" i="36"/>
  <c r="AE388" i="36" s="1"/>
  <c r="AE114" i="36"/>
  <c r="AE171" i="36"/>
  <c r="AE51" i="36"/>
  <c r="AE113" i="36"/>
  <c r="AE317" i="36" s="1"/>
  <c r="AE73" i="36"/>
  <c r="AJ46" i="39"/>
  <c r="AJ133" i="39"/>
  <c r="AB894" i="11"/>
  <c r="AG90" i="34"/>
  <c r="AG105" i="39"/>
  <c r="AG220" i="39" s="1"/>
  <c r="Z129" i="11"/>
  <c r="X866" i="11"/>
  <c r="X902" i="11"/>
  <c r="AD106" i="11"/>
  <c r="AA575" i="11"/>
  <c r="AA782" i="11" s="1"/>
  <c r="AI23" i="36"/>
  <c r="AB539" i="11"/>
  <c r="AG105" i="38"/>
  <c r="AG220" i="38" s="1"/>
  <c r="AA840" i="11"/>
  <c r="AI46" i="39"/>
  <c r="AI133" i="39"/>
  <c r="AA894" i="11"/>
  <c r="AF24" i="34"/>
  <c r="AF63" i="34" s="1"/>
  <c r="AF91" i="34"/>
  <c r="AF92" i="34" s="1"/>
  <c r="AF105" i="34"/>
  <c r="AF220" i="34" s="1"/>
  <c r="AF48" i="36"/>
  <c r="AU138" i="52" s="1"/>
  <c r="AF173" i="36"/>
  <c r="AF110" i="36"/>
  <c r="AF244" i="36" s="1"/>
  <c r="AC88" i="11"/>
  <c r="AB656" i="11"/>
  <c r="AD656" i="11" s="1"/>
  <c r="AJ41" i="37"/>
  <c r="AL41" i="37" s="1"/>
  <c r="I41" i="37" s="1"/>
  <c r="K41" i="37" s="1"/>
  <c r="AD715" i="11"/>
  <c r="AA578" i="11"/>
  <c r="AA785" i="11" s="1"/>
  <c r="AI23" i="39"/>
  <c r="AB542" i="11"/>
  <c r="AJ34" i="38"/>
  <c r="AL34" i="38" s="1"/>
  <c r="I34" i="38" s="1"/>
  <c r="K34" i="38" s="1"/>
  <c r="AD680" i="11"/>
  <c r="AF132" i="5"/>
  <c r="AF134" i="5" s="1"/>
  <c r="AF132" i="16"/>
  <c r="AF134" i="16" s="1"/>
  <c r="AF36" i="16"/>
  <c r="AF47" i="16" s="1"/>
  <c r="AJ34" i="37"/>
  <c r="AL34" i="37" s="1"/>
  <c r="I34" i="37" s="1"/>
  <c r="K34" i="37" s="1"/>
  <c r="AD679" i="11"/>
  <c r="AE118" i="37"/>
  <c r="AE388" i="37" s="1"/>
  <c r="AE51" i="37"/>
  <c r="AE114" i="37"/>
  <c r="AE73" i="37"/>
  <c r="AE113" i="37"/>
  <c r="AE317" i="37" s="1"/>
  <c r="AE171" i="37"/>
  <c r="AJ35" i="16"/>
  <c r="AA574" i="11"/>
  <c r="AA781" i="11" s="1"/>
  <c r="AA543" i="11"/>
  <c r="AI23" i="35"/>
  <c r="AB538" i="11"/>
  <c r="AB744" i="11"/>
  <c r="AG105" i="37"/>
  <c r="AG220" i="37" s="1"/>
  <c r="AH90" i="38"/>
  <c r="AF63" i="36"/>
  <c r="AF64" i="36" s="1"/>
  <c r="AF8" i="36"/>
  <c r="AA90" i="11"/>
  <c r="AA92" i="11" s="1"/>
  <c r="AG25" i="16"/>
  <c r="AG105" i="16" s="1"/>
  <c r="AG220" i="16" s="1"/>
  <c r="AG129" i="16"/>
  <c r="AG129" i="5"/>
  <c r="AG25" i="5"/>
  <c r="AG24" i="5" s="1"/>
  <c r="AG63" i="5" s="1"/>
  <c r="AG129" i="34"/>
  <c r="AG25" i="34"/>
  <c r="AA839" i="11"/>
  <c r="AI133" i="38"/>
  <c r="AI46" i="38"/>
  <c r="AA893" i="11"/>
  <c r="AB692" i="11"/>
  <c r="AD692" i="11" s="1"/>
  <c r="AG24" i="36"/>
  <c r="AG63" i="36" s="1"/>
  <c r="AG91" i="36"/>
  <c r="AG92" i="36" s="1"/>
  <c r="AH105" i="39"/>
  <c r="AH220" i="39" s="1"/>
  <c r="AH90" i="39"/>
  <c r="AJ43" i="37"/>
  <c r="AL43" i="37" s="1"/>
  <c r="AD735" i="11"/>
  <c r="AD738" i="11" s="1"/>
  <c r="AL31" i="35"/>
  <c r="AD28" i="16"/>
  <c r="AS136" i="56" s="1"/>
  <c r="AD72" i="16"/>
  <c r="AA270" i="11"/>
  <c r="AF82" i="16"/>
  <c r="AA77" i="35"/>
  <c r="AA83" i="35" s="1"/>
  <c r="AB76" i="35" s="1"/>
  <c r="AD215" i="11"/>
  <c r="X83" i="34"/>
  <c r="Y76" i="34" s="1"/>
  <c r="AB218" i="11"/>
  <c r="AB353" i="11" s="1"/>
  <c r="AS4" i="56"/>
  <c r="AS4" i="26"/>
  <c r="AG62" i="36"/>
  <c r="AC307" i="11"/>
  <c r="AD307" i="11" s="1"/>
  <c r="AD258" i="11"/>
  <c r="AF20" i="16"/>
  <c r="AE53" i="16"/>
  <c r="BG21" i="16" s="1"/>
  <c r="AE115" i="16"/>
  <c r="AE340" i="16" s="1"/>
  <c r="AE72" i="16"/>
  <c r="AE28" i="16"/>
  <c r="AI80" i="36"/>
  <c r="Q190" i="11"/>
  <c r="Q191" i="11" s="1"/>
  <c r="AH148" i="38"/>
  <c r="AH145" i="38"/>
  <c r="AE72" i="5"/>
  <c r="AE67" i="5"/>
  <c r="AA476" i="11"/>
  <c r="AA467" i="11"/>
  <c r="AA458" i="11"/>
  <c r="AA409" i="11"/>
  <c r="AA427" i="11" s="1"/>
  <c r="AA119" i="11"/>
  <c r="AA128" i="11"/>
  <c r="AA147" i="11" s="1"/>
  <c r="AI12" i="39"/>
  <c r="AB82" i="11"/>
  <c r="AB110" i="11" s="1"/>
  <c r="AD110" i="11" s="1"/>
  <c r="Y78" i="38"/>
  <c r="AT142" i="56"/>
  <c r="AT142" i="54"/>
  <c r="AE172" i="5"/>
  <c r="AE111" i="5"/>
  <c r="AE270" i="5" s="1"/>
  <c r="AT142" i="26"/>
  <c r="AT142" i="53"/>
  <c r="AT142" i="51"/>
  <c r="AT142" i="55"/>
  <c r="AT142" i="50"/>
  <c r="AT142" i="52"/>
  <c r="AI115" i="36"/>
  <c r="AI340" i="36" s="1"/>
  <c r="AI72" i="36"/>
  <c r="AI53" i="36"/>
  <c r="BK21" i="36" s="1"/>
  <c r="AX4" i="52" s="1"/>
  <c r="AA320" i="11"/>
  <c r="AB315" i="11" s="1"/>
  <c r="Z310" i="11"/>
  <c r="Z279" i="11" s="1"/>
  <c r="AH67" i="35" s="1"/>
  <c r="Y758" i="11"/>
  <c r="AG128" i="39"/>
  <c r="AG21" i="39"/>
  <c r="AG104" i="39" s="1"/>
  <c r="AG196" i="39" s="1"/>
  <c r="AB281" i="11"/>
  <c r="AD326" i="11"/>
  <c r="AJ81" i="37"/>
  <c r="AJ82" i="37" s="1"/>
  <c r="AJ20" i="37"/>
  <c r="AF62" i="5"/>
  <c r="AF64" i="5" s="1"/>
  <c r="AF8" i="5"/>
  <c r="AE73" i="35"/>
  <c r="AE171" i="35"/>
  <c r="AE114" i="35"/>
  <c r="AE51" i="35"/>
  <c r="AE113" i="35"/>
  <c r="AE317" i="35" s="1"/>
  <c r="AB54" i="5"/>
  <c r="Z12" i="6" s="1"/>
  <c r="AB7" i="5"/>
  <c r="Y365" i="11"/>
  <c r="AE62" i="38"/>
  <c r="AE64" i="38" s="1"/>
  <c r="AE8" i="38"/>
  <c r="AF62" i="35"/>
  <c r="AF64" i="35" s="1"/>
  <c r="AF8" i="35"/>
  <c r="AE53" i="38"/>
  <c r="BG21" i="38" s="1"/>
  <c r="AT4" i="54" s="1"/>
  <c r="AE28" i="38"/>
  <c r="AT136" i="54" s="1"/>
  <c r="AE72" i="38"/>
  <c r="AE115" i="38"/>
  <c r="AE340" i="38" s="1"/>
  <c r="AI21" i="36"/>
  <c r="AI104" i="36" s="1"/>
  <c r="AI196" i="36" s="1"/>
  <c r="AI128" i="36"/>
  <c r="Z363" i="11"/>
  <c r="Z381" i="11" s="1"/>
  <c r="Z875" i="11"/>
  <c r="AV137" i="56"/>
  <c r="AH148" i="39"/>
  <c r="AH145" i="39"/>
  <c r="Y311" i="11"/>
  <c r="Z306" i="11" s="1"/>
  <c r="AE111" i="34"/>
  <c r="AE270" i="34" s="1"/>
  <c r="AE172" i="34"/>
  <c r="AU142" i="56"/>
  <c r="AF172" i="5"/>
  <c r="AF111" i="5"/>
  <c r="AF270" i="5" s="1"/>
  <c r="AU142" i="55"/>
  <c r="AU142" i="53"/>
  <c r="AU142" i="54"/>
  <c r="AU142" i="52"/>
  <c r="AU142" i="51"/>
  <c r="AU142" i="50"/>
  <c r="AU142" i="26"/>
  <c r="AG172" i="35"/>
  <c r="AG111" i="35"/>
  <c r="AG270" i="35" s="1"/>
  <c r="AK145" i="37"/>
  <c r="AK148" i="37"/>
  <c r="AE8" i="5"/>
  <c r="AE62" i="5"/>
  <c r="AE64" i="5" s="1"/>
  <c r="AB472" i="11"/>
  <c r="AB463" i="11"/>
  <c r="AB454" i="11"/>
  <c r="AB405" i="11"/>
  <c r="AB124" i="11"/>
  <c r="AB115" i="11"/>
  <c r="AJ12" i="35"/>
  <c r="AC78" i="11"/>
  <c r="AD173" i="34"/>
  <c r="AD48" i="34"/>
  <c r="AD110" i="34"/>
  <c r="AD244" i="34" s="1"/>
  <c r="AC216" i="11"/>
  <c r="AD216" i="11" s="1"/>
  <c r="AC261" i="11"/>
  <c r="AD261" i="11" s="1"/>
  <c r="Y383" i="11"/>
  <c r="AA179" i="11"/>
  <c r="AA183" i="11" s="1"/>
  <c r="Z189" i="11"/>
  <c r="AJ145" i="36"/>
  <c r="AJ148" i="36"/>
  <c r="AB344" i="11"/>
  <c r="Z173" i="11"/>
  <c r="Z252" i="11" s="1"/>
  <c r="Z876" i="11"/>
  <c r="Z364" i="11"/>
  <c r="Z382" i="11" s="1"/>
  <c r="BD20" i="38"/>
  <c r="AQ3" i="54" s="1"/>
  <c r="AB7" i="38"/>
  <c r="AB54" i="38"/>
  <c r="AA84" i="39"/>
  <c r="T623" i="11"/>
  <c r="T632" i="11" s="1"/>
  <c r="T885" i="11" s="1"/>
  <c r="AC901" i="11"/>
  <c r="AC398" i="11"/>
  <c r="AC172" i="11"/>
  <c r="AC251" i="11" s="1"/>
  <c r="Y84" i="34"/>
  <c r="AG80" i="16"/>
  <c r="AD48" i="38"/>
  <c r="AD173" i="38"/>
  <c r="AD110" i="38"/>
  <c r="AD244" i="38" s="1"/>
  <c r="AI148" i="35"/>
  <c r="AI145" i="35"/>
  <c r="AB335" i="11"/>
  <c r="AE110" i="34"/>
  <c r="AE244" i="34" s="1"/>
  <c r="AE48" i="34"/>
  <c r="AE173" i="34"/>
  <c r="AR141" i="56"/>
  <c r="AC110" i="5"/>
  <c r="AC244" i="5" s="1"/>
  <c r="AR141" i="50"/>
  <c r="AC48" i="5"/>
  <c r="AC118" i="5" s="1"/>
  <c r="AC388" i="5" s="1"/>
  <c r="AC173" i="5"/>
  <c r="AR141" i="53"/>
  <c r="AR141" i="51"/>
  <c r="AR141" i="52"/>
  <c r="AR141" i="26"/>
  <c r="AR141" i="54"/>
  <c r="AR141" i="55"/>
  <c r="AB54" i="34"/>
  <c r="AB7" i="34"/>
  <c r="BD20" i="34"/>
  <c r="AQ3" i="50" s="1"/>
  <c r="AG19" i="34"/>
  <c r="AG19" i="5"/>
  <c r="AB900" i="11"/>
  <c r="AB397" i="11"/>
  <c r="AJ94" i="36" s="1"/>
  <c r="AB171" i="11"/>
  <c r="AB87" i="11"/>
  <c r="AR139" i="51"/>
  <c r="AC262" i="11"/>
  <c r="AC217" i="11"/>
  <c r="AC344" i="11" s="1"/>
  <c r="Z435" i="11"/>
  <c r="Z776" i="11" s="1"/>
  <c r="AH19" i="38"/>
  <c r="AH19" i="16"/>
  <c r="Z174" i="11"/>
  <c r="Z253" i="11" s="1"/>
  <c r="Z346" i="11" s="1"/>
  <c r="Z283" i="11" s="1"/>
  <c r="AH67" i="39" s="1"/>
  <c r="AC473" i="11"/>
  <c r="AC464" i="11"/>
  <c r="AC455" i="11"/>
  <c r="AC406" i="11"/>
  <c r="AC424" i="11" s="1"/>
  <c r="AC125" i="11"/>
  <c r="AC144" i="11" s="1"/>
  <c r="AC116" i="11"/>
  <c r="AK12" i="36"/>
  <c r="AG36" i="5"/>
  <c r="AG47" i="5" s="1"/>
  <c r="AG117" i="5" s="1"/>
  <c r="AG364" i="5" s="1"/>
  <c r="AG132" i="34"/>
  <c r="AG134" i="34" s="1"/>
  <c r="AG36" i="34"/>
  <c r="AG47" i="34" s="1"/>
  <c r="AC874" i="11"/>
  <c r="AC362" i="11"/>
  <c r="AD145" i="11"/>
  <c r="AD874" i="11" s="1"/>
  <c r="AD62" i="34"/>
  <c r="AD64" i="34" s="1"/>
  <c r="AD8" i="34"/>
  <c r="AG80" i="38"/>
  <c r="AS141" i="56"/>
  <c r="AS141" i="54"/>
  <c r="AS141" i="52"/>
  <c r="AD110" i="5"/>
  <c r="AD244" i="5" s="1"/>
  <c r="AS141" i="50"/>
  <c r="AS141" i="53"/>
  <c r="AS141" i="55"/>
  <c r="AS141" i="51"/>
  <c r="AD48" i="5"/>
  <c r="AD118" i="5" s="1"/>
  <c r="AD388" i="5" s="1"/>
  <c r="AS141" i="26"/>
  <c r="AD173" i="5"/>
  <c r="AE48" i="39"/>
  <c r="AE173" i="39"/>
  <c r="AE110" i="39"/>
  <c r="AE244" i="39" s="1"/>
  <c r="AA170" i="11"/>
  <c r="AA249" i="11" s="1"/>
  <c r="AB317" i="11"/>
  <c r="AB334" i="11"/>
  <c r="U628" i="11"/>
  <c r="AG20" i="35"/>
  <c r="AG81" i="35"/>
  <c r="AG82" i="35" s="1"/>
  <c r="Z502" i="11"/>
  <c r="Z511" i="11" s="1"/>
  <c r="Z436" i="11"/>
  <c r="Z777" i="11" s="1"/>
  <c r="AH19" i="39"/>
  <c r="AP3" i="56"/>
  <c r="AP3" i="26"/>
  <c r="AF173" i="35"/>
  <c r="AF48" i="35"/>
  <c r="AF110" i="35"/>
  <c r="AF244" i="35" s="1"/>
  <c r="AB316" i="11"/>
  <c r="AD316" i="11" s="1"/>
  <c r="AD259" i="11"/>
  <c r="F183" i="52"/>
  <c r="AD65" i="11"/>
  <c r="AC171" i="38"/>
  <c r="AC51" i="38"/>
  <c r="AC113" i="38"/>
  <c r="AC317" i="38" s="1"/>
  <c r="AC114" i="38"/>
  <c r="AC73" i="38"/>
  <c r="Y757" i="11"/>
  <c r="AG21" i="38"/>
  <c r="AG104" i="38" s="1"/>
  <c r="AG196" i="38" s="1"/>
  <c r="AG128" i="38"/>
  <c r="AG128" i="5"/>
  <c r="AG21" i="16"/>
  <c r="AG104" i="16" s="1"/>
  <c r="AG196" i="16" s="1"/>
  <c r="AG128" i="16"/>
  <c r="AF81" i="38"/>
  <c r="AF82" i="38" s="1"/>
  <c r="AF20" i="38"/>
  <c r="AI62" i="37"/>
  <c r="AF81" i="39"/>
  <c r="AF82" i="39" s="1"/>
  <c r="AF20" i="39"/>
  <c r="AH62" i="36"/>
  <c r="Z227" i="11"/>
  <c r="Z84" i="11"/>
  <c r="Z102" i="11"/>
  <c r="AH100" i="39"/>
  <c r="AH101" i="39" s="1"/>
  <c r="AH100" i="38"/>
  <c r="AH101" i="38" s="1"/>
  <c r="AH100" i="36"/>
  <c r="AH101" i="36" s="1"/>
  <c r="AH100" i="37"/>
  <c r="AH101" i="37" s="1"/>
  <c r="AH100" i="35"/>
  <c r="AH101" i="35" s="1"/>
  <c r="AH100" i="34"/>
  <c r="AH101" i="34" s="1"/>
  <c r="AH100" i="16"/>
  <c r="AH101" i="16" s="1"/>
  <c r="AH12" i="34"/>
  <c r="AH12" i="5"/>
  <c r="Z209" i="11"/>
  <c r="Z503" i="11"/>
  <c r="Z512" i="11" s="1"/>
  <c r="Z148" i="11"/>
  <c r="X338" i="11"/>
  <c r="Y333" i="11" s="1"/>
  <c r="BF20" i="35"/>
  <c r="AS3" i="51" s="1"/>
  <c r="AD7" i="35"/>
  <c r="AD54" i="35"/>
  <c r="AE62" i="16"/>
  <c r="AE64" i="16" s="1"/>
  <c r="AE8" i="16"/>
  <c r="W8" i="11" s="1"/>
  <c r="AC775" i="11"/>
  <c r="AC434" i="11"/>
  <c r="AC829" i="11" s="1"/>
  <c r="AK19" i="37"/>
  <c r="AD425" i="11"/>
  <c r="AG94" i="38"/>
  <c r="AG94" i="16"/>
  <c r="AG72" i="39"/>
  <c r="AG115" i="39"/>
  <c r="AG340" i="39" s="1"/>
  <c r="AG53" i="39"/>
  <c r="BI21" i="39" s="1"/>
  <c r="AV4" i="55" s="1"/>
  <c r="AC308" i="11"/>
  <c r="AD213" i="11"/>
  <c r="AG72" i="35"/>
  <c r="AG53" i="35"/>
  <c r="BI21" i="35" s="1"/>
  <c r="AV4" i="51" s="1"/>
  <c r="AG115" i="35"/>
  <c r="AG340" i="35" s="1"/>
  <c r="AG28" i="35"/>
  <c r="AV136" i="51" s="1"/>
  <c r="AB500" i="11"/>
  <c r="AB509" i="11" s="1"/>
  <c r="AA475" i="11"/>
  <c r="AA466" i="11"/>
  <c r="AA457" i="11"/>
  <c r="AA459" i="11" s="1"/>
  <c r="AA408" i="11"/>
  <c r="AA426" i="11" s="1"/>
  <c r="AA118" i="11"/>
  <c r="AA127" i="11"/>
  <c r="AA146" i="11" s="1"/>
  <c r="AI12" i="38"/>
  <c r="AI12" i="16"/>
  <c r="AB81" i="11"/>
  <c r="AB109" i="11" s="1"/>
  <c r="AD109" i="11" s="1"/>
  <c r="Z378" i="11"/>
  <c r="AG172" i="39"/>
  <c r="AB329" i="11"/>
  <c r="AC324" i="11" s="1"/>
  <c r="AD325" i="11"/>
  <c r="AF28" i="39"/>
  <c r="AU136" i="55" s="1"/>
  <c r="R633" i="11"/>
  <c r="R886" i="11" s="1"/>
  <c r="AI19" i="35"/>
  <c r="F147" i="56"/>
  <c r="C32" i="56" s="1"/>
  <c r="AD200" i="11"/>
  <c r="F147" i="50"/>
  <c r="C32" i="50" s="1"/>
  <c r="AC171" i="34"/>
  <c r="AC114" i="34"/>
  <c r="AC113" i="34"/>
  <c r="AC317" i="34" s="1"/>
  <c r="AC51" i="34"/>
  <c r="AC73" i="34"/>
  <c r="AF67" i="38"/>
  <c r="AF67" i="16"/>
  <c r="AH148" i="16"/>
  <c r="AH145" i="16"/>
  <c r="AI132" i="36"/>
  <c r="AI36" i="36"/>
  <c r="AF28" i="34"/>
  <c r="AU136" i="50" s="1"/>
  <c r="AF115" i="34"/>
  <c r="AF340" i="34" s="1"/>
  <c r="AF53" i="34"/>
  <c r="BH21" i="34" s="1"/>
  <c r="AU4" i="50" s="1"/>
  <c r="AF72" i="34"/>
  <c r="Y347" i="11"/>
  <c r="Z342" i="11" s="1"/>
  <c r="AC501" i="11"/>
  <c r="AC510" i="11" s="1"/>
  <c r="AE82" i="34"/>
  <c r="AG80" i="39"/>
  <c r="AA499" i="11"/>
  <c r="AE62" i="39"/>
  <c r="AE64" i="39" s="1"/>
  <c r="AE8" i="39"/>
  <c r="AF81" i="34"/>
  <c r="AF82" i="34" s="1"/>
  <c r="AF20" i="34"/>
  <c r="AF67" i="5" l="1"/>
  <c r="AI47" i="37"/>
  <c r="AX137" i="53" s="1"/>
  <c r="X273" i="11"/>
  <c r="Y268" i="11" s="1"/>
  <c r="AJ46" i="38"/>
  <c r="C278" i="11"/>
  <c r="B94" i="8"/>
  <c r="AA77" i="36"/>
  <c r="AE62" i="34"/>
  <c r="AE64" i="34" s="1"/>
  <c r="T882" i="11"/>
  <c r="T810" i="11"/>
  <c r="AB84" i="36"/>
  <c r="U620" i="11"/>
  <c r="U629" i="11" s="1"/>
  <c r="Z613" i="11"/>
  <c r="AF111" i="34"/>
  <c r="AF270" i="34" s="1"/>
  <c r="AA78" i="37"/>
  <c r="AA77" i="37"/>
  <c r="AF172" i="34"/>
  <c r="T883" i="11"/>
  <c r="AB84" i="37"/>
  <c r="U621" i="11"/>
  <c r="U630" i="11" s="1"/>
  <c r="U811" i="11" s="1"/>
  <c r="AB7" i="16"/>
  <c r="T7" i="11" s="1"/>
  <c r="AV137" i="26"/>
  <c r="AG172" i="16"/>
  <c r="AG111" i="16"/>
  <c r="AG270" i="16" s="1"/>
  <c r="AG117" i="39"/>
  <c r="AG364" i="39" s="1"/>
  <c r="AG128" i="34"/>
  <c r="AG111" i="39"/>
  <c r="AG270" i="39" s="1"/>
  <c r="AH21" i="35"/>
  <c r="AH104" i="35" s="1"/>
  <c r="AH196" i="35" s="1"/>
  <c r="Z347" i="11"/>
  <c r="AA342" i="11" s="1"/>
  <c r="Z827" i="11"/>
  <c r="AH19" i="5"/>
  <c r="AJ35" i="5"/>
  <c r="AB747" i="11"/>
  <c r="AB839" i="11"/>
  <c r="AB893" i="11"/>
  <c r="AG21" i="34"/>
  <c r="AG81" i="34" s="1"/>
  <c r="Y759" i="11"/>
  <c r="Y868" i="11" s="1"/>
  <c r="Z52" i="6"/>
  <c r="Z17" i="6"/>
  <c r="R138" i="24" s="1"/>
  <c r="AB891" i="11"/>
  <c r="Y778" i="11"/>
  <c r="AB837" i="11"/>
  <c r="AJ133" i="36"/>
  <c r="AF117" i="34"/>
  <c r="AF364" i="34" s="1"/>
  <c r="AD743" i="11"/>
  <c r="AL133" i="36" s="1"/>
  <c r="AA468" i="11"/>
  <c r="AA360" i="11"/>
  <c r="AL43" i="34"/>
  <c r="AD214" i="11"/>
  <c r="AA78" i="36"/>
  <c r="I33" i="35"/>
  <c r="K33" i="35" s="1"/>
  <c r="Z84" i="16"/>
  <c r="X868" i="11"/>
  <c r="X904" i="11"/>
  <c r="R812" i="11"/>
  <c r="S622" i="11"/>
  <c r="S624" i="11" s="1"/>
  <c r="Z84" i="38"/>
  <c r="AA209" i="11"/>
  <c r="AI100" i="39"/>
  <c r="AI101" i="39" s="1"/>
  <c r="AA102" i="11"/>
  <c r="AG64" i="36"/>
  <c r="Y83" i="38"/>
  <c r="Z76" i="38" s="1"/>
  <c r="AA828" i="11"/>
  <c r="AD745" i="11"/>
  <c r="AL133" i="38" s="1"/>
  <c r="AA755" i="11"/>
  <c r="AA864" i="11" s="1"/>
  <c r="AG111" i="38"/>
  <c r="AG270" i="38" s="1"/>
  <c r="AJ19" i="36"/>
  <c r="AJ80" i="36" s="1"/>
  <c r="AL35" i="16"/>
  <c r="I35" i="16" s="1"/>
  <c r="K35" i="16" s="1"/>
  <c r="L35" i="16" s="1"/>
  <c r="AG28" i="39"/>
  <c r="AV136" i="55" s="1"/>
  <c r="T813" i="11"/>
  <c r="I32" i="37"/>
  <c r="K32" i="37" s="1"/>
  <c r="L32" i="37" s="1"/>
  <c r="F139" i="53"/>
  <c r="I32" i="35"/>
  <c r="K32" i="35" s="1"/>
  <c r="L32" i="35" s="1"/>
  <c r="F139" i="51"/>
  <c r="I31" i="35"/>
  <c r="K31" i="35" s="1"/>
  <c r="L31" i="35" s="1"/>
  <c r="F138" i="51"/>
  <c r="I43" i="37"/>
  <c r="K43" i="37" s="1"/>
  <c r="L43" i="37" s="1"/>
  <c r="F142" i="53"/>
  <c r="I31" i="39"/>
  <c r="K31" i="39" s="1"/>
  <c r="L31" i="39" s="1"/>
  <c r="F138" i="55"/>
  <c r="AI37" i="5"/>
  <c r="AI37" i="34"/>
  <c r="AL37" i="34" s="1"/>
  <c r="I37" i="34" s="1"/>
  <c r="K37" i="34" s="1"/>
  <c r="AB836" i="11"/>
  <c r="AF118" i="35"/>
  <c r="AF388" i="35" s="1"/>
  <c r="AU138" i="51"/>
  <c r="AG117" i="34"/>
  <c r="AG364" i="34" s="1"/>
  <c r="AV137" i="50"/>
  <c r="AD744" i="11"/>
  <c r="AL133" i="37" s="1"/>
  <c r="AA586" i="11"/>
  <c r="AA595" i="11" s="1"/>
  <c r="AA604" i="11" s="1"/>
  <c r="AD604" i="11" s="1"/>
  <c r="I43" i="34"/>
  <c r="K43" i="34" s="1"/>
  <c r="L43" i="34" s="1"/>
  <c r="F142" i="50"/>
  <c r="AG117" i="38"/>
  <c r="AG364" i="38" s="1"/>
  <c r="AV137" i="54"/>
  <c r="AL33" i="16"/>
  <c r="I33" i="16" s="1"/>
  <c r="K33" i="16" s="1"/>
  <c r="L33" i="16" s="1"/>
  <c r="BD20" i="16"/>
  <c r="AQ3" i="26" s="1"/>
  <c r="AD118" i="34"/>
  <c r="AD388" i="34" s="1"/>
  <c r="AS138" i="50"/>
  <c r="AE118" i="34"/>
  <c r="AE388" i="34" s="1"/>
  <c r="AT138" i="50"/>
  <c r="AE118" i="39"/>
  <c r="AE388" i="39" s="1"/>
  <c r="AT138" i="55"/>
  <c r="AD118" i="38"/>
  <c r="AD388" i="38" s="1"/>
  <c r="AS138" i="54"/>
  <c r="AD7" i="39"/>
  <c r="AD54" i="39"/>
  <c r="AD173" i="16"/>
  <c r="Z78" i="39"/>
  <c r="Z83" i="39" s="1"/>
  <c r="AA76" i="39" s="1"/>
  <c r="AA77" i="39" s="1"/>
  <c r="AR139" i="50"/>
  <c r="AG118" i="36"/>
  <c r="AG388" i="36" s="1"/>
  <c r="AV138" i="52"/>
  <c r="AR139" i="52"/>
  <c r="AR139" i="53"/>
  <c r="AG113" i="36"/>
  <c r="AG317" i="36" s="1"/>
  <c r="AR139" i="55"/>
  <c r="AC73" i="16"/>
  <c r="AC51" i="16"/>
  <c r="AC54" i="16" s="1"/>
  <c r="AC171" i="16"/>
  <c r="AR138" i="26"/>
  <c r="AR139" i="26" s="1"/>
  <c r="AC114" i="16"/>
  <c r="AC113" i="16"/>
  <c r="AC317" i="16" s="1"/>
  <c r="AR138" i="56"/>
  <c r="AR139" i="56" s="1"/>
  <c r="Y78" i="16"/>
  <c r="Y77" i="16"/>
  <c r="AI47" i="36"/>
  <c r="AI111" i="36" s="1"/>
  <c r="AI270" i="36" s="1"/>
  <c r="AI134" i="36"/>
  <c r="R814" i="11"/>
  <c r="Z399" i="11"/>
  <c r="AD48" i="16"/>
  <c r="AD118" i="16" s="1"/>
  <c r="AD388" i="16" s="1"/>
  <c r="AG8" i="36"/>
  <c r="AL46" i="36"/>
  <c r="I46" i="36" s="1"/>
  <c r="K46" i="36" s="1"/>
  <c r="L46" i="36" s="1"/>
  <c r="AB890" i="11"/>
  <c r="AJ46" i="35"/>
  <c r="AL46" i="35" s="1"/>
  <c r="I46" i="35" s="1"/>
  <c r="K46" i="35" s="1"/>
  <c r="L46" i="35" s="1"/>
  <c r="AA477" i="11"/>
  <c r="AA478" i="11" s="1"/>
  <c r="AC218" i="11"/>
  <c r="AC270" i="11" s="1"/>
  <c r="AA396" i="11"/>
  <c r="AI94" i="35" s="1"/>
  <c r="Z400" i="11"/>
  <c r="AH94" i="39" s="1"/>
  <c r="AG104" i="5"/>
  <c r="AG196" i="5" s="1"/>
  <c r="AL33" i="34"/>
  <c r="AA410" i="11"/>
  <c r="Y337" i="11"/>
  <c r="Y282" i="11" s="1"/>
  <c r="AG67" i="38" s="1"/>
  <c r="Z175" i="11"/>
  <c r="Z188" i="11" s="1"/>
  <c r="AB269" i="11"/>
  <c r="AA583" i="11"/>
  <c r="AA592" i="11" s="1"/>
  <c r="AD110" i="16"/>
  <c r="AD244" i="16" s="1"/>
  <c r="AD718" i="11"/>
  <c r="S631" i="11"/>
  <c r="S884" i="11" s="1"/>
  <c r="AI100" i="34"/>
  <c r="AI101" i="34" s="1"/>
  <c r="AI100" i="35"/>
  <c r="AI101" i="35" s="1"/>
  <c r="AD682" i="11"/>
  <c r="AI100" i="36"/>
  <c r="AI101" i="36" s="1"/>
  <c r="AL41" i="16"/>
  <c r="I41" i="16" s="1"/>
  <c r="K41" i="16" s="1"/>
  <c r="L41" i="16" s="1"/>
  <c r="AI100" i="38"/>
  <c r="AI101" i="38" s="1"/>
  <c r="AA585" i="11"/>
  <c r="AA594" i="11" s="1"/>
  <c r="AA603" i="11" s="1"/>
  <c r="AD603" i="11" s="1"/>
  <c r="Z365" i="11"/>
  <c r="AI100" i="16"/>
  <c r="AI101" i="16" s="1"/>
  <c r="AA227" i="11"/>
  <c r="AA584" i="11"/>
  <c r="AA593" i="11" s="1"/>
  <c r="AA602" i="11" s="1"/>
  <c r="Z383" i="11"/>
  <c r="AI12" i="34"/>
  <c r="AI148" i="34" s="1"/>
  <c r="AB873" i="11"/>
  <c r="AB361" i="11"/>
  <c r="AB379" i="11" s="1"/>
  <c r="AJ46" i="16"/>
  <c r="AJ133" i="16"/>
  <c r="AJ133" i="5"/>
  <c r="AJ133" i="34"/>
  <c r="AJ46" i="34"/>
  <c r="AB841" i="11"/>
  <c r="AB895" i="11"/>
  <c r="AH90" i="16"/>
  <c r="AA773" i="11"/>
  <c r="AG114" i="36"/>
  <c r="U881" i="11"/>
  <c r="U809" i="11"/>
  <c r="AG171" i="36"/>
  <c r="Y866" i="11"/>
  <c r="Y902" i="11"/>
  <c r="AB90" i="11"/>
  <c r="AJ133" i="37"/>
  <c r="AJ134" i="37" s="1"/>
  <c r="AJ46" i="37"/>
  <c r="AB838" i="11"/>
  <c r="AB892" i="11"/>
  <c r="AD742" i="11"/>
  <c r="AL133" i="35" s="1"/>
  <c r="AI90" i="39"/>
  <c r="AG63" i="37"/>
  <c r="AG64" i="37" s="1"/>
  <c r="AG8" i="37"/>
  <c r="Z601" i="11"/>
  <c r="Z597" i="11"/>
  <c r="AH91" i="36"/>
  <c r="AH92" i="36" s="1"/>
  <c r="AH24" i="36"/>
  <c r="AH28" i="36"/>
  <c r="AW136" i="52" s="1"/>
  <c r="AX34" i="5"/>
  <c r="AL34" i="5"/>
  <c r="I34" i="5" s="1"/>
  <c r="K34" i="5" s="1"/>
  <c r="Z588" i="11"/>
  <c r="AG20" i="5"/>
  <c r="AG8" i="5" s="1"/>
  <c r="AG24" i="34"/>
  <c r="AG63" i="34" s="1"/>
  <c r="AG91" i="34"/>
  <c r="AG92" i="34" s="1"/>
  <c r="AF118" i="36"/>
  <c r="AF388" i="36" s="1"/>
  <c r="AF73" i="36"/>
  <c r="AF51" i="36"/>
  <c r="AF114" i="36"/>
  <c r="AF171" i="36"/>
  <c r="AF113" i="36"/>
  <c r="AF317" i="36" s="1"/>
  <c r="AD111" i="11"/>
  <c r="F228" i="51"/>
  <c r="G228" i="51" s="1"/>
  <c r="F183" i="51"/>
  <c r="AG105" i="34"/>
  <c r="AG220" i="34" s="1"/>
  <c r="AA129" i="11"/>
  <c r="AB576" i="11"/>
  <c r="AB585" i="11" s="1"/>
  <c r="AJ23" i="37"/>
  <c r="AB783" i="11"/>
  <c r="AB883" i="11"/>
  <c r="AD540" i="11"/>
  <c r="Z865" i="11"/>
  <c r="Z901" i="11"/>
  <c r="Z504" i="11"/>
  <c r="Z505" i="11" s="1"/>
  <c r="AF118" i="37"/>
  <c r="AF388" i="37" s="1"/>
  <c r="AF171" i="37"/>
  <c r="AF51" i="37"/>
  <c r="AF113" i="37"/>
  <c r="AF317" i="37" s="1"/>
  <c r="AF73" i="37"/>
  <c r="AF114" i="37"/>
  <c r="Z602" i="11"/>
  <c r="Z611" i="11"/>
  <c r="AX31" i="5"/>
  <c r="AL31" i="5"/>
  <c r="I31" i="5" s="1"/>
  <c r="K31" i="5" s="1"/>
  <c r="L31" i="5" s="1"/>
  <c r="AB543" i="11"/>
  <c r="AJ23" i="35"/>
  <c r="AB881" i="11"/>
  <c r="AB781" i="11"/>
  <c r="AB574" i="11"/>
  <c r="AB583" i="11" s="1"/>
  <c r="AD538" i="11"/>
  <c r="AI129" i="39"/>
  <c r="AI25" i="39"/>
  <c r="AI105" i="39" s="1"/>
  <c r="AI220" i="39" s="1"/>
  <c r="Z605" i="11"/>
  <c r="Z614" i="11"/>
  <c r="AE7" i="37"/>
  <c r="BG20" i="37"/>
  <c r="AT3" i="53" s="1"/>
  <c r="AE54" i="37"/>
  <c r="Z831" i="11"/>
  <c r="AC500" i="11"/>
  <c r="AC509" i="11" s="1"/>
  <c r="AK132" i="36" s="1"/>
  <c r="AK134" i="36" s="1"/>
  <c r="AB423" i="11"/>
  <c r="AB134" i="11"/>
  <c r="AB143" i="11" s="1"/>
  <c r="AI100" i="37"/>
  <c r="AI101" i="37" s="1"/>
  <c r="AL35" i="5"/>
  <c r="I35" i="5" s="1"/>
  <c r="K35" i="5" s="1"/>
  <c r="L35" i="5" s="1"/>
  <c r="AX35" i="5"/>
  <c r="AB111" i="11"/>
  <c r="AH91" i="37"/>
  <c r="AH92" i="37" s="1"/>
  <c r="AH24" i="37"/>
  <c r="AH28" i="37"/>
  <c r="AW136" i="53" s="1"/>
  <c r="AH36" i="35"/>
  <c r="AH47" i="35" s="1"/>
  <c r="AW137" i="51" s="1"/>
  <c r="AH132" i="35"/>
  <c r="AH134" i="35" s="1"/>
  <c r="AX41" i="5"/>
  <c r="AL41" i="5"/>
  <c r="I41" i="5" s="1"/>
  <c r="K41" i="5" s="1"/>
  <c r="L41" i="5" s="1"/>
  <c r="AL31" i="34"/>
  <c r="AD664" i="11"/>
  <c r="AF117" i="16"/>
  <c r="AF364" i="16" s="1"/>
  <c r="AF111" i="16"/>
  <c r="AF270" i="16" s="1"/>
  <c r="AU137" i="26"/>
  <c r="AU137" i="56"/>
  <c r="AF172" i="16"/>
  <c r="AB499" i="11"/>
  <c r="AH128" i="35"/>
  <c r="AA503" i="11"/>
  <c r="AA512" i="11" s="1"/>
  <c r="AI90" i="35"/>
  <c r="AL35" i="34"/>
  <c r="I35" i="34" s="1"/>
  <c r="K35" i="34" s="1"/>
  <c r="L35" i="34" s="1"/>
  <c r="AB882" i="11"/>
  <c r="AB782" i="11"/>
  <c r="AB575" i="11"/>
  <c r="AB755" i="11" s="1"/>
  <c r="AB864" i="11" s="1"/>
  <c r="AJ23" i="36"/>
  <c r="AD539" i="11"/>
  <c r="AI133" i="16"/>
  <c r="AI133" i="5"/>
  <c r="AI46" i="16"/>
  <c r="AA841" i="11"/>
  <c r="AI46" i="34"/>
  <c r="AI133" i="34"/>
  <c r="AA895" i="11"/>
  <c r="AJ23" i="38"/>
  <c r="AB884" i="11"/>
  <c r="AB577" i="11"/>
  <c r="AB784" i="11"/>
  <c r="AD541" i="11"/>
  <c r="AI129" i="37"/>
  <c r="AI25" i="37"/>
  <c r="AI105" i="37" s="1"/>
  <c r="AI220" i="37" s="1"/>
  <c r="AA756" i="11"/>
  <c r="AA829" i="11"/>
  <c r="AX43" i="5"/>
  <c r="AL43" i="5"/>
  <c r="I43" i="5" s="1"/>
  <c r="K43" i="5" s="1"/>
  <c r="L43" i="5" s="1"/>
  <c r="AL41" i="34"/>
  <c r="I41" i="34" s="1"/>
  <c r="K41" i="34" s="1"/>
  <c r="L41" i="34" s="1"/>
  <c r="AH24" i="35"/>
  <c r="AH63" i="35" s="1"/>
  <c r="AH91" i="35"/>
  <c r="AH92" i="35" s="1"/>
  <c r="AH105" i="35"/>
  <c r="AH220" i="35" s="1"/>
  <c r="F228" i="54"/>
  <c r="G228" i="54" s="1"/>
  <c r="F183" i="54"/>
  <c r="AI23" i="16"/>
  <c r="AI23" i="34"/>
  <c r="AI23" i="5"/>
  <c r="AL46" i="39"/>
  <c r="I46" i="39" s="1"/>
  <c r="K46" i="39" s="1"/>
  <c r="L46" i="39" s="1"/>
  <c r="X606" i="11"/>
  <c r="Y601" i="11"/>
  <c r="Y606" i="11" s="1"/>
  <c r="Y610" i="11"/>
  <c r="Z610" i="11" s="1"/>
  <c r="Y597" i="11"/>
  <c r="Y615" i="11" s="1"/>
  <c r="AH25" i="16"/>
  <c r="AH129" i="5"/>
  <c r="AH129" i="16"/>
  <c r="AH25" i="5"/>
  <c r="AH24" i="5" s="1"/>
  <c r="AH63" i="5" s="1"/>
  <c r="AH25" i="34"/>
  <c r="AH105" i="34" s="1"/>
  <c r="AH220" i="34" s="1"/>
  <c r="AH129" i="34"/>
  <c r="AL31" i="16"/>
  <c r="AJ32" i="16"/>
  <c r="AL32" i="16" s="1"/>
  <c r="AJ32" i="34"/>
  <c r="AL32" i="34" s="1"/>
  <c r="AJ32" i="5"/>
  <c r="Z864" i="11"/>
  <c r="Z900" i="11"/>
  <c r="AA508" i="11"/>
  <c r="AA827" i="11" s="1"/>
  <c r="AA120" i="11"/>
  <c r="AA121" i="11" s="1"/>
  <c r="AG51" i="36"/>
  <c r="AG7" i="36" s="1"/>
  <c r="AB250" i="11"/>
  <c r="AB319" i="11" s="1"/>
  <c r="AB280" i="11" s="1"/>
  <c r="AB153" i="11"/>
  <c r="AD153" i="11" s="1"/>
  <c r="Z754" i="11"/>
  <c r="AS136" i="26"/>
  <c r="Y867" i="11"/>
  <c r="Y903" i="11"/>
  <c r="Z121" i="11"/>
  <c r="AI12" i="5"/>
  <c r="AJ148" i="5" s="1"/>
  <c r="AA579" i="11"/>
  <c r="AA786" i="11" s="1"/>
  <c r="AI129" i="35"/>
  <c r="AI25" i="35"/>
  <c r="AI105" i="35" s="1"/>
  <c r="AI220" i="35" s="1"/>
  <c r="AG105" i="5"/>
  <c r="AG220" i="5" s="1"/>
  <c r="AB885" i="11"/>
  <c r="AB785" i="11"/>
  <c r="AB578" i="11"/>
  <c r="AB587" i="11" s="1"/>
  <c r="AJ23" i="39"/>
  <c r="AD542" i="11"/>
  <c r="AI90" i="36"/>
  <c r="AH90" i="34"/>
  <c r="AI172" i="37"/>
  <c r="AI111" i="37"/>
  <c r="AI270" i="37" s="1"/>
  <c r="AI117" i="37"/>
  <c r="AI364" i="37" s="1"/>
  <c r="AI90" i="38"/>
  <c r="AI90" i="37"/>
  <c r="I43" i="16"/>
  <c r="K43" i="16" s="1"/>
  <c r="L43" i="16" s="1"/>
  <c r="F142" i="56"/>
  <c r="F142" i="26"/>
  <c r="AG173" i="37"/>
  <c r="AG48" i="37"/>
  <c r="AV138" i="53" s="1"/>
  <c r="AG110" i="37"/>
  <c r="AG244" i="37" s="1"/>
  <c r="AL33" i="5"/>
  <c r="I33" i="5" s="1"/>
  <c r="K33" i="5" s="1"/>
  <c r="L33" i="5" s="1"/>
  <c r="AX33" i="5"/>
  <c r="AL46" i="38"/>
  <c r="I46" i="38" s="1"/>
  <c r="K46" i="38" s="1"/>
  <c r="L46" i="38" s="1"/>
  <c r="AB91" i="11"/>
  <c r="AE54" i="36"/>
  <c r="AE7" i="36"/>
  <c r="BG20" i="36"/>
  <c r="AT3" i="52" s="1"/>
  <c r="F228" i="55"/>
  <c r="G228" i="55" s="1"/>
  <c r="F183" i="55"/>
  <c r="AG91" i="16"/>
  <c r="AG92" i="16" s="1"/>
  <c r="AG24" i="16"/>
  <c r="AG63" i="16" s="1"/>
  <c r="AA587" i="11"/>
  <c r="AA596" i="11" s="1"/>
  <c r="AI25" i="36"/>
  <c r="AI105" i="36" s="1"/>
  <c r="AI220" i="36" s="1"/>
  <c r="AI129" i="36"/>
  <c r="AI129" i="38"/>
  <c r="AI25" i="38"/>
  <c r="AI105" i="38" s="1"/>
  <c r="AI220" i="38" s="1"/>
  <c r="AH91" i="38"/>
  <c r="AH92" i="38" s="1"/>
  <c r="AH24" i="38"/>
  <c r="AH63" i="38" s="1"/>
  <c r="AH24" i="39"/>
  <c r="AH63" i="39" s="1"/>
  <c r="AH91" i="39"/>
  <c r="AH92" i="39" s="1"/>
  <c r="Y401" i="11"/>
  <c r="AB77" i="35"/>
  <c r="AB78" i="35"/>
  <c r="AB270" i="11"/>
  <c r="AB84" i="39"/>
  <c r="U623" i="11"/>
  <c r="U632" i="11" s="1"/>
  <c r="AK80" i="37"/>
  <c r="AK104" i="37"/>
  <c r="AK196" i="37" s="1"/>
  <c r="AL19" i="37"/>
  <c r="AC54" i="34"/>
  <c r="AC7" i="34"/>
  <c r="BE20" i="34"/>
  <c r="AR3" i="50" s="1"/>
  <c r="Z84" i="34"/>
  <c r="AF115" i="5"/>
  <c r="AF340" i="5" s="1"/>
  <c r="AF6" i="5"/>
  <c r="AF28" i="5"/>
  <c r="AF53" i="5"/>
  <c r="AJ128" i="36"/>
  <c r="AJ21" i="36"/>
  <c r="AF62" i="38"/>
  <c r="AF64" i="38" s="1"/>
  <c r="AF8" i="38"/>
  <c r="AF110" i="34"/>
  <c r="AF244" i="34" s="1"/>
  <c r="AF48" i="34"/>
  <c r="AF173" i="34"/>
  <c r="AF115" i="16"/>
  <c r="AF340" i="16" s="1"/>
  <c r="AF72" i="16"/>
  <c r="AF53" i="16"/>
  <c r="BH21" i="16" s="1"/>
  <c r="AF28" i="16"/>
  <c r="AI148" i="38"/>
  <c r="AI145" i="38"/>
  <c r="AH132" i="39"/>
  <c r="AH134" i="39" s="1"/>
  <c r="AH36" i="39"/>
  <c r="AH47" i="39" s="1"/>
  <c r="AD317" i="11"/>
  <c r="AE114" i="39"/>
  <c r="AE113" i="39"/>
  <c r="AE317" i="39" s="1"/>
  <c r="AE51" i="39"/>
  <c r="AE73" i="39"/>
  <c r="AE171" i="39"/>
  <c r="AC900" i="11"/>
  <c r="AC397" i="11"/>
  <c r="AC171" i="11"/>
  <c r="AC250" i="11" s="1"/>
  <c r="AD217" i="11"/>
  <c r="AC335" i="11"/>
  <c r="AA174" i="11"/>
  <c r="AA253" i="11" s="1"/>
  <c r="AA346" i="11" s="1"/>
  <c r="AA283" i="11" s="1"/>
  <c r="AI67" i="39" s="1"/>
  <c r="AT4" i="56"/>
  <c r="AT4" i="26"/>
  <c r="AC263" i="11"/>
  <c r="AC352" i="11" s="1"/>
  <c r="AD352" i="11" s="1"/>
  <c r="AF62" i="34"/>
  <c r="AF64" i="34" s="1"/>
  <c r="AF8" i="34"/>
  <c r="AF115" i="38"/>
  <c r="AF340" i="38" s="1"/>
  <c r="AF72" i="38"/>
  <c r="AF53" i="38"/>
  <c r="BH21" i="38" s="1"/>
  <c r="AU4" i="54" s="1"/>
  <c r="AF28" i="38"/>
  <c r="AU136" i="54" s="1"/>
  <c r="AA363" i="11"/>
  <c r="AA381" i="11" s="1"/>
  <c r="AA875" i="11"/>
  <c r="AJ132" i="36"/>
  <c r="AJ36" i="36"/>
  <c r="AJ47" i="36" s="1"/>
  <c r="AY137" i="52" s="1"/>
  <c r="AF62" i="39"/>
  <c r="AF64" i="39" s="1"/>
  <c r="AF8" i="39"/>
  <c r="AG20" i="38"/>
  <c r="AG81" i="38"/>
  <c r="AG82" i="38" s="1"/>
  <c r="F183" i="50"/>
  <c r="F183" i="56"/>
  <c r="AH132" i="38"/>
  <c r="AH134" i="38" s="1"/>
  <c r="AH36" i="38"/>
  <c r="AH47" i="38" s="1"/>
  <c r="AH132" i="16"/>
  <c r="AH134" i="16" s="1"/>
  <c r="Z513" i="11"/>
  <c r="AH36" i="16" s="1"/>
  <c r="AH47" i="16" s="1"/>
  <c r="AH117" i="16" s="1"/>
  <c r="AH364" i="16" s="1"/>
  <c r="AC380" i="11"/>
  <c r="AD362" i="11"/>
  <c r="AD380" i="11" s="1"/>
  <c r="AF380" i="11" s="1"/>
  <c r="AC873" i="11"/>
  <c r="AC361" i="11"/>
  <c r="AD144" i="11"/>
  <c r="AD873" i="11" s="1"/>
  <c r="AH80" i="16"/>
  <c r="Y273" i="11"/>
  <c r="Z268" i="11" s="1"/>
  <c r="Y77" i="34"/>
  <c r="Y78" i="34"/>
  <c r="AD344" i="11"/>
  <c r="AB432" i="11"/>
  <c r="AB773" i="11" s="1"/>
  <c r="AJ19" i="35"/>
  <c r="AA436" i="11"/>
  <c r="AA777" i="11" s="1"/>
  <c r="AI19" i="39"/>
  <c r="Q877" i="11"/>
  <c r="Y89" i="39"/>
  <c r="Y87" i="39" s="1"/>
  <c r="Y89" i="38"/>
  <c r="Y87" i="38" s="1"/>
  <c r="Y89" i="36"/>
  <c r="Y87" i="36" s="1"/>
  <c r="Y89" i="37"/>
  <c r="Y87" i="37" s="1"/>
  <c r="Y89" i="35"/>
  <c r="Y87" i="35" s="1"/>
  <c r="Y89" i="34"/>
  <c r="Y87" i="34" s="1"/>
  <c r="Y127" i="5"/>
  <c r="Y130" i="5" s="1"/>
  <c r="Y136" i="5" s="1"/>
  <c r="Y140" i="5" s="1"/>
  <c r="Y89" i="16"/>
  <c r="Y87" i="16" s="1"/>
  <c r="Q832" i="11"/>
  <c r="Y127" i="37"/>
  <c r="Y127" i="36"/>
  <c r="Y127" i="39"/>
  <c r="Y127" i="34"/>
  <c r="Y127" i="35"/>
  <c r="Y127" i="16"/>
  <c r="Y127" i="38"/>
  <c r="AC84" i="35"/>
  <c r="V619" i="11"/>
  <c r="V628" i="11" s="1"/>
  <c r="AA310" i="11"/>
  <c r="AA279" i="11" s="1"/>
  <c r="AI67" i="35" s="1"/>
  <c r="AC774" i="11"/>
  <c r="AC433" i="11"/>
  <c r="AK19" i="36"/>
  <c r="AD424" i="11"/>
  <c r="AH80" i="38"/>
  <c r="AG104" i="34"/>
  <c r="AG196" i="34" s="1"/>
  <c r="AG80" i="34"/>
  <c r="AD51" i="34"/>
  <c r="AD114" i="34"/>
  <c r="AD171" i="34"/>
  <c r="AD113" i="34"/>
  <c r="AD317" i="34" s="1"/>
  <c r="AD73" i="34"/>
  <c r="AE173" i="38"/>
  <c r="AE48" i="38"/>
  <c r="AE110" i="38"/>
  <c r="AE244" i="38" s="1"/>
  <c r="AS139" i="51"/>
  <c r="AS139" i="52"/>
  <c r="AH115" i="35"/>
  <c r="AH340" i="35" s="1"/>
  <c r="AH53" i="35"/>
  <c r="BJ21" i="35" s="1"/>
  <c r="AW4" i="51" s="1"/>
  <c r="AH72" i="35"/>
  <c r="AH28" i="35"/>
  <c r="AW136" i="51" s="1"/>
  <c r="AI132" i="39"/>
  <c r="AI134" i="39" s="1"/>
  <c r="AI36" i="39"/>
  <c r="AI47" i="39" s="1"/>
  <c r="Y9" i="39"/>
  <c r="Y9" i="35"/>
  <c r="Y95" i="39"/>
  <c r="Y96" i="39" s="1"/>
  <c r="Y9" i="36"/>
  <c r="Y95" i="16"/>
  <c r="Y96" i="16" s="1"/>
  <c r="Y9" i="34"/>
  <c r="Y95" i="38"/>
  <c r="Y96" i="38" s="1"/>
  <c r="Y9" i="16"/>
  <c r="Y95" i="37"/>
  <c r="Y96" i="37" s="1"/>
  <c r="Y95" i="36"/>
  <c r="Y96" i="36" s="1"/>
  <c r="Y95" i="34"/>
  <c r="Y96" i="34" s="1"/>
  <c r="Y95" i="35"/>
  <c r="Y96" i="35" s="1"/>
  <c r="Y9" i="38"/>
  <c r="R187" i="11"/>
  <c r="Q9" i="11"/>
  <c r="Y9" i="5"/>
  <c r="Y9" i="37"/>
  <c r="AK36" i="37"/>
  <c r="AK132" i="37"/>
  <c r="AK134" i="37" s="1"/>
  <c r="AD510" i="11"/>
  <c r="AL132" i="37" s="1"/>
  <c r="AG173" i="35"/>
  <c r="AG48" i="35"/>
  <c r="AG110" i="35"/>
  <c r="AG244" i="35" s="1"/>
  <c r="AI172" i="36"/>
  <c r="AI80" i="35"/>
  <c r="AG8" i="35"/>
  <c r="AG62" i="35"/>
  <c r="AG64" i="35" s="1"/>
  <c r="AS143" i="56"/>
  <c r="AD113" i="5"/>
  <c r="AD317" i="5" s="1"/>
  <c r="AD142" i="38"/>
  <c r="AD114" i="5"/>
  <c r="AD142" i="39"/>
  <c r="AS143" i="54"/>
  <c r="AS143" i="53"/>
  <c r="AD142" i="35"/>
  <c r="AD73" i="5"/>
  <c r="AD142" i="37"/>
  <c r="AD142" i="5"/>
  <c r="AS143" i="55"/>
  <c r="AD142" i="16"/>
  <c r="AD142" i="36"/>
  <c r="AD142" i="34"/>
  <c r="AS143" i="50"/>
  <c r="AD171" i="5"/>
  <c r="AS143" i="26"/>
  <c r="AD51" i="5"/>
  <c r="AS143" i="51"/>
  <c r="AS143" i="52"/>
  <c r="Z757" i="11"/>
  <c r="AH128" i="38"/>
  <c r="AH21" i="38"/>
  <c r="AH104" i="38" s="1"/>
  <c r="AH196" i="38" s="1"/>
  <c r="AJ62" i="37"/>
  <c r="Z254" i="11"/>
  <c r="AF62" i="16"/>
  <c r="AF64" i="16" s="1"/>
  <c r="AF8" i="16"/>
  <c r="X8" i="11" s="1"/>
  <c r="AA173" i="11"/>
  <c r="AA252" i="11" s="1"/>
  <c r="AA435" i="11"/>
  <c r="AI19" i="38"/>
  <c r="AI148" i="5"/>
  <c r="AF33" i="6"/>
  <c r="AF49" i="6" s="1"/>
  <c r="AA428" i="11"/>
  <c r="AI19" i="16" s="1"/>
  <c r="AA502" i="11"/>
  <c r="AA511" i="11" s="1"/>
  <c r="AH145" i="34"/>
  <c r="AH148" i="34"/>
  <c r="AG72" i="5"/>
  <c r="AG67" i="5"/>
  <c r="AH80" i="39"/>
  <c r="AB828" i="11"/>
  <c r="AG111" i="34"/>
  <c r="AG270" i="34" s="1"/>
  <c r="AG172" i="34"/>
  <c r="AE113" i="34"/>
  <c r="AE317" i="34" s="1"/>
  <c r="AE73" i="34"/>
  <c r="AE114" i="34"/>
  <c r="AE171" i="34"/>
  <c r="AE51" i="34"/>
  <c r="AC472" i="11"/>
  <c r="AC463" i="11"/>
  <c r="AC454" i="11"/>
  <c r="AC405" i="11"/>
  <c r="AC423" i="11" s="1"/>
  <c r="AC124" i="11"/>
  <c r="AC143" i="11" s="1"/>
  <c r="AC115" i="11"/>
  <c r="AK12" i="35"/>
  <c r="Z830" i="11"/>
  <c r="AI21" i="35"/>
  <c r="AI104" i="35" s="1"/>
  <c r="AI196" i="35" s="1"/>
  <c r="AI128" i="35"/>
  <c r="AF173" i="39"/>
  <c r="AF48" i="39"/>
  <c r="AF110" i="39"/>
  <c r="AF244" i="39" s="1"/>
  <c r="AD308" i="11"/>
  <c r="AA148" i="11"/>
  <c r="Z758" i="11"/>
  <c r="AH128" i="39"/>
  <c r="AH21" i="39"/>
  <c r="AH104" i="39" s="1"/>
  <c r="AH196" i="39" s="1"/>
  <c r="AC87" i="11"/>
  <c r="AC328" i="11"/>
  <c r="AC329" i="11" s="1"/>
  <c r="AD251" i="11"/>
  <c r="Z337" i="11"/>
  <c r="Z282" i="11" s="1"/>
  <c r="Z272" i="11"/>
  <c r="AB179" i="11"/>
  <c r="AB183" i="11" s="1"/>
  <c r="AA189" i="11"/>
  <c r="AJ148" i="35"/>
  <c r="AJ145" i="35"/>
  <c r="Z311" i="11"/>
  <c r="AA306" i="11" s="1"/>
  <c r="AH20" i="35"/>
  <c r="AH81" i="35"/>
  <c r="AH82" i="35" s="1"/>
  <c r="AE54" i="35"/>
  <c r="AE7" i="35"/>
  <c r="BG20" i="35"/>
  <c r="AT3" i="51" s="1"/>
  <c r="AB476" i="11"/>
  <c r="AB467" i="11"/>
  <c r="AB458" i="11"/>
  <c r="AB409" i="11"/>
  <c r="AB119" i="11"/>
  <c r="AB128" i="11"/>
  <c r="AJ12" i="39"/>
  <c r="AC82" i="11"/>
  <c r="AE28" i="5"/>
  <c r="AE6" i="5"/>
  <c r="AE53" i="5"/>
  <c r="AE115" i="5"/>
  <c r="AE340" i="5" s="1"/>
  <c r="AT136" i="56"/>
  <c r="AE110" i="16"/>
  <c r="AE244" i="16" s="1"/>
  <c r="AE173" i="16"/>
  <c r="AT136" i="26"/>
  <c r="AE48" i="16"/>
  <c r="AE118" i="16" s="1"/>
  <c r="AE388" i="16" s="1"/>
  <c r="AB457" i="11"/>
  <c r="AB466" i="11"/>
  <c r="AB408" i="11"/>
  <c r="AB475" i="11"/>
  <c r="AB127" i="11"/>
  <c r="AB129" i="11" s="1"/>
  <c r="AB118" i="11"/>
  <c r="AJ12" i="38"/>
  <c r="AC81" i="11"/>
  <c r="AG81" i="16"/>
  <c r="AG82" i="16" s="1"/>
  <c r="AG20" i="16"/>
  <c r="AF73" i="35"/>
  <c r="AF113" i="35"/>
  <c r="AF317" i="35" s="1"/>
  <c r="AF171" i="35"/>
  <c r="AF51" i="35"/>
  <c r="AF114" i="35"/>
  <c r="AV142" i="56"/>
  <c r="AV142" i="55"/>
  <c r="AV142" i="53"/>
  <c r="AG172" i="5"/>
  <c r="AG111" i="5"/>
  <c r="AG270" i="5" s="1"/>
  <c r="AV142" i="51"/>
  <c r="AV142" i="54"/>
  <c r="AV142" i="52"/>
  <c r="AV142" i="50"/>
  <c r="AV142" i="26"/>
  <c r="AH115" i="39"/>
  <c r="AH340" i="39" s="1"/>
  <c r="AH53" i="39"/>
  <c r="BJ21" i="39" s="1"/>
  <c r="AW4" i="55" s="1"/>
  <c r="AH72" i="39"/>
  <c r="AC343" i="11"/>
  <c r="AD343" i="11" s="1"/>
  <c r="AD262" i="11"/>
  <c r="AD263" i="11" s="1"/>
  <c r="AD73" i="38"/>
  <c r="AD51" i="38"/>
  <c r="AD113" i="38"/>
  <c r="AD317" i="38" s="1"/>
  <c r="AD171" i="38"/>
  <c r="AD114" i="38"/>
  <c r="AK94" i="37"/>
  <c r="AH94" i="38"/>
  <c r="AH94" i="16"/>
  <c r="AH80" i="34"/>
  <c r="AB83" i="11"/>
  <c r="AJ12" i="16" s="1"/>
  <c r="AI20" i="36"/>
  <c r="AI81" i="36"/>
  <c r="AI82" i="36" s="1"/>
  <c r="Z437" i="11"/>
  <c r="Z778" i="11" s="1"/>
  <c r="AJ67" i="37"/>
  <c r="AI148" i="39"/>
  <c r="AI145" i="39"/>
  <c r="AA378" i="11"/>
  <c r="AI148" i="16"/>
  <c r="AI145" i="16"/>
  <c r="AC756" i="11"/>
  <c r="AC865" i="11" s="1"/>
  <c r="AK128" i="37"/>
  <c r="AK21" i="37"/>
  <c r="AD434" i="11"/>
  <c r="AC54" i="38"/>
  <c r="BE20" i="38"/>
  <c r="AR3" i="54" s="1"/>
  <c r="AC7" i="38"/>
  <c r="AK145" i="36"/>
  <c r="AK148" i="36"/>
  <c r="AR143" i="56"/>
  <c r="AR144" i="56" s="1"/>
  <c r="AC142" i="36"/>
  <c r="AR143" i="55"/>
  <c r="AR144" i="55" s="1"/>
  <c r="AR143" i="26"/>
  <c r="AR144" i="26" s="1"/>
  <c r="AC114" i="5"/>
  <c r="AC73" i="5"/>
  <c r="AC142" i="39"/>
  <c r="AC142" i="35"/>
  <c r="AC142" i="5"/>
  <c r="AC142" i="16"/>
  <c r="AR143" i="54"/>
  <c r="AR144" i="54" s="1"/>
  <c r="AR143" i="51"/>
  <c r="AR144" i="51" s="1"/>
  <c r="AR143" i="52"/>
  <c r="AR144" i="52" s="1"/>
  <c r="AC171" i="5"/>
  <c r="AC142" i="38"/>
  <c r="AC51" i="5"/>
  <c r="AR143" i="53"/>
  <c r="AR144" i="53" s="1"/>
  <c r="AC142" i="34"/>
  <c r="AC113" i="5"/>
  <c r="AC317" i="5" s="1"/>
  <c r="AR143" i="50"/>
  <c r="AR144" i="50" s="1"/>
  <c r="AC142" i="37"/>
  <c r="AC334" i="11"/>
  <c r="AD334" i="11" s="1"/>
  <c r="AB899" i="11"/>
  <c r="AB396" i="11"/>
  <c r="AB170" i="11"/>
  <c r="AG81" i="39"/>
  <c r="AG82" i="39" s="1"/>
  <c r="AG20" i="39"/>
  <c r="AA876" i="11"/>
  <c r="AA364" i="11"/>
  <c r="AA382" i="11" s="1"/>
  <c r="Y355" i="11"/>
  <c r="Y384" i="11"/>
  <c r="Y385" i="11" s="1"/>
  <c r="AA83" i="36" l="1"/>
  <c r="AB76" i="36" s="1"/>
  <c r="AB78" i="36" s="1"/>
  <c r="C287" i="11"/>
  <c r="B95" i="8"/>
  <c r="AA83" i="37"/>
  <c r="AB76" i="37" s="1"/>
  <c r="AB78" i="37" s="1"/>
  <c r="AA611" i="11"/>
  <c r="AB611" i="11" s="1"/>
  <c r="Y338" i="11"/>
  <c r="Z333" i="11" s="1"/>
  <c r="Y904" i="11"/>
  <c r="AD509" i="11"/>
  <c r="AL132" i="36" s="1"/>
  <c r="AL134" i="36" s="1"/>
  <c r="U883" i="11"/>
  <c r="AC84" i="37"/>
  <c r="V621" i="11"/>
  <c r="V630" i="11" s="1"/>
  <c r="V811" i="11" s="1"/>
  <c r="AC84" i="36"/>
  <c r="V620" i="11"/>
  <c r="V629" i="11" s="1"/>
  <c r="U810" i="11"/>
  <c r="U882" i="11"/>
  <c r="AG62" i="5"/>
  <c r="AG64" i="5" s="1"/>
  <c r="AG33" i="6"/>
  <c r="AG49" i="6" s="1"/>
  <c r="AK36" i="36"/>
  <c r="V810" i="11"/>
  <c r="AG20" i="34"/>
  <c r="AA754" i="11"/>
  <c r="AA513" i="11"/>
  <c r="AA613" i="11"/>
  <c r="AB613" i="11" s="1"/>
  <c r="AJ134" i="36"/>
  <c r="AQ3" i="56"/>
  <c r="AA900" i="11"/>
  <c r="AL134" i="37"/>
  <c r="AD747" i="11"/>
  <c r="Z77" i="38"/>
  <c r="AB77" i="36"/>
  <c r="AB83" i="36" s="1"/>
  <c r="AC76" i="36" s="1"/>
  <c r="AB320" i="11"/>
  <c r="AC315" i="11" s="1"/>
  <c r="AA831" i="11"/>
  <c r="AI132" i="35"/>
  <c r="AI134" i="35" s="1"/>
  <c r="AD585" i="11"/>
  <c r="F140" i="56"/>
  <c r="AI36" i="35"/>
  <c r="AI47" i="35" s="1"/>
  <c r="AI117" i="35" s="1"/>
  <c r="AI364" i="35" s="1"/>
  <c r="AA437" i="11"/>
  <c r="AI128" i="34" s="1"/>
  <c r="AA612" i="11"/>
  <c r="AB612" i="11" s="1"/>
  <c r="F140" i="26"/>
  <c r="AA311" i="11"/>
  <c r="AB306" i="11" s="1"/>
  <c r="AG173" i="39"/>
  <c r="AD218" i="11"/>
  <c r="AD237" i="11" s="1"/>
  <c r="AG48" i="39"/>
  <c r="AG114" i="39" s="1"/>
  <c r="AG110" i="39"/>
  <c r="AG244" i="39" s="1"/>
  <c r="AH132" i="5"/>
  <c r="AH134" i="5" s="1"/>
  <c r="Z78" i="38"/>
  <c r="AB92" i="11"/>
  <c r="AB468" i="11"/>
  <c r="S633" i="11"/>
  <c r="S886" i="11" s="1"/>
  <c r="AJ104" i="36"/>
  <c r="AJ196" i="36" s="1"/>
  <c r="T622" i="11"/>
  <c r="T624" i="11" s="1"/>
  <c r="AA84" i="38"/>
  <c r="Z606" i="11"/>
  <c r="AI117" i="39"/>
  <c r="AI364" i="39" s="1"/>
  <c r="AX137" i="55"/>
  <c r="I33" i="34"/>
  <c r="K33" i="34" s="1"/>
  <c r="L33" i="34" s="1"/>
  <c r="F140" i="50"/>
  <c r="AG118" i="35"/>
  <c r="AG388" i="35" s="1"/>
  <c r="AV138" i="51"/>
  <c r="I31" i="34"/>
  <c r="K31" i="34" s="1"/>
  <c r="L31" i="34" s="1"/>
  <c r="F138" i="50"/>
  <c r="Z401" i="11"/>
  <c r="AL37" i="5"/>
  <c r="I37" i="5" s="1"/>
  <c r="K37" i="5" s="1"/>
  <c r="AX37" i="5"/>
  <c r="AH117" i="38"/>
  <c r="AH364" i="38" s="1"/>
  <c r="AW137" i="54"/>
  <c r="AI117" i="36"/>
  <c r="AI364" i="36" s="1"/>
  <c r="AX137" i="52"/>
  <c r="AH117" i="39"/>
  <c r="AH364" i="39" s="1"/>
  <c r="AW137" i="55"/>
  <c r="I32" i="34"/>
  <c r="K32" i="34" s="1"/>
  <c r="L32" i="34" s="1"/>
  <c r="F139" i="50"/>
  <c r="AF118" i="34"/>
  <c r="AF388" i="34" s="1"/>
  <c r="AU138" i="50"/>
  <c r="AD73" i="16"/>
  <c r="AF118" i="39"/>
  <c r="AF388" i="39" s="1"/>
  <c r="AU138" i="55"/>
  <c r="AE118" i="38"/>
  <c r="AE388" i="38" s="1"/>
  <c r="AT138" i="54"/>
  <c r="AT139" i="54" s="1"/>
  <c r="AS138" i="26"/>
  <c r="AS139" i="26" s="1"/>
  <c r="AD113" i="16"/>
  <c r="AD317" i="16" s="1"/>
  <c r="AS139" i="50"/>
  <c r="AD51" i="16"/>
  <c r="AD7" i="16" s="1"/>
  <c r="V7" i="11" s="1"/>
  <c r="AD114" i="16"/>
  <c r="AS139" i="55"/>
  <c r="AD171" i="16"/>
  <c r="AS139" i="54"/>
  <c r="AS139" i="53"/>
  <c r="AS138" i="56"/>
  <c r="AS139" i="56" s="1"/>
  <c r="AA78" i="39"/>
  <c r="AA83" i="39" s="1"/>
  <c r="AB76" i="39" s="1"/>
  <c r="AB77" i="39" s="1"/>
  <c r="BE20" i="16"/>
  <c r="AR3" i="56" s="1"/>
  <c r="AC7" i="16"/>
  <c r="U7" i="11" s="1"/>
  <c r="Y83" i="16"/>
  <c r="Z76" i="16" s="1"/>
  <c r="Z78" i="16" s="1"/>
  <c r="AC353" i="11"/>
  <c r="AD353" i="11" s="1"/>
  <c r="BI20" i="36"/>
  <c r="AV3" i="52" s="1"/>
  <c r="AG54" i="36"/>
  <c r="AB477" i="11"/>
  <c r="AB478" i="11" s="1"/>
  <c r="S812" i="11"/>
  <c r="AI145" i="34"/>
  <c r="AA830" i="11"/>
  <c r="AA776" i="11"/>
  <c r="AC269" i="11"/>
  <c r="AD269" i="11" s="1"/>
  <c r="AB120" i="11"/>
  <c r="AG82" i="34"/>
  <c r="AA84" i="16"/>
  <c r="U885" i="11"/>
  <c r="U813" i="11"/>
  <c r="V881" i="11"/>
  <c r="V809" i="11"/>
  <c r="AB872" i="11"/>
  <c r="AB360" i="11"/>
  <c r="Z867" i="11"/>
  <c r="Z903" i="11"/>
  <c r="AB426" i="11"/>
  <c r="AB137" i="11"/>
  <c r="AB427" i="11"/>
  <c r="AB138" i="11"/>
  <c r="AB147" i="11" s="1"/>
  <c r="AA863" i="11"/>
  <c r="AA899" i="11"/>
  <c r="S814" i="11"/>
  <c r="AJ129" i="39"/>
  <c r="AJ25" i="39"/>
  <c r="AD578" i="11"/>
  <c r="AL129" i="39" s="1"/>
  <c r="AX32" i="5"/>
  <c r="AL32" i="5"/>
  <c r="I32" i="5" s="1"/>
  <c r="K32" i="5" s="1"/>
  <c r="L32" i="5" s="1"/>
  <c r="AD884" i="11"/>
  <c r="AB508" i="11"/>
  <c r="AB827" i="11" s="1"/>
  <c r="AB579" i="11"/>
  <c r="AJ129" i="35"/>
  <c r="AJ25" i="35"/>
  <c r="AD574" i="11"/>
  <c r="AL129" i="35" s="1"/>
  <c r="AD602" i="11"/>
  <c r="AF54" i="36"/>
  <c r="BH20" i="36"/>
  <c r="AU3" i="52" s="1"/>
  <c r="AF7" i="36"/>
  <c r="Z866" i="11"/>
  <c r="Z902" i="11"/>
  <c r="AC91" i="11"/>
  <c r="AH24" i="16"/>
  <c r="AH63" i="16" s="1"/>
  <c r="AH91" i="16"/>
  <c r="AH92" i="16" s="1"/>
  <c r="AA383" i="11"/>
  <c r="AB502" i="11"/>
  <c r="AB511" i="11" s="1"/>
  <c r="AJ132" i="38" s="1"/>
  <c r="AJ134" i="38" s="1"/>
  <c r="AI91" i="38"/>
  <c r="AI24" i="38"/>
  <c r="AI63" i="38" s="1"/>
  <c r="I32" i="16"/>
  <c r="K32" i="16" s="1"/>
  <c r="L32" i="16" s="1"/>
  <c r="F139" i="56"/>
  <c r="F139" i="26"/>
  <c r="AH105" i="5"/>
  <c r="AH220" i="5" s="1"/>
  <c r="AI90" i="16"/>
  <c r="AB586" i="11"/>
  <c r="AD586" i="11" s="1"/>
  <c r="AJ25" i="38"/>
  <c r="AJ129" i="38"/>
  <c r="AD577" i="11"/>
  <c r="AD784" i="11" s="1"/>
  <c r="AD883" i="11"/>
  <c r="AH105" i="16"/>
  <c r="AH220" i="16" s="1"/>
  <c r="AL46" i="16"/>
  <c r="I46" i="16" s="1"/>
  <c r="K46" i="16" s="1"/>
  <c r="L46" i="16" s="1"/>
  <c r="AA504" i="11"/>
  <c r="AA505" i="11" s="1"/>
  <c r="F138" i="56"/>
  <c r="F138" i="26"/>
  <c r="I31" i="16"/>
  <c r="K31" i="16" s="1"/>
  <c r="L31" i="16" s="1"/>
  <c r="AH117" i="35"/>
  <c r="AH364" i="35" s="1"/>
  <c r="AH172" i="35"/>
  <c r="AH111" i="35"/>
  <c r="AH270" i="35" s="1"/>
  <c r="AJ105" i="35"/>
  <c r="AJ220" i="35" s="1"/>
  <c r="AJ90" i="35"/>
  <c r="AL23" i="35"/>
  <c r="AA601" i="11"/>
  <c r="AD601" i="11" s="1"/>
  <c r="AA610" i="11"/>
  <c r="AB610" i="11" s="1"/>
  <c r="AA597" i="11"/>
  <c r="AL46" i="37"/>
  <c r="I46" i="37" s="1"/>
  <c r="K46" i="37" s="1"/>
  <c r="L46" i="37" s="1"/>
  <c r="AJ47" i="37"/>
  <c r="AY137" i="53" s="1"/>
  <c r="AA365" i="11"/>
  <c r="AB249" i="11"/>
  <c r="AB310" i="11" s="1"/>
  <c r="AB279" i="11" s="1"/>
  <c r="AJ67" i="35" s="1"/>
  <c r="AB152" i="11"/>
  <c r="AA399" i="11"/>
  <c r="AI94" i="38" s="1"/>
  <c r="AH128" i="16"/>
  <c r="AA400" i="11"/>
  <c r="AI94" i="39" s="1"/>
  <c r="AI92" i="38"/>
  <c r="AI24" i="35"/>
  <c r="AI63" i="35" s="1"/>
  <c r="AI91" i="35"/>
  <c r="AI92" i="35" s="1"/>
  <c r="Z863" i="11"/>
  <c r="Z899" i="11"/>
  <c r="AJ105" i="38"/>
  <c r="AJ220" i="38" s="1"/>
  <c r="AJ90" i="38"/>
  <c r="AL23" i="38"/>
  <c r="AD882" i="11"/>
  <c r="AH110" i="37"/>
  <c r="AH244" i="37" s="1"/>
  <c r="AH173" i="37"/>
  <c r="AH48" i="37"/>
  <c r="AW138" i="53" s="1"/>
  <c r="AI91" i="39"/>
  <c r="AI92" i="39" s="1"/>
  <c r="AI24" i="39"/>
  <c r="AI63" i="39" s="1"/>
  <c r="AJ23" i="16"/>
  <c r="AB886" i="11"/>
  <c r="AB786" i="11"/>
  <c r="AJ23" i="34"/>
  <c r="AJ23" i="5"/>
  <c r="AF7" i="37"/>
  <c r="BH20" i="37"/>
  <c r="AU3" i="53" s="1"/>
  <c r="AF54" i="37"/>
  <c r="F228" i="26"/>
  <c r="G228" i="26" s="1"/>
  <c r="E129" i="46"/>
  <c r="F129" i="46" s="1"/>
  <c r="E129" i="44"/>
  <c r="F129" i="44" s="1"/>
  <c r="E129" i="45"/>
  <c r="F129" i="45" s="1"/>
  <c r="F228" i="56"/>
  <c r="G228" i="56" s="1"/>
  <c r="E129" i="47"/>
  <c r="F129" i="47" s="1"/>
  <c r="E129" i="48"/>
  <c r="F129" i="48" s="1"/>
  <c r="F228" i="50"/>
  <c r="G228" i="50" s="1"/>
  <c r="F183" i="26"/>
  <c r="AA588" i="11"/>
  <c r="AH110" i="36"/>
  <c r="AH244" i="36" s="1"/>
  <c r="AH173" i="36"/>
  <c r="AH48" i="36"/>
  <c r="AW138" i="52" s="1"/>
  <c r="AH21" i="16"/>
  <c r="AH104" i="16" s="1"/>
  <c r="AH196" i="16" s="1"/>
  <c r="AI91" i="36"/>
  <c r="AI92" i="36" s="1"/>
  <c r="AI24" i="36"/>
  <c r="AI63" i="36" s="1"/>
  <c r="AD785" i="11"/>
  <c r="AD885" i="11"/>
  <c r="AI28" i="36"/>
  <c r="AX136" i="52" s="1"/>
  <c r="AH24" i="34"/>
  <c r="AH63" i="34" s="1"/>
  <c r="AH91" i="34"/>
  <c r="AH92" i="34" s="1"/>
  <c r="AA865" i="11"/>
  <c r="AA901" i="11"/>
  <c r="AJ105" i="36"/>
  <c r="AJ220" i="36" s="1"/>
  <c r="AJ90" i="36"/>
  <c r="AL23" i="36"/>
  <c r="AH63" i="37"/>
  <c r="AH64" i="37" s="1"/>
  <c r="AH8" i="37"/>
  <c r="AB410" i="11"/>
  <c r="AJ90" i="37"/>
  <c r="AJ105" i="37"/>
  <c r="AJ220" i="37" s="1"/>
  <c r="AL23" i="37"/>
  <c r="AH63" i="36"/>
  <c r="AH64" i="36" s="1"/>
  <c r="AH8" i="36"/>
  <c r="AC90" i="11"/>
  <c r="AC92" i="11" s="1"/>
  <c r="AB146" i="11"/>
  <c r="AH128" i="5"/>
  <c r="AA605" i="11"/>
  <c r="AD605" i="11" s="1"/>
  <c r="AA614" i="11"/>
  <c r="AB614" i="11" s="1"/>
  <c r="AJ105" i="39"/>
  <c r="AJ220" i="39" s="1"/>
  <c r="AJ90" i="39"/>
  <c r="AL23" i="39"/>
  <c r="AI25" i="16"/>
  <c r="AI105" i="16" s="1"/>
  <c r="AI220" i="16" s="1"/>
  <c r="AI129" i="16"/>
  <c r="AI129" i="5"/>
  <c r="AI129" i="34"/>
  <c r="AI25" i="34"/>
  <c r="AI105" i="34" s="1"/>
  <c r="AI220" i="34" s="1"/>
  <c r="AI25" i="5"/>
  <c r="AI24" i="5" s="1"/>
  <c r="AI63" i="5" s="1"/>
  <c r="AI24" i="37"/>
  <c r="AI91" i="37"/>
  <c r="AI92" i="37" s="1"/>
  <c r="AI28" i="37"/>
  <c r="AX136" i="53" s="1"/>
  <c r="AB584" i="11"/>
  <c r="AD584" i="11" s="1"/>
  <c r="AJ129" i="36"/>
  <c r="AJ25" i="36"/>
  <c r="AD575" i="11"/>
  <c r="AL129" i="36" s="1"/>
  <c r="AD881" i="11"/>
  <c r="AD543" i="11"/>
  <c r="AA175" i="11"/>
  <c r="AA188" i="11" s="1"/>
  <c r="AL46" i="34"/>
  <c r="I46" i="34" s="1"/>
  <c r="K46" i="34" s="1"/>
  <c r="L46" i="34" s="1"/>
  <c r="AL133" i="34"/>
  <c r="AL133" i="16"/>
  <c r="AL133" i="5"/>
  <c r="AG118" i="37"/>
  <c r="AG388" i="37" s="1"/>
  <c r="AG73" i="37"/>
  <c r="AG113" i="37"/>
  <c r="AG317" i="37" s="1"/>
  <c r="AG171" i="37"/>
  <c r="AG51" i="37"/>
  <c r="AG114" i="37"/>
  <c r="AD587" i="11"/>
  <c r="AI90" i="34"/>
  <c r="AB459" i="11"/>
  <c r="AB487" i="11"/>
  <c r="AB496" i="11"/>
  <c r="AD583" i="11"/>
  <c r="AJ129" i="37"/>
  <c r="AJ25" i="37"/>
  <c r="AJ28" i="37" s="1"/>
  <c r="AY136" i="53" s="1"/>
  <c r="AD576" i="11"/>
  <c r="AL129" i="37" s="1"/>
  <c r="AB829" i="11"/>
  <c r="AB756" i="11"/>
  <c r="AB865" i="11" s="1"/>
  <c r="Z615" i="11"/>
  <c r="AB83" i="35"/>
  <c r="AC76" i="35" s="1"/>
  <c r="AC77" i="35" s="1"/>
  <c r="AD270" i="11"/>
  <c r="Y83" i="34"/>
  <c r="Z76" i="34" s="1"/>
  <c r="Z78" i="34" s="1"/>
  <c r="AS144" i="54"/>
  <c r="AB435" i="11"/>
  <c r="AB776" i="11" s="1"/>
  <c r="AJ19" i="38"/>
  <c r="AT138" i="56"/>
  <c r="AT139" i="51"/>
  <c r="AT139" i="52"/>
  <c r="AE73" i="16"/>
  <c r="AT139" i="53"/>
  <c r="AE171" i="16"/>
  <c r="AE51" i="16"/>
  <c r="AT138" i="26"/>
  <c r="AT139" i="26" s="1"/>
  <c r="AE114" i="16"/>
  <c r="AE113" i="16"/>
  <c r="AE317" i="16" s="1"/>
  <c r="AH62" i="35"/>
  <c r="AH64" i="35" s="1"/>
  <c r="AH8" i="35"/>
  <c r="AH81" i="39"/>
  <c r="AH82" i="39" s="1"/>
  <c r="AH20" i="39"/>
  <c r="AI132" i="34"/>
  <c r="AI134" i="34" s="1"/>
  <c r="AI36" i="34"/>
  <c r="AI47" i="34" s="1"/>
  <c r="AI36" i="5"/>
  <c r="AI47" i="5" s="1"/>
  <c r="AI117" i="5" s="1"/>
  <c r="AI364" i="5" s="1"/>
  <c r="AA337" i="11"/>
  <c r="AA282" i="11" s="1"/>
  <c r="AJ72" i="37"/>
  <c r="AJ53" i="37"/>
  <c r="AJ115" i="37"/>
  <c r="AJ340" i="37" s="1"/>
  <c r="Z338" i="11"/>
  <c r="AA333" i="11" s="1"/>
  <c r="AB503" i="11"/>
  <c r="AB512" i="11" s="1"/>
  <c r="AI94" i="16"/>
  <c r="AS144" i="50"/>
  <c r="AK47" i="37"/>
  <c r="AZ137" i="53" s="1"/>
  <c r="AL36" i="37"/>
  <c r="F141" i="53" s="1"/>
  <c r="AE73" i="38"/>
  <c r="AE51" i="38"/>
  <c r="AE171" i="38"/>
  <c r="AE114" i="38"/>
  <c r="AE113" i="38"/>
  <c r="AE317" i="38" s="1"/>
  <c r="AK80" i="36"/>
  <c r="AK104" i="36"/>
  <c r="AK196" i="36" s="1"/>
  <c r="AL19" i="36"/>
  <c r="Y130" i="35"/>
  <c r="Y136" i="35" s="1"/>
  <c r="Y140" i="35" s="1"/>
  <c r="Y6" i="35"/>
  <c r="Y97" i="34"/>
  <c r="Y93" i="34"/>
  <c r="Z86" i="34" s="1"/>
  <c r="Z87" i="34" s="1"/>
  <c r="AA758" i="11"/>
  <c r="AI21" i="39"/>
  <c r="AI28" i="39" s="1"/>
  <c r="AX136" i="55" s="1"/>
  <c r="AI128" i="39"/>
  <c r="AH111" i="39"/>
  <c r="AH270" i="39" s="1"/>
  <c r="AH172" i="39"/>
  <c r="AU136" i="56"/>
  <c r="AF48" i="16"/>
  <c r="AF118" i="16" s="1"/>
  <c r="AF388" i="16" s="1"/>
  <c r="AF173" i="16"/>
  <c r="AU136" i="26"/>
  <c r="AF110" i="16"/>
  <c r="AF244" i="16" s="1"/>
  <c r="AB904" i="11"/>
  <c r="Z759" i="11"/>
  <c r="AH21" i="5"/>
  <c r="AH21" i="34"/>
  <c r="AH104" i="34" s="1"/>
  <c r="AH196" i="34" s="1"/>
  <c r="AH128" i="34"/>
  <c r="AC475" i="11"/>
  <c r="AC466" i="11"/>
  <c r="AC457" i="11"/>
  <c r="AC408" i="11"/>
  <c r="AC426" i="11" s="1"/>
  <c r="AC127" i="11"/>
  <c r="AC146" i="11" s="1"/>
  <c r="AC118" i="11"/>
  <c r="AK12" i="38"/>
  <c r="AD328" i="11"/>
  <c r="AD329" i="11" s="1"/>
  <c r="AC281" i="11"/>
  <c r="AK47" i="36"/>
  <c r="AZ137" i="52" s="1"/>
  <c r="AL36" i="36"/>
  <c r="F141" i="52" s="1"/>
  <c r="AS144" i="53"/>
  <c r="AD54" i="34"/>
  <c r="BF20" i="34"/>
  <c r="AS3" i="50" s="1"/>
  <c r="AD7" i="34"/>
  <c r="AC755" i="11"/>
  <c r="AC864" i="11" s="1"/>
  <c r="AK128" i="36"/>
  <c r="AK21" i="36"/>
  <c r="AD433" i="11"/>
  <c r="AD774" i="11" s="1"/>
  <c r="Y130" i="34"/>
  <c r="Y136" i="34" s="1"/>
  <c r="Y140" i="34" s="1"/>
  <c r="Y6" i="34"/>
  <c r="Y97" i="35"/>
  <c r="Y93" i="35"/>
  <c r="Z86" i="35" s="1"/>
  <c r="AC379" i="11"/>
  <c r="AD361" i="11"/>
  <c r="AD379" i="11" s="1"/>
  <c r="AF379" i="11" s="1"/>
  <c r="AU4" i="56"/>
  <c r="AU4" i="26"/>
  <c r="AJ81" i="36"/>
  <c r="AJ82" i="36" s="1"/>
  <c r="AJ20" i="36"/>
  <c r="Y284" i="11"/>
  <c r="Y356" i="11"/>
  <c r="Z351" i="11" s="1"/>
  <c r="AL128" i="37"/>
  <c r="AF54" i="35"/>
  <c r="BH20" i="35"/>
  <c r="AU3" i="51" s="1"/>
  <c r="AF7" i="35"/>
  <c r="AJ145" i="16"/>
  <c r="AJ148" i="16"/>
  <c r="AT141" i="56"/>
  <c r="AT141" i="26"/>
  <c r="AT141" i="50"/>
  <c r="AT141" i="55"/>
  <c r="AE173" i="5"/>
  <c r="AT141" i="52"/>
  <c r="AT141" i="53"/>
  <c r="AT141" i="54"/>
  <c r="AT141" i="51"/>
  <c r="AE110" i="5"/>
  <c r="AE244" i="5" s="1"/>
  <c r="AE48" i="5"/>
  <c r="AE118" i="5" s="1"/>
  <c r="AE388" i="5" s="1"/>
  <c r="AD775" i="11"/>
  <c r="AI81" i="35"/>
  <c r="AI82" i="35" s="1"/>
  <c r="AI20" i="35"/>
  <c r="AK145" i="35"/>
  <c r="AK148" i="35"/>
  <c r="AE54" i="34"/>
  <c r="BG20" i="34"/>
  <c r="AT3" i="50" s="1"/>
  <c r="AE7" i="34"/>
  <c r="AI80" i="16"/>
  <c r="T631" i="11"/>
  <c r="Y130" i="39"/>
  <c r="Y136" i="39" s="1"/>
  <c r="Y140" i="39" s="1"/>
  <c r="Y6" i="39"/>
  <c r="Y97" i="37"/>
  <c r="Y93" i="37"/>
  <c r="Z86" i="37" s="1"/>
  <c r="AJ80" i="35"/>
  <c r="Z273" i="11"/>
  <c r="AA268" i="11" s="1"/>
  <c r="AC828" i="11"/>
  <c r="AH172" i="38"/>
  <c r="AH111" i="38"/>
  <c r="AH270" i="38" s="1"/>
  <c r="AG62" i="34"/>
  <c r="AG64" i="34" s="1"/>
  <c r="AG8" i="34"/>
  <c r="AJ94" i="35"/>
  <c r="AC54" i="5"/>
  <c r="AA12" i="6" s="1"/>
  <c r="AC7" i="5"/>
  <c r="AI62" i="36"/>
  <c r="AJ145" i="38"/>
  <c r="AJ148" i="38"/>
  <c r="AC476" i="11"/>
  <c r="AC467" i="11"/>
  <c r="AC458" i="11"/>
  <c r="AC409" i="11"/>
  <c r="AC427" i="11" s="1"/>
  <c r="AC128" i="11"/>
  <c r="AC147" i="11" s="1"/>
  <c r="AC119" i="11"/>
  <c r="AK12" i="39"/>
  <c r="AC83" i="11"/>
  <c r="AK12" i="16" s="1"/>
  <c r="AI80" i="38"/>
  <c r="AS144" i="52"/>
  <c r="AA254" i="11"/>
  <c r="AA272" i="11" s="1"/>
  <c r="AA275" i="11" s="1"/>
  <c r="Y130" i="36"/>
  <c r="Y136" i="36" s="1"/>
  <c r="Y140" i="36" s="1"/>
  <c r="Y6" i="36"/>
  <c r="Y97" i="36"/>
  <c r="Y93" i="36"/>
  <c r="Z86" i="36" s="1"/>
  <c r="AB754" i="11"/>
  <c r="AB863" i="11" s="1"/>
  <c r="AJ21" i="35"/>
  <c r="AJ104" i="35" s="1"/>
  <c r="AJ196" i="35" s="1"/>
  <c r="AJ128" i="35"/>
  <c r="AF110" i="38"/>
  <c r="AF244" i="38" s="1"/>
  <c r="AF173" i="38"/>
  <c r="AF48" i="38"/>
  <c r="AE7" i="39"/>
  <c r="AE54" i="39"/>
  <c r="BG20" i="39"/>
  <c r="AT3" i="55" s="1"/>
  <c r="AB121" i="11"/>
  <c r="AK81" i="37"/>
  <c r="AK82" i="37" s="1"/>
  <c r="AK20" i="37"/>
  <c r="AB227" i="11"/>
  <c r="AB102" i="11"/>
  <c r="AB84" i="11"/>
  <c r="AJ100" i="39"/>
  <c r="AJ101" i="39" s="1"/>
  <c r="AJ100" i="38"/>
  <c r="AJ101" i="38" s="1"/>
  <c r="AJ100" i="37"/>
  <c r="AJ101" i="37" s="1"/>
  <c r="AJ100" i="36"/>
  <c r="AJ101" i="36" s="1"/>
  <c r="AJ12" i="34"/>
  <c r="AJ100" i="34"/>
  <c r="AJ101" i="34" s="1"/>
  <c r="AJ12" i="5"/>
  <c r="AJ100" i="35"/>
  <c r="AJ101" i="35" s="1"/>
  <c r="AJ100" i="16"/>
  <c r="AJ101" i="16" s="1"/>
  <c r="AB209" i="11"/>
  <c r="AH28" i="39"/>
  <c r="AW136" i="55" s="1"/>
  <c r="AB902" i="11"/>
  <c r="AB399" i="11"/>
  <c r="AB173" i="11"/>
  <c r="AJ148" i="39"/>
  <c r="AJ145" i="39"/>
  <c r="AC899" i="11"/>
  <c r="AC396" i="11"/>
  <c r="AC170" i="11"/>
  <c r="AC249" i="11" s="1"/>
  <c r="AI132" i="38"/>
  <c r="AI134" i="38" s="1"/>
  <c r="AI36" i="38"/>
  <c r="AI47" i="38" s="1"/>
  <c r="AI132" i="5"/>
  <c r="AI134" i="5" s="1"/>
  <c r="AI132" i="16"/>
  <c r="AI134" i="16" s="1"/>
  <c r="AI36" i="16"/>
  <c r="AI47" i="16" s="1"/>
  <c r="AI117" i="16" s="1"/>
  <c r="AI364" i="16" s="1"/>
  <c r="AA757" i="11"/>
  <c r="AI21" i="38"/>
  <c r="AI104" i="38" s="1"/>
  <c r="AI196" i="38" s="1"/>
  <c r="AI128" i="38"/>
  <c r="AI128" i="16"/>
  <c r="AI128" i="5"/>
  <c r="AI21" i="16"/>
  <c r="AI104" i="16" s="1"/>
  <c r="AI196" i="16" s="1"/>
  <c r="AA347" i="11"/>
  <c r="AB342" i="11" s="1"/>
  <c r="AS144" i="51"/>
  <c r="AS144" i="55"/>
  <c r="AG115" i="38"/>
  <c r="AG340" i="38" s="1"/>
  <c r="AG72" i="38"/>
  <c r="AG28" i="38"/>
  <c r="AV136" i="54" s="1"/>
  <c r="AG53" i="38"/>
  <c r="BI21" i="38" s="1"/>
  <c r="AV4" i="54" s="1"/>
  <c r="AG113" i="35"/>
  <c r="AG317" i="35" s="1"/>
  <c r="AG51" i="35"/>
  <c r="AG73" i="35"/>
  <c r="AG171" i="35"/>
  <c r="AG114" i="35"/>
  <c r="AI111" i="39"/>
  <c r="AI270" i="39" s="1"/>
  <c r="AI172" i="39"/>
  <c r="AI115" i="35"/>
  <c r="AI340" i="35" s="1"/>
  <c r="AI53" i="35"/>
  <c r="BK21" i="35" s="1"/>
  <c r="AX4" i="51" s="1"/>
  <c r="AI72" i="35"/>
  <c r="AI28" i="35"/>
  <c r="AX136" i="51" s="1"/>
  <c r="Y6" i="37"/>
  <c r="Y130" i="37"/>
  <c r="Y136" i="37" s="1"/>
  <c r="Y140" i="37" s="1"/>
  <c r="Y97" i="38"/>
  <c r="Y93" i="38"/>
  <c r="Z86" i="38" s="1"/>
  <c r="AD335" i="11"/>
  <c r="AC179" i="11"/>
  <c r="AC183" i="11" s="1"/>
  <c r="AC189" i="11" s="1"/>
  <c r="AC872" i="11"/>
  <c r="AC360" i="11"/>
  <c r="AD143" i="11"/>
  <c r="AI19" i="5"/>
  <c r="AI19" i="34"/>
  <c r="Z355" i="11"/>
  <c r="Z284" i="11" s="1"/>
  <c r="AH67" i="34" s="1"/>
  <c r="Z384" i="11"/>
  <c r="Z385" i="11" s="1"/>
  <c r="AH81" i="38"/>
  <c r="AH82" i="38" s="1"/>
  <c r="AH20" i="38"/>
  <c r="AD54" i="5"/>
  <c r="AB12" i="6" s="1"/>
  <c r="AD7" i="5"/>
  <c r="Y97" i="39"/>
  <c r="Y93" i="39"/>
  <c r="Z86" i="39" s="1"/>
  <c r="AJ172" i="36"/>
  <c r="AJ111" i="36"/>
  <c r="AJ270" i="36" s="1"/>
  <c r="AB378" i="11"/>
  <c r="AF73" i="34"/>
  <c r="AF51" i="34"/>
  <c r="AF113" i="34"/>
  <c r="AF317" i="34" s="1"/>
  <c r="AF171" i="34"/>
  <c r="AF114" i="34"/>
  <c r="AU141" i="56"/>
  <c r="AU141" i="26"/>
  <c r="AF48" i="5"/>
  <c r="AF118" i="5" s="1"/>
  <c r="AF388" i="5" s="1"/>
  <c r="AU141" i="50"/>
  <c r="AF173" i="5"/>
  <c r="AU141" i="54"/>
  <c r="AU141" i="53"/>
  <c r="AU141" i="55"/>
  <c r="AU141" i="52"/>
  <c r="AF110" i="5"/>
  <c r="AF244" i="5" s="1"/>
  <c r="AU141" i="51"/>
  <c r="AG62" i="39"/>
  <c r="AG64" i="39" s="1"/>
  <c r="AG8" i="39"/>
  <c r="AD54" i="38"/>
  <c r="BF20" i="38"/>
  <c r="AS3" i="54" s="1"/>
  <c r="AD7" i="38"/>
  <c r="AG62" i="16"/>
  <c r="AG64" i="16" s="1"/>
  <c r="AG8" i="16"/>
  <c r="Y8" i="11" s="1"/>
  <c r="AB903" i="11"/>
  <c r="AB400" i="11"/>
  <c r="AJ94" i="39" s="1"/>
  <c r="AB174" i="11"/>
  <c r="Z275" i="11"/>
  <c r="AI111" i="35"/>
  <c r="AI270" i="35" s="1"/>
  <c r="AI172" i="35"/>
  <c r="AC773" i="11"/>
  <c r="AC432" i="11"/>
  <c r="AK19" i="35"/>
  <c r="AD423" i="11"/>
  <c r="AG53" i="5"/>
  <c r="AG6" i="5"/>
  <c r="AG115" i="5"/>
  <c r="AG340" i="5" s="1"/>
  <c r="AG28" i="5"/>
  <c r="AS144" i="26"/>
  <c r="R190" i="11"/>
  <c r="AH110" i="35"/>
  <c r="AH244" i="35" s="1"/>
  <c r="AH173" i="35"/>
  <c r="AH48" i="35"/>
  <c r="Y6" i="38"/>
  <c r="Y130" i="38"/>
  <c r="Y136" i="38" s="1"/>
  <c r="Y140" i="38" s="1"/>
  <c r="Y97" i="16"/>
  <c r="Y93" i="16"/>
  <c r="Z86" i="16" s="1"/>
  <c r="AH132" i="34"/>
  <c r="AH134" i="34" s="1"/>
  <c r="AH36" i="5"/>
  <c r="AH47" i="5" s="1"/>
  <c r="AH117" i="5" s="1"/>
  <c r="AH364" i="5" s="1"/>
  <c r="AH36" i="34"/>
  <c r="AH47" i="34" s="1"/>
  <c r="AC319" i="11"/>
  <c r="AD250" i="11"/>
  <c r="I19" i="37"/>
  <c r="K19" i="37" s="1"/>
  <c r="L19" i="37" s="1"/>
  <c r="AL80" i="37"/>
  <c r="AC84" i="39"/>
  <c r="V623" i="11"/>
  <c r="V632" i="11" s="1"/>
  <c r="V885" i="11" s="1"/>
  <c r="AH67" i="38"/>
  <c r="AF113" i="39"/>
  <c r="AF317" i="39" s="1"/>
  <c r="AF73" i="39"/>
  <c r="AF51" i="39"/>
  <c r="AF114" i="39"/>
  <c r="AF171" i="39"/>
  <c r="AC499" i="11"/>
  <c r="AC508" i="11" s="1"/>
  <c r="AS144" i="56"/>
  <c r="AD84" i="35"/>
  <c r="W619" i="11"/>
  <c r="W628" i="11" s="1"/>
  <c r="W881" i="11" s="1"/>
  <c r="Y130" i="16"/>
  <c r="Y136" i="16" s="1"/>
  <c r="Y140" i="16" s="1"/>
  <c r="Y6" i="16"/>
  <c r="Q6" i="11" s="1"/>
  <c r="AI80" i="39"/>
  <c r="AW137" i="56"/>
  <c r="AH172" i="16"/>
  <c r="AW137" i="26"/>
  <c r="AH111" i="16"/>
  <c r="AH270" i="16" s="1"/>
  <c r="AG62" i="38"/>
  <c r="AG64" i="38" s="1"/>
  <c r="AG8" i="38"/>
  <c r="AI72" i="39"/>
  <c r="AI53" i="39"/>
  <c r="BK21" i="39" s="1"/>
  <c r="AX4" i="55" s="1"/>
  <c r="AI115" i="39"/>
  <c r="AI340" i="39" s="1"/>
  <c r="AK94" i="36"/>
  <c r="AJ67" i="36"/>
  <c r="AB77" i="37" l="1"/>
  <c r="C296" i="11"/>
  <c r="B96" i="8"/>
  <c r="AB83" i="37"/>
  <c r="AC76" i="37" s="1"/>
  <c r="AC77" i="37" s="1"/>
  <c r="V883" i="11"/>
  <c r="W621" i="11"/>
  <c r="W630" i="11" s="1"/>
  <c r="AD84" i="37"/>
  <c r="W811" i="11"/>
  <c r="AI104" i="39"/>
  <c r="AI196" i="39" s="1"/>
  <c r="AC78" i="36"/>
  <c r="V882" i="11"/>
  <c r="W620" i="11"/>
  <c r="W629" i="11" s="1"/>
  <c r="AD84" i="36"/>
  <c r="AC77" i="36"/>
  <c r="AA52" i="6"/>
  <c r="AA17" i="6"/>
  <c r="S138" i="24" s="1"/>
  <c r="AB52" i="6"/>
  <c r="AB17" i="6"/>
  <c r="T138" i="24" s="1"/>
  <c r="AD756" i="11"/>
  <c r="AD865" i="11" s="1"/>
  <c r="AJ36" i="38"/>
  <c r="AJ47" i="38" s="1"/>
  <c r="AY137" i="54" s="1"/>
  <c r="AB513" i="11"/>
  <c r="AJ36" i="16" s="1"/>
  <c r="AJ47" i="16" s="1"/>
  <c r="AY137" i="56" s="1"/>
  <c r="AA84" i="34"/>
  <c r="AG118" i="39"/>
  <c r="AG388" i="39" s="1"/>
  <c r="Z83" i="38"/>
  <c r="AA76" i="38" s="1"/>
  <c r="AA77" i="38" s="1"/>
  <c r="AA778" i="11"/>
  <c r="AA759" i="11"/>
  <c r="AA868" i="11" s="1"/>
  <c r="AX137" i="51"/>
  <c r="AI21" i="34"/>
  <c r="AI104" i="34" s="1"/>
  <c r="AI196" i="34" s="1"/>
  <c r="AI21" i="5"/>
  <c r="AI104" i="5" s="1"/>
  <c r="AI196" i="5" s="1"/>
  <c r="AV138" i="55"/>
  <c r="AG73" i="39"/>
  <c r="AG51" i="39"/>
  <c r="BI20" i="39" s="1"/>
  <c r="AV3" i="55" s="1"/>
  <c r="AG171" i="39"/>
  <c r="AG113" i="39"/>
  <c r="AG317" i="39" s="1"/>
  <c r="AC148" i="11"/>
  <c r="AK89" i="35" s="1"/>
  <c r="AH20" i="16"/>
  <c r="AH62" i="16" s="1"/>
  <c r="AH64" i="16" s="1"/>
  <c r="AH81" i="16"/>
  <c r="AH82" i="16" s="1"/>
  <c r="AC120" i="11"/>
  <c r="AC904" i="11" s="1"/>
  <c r="AI8" i="36"/>
  <c r="AB428" i="11"/>
  <c r="AJ19" i="16" s="1"/>
  <c r="AJ80" i="16" s="1"/>
  <c r="AH118" i="35"/>
  <c r="AH388" i="35" s="1"/>
  <c r="AW138" i="51"/>
  <c r="AB830" i="11"/>
  <c r="AI117" i="38"/>
  <c r="AI364" i="38" s="1"/>
  <c r="AX137" i="54"/>
  <c r="AB311" i="11"/>
  <c r="AC306" i="11" s="1"/>
  <c r="AH117" i="34"/>
  <c r="AH364" i="34" s="1"/>
  <c r="AW137" i="50"/>
  <c r="AI117" i="34"/>
  <c r="AI364" i="34" s="1"/>
  <c r="AX137" i="50"/>
  <c r="AT139" i="56"/>
  <c r="AB875" i="11"/>
  <c r="AT139" i="55"/>
  <c r="AF118" i="38"/>
  <c r="AF388" i="38" s="1"/>
  <c r="AU138" i="54"/>
  <c r="AU139" i="54" s="1"/>
  <c r="AR3" i="26"/>
  <c r="AT139" i="50"/>
  <c r="AB363" i="11"/>
  <c r="AB381" i="11" s="1"/>
  <c r="AD54" i="16"/>
  <c r="BF20" i="16"/>
  <c r="AS3" i="56" s="1"/>
  <c r="AB78" i="39"/>
  <c r="AB83" i="39" s="1"/>
  <c r="AC76" i="39" s="1"/>
  <c r="AC78" i="39" s="1"/>
  <c r="Z77" i="16"/>
  <c r="Z83" i="16" s="1"/>
  <c r="AA76" i="16" s="1"/>
  <c r="AA78" i="16" s="1"/>
  <c r="Z77" i="34"/>
  <c r="Z83" i="34" s="1"/>
  <c r="AA76" i="34" s="1"/>
  <c r="AB876" i="11"/>
  <c r="AB364" i="11"/>
  <c r="AB382" i="11" s="1"/>
  <c r="V813" i="11"/>
  <c r="AB139" i="11"/>
  <c r="AB189" i="11" s="1"/>
  <c r="AD189" i="11" s="1"/>
  <c r="AI105" i="5"/>
  <c r="AI220" i="5" s="1"/>
  <c r="AI64" i="36"/>
  <c r="AC428" i="11"/>
  <c r="AJ19" i="39"/>
  <c r="AB588" i="11"/>
  <c r="AB436" i="11"/>
  <c r="AB777" i="11" s="1"/>
  <c r="AB148" i="11"/>
  <c r="AC78" i="35"/>
  <c r="AC83" i="35" s="1"/>
  <c r="AD76" i="35" s="1"/>
  <c r="AD77" i="35" s="1"/>
  <c r="AD783" i="11"/>
  <c r="AB401" i="11"/>
  <c r="AJ105" i="16"/>
  <c r="AJ220" i="16" s="1"/>
  <c r="AJ90" i="16"/>
  <c r="AL23" i="16"/>
  <c r="AL90" i="38"/>
  <c r="I23" i="38"/>
  <c r="K23" i="38" s="1"/>
  <c r="L23" i="38" s="1"/>
  <c r="AH20" i="5"/>
  <c r="AH8" i="5" s="1"/>
  <c r="AH104" i="5"/>
  <c r="AH196" i="5" s="1"/>
  <c r="AD588" i="11"/>
  <c r="AJ91" i="36"/>
  <c r="AJ92" i="36" s="1"/>
  <c r="AJ24" i="36"/>
  <c r="AL25" i="36"/>
  <c r="AL105" i="36" s="1"/>
  <c r="AI91" i="34"/>
  <c r="AI92" i="34" s="1"/>
  <c r="AI24" i="34"/>
  <c r="AI63" i="34" s="1"/>
  <c r="AL90" i="37"/>
  <c r="I23" i="37"/>
  <c r="K23" i="37" s="1"/>
  <c r="L23" i="37" s="1"/>
  <c r="AJ172" i="37"/>
  <c r="AJ111" i="37"/>
  <c r="AJ270" i="37" s="1"/>
  <c r="Z868" i="11"/>
  <c r="Z904" i="11"/>
  <c r="BI20" i="37"/>
  <c r="AV3" i="53" s="1"/>
  <c r="AG54" i="37"/>
  <c r="AG7" i="37"/>
  <c r="AD606" i="11"/>
  <c r="AJ132" i="16"/>
  <c r="AJ134" i="16" s="1"/>
  <c r="AB252" i="11"/>
  <c r="AB155" i="11"/>
  <c r="AD155" i="11" s="1"/>
  <c r="AB175" i="11"/>
  <c r="AB177" i="11" s="1"/>
  <c r="AJ132" i="5"/>
  <c r="AJ134" i="5" s="1"/>
  <c r="AA867" i="11"/>
  <c r="AA903" i="11"/>
  <c r="AH118" i="37"/>
  <c r="AH388" i="37" s="1"/>
  <c r="AH73" i="37"/>
  <c r="AH171" i="37"/>
  <c r="AH113" i="37"/>
  <c r="AH317" i="37" s="1"/>
  <c r="AH51" i="37"/>
  <c r="AH114" i="37"/>
  <c r="AA615" i="11"/>
  <c r="AB615" i="11" s="1"/>
  <c r="AJ24" i="35"/>
  <c r="AJ91" i="35"/>
  <c r="AJ92" i="35" s="1"/>
  <c r="AL25" i="35"/>
  <c r="W809" i="11"/>
  <c r="AC502" i="11"/>
  <c r="AC511" i="11" s="1"/>
  <c r="AK132" i="38" s="1"/>
  <c r="AK134" i="38" s="1"/>
  <c r="AD886" i="11"/>
  <c r="AI173" i="37"/>
  <c r="AI110" i="37"/>
  <c r="AI244" i="37" s="1"/>
  <c r="AI48" i="37"/>
  <c r="AX138" i="53" s="1"/>
  <c r="AH118" i="36"/>
  <c r="AH388" i="36" s="1"/>
  <c r="AH73" i="36"/>
  <c r="AH113" i="36"/>
  <c r="AH317" i="36" s="1"/>
  <c r="AH114" i="36"/>
  <c r="AH171" i="36"/>
  <c r="AH51" i="36"/>
  <c r="AJ105" i="5"/>
  <c r="AJ220" i="5" s="1"/>
  <c r="AL23" i="5"/>
  <c r="AA401" i="11"/>
  <c r="AD579" i="11"/>
  <c r="AD786" i="11" s="1"/>
  <c r="AL129" i="38"/>
  <c r="AA273" i="11"/>
  <c r="AB268" i="11" s="1"/>
  <c r="AD781" i="11"/>
  <c r="AI91" i="16"/>
  <c r="AI92" i="16" s="1"/>
  <c r="AI24" i="16"/>
  <c r="AI63" i="16" s="1"/>
  <c r="AJ90" i="34"/>
  <c r="AJ105" i="34"/>
  <c r="AJ220" i="34" s="1"/>
  <c r="AL23" i="34"/>
  <c r="AD152" i="11"/>
  <c r="AA606" i="11"/>
  <c r="AJ129" i="5"/>
  <c r="AJ129" i="16"/>
  <c r="AJ25" i="16"/>
  <c r="AJ129" i="34"/>
  <c r="AJ25" i="5"/>
  <c r="AJ25" i="34"/>
  <c r="AB253" i="11"/>
  <c r="AB346" i="11" s="1"/>
  <c r="AB283" i="11" s="1"/>
  <c r="AJ67" i="39" s="1"/>
  <c r="AB156" i="11"/>
  <c r="AD156" i="11" s="1"/>
  <c r="AA866" i="11"/>
  <c r="AA902" i="11"/>
  <c r="T884" i="11"/>
  <c r="T812" i="11"/>
  <c r="AI63" i="37"/>
  <c r="AI64" i="37" s="1"/>
  <c r="AI8" i="37"/>
  <c r="AL90" i="39"/>
  <c r="I23" i="39"/>
  <c r="K23" i="39" s="1"/>
  <c r="L23" i="39" s="1"/>
  <c r="AI173" i="36"/>
  <c r="AI48" i="36"/>
  <c r="AX138" i="52" s="1"/>
  <c r="AI110" i="36"/>
  <c r="AI244" i="36" s="1"/>
  <c r="AD782" i="11"/>
  <c r="AL90" i="35"/>
  <c r="I23" i="35"/>
  <c r="K23" i="35" s="1"/>
  <c r="L23" i="35" s="1"/>
  <c r="AJ24" i="38"/>
  <c r="AJ91" i="38"/>
  <c r="AJ92" i="38" s="1"/>
  <c r="AL25" i="38"/>
  <c r="AL105" i="38" s="1"/>
  <c r="AB504" i="11"/>
  <c r="AB505" i="11" s="1"/>
  <c r="AJ91" i="39"/>
  <c r="AJ92" i="39" s="1"/>
  <c r="AJ24" i="39"/>
  <c r="AL25" i="39"/>
  <c r="AJ24" i="37"/>
  <c r="AJ91" i="37"/>
  <c r="AJ92" i="37" s="1"/>
  <c r="AL25" i="37"/>
  <c r="AL105" i="37" s="1"/>
  <c r="AB188" i="11"/>
  <c r="AL90" i="36"/>
  <c r="I23" i="36"/>
  <c r="K23" i="36" s="1"/>
  <c r="L23" i="36" s="1"/>
  <c r="AJ132" i="35"/>
  <c r="AJ134" i="35" s="1"/>
  <c r="AJ36" i="35"/>
  <c r="AJ47" i="35" s="1"/>
  <c r="AY137" i="51" s="1"/>
  <c r="AG67" i="34"/>
  <c r="AG53" i="34" s="1"/>
  <c r="AG67" i="16"/>
  <c r="AH67" i="16"/>
  <c r="AH72" i="16" s="1"/>
  <c r="AA78" i="38"/>
  <c r="AD84" i="39"/>
  <c r="W623" i="11"/>
  <c r="W632" i="11" s="1"/>
  <c r="W885" i="11" s="1"/>
  <c r="AE84" i="35"/>
  <c r="X619" i="11"/>
  <c r="X628" i="11" s="1"/>
  <c r="X881" i="11" s="1"/>
  <c r="AC778" i="11"/>
  <c r="AK19" i="5"/>
  <c r="AK19" i="34"/>
  <c r="AV141" i="56"/>
  <c r="AV141" i="52"/>
  <c r="AV141" i="50"/>
  <c r="AV141" i="26"/>
  <c r="AG48" i="5"/>
  <c r="AG118" i="5" s="1"/>
  <c r="AG388" i="5" s="1"/>
  <c r="AG173" i="5"/>
  <c r="AV141" i="53"/>
  <c r="AV141" i="55"/>
  <c r="AV141" i="54"/>
  <c r="AV141" i="51"/>
  <c r="AG110" i="5"/>
  <c r="AG244" i="5" s="1"/>
  <c r="AI48" i="39"/>
  <c r="AI110" i="39"/>
  <c r="AI244" i="39" s="1"/>
  <c r="AI173" i="39"/>
  <c r="AD872" i="11"/>
  <c r="AJ19" i="5"/>
  <c r="AJ19" i="34"/>
  <c r="AH110" i="39"/>
  <c r="AH244" i="39" s="1"/>
  <c r="AH173" i="39"/>
  <c r="AH48" i="39"/>
  <c r="AK145" i="16"/>
  <c r="AK148" i="16"/>
  <c r="AU138" i="56"/>
  <c r="AU139" i="56" s="1"/>
  <c r="AF171" i="16"/>
  <c r="AU139" i="53"/>
  <c r="AU139" i="55"/>
  <c r="AU139" i="51"/>
  <c r="AF51" i="16"/>
  <c r="AU139" i="50"/>
  <c r="AF113" i="16"/>
  <c r="AF317" i="16" s="1"/>
  <c r="AU138" i="26"/>
  <c r="AU139" i="26" s="1"/>
  <c r="AU139" i="52"/>
  <c r="AF73" i="16"/>
  <c r="AF114" i="16"/>
  <c r="AK172" i="37"/>
  <c r="AK111" i="37"/>
  <c r="AK270" i="37" s="1"/>
  <c r="AA338" i="11"/>
  <c r="AB333" i="11" s="1"/>
  <c r="AJ53" i="35"/>
  <c r="BL21" i="35" s="1"/>
  <c r="AY4" i="51" s="1"/>
  <c r="AJ115" i="35"/>
  <c r="AJ340" i="35" s="1"/>
  <c r="AJ72" i="35"/>
  <c r="AJ28" i="35"/>
  <c r="AY136" i="51" s="1"/>
  <c r="AD319" i="11"/>
  <c r="AD320" i="11" s="1"/>
  <c r="AC280" i="11"/>
  <c r="R877" i="11"/>
  <c r="R832" i="11"/>
  <c r="Z89" i="39"/>
  <c r="Z97" i="39" s="1"/>
  <c r="Z89" i="38"/>
  <c r="Z97" i="38" s="1"/>
  <c r="Z89" i="37"/>
  <c r="Z97" i="37" s="1"/>
  <c r="Z89" i="36"/>
  <c r="Z97" i="36" s="1"/>
  <c r="Z89" i="35"/>
  <c r="Z97" i="35" s="1"/>
  <c r="Z89" i="34"/>
  <c r="Z97" i="34" s="1"/>
  <c r="Z89" i="16"/>
  <c r="Z97" i="16" s="1"/>
  <c r="Z127" i="5"/>
  <c r="Z130" i="5" s="1"/>
  <c r="Z136" i="5" s="1"/>
  <c r="Z140" i="5" s="1"/>
  <c r="Z127" i="35"/>
  <c r="Z127" i="36"/>
  <c r="Z127" i="34"/>
  <c r="Z127" i="16"/>
  <c r="Z127" i="39"/>
  <c r="Z127" i="38"/>
  <c r="Z127" i="37"/>
  <c r="AH8" i="38"/>
  <c r="AH62" i="38"/>
  <c r="AH64" i="38" s="1"/>
  <c r="AJ36" i="34"/>
  <c r="AJ47" i="34" s="1"/>
  <c r="AY137" i="50" s="1"/>
  <c r="AX137" i="26"/>
  <c r="AX137" i="56"/>
  <c r="AI172" i="16"/>
  <c r="AI111" i="16"/>
  <c r="AI270" i="16" s="1"/>
  <c r="AK94" i="35"/>
  <c r="AB84" i="38"/>
  <c r="U622" i="11"/>
  <c r="U624" i="11" s="1"/>
  <c r="T633" i="11"/>
  <c r="AB84" i="16" s="1"/>
  <c r="AI62" i="35"/>
  <c r="AI64" i="35" s="1"/>
  <c r="AI8" i="35"/>
  <c r="AK67" i="37"/>
  <c r="AD281" i="11"/>
  <c r="AK145" i="38"/>
  <c r="AK148" i="38"/>
  <c r="AH81" i="34"/>
  <c r="AH82" i="34" s="1"/>
  <c r="AH20" i="34"/>
  <c r="AI81" i="39"/>
  <c r="AI82" i="39" s="1"/>
  <c r="AI20" i="39"/>
  <c r="AH111" i="34"/>
  <c r="AH270" i="34" s="1"/>
  <c r="AH172" i="34"/>
  <c r="R191" i="11"/>
  <c r="AH72" i="5"/>
  <c r="AH67" i="5"/>
  <c r="AC378" i="11"/>
  <c r="AD360" i="11"/>
  <c r="AG54" i="39"/>
  <c r="BI20" i="35"/>
  <c r="AV3" i="51" s="1"/>
  <c r="AG54" i="35"/>
  <c r="AG7" i="35"/>
  <c r="AA355" i="11"/>
  <c r="AA284" i="11" s="1"/>
  <c r="AI67" i="34" s="1"/>
  <c r="AA384" i="11"/>
  <c r="AA385" i="11" s="1"/>
  <c r="AC902" i="11"/>
  <c r="AC399" i="11"/>
  <c r="AC173" i="11"/>
  <c r="AC252" i="11" s="1"/>
  <c r="AI67" i="5"/>
  <c r="AI72" i="5"/>
  <c r="AK36" i="35"/>
  <c r="AK132" i="35"/>
  <c r="AK134" i="35" s="1"/>
  <c r="AD508" i="11"/>
  <c r="AI20" i="16"/>
  <c r="AI81" i="16"/>
  <c r="AI82" i="16" s="1"/>
  <c r="AJ81" i="35"/>
  <c r="AJ82" i="35" s="1"/>
  <c r="AJ20" i="35"/>
  <c r="AK148" i="39"/>
  <c r="AK145" i="39"/>
  <c r="AC875" i="11"/>
  <c r="AC363" i="11"/>
  <c r="AD146" i="11"/>
  <c r="AD875" i="11" s="1"/>
  <c r="AI67" i="38"/>
  <c r="AJ80" i="39"/>
  <c r="AE7" i="16"/>
  <c r="W7" i="11" s="1"/>
  <c r="AE54" i="16"/>
  <c r="BG20" i="16"/>
  <c r="AH53" i="38"/>
  <c r="AH115" i="38"/>
  <c r="AH340" i="38" s="1"/>
  <c r="AH28" i="38"/>
  <c r="AW136" i="54" s="1"/>
  <c r="AH72" i="38"/>
  <c r="AJ53" i="36"/>
  <c r="AJ72" i="36"/>
  <c r="AJ28" i="36"/>
  <c r="AY136" i="52" s="1"/>
  <c r="AJ115" i="36"/>
  <c r="AJ340" i="36" s="1"/>
  <c r="AW142" i="56"/>
  <c r="AW142" i="55"/>
  <c r="AW142" i="53"/>
  <c r="AW142" i="51"/>
  <c r="AH172" i="5"/>
  <c r="AH111" i="5"/>
  <c r="AH270" i="5" s="1"/>
  <c r="AW142" i="54"/>
  <c r="AW142" i="52"/>
  <c r="AW142" i="50"/>
  <c r="AW142" i="26"/>
  <c r="AK104" i="35"/>
  <c r="AK196" i="35" s="1"/>
  <c r="AK80" i="35"/>
  <c r="AL19" i="35"/>
  <c r="AF54" i="39"/>
  <c r="BH20" i="39"/>
  <c r="AU3" i="55" s="1"/>
  <c r="AF7" i="39"/>
  <c r="AC754" i="11"/>
  <c r="AC863" i="11" s="1"/>
  <c r="AK128" i="35"/>
  <c r="AK21" i="35"/>
  <c r="AD432" i="11"/>
  <c r="AF54" i="34"/>
  <c r="BH20" i="34"/>
  <c r="AU3" i="50" s="1"/>
  <c r="AF7" i="34"/>
  <c r="AH72" i="34"/>
  <c r="AH53" i="34"/>
  <c r="BJ21" i="34" s="1"/>
  <c r="AW4" i="50" s="1"/>
  <c r="AH115" i="34"/>
  <c r="AH340" i="34" s="1"/>
  <c r="AH28" i="34"/>
  <c r="AW136" i="50" s="1"/>
  <c r="AC827" i="11"/>
  <c r="AI172" i="38"/>
  <c r="AI111" i="38"/>
  <c r="AI270" i="38" s="1"/>
  <c r="AK148" i="5"/>
  <c r="AH33" i="6"/>
  <c r="AH49" i="6" s="1"/>
  <c r="AC903" i="11"/>
  <c r="AC400" i="11"/>
  <c r="AC174" i="11"/>
  <c r="AC253" i="11" s="1"/>
  <c r="AT143" i="56"/>
  <c r="AT144" i="56" s="1"/>
  <c r="AT143" i="53"/>
  <c r="AT144" i="53" s="1"/>
  <c r="AE142" i="38"/>
  <c r="AE114" i="5"/>
  <c r="AE142" i="39"/>
  <c r="AE73" i="5"/>
  <c r="AT143" i="55"/>
  <c r="AT144" i="55" s="1"/>
  <c r="AE171" i="5"/>
  <c r="AE142" i="37"/>
  <c r="AE142" i="5"/>
  <c r="AT143" i="51"/>
  <c r="AT144" i="51" s="1"/>
  <c r="AE142" i="36"/>
  <c r="AT143" i="50"/>
  <c r="AT144" i="50" s="1"/>
  <c r="AE142" i="34"/>
  <c r="AT143" i="26"/>
  <c r="AT144" i="26" s="1"/>
  <c r="AE142" i="35"/>
  <c r="AE51" i="5"/>
  <c r="AT143" i="54"/>
  <c r="AT144" i="54" s="1"/>
  <c r="AE113" i="5"/>
  <c r="AE317" i="5" s="1"/>
  <c r="AE142" i="16"/>
  <c r="AT143" i="52"/>
  <c r="AT144" i="52" s="1"/>
  <c r="AJ62" i="36"/>
  <c r="AJ8" i="36"/>
  <c r="AC776" i="11"/>
  <c r="AC435" i="11"/>
  <c r="AK19" i="38"/>
  <c r="AK19" i="16"/>
  <c r="AD426" i="11"/>
  <c r="AJ173" i="37"/>
  <c r="AJ110" i="37"/>
  <c r="AJ244" i="37" s="1"/>
  <c r="AJ48" i="37"/>
  <c r="AY138" i="53" s="1"/>
  <c r="AX142" i="56"/>
  <c r="AX142" i="55"/>
  <c r="AI172" i="5"/>
  <c r="AX142" i="53"/>
  <c r="AX142" i="54"/>
  <c r="AX142" i="52"/>
  <c r="AX142" i="50"/>
  <c r="AX142" i="26"/>
  <c r="AI111" i="5"/>
  <c r="AI270" i="5" s="1"/>
  <c r="AX142" i="51"/>
  <c r="AJ128" i="39"/>
  <c r="AJ80" i="38"/>
  <c r="AI80" i="34"/>
  <c r="AI110" i="35"/>
  <c r="AI244" i="35" s="1"/>
  <c r="AI173" i="35"/>
  <c r="AI48" i="35"/>
  <c r="AG173" i="38"/>
  <c r="AG48" i="38"/>
  <c r="AG110" i="38"/>
  <c r="AG244" i="38" s="1"/>
  <c r="AB337" i="11"/>
  <c r="AB282" i="11" s="1"/>
  <c r="AC876" i="11"/>
  <c r="AC364" i="11"/>
  <c r="AD147" i="11"/>
  <c r="AD876" i="11" s="1"/>
  <c r="AD755" i="11"/>
  <c r="AD864" i="11" s="1"/>
  <c r="AL128" i="36"/>
  <c r="I36" i="36"/>
  <c r="K36" i="36" s="1"/>
  <c r="L36" i="36" s="1"/>
  <c r="AL47" i="36"/>
  <c r="F143" i="52" s="1"/>
  <c r="AE54" i="38"/>
  <c r="BG20" i="38"/>
  <c r="AT3" i="54" s="1"/>
  <c r="AE7" i="38"/>
  <c r="AC320" i="11"/>
  <c r="BL21" i="37"/>
  <c r="AY4" i="53" s="1"/>
  <c r="AI172" i="34"/>
  <c r="AI111" i="34"/>
  <c r="AI270" i="34" s="1"/>
  <c r="AB757" i="11"/>
  <c r="AB866" i="11" s="1"/>
  <c r="AJ128" i="38"/>
  <c r="AJ21" i="38"/>
  <c r="AJ104" i="38" s="1"/>
  <c r="AJ196" i="38" s="1"/>
  <c r="AJ94" i="38"/>
  <c r="AJ94" i="16"/>
  <c r="AJ148" i="34"/>
  <c r="AJ145" i="34"/>
  <c r="AC227" i="11"/>
  <c r="AC175" i="11"/>
  <c r="AC188" i="11" s="1"/>
  <c r="AC102" i="11"/>
  <c r="AK100" i="39"/>
  <c r="AK101" i="39" s="1"/>
  <c r="AC84" i="11"/>
  <c r="AK100" i="38"/>
  <c r="AK101" i="38" s="1"/>
  <c r="AK100" i="37"/>
  <c r="AK101" i="37" s="1"/>
  <c r="AK100" i="35"/>
  <c r="AK101" i="35" s="1"/>
  <c r="AK100" i="36"/>
  <c r="AK101" i="36" s="1"/>
  <c r="AK100" i="34"/>
  <c r="AK101" i="34" s="1"/>
  <c r="AK12" i="5"/>
  <c r="AI33" i="6" s="1"/>
  <c r="AI49" i="6" s="1"/>
  <c r="AK12" i="34"/>
  <c r="AK100" i="16"/>
  <c r="AK101" i="16" s="1"/>
  <c r="AC209" i="11"/>
  <c r="AC777" i="11"/>
  <c r="AC436" i="11"/>
  <c r="AK19" i="39"/>
  <c r="AD427" i="11"/>
  <c r="AK81" i="36"/>
  <c r="AK82" i="36" s="1"/>
  <c r="AK20" i="36"/>
  <c r="AK172" i="36"/>
  <c r="AK111" i="36"/>
  <c r="AK270" i="36" s="1"/>
  <c r="AH171" i="35"/>
  <c r="AH51" i="35"/>
  <c r="AH114" i="35"/>
  <c r="AH113" i="35"/>
  <c r="AH317" i="35" s="1"/>
  <c r="AH73" i="35"/>
  <c r="AU143" i="56"/>
  <c r="AU143" i="52"/>
  <c r="AF113" i="5"/>
  <c r="AF317" i="5" s="1"/>
  <c r="AU143" i="54"/>
  <c r="AF142" i="39"/>
  <c r="AF73" i="5"/>
  <c r="AU143" i="53"/>
  <c r="AF142" i="38"/>
  <c r="AF142" i="5"/>
  <c r="AU143" i="55"/>
  <c r="AF142" i="37"/>
  <c r="AU143" i="51"/>
  <c r="AF114" i="5"/>
  <c r="AF171" i="5"/>
  <c r="AF142" i="36"/>
  <c r="AU143" i="26"/>
  <c r="AF142" i="34"/>
  <c r="AF51" i="5"/>
  <c r="AU143" i="50"/>
  <c r="AF142" i="35"/>
  <c r="AF142" i="16"/>
  <c r="AI20" i="38"/>
  <c r="AI81" i="38"/>
  <c r="AI82" i="38" s="1"/>
  <c r="AC310" i="11"/>
  <c r="AD249" i="11"/>
  <c r="AK62" i="37"/>
  <c r="AK8" i="37"/>
  <c r="AL20" i="37"/>
  <c r="AF51" i="38"/>
  <c r="AF171" i="38"/>
  <c r="AF114" i="38"/>
  <c r="AF73" i="38"/>
  <c r="AF113" i="38"/>
  <c r="AF317" i="38" s="1"/>
  <c r="AC503" i="11"/>
  <c r="AC512" i="11" s="1"/>
  <c r="Z356" i="11"/>
  <c r="AA351" i="11" s="1"/>
  <c r="AL80" i="36"/>
  <c r="I19" i="36"/>
  <c r="K19" i="36" s="1"/>
  <c r="L19" i="36" s="1"/>
  <c r="I36" i="37"/>
  <c r="K36" i="37" s="1"/>
  <c r="L36" i="37" s="1"/>
  <c r="AL47" i="37"/>
  <c r="AJ132" i="39"/>
  <c r="AJ134" i="39" s="1"/>
  <c r="AJ36" i="39"/>
  <c r="AJ47" i="39" s="1"/>
  <c r="AY137" i="55" s="1"/>
  <c r="AH62" i="39"/>
  <c r="AH64" i="39" s="1"/>
  <c r="AH8" i="39"/>
  <c r="AC78" i="37" l="1"/>
  <c r="AC83" i="37" s="1"/>
  <c r="AD76" i="37" s="1"/>
  <c r="AD78" i="37" s="1"/>
  <c r="AG7" i="39"/>
  <c r="C305" i="11"/>
  <c r="B97" i="8"/>
  <c r="AK89" i="37"/>
  <c r="AK89" i="38"/>
  <c r="AJ21" i="39"/>
  <c r="AJ104" i="39" s="1"/>
  <c r="AJ196" i="39" s="1"/>
  <c r="AB347" i="11"/>
  <c r="AC342" i="11" s="1"/>
  <c r="AB254" i="11"/>
  <c r="AB272" i="11" s="1"/>
  <c r="AB758" i="11"/>
  <c r="AB867" i="11" s="1"/>
  <c r="AA904" i="11"/>
  <c r="AC83" i="36"/>
  <c r="AD76" i="36" s="1"/>
  <c r="W883" i="11"/>
  <c r="AE84" i="37"/>
  <c r="X621" i="11"/>
  <c r="X630" i="11" s="1"/>
  <c r="X811" i="11" s="1"/>
  <c r="W882" i="11"/>
  <c r="AE84" i="36"/>
  <c r="X620" i="11"/>
  <c r="X629" i="11" s="1"/>
  <c r="W810" i="11"/>
  <c r="AA356" i="11"/>
  <c r="AB351" i="11" s="1"/>
  <c r="AK89" i="36"/>
  <c r="AI81" i="34"/>
  <c r="AJ172" i="38"/>
  <c r="AD511" i="11"/>
  <c r="AK89" i="39"/>
  <c r="AK36" i="38"/>
  <c r="AL36" i="38" s="1"/>
  <c r="F141" i="54" s="1"/>
  <c r="AK89" i="16"/>
  <c r="AJ111" i="38"/>
  <c r="AJ270" i="38" s="1"/>
  <c r="AK89" i="34"/>
  <c r="AC121" i="11"/>
  <c r="AA78" i="34"/>
  <c r="AI20" i="34"/>
  <c r="AI62" i="34" s="1"/>
  <c r="AI64" i="34" s="1"/>
  <c r="AJ36" i="5"/>
  <c r="AJ47" i="5" s="1"/>
  <c r="AJ132" i="34"/>
  <c r="AJ134" i="34" s="1"/>
  <c r="AJ111" i="16"/>
  <c r="AJ270" i="16" s="1"/>
  <c r="AJ172" i="16"/>
  <c r="AH8" i="16"/>
  <c r="Z8" i="11" s="1"/>
  <c r="AY137" i="26"/>
  <c r="AA83" i="38"/>
  <c r="AB76" i="38" s="1"/>
  <c r="AB77" i="38" s="1"/>
  <c r="AI20" i="5"/>
  <c r="AI8" i="5" s="1"/>
  <c r="AD188" i="11"/>
  <c r="AA77" i="34"/>
  <c r="AH62" i="5"/>
  <c r="AH64" i="5" s="1"/>
  <c r="AC401" i="11"/>
  <c r="AC77" i="39"/>
  <c r="AC83" i="39" s="1"/>
  <c r="AD76" i="39" s="1"/>
  <c r="AD78" i="39" s="1"/>
  <c r="AC311" i="11"/>
  <c r="AC254" i="11"/>
  <c r="AC355" i="11" s="1"/>
  <c r="G36" i="37"/>
  <c r="F143" i="53"/>
  <c r="AI118" i="35"/>
  <c r="AI388" i="35" s="1"/>
  <c r="AX138" i="51"/>
  <c r="AB831" i="11"/>
  <c r="Z87" i="16"/>
  <c r="AB383" i="11"/>
  <c r="AH118" i="39"/>
  <c r="AH388" i="39" s="1"/>
  <c r="AW138" i="55"/>
  <c r="AI118" i="39"/>
  <c r="AI388" i="39" s="1"/>
  <c r="AX138" i="55"/>
  <c r="AS3" i="26"/>
  <c r="AG118" i="38"/>
  <c r="AG388" i="38" s="1"/>
  <c r="AV138" i="54"/>
  <c r="AA77" i="16"/>
  <c r="AA83" i="16" s="1"/>
  <c r="AB76" i="16" s="1"/>
  <c r="AB365" i="11"/>
  <c r="AH115" i="16"/>
  <c r="AH340" i="16" s="1"/>
  <c r="AH28" i="16"/>
  <c r="AH48" i="16" s="1"/>
  <c r="AH118" i="16" s="1"/>
  <c r="AH388" i="16" s="1"/>
  <c r="AH53" i="16"/>
  <c r="BJ21" i="16" s="1"/>
  <c r="AB437" i="11"/>
  <c r="AU144" i="52"/>
  <c r="AD157" i="11"/>
  <c r="AB157" i="11"/>
  <c r="AB158" i="11" s="1"/>
  <c r="AJ24" i="5"/>
  <c r="AL25" i="5"/>
  <c r="I25" i="5" s="1"/>
  <c r="K25" i="5" s="1"/>
  <c r="L25" i="5" s="1"/>
  <c r="AL90" i="34"/>
  <c r="I23" i="34"/>
  <c r="K23" i="34" s="1"/>
  <c r="L23" i="34" s="1"/>
  <c r="AJ63" i="36"/>
  <c r="AL63" i="36" s="1"/>
  <c r="AL24" i="36"/>
  <c r="I24" i="36" s="1"/>
  <c r="K24" i="36" s="1"/>
  <c r="L24" i="36" s="1"/>
  <c r="AI118" i="36"/>
  <c r="AI388" i="36" s="1"/>
  <c r="AI114" i="36"/>
  <c r="AI51" i="36"/>
  <c r="AI171" i="36"/>
  <c r="AI73" i="36"/>
  <c r="AI113" i="36"/>
  <c r="AI317" i="36" s="1"/>
  <c r="AL129" i="34"/>
  <c r="AL129" i="5"/>
  <c r="AL129" i="16"/>
  <c r="I25" i="38"/>
  <c r="K25" i="38" s="1"/>
  <c r="L25" i="38" s="1"/>
  <c r="AL91" i="38"/>
  <c r="AL92" i="38" s="1"/>
  <c r="AJ91" i="16"/>
  <c r="AJ92" i="16" s="1"/>
  <c r="AJ24" i="16"/>
  <c r="AL25" i="16"/>
  <c r="AL105" i="16" s="1"/>
  <c r="AH7" i="37"/>
  <c r="AH54" i="37"/>
  <c r="BJ20" i="37"/>
  <c r="AW3" i="53" s="1"/>
  <c r="Z87" i="36"/>
  <c r="Z93" i="36" s="1"/>
  <c r="AA86" i="36" s="1"/>
  <c r="AL90" i="16"/>
  <c r="I23" i="16"/>
  <c r="K23" i="16" s="1"/>
  <c r="L23" i="16" s="1"/>
  <c r="AL91" i="37"/>
  <c r="AL92" i="37" s="1"/>
  <c r="I25" i="37"/>
  <c r="K25" i="37" s="1"/>
  <c r="L25" i="37" s="1"/>
  <c r="I23" i="5"/>
  <c r="K23" i="5" s="1"/>
  <c r="L23" i="5" s="1"/>
  <c r="AI118" i="37"/>
  <c r="AI388" i="37" s="1"/>
  <c r="AI51" i="37"/>
  <c r="AI73" i="37"/>
  <c r="AI171" i="37"/>
  <c r="AI114" i="37"/>
  <c r="AI113" i="37"/>
  <c r="AI317" i="37" s="1"/>
  <c r="T886" i="11"/>
  <c r="T814" i="11"/>
  <c r="X809" i="11"/>
  <c r="W813" i="11"/>
  <c r="AJ111" i="35"/>
  <c r="AJ270" i="35" s="1"/>
  <c r="AJ172" i="35"/>
  <c r="AJ63" i="38"/>
  <c r="AL63" i="38" s="1"/>
  <c r="AL24" i="38"/>
  <c r="I24" i="38" s="1"/>
  <c r="K24" i="38" s="1"/>
  <c r="L24" i="38" s="1"/>
  <c r="AJ63" i="37"/>
  <c r="AL24" i="37"/>
  <c r="I24" i="37" s="1"/>
  <c r="K24" i="37" s="1"/>
  <c r="L24" i="37" s="1"/>
  <c r="AJ8" i="37"/>
  <c r="AH7" i="36"/>
  <c r="BJ20" i="36"/>
  <c r="AW3" i="52" s="1"/>
  <c r="AH54" i="36"/>
  <c r="AL105" i="35"/>
  <c r="I25" i="35"/>
  <c r="K25" i="35" s="1"/>
  <c r="L25" i="35" s="1"/>
  <c r="AL91" i="35"/>
  <c r="AL92" i="35" s="1"/>
  <c r="AL105" i="39"/>
  <c r="I25" i="39"/>
  <c r="K25" i="39" s="1"/>
  <c r="L25" i="39" s="1"/>
  <c r="AL91" i="39"/>
  <c r="AL92" i="39" s="1"/>
  <c r="Z87" i="39"/>
  <c r="Z93" i="39" s="1"/>
  <c r="AA86" i="39" s="1"/>
  <c r="Z87" i="35"/>
  <c r="Z93" i="35" s="1"/>
  <c r="AA86" i="35" s="1"/>
  <c r="Z87" i="37"/>
  <c r="Z93" i="37" s="1"/>
  <c r="AA86" i="37" s="1"/>
  <c r="AD428" i="11"/>
  <c r="AJ63" i="39"/>
  <c r="AL63" i="39" s="1"/>
  <c r="AL24" i="39"/>
  <c r="I24" i="39" s="1"/>
  <c r="K24" i="39" s="1"/>
  <c r="L24" i="39" s="1"/>
  <c r="AJ24" i="34"/>
  <c r="AJ91" i="34"/>
  <c r="AJ92" i="34" s="1"/>
  <c r="AL25" i="34"/>
  <c r="AL105" i="34" s="1"/>
  <c r="AJ63" i="35"/>
  <c r="AL63" i="35" s="1"/>
  <c r="AL24" i="35"/>
  <c r="I24" i="35" s="1"/>
  <c r="K24" i="35" s="1"/>
  <c r="L24" i="35" s="1"/>
  <c r="I25" i="36"/>
  <c r="K25" i="36" s="1"/>
  <c r="AL91" i="36"/>
  <c r="AL92" i="36" s="1"/>
  <c r="Z87" i="38"/>
  <c r="Z93" i="38" s="1"/>
  <c r="AA86" i="38" s="1"/>
  <c r="AI67" i="16"/>
  <c r="AI72" i="16" s="1"/>
  <c r="AG72" i="34"/>
  <c r="AG28" i="34"/>
  <c r="AG115" i="34"/>
  <c r="AG340" i="34" s="1"/>
  <c r="AU144" i="50"/>
  <c r="AG115" i="16"/>
  <c r="AG340" i="16" s="1"/>
  <c r="AG72" i="16"/>
  <c r="AG53" i="16"/>
  <c r="BI21" i="16" s="1"/>
  <c r="AG28" i="16"/>
  <c r="Z93" i="16"/>
  <c r="AA86" i="16" s="1"/>
  <c r="AU144" i="55"/>
  <c r="AU144" i="56"/>
  <c r="AU144" i="26"/>
  <c r="AU144" i="51"/>
  <c r="Z93" i="34"/>
  <c r="AA86" i="34" s="1"/>
  <c r="AA87" i="34" s="1"/>
  <c r="AU144" i="53"/>
  <c r="AC758" i="11"/>
  <c r="AC867" i="11" s="1"/>
  <c r="AK128" i="39"/>
  <c r="AK21" i="39"/>
  <c r="AD436" i="11"/>
  <c r="AD777" i="11" s="1"/>
  <c r="AJ67" i="38"/>
  <c r="BH20" i="38"/>
  <c r="AU3" i="54" s="1"/>
  <c r="AF7" i="38"/>
  <c r="AF54" i="38"/>
  <c r="AI8" i="38"/>
  <c r="AI62" i="38"/>
  <c r="AI64" i="38" s="1"/>
  <c r="AK80" i="16"/>
  <c r="AK104" i="16"/>
  <c r="AK196" i="16" s="1"/>
  <c r="AL19" i="16"/>
  <c r="AJ110" i="36"/>
  <c r="AJ244" i="36" s="1"/>
  <c r="AJ173" i="36"/>
  <c r="AJ48" i="36"/>
  <c r="AY138" i="52" s="1"/>
  <c r="AI53" i="38"/>
  <c r="BK21" i="38" s="1"/>
  <c r="AX4" i="54" s="1"/>
  <c r="AI115" i="38"/>
  <c r="AI340" i="38" s="1"/>
  <c r="AI72" i="38"/>
  <c r="AI28" i="38"/>
  <c r="AX136" i="54" s="1"/>
  <c r="AJ8" i="35"/>
  <c r="AJ62" i="35"/>
  <c r="AK47" i="35"/>
  <c r="AZ137" i="51" s="1"/>
  <c r="AL36" i="35"/>
  <c r="F141" i="51" s="1"/>
  <c r="AK94" i="38"/>
  <c r="AK94" i="16"/>
  <c r="AH115" i="5"/>
  <c r="AH340" i="5" s="1"/>
  <c r="AH6" i="5"/>
  <c r="AH28" i="5"/>
  <c r="AH53" i="5"/>
  <c r="AB84" i="34"/>
  <c r="AB338" i="11"/>
  <c r="AC333" i="11" s="1"/>
  <c r="AK80" i="34"/>
  <c r="AK104" i="34"/>
  <c r="AK196" i="34" s="1"/>
  <c r="AL19" i="34"/>
  <c r="AK132" i="39"/>
  <c r="AK134" i="39" s="1"/>
  <c r="AK36" i="39"/>
  <c r="AD512" i="11"/>
  <c r="AL132" i="39" s="1"/>
  <c r="AL134" i="39" s="1"/>
  <c r="I20" i="37"/>
  <c r="K20" i="37" s="1"/>
  <c r="L20" i="37" s="1"/>
  <c r="AL21" i="37"/>
  <c r="AK47" i="38"/>
  <c r="AZ137" i="54" s="1"/>
  <c r="AG113" i="38"/>
  <c r="AG317" i="38" s="1"/>
  <c r="AG114" i="38"/>
  <c r="AG73" i="38"/>
  <c r="AG171" i="38"/>
  <c r="AG51" i="38"/>
  <c r="AK104" i="38"/>
  <c r="AK196" i="38" s="1"/>
  <c r="AK80" i="38"/>
  <c r="AL19" i="38"/>
  <c r="AC513" i="11"/>
  <c r="Z6" i="37"/>
  <c r="Z130" i="37"/>
  <c r="Z136" i="37" s="1"/>
  <c r="Z140" i="37" s="1"/>
  <c r="AK104" i="5"/>
  <c r="AK196" i="5" s="1"/>
  <c r="AL19" i="5"/>
  <c r="AJ81" i="38"/>
  <c r="AJ82" i="38" s="1"/>
  <c r="AJ20" i="38"/>
  <c r="AJ113" i="37"/>
  <c r="AJ317" i="37" s="1"/>
  <c r="AJ51" i="37"/>
  <c r="AJ171" i="37"/>
  <c r="AJ114" i="37"/>
  <c r="AJ73" i="37"/>
  <c r="AC757" i="11"/>
  <c r="AC866" i="11" s="1"/>
  <c r="AK128" i="38"/>
  <c r="AK21" i="38"/>
  <c r="AD435" i="11"/>
  <c r="AE54" i="5"/>
  <c r="AC12" i="6" s="1"/>
  <c r="AE7" i="5"/>
  <c r="BL21" i="36"/>
  <c r="AY4" i="52" s="1"/>
  <c r="AT3" i="56"/>
  <c r="AT3" i="26"/>
  <c r="Z6" i="38"/>
  <c r="Z130" i="38"/>
  <c r="Z136" i="38" s="1"/>
  <c r="Z140" i="38" s="1"/>
  <c r="AK67" i="36"/>
  <c r="AD280" i="11"/>
  <c r="AF54" i="16"/>
  <c r="BH20" i="16"/>
  <c r="AF7" i="16"/>
  <c r="X7" i="11" s="1"/>
  <c r="AD148" i="11"/>
  <c r="AK64" i="37"/>
  <c r="AL62" i="37"/>
  <c r="BJ20" i="35"/>
  <c r="AW3" i="51" s="1"/>
  <c r="AH54" i="35"/>
  <c r="AH7" i="35"/>
  <c r="AK62" i="36"/>
  <c r="AK8" i="36"/>
  <c r="AL20" i="36"/>
  <c r="AK148" i="34"/>
  <c r="AK145" i="34"/>
  <c r="AC382" i="11"/>
  <c r="AD364" i="11"/>
  <c r="AD382" i="11" s="1"/>
  <c r="AF382" i="11" s="1"/>
  <c r="AI171" i="35"/>
  <c r="AI114" i="35"/>
  <c r="AI113" i="35"/>
  <c r="AI317" i="35" s="1"/>
  <c r="AI73" i="35"/>
  <c r="AI51" i="35"/>
  <c r="AC346" i="11"/>
  <c r="AC347" i="11" s="1"/>
  <c r="AD253" i="11"/>
  <c r="AH110" i="34"/>
  <c r="AH244" i="34" s="1"/>
  <c r="AH173" i="34"/>
  <c r="AH48" i="34"/>
  <c r="AD754" i="11"/>
  <c r="AD863" i="11" s="1"/>
  <c r="AL128" i="35"/>
  <c r="AI62" i="16"/>
  <c r="AI64" i="16" s="1"/>
  <c r="AI8" i="16"/>
  <c r="AA8" i="11" s="1"/>
  <c r="AI28" i="5"/>
  <c r="AI53" i="5"/>
  <c r="AI115" i="5"/>
  <c r="AI340" i="5" s="1"/>
  <c r="AI6" i="5"/>
  <c r="AD773" i="11"/>
  <c r="AK28" i="37"/>
  <c r="AZ136" i="53" s="1"/>
  <c r="AK53" i="37"/>
  <c r="AK72" i="37"/>
  <c r="AK115" i="37"/>
  <c r="AK340" i="37" s="1"/>
  <c r="AL67" i="37"/>
  <c r="F150" i="53" s="1"/>
  <c r="Z130" i="39"/>
  <c r="Z136" i="39" s="1"/>
  <c r="Z140" i="39" s="1"/>
  <c r="Z6" i="39"/>
  <c r="AI114" i="39"/>
  <c r="AI51" i="39"/>
  <c r="AI73" i="39"/>
  <c r="AI113" i="39"/>
  <c r="AI317" i="39" s="1"/>
  <c r="AI171" i="39"/>
  <c r="AV143" i="56"/>
  <c r="AV144" i="56" s="1"/>
  <c r="AG142" i="5"/>
  <c r="AV143" i="54"/>
  <c r="AV144" i="54" s="1"/>
  <c r="AG114" i="5"/>
  <c r="AG142" i="38"/>
  <c r="AG51" i="5"/>
  <c r="AV143" i="51"/>
  <c r="AV144" i="51" s="1"/>
  <c r="AG142" i="36"/>
  <c r="AG142" i="16"/>
  <c r="AV143" i="52"/>
  <c r="AV144" i="52" s="1"/>
  <c r="AV143" i="26"/>
  <c r="AV144" i="26" s="1"/>
  <c r="AV143" i="55"/>
  <c r="AV144" i="55" s="1"/>
  <c r="AG142" i="37"/>
  <c r="AG142" i="34"/>
  <c r="AG113" i="5"/>
  <c r="AG317" i="5" s="1"/>
  <c r="AV143" i="50"/>
  <c r="AV144" i="50" s="1"/>
  <c r="AG142" i="35"/>
  <c r="AG73" i="5"/>
  <c r="AG171" i="5"/>
  <c r="AV143" i="53"/>
  <c r="AV144" i="53" s="1"/>
  <c r="AG142" i="39"/>
  <c r="AB355" i="11"/>
  <c r="AB284" i="11" s="1"/>
  <c r="AJ67" i="34" s="1"/>
  <c r="AB384" i="11"/>
  <c r="AJ111" i="39"/>
  <c r="AJ270" i="39" s="1"/>
  <c r="AJ172" i="39"/>
  <c r="AU144" i="54"/>
  <c r="AC831" i="11"/>
  <c r="AK94" i="39"/>
  <c r="AK81" i="35"/>
  <c r="AK82" i="35" s="1"/>
  <c r="AK20" i="35"/>
  <c r="AC381" i="11"/>
  <c r="AD363" i="11"/>
  <c r="AD381" i="11" s="1"/>
  <c r="AF381" i="11" s="1"/>
  <c r="AI72" i="34"/>
  <c r="AI28" i="34"/>
  <c r="AX136" i="50" s="1"/>
  <c r="AI115" i="34"/>
  <c r="AI340" i="34" s="1"/>
  <c r="AI53" i="34"/>
  <c r="BK21" i="34" s="1"/>
  <c r="AX4" i="50" s="1"/>
  <c r="AD378" i="11"/>
  <c r="Z95" i="37"/>
  <c r="Z96" i="37" s="1"/>
  <c r="Z9" i="35"/>
  <c r="Z95" i="38"/>
  <c r="Z96" i="38" s="1"/>
  <c r="R9" i="11"/>
  <c r="Z9" i="16"/>
  <c r="Z9" i="34"/>
  <c r="Z9" i="38"/>
  <c r="Z95" i="39"/>
  <c r="Z96" i="39" s="1"/>
  <c r="Z95" i="36"/>
  <c r="Z96" i="36" s="1"/>
  <c r="Z95" i="16"/>
  <c r="Z96" i="16" s="1"/>
  <c r="Z9" i="5"/>
  <c r="Z9" i="36"/>
  <c r="S187" i="11"/>
  <c r="Z9" i="39"/>
  <c r="Z95" i="34"/>
  <c r="Z96" i="34" s="1"/>
  <c r="Z95" i="35"/>
  <c r="Z96" i="35" s="1"/>
  <c r="Z9" i="37"/>
  <c r="AI62" i="39"/>
  <c r="AI64" i="39" s="1"/>
  <c r="AI8" i="39"/>
  <c r="U631" i="11"/>
  <c r="AY142" i="56"/>
  <c r="AY142" i="54"/>
  <c r="AY142" i="52"/>
  <c r="AJ172" i="5"/>
  <c r="AJ111" i="5"/>
  <c r="AJ270" i="5" s="1"/>
  <c r="AY142" i="55"/>
  <c r="AY142" i="53"/>
  <c r="AY142" i="50"/>
  <c r="AY142" i="26"/>
  <c r="AY142" i="51"/>
  <c r="Z130" i="16"/>
  <c r="Z136" i="16" s="1"/>
  <c r="Z140" i="16" s="1"/>
  <c r="Z6" i="16"/>
  <c r="R6" i="11" s="1"/>
  <c r="AJ173" i="35"/>
  <c r="AJ48" i="35"/>
  <c r="AY138" i="51" s="1"/>
  <c r="AJ110" i="35"/>
  <c r="AJ244" i="35" s="1"/>
  <c r="AH73" i="39"/>
  <c r="AH171" i="39"/>
  <c r="AH113" i="39"/>
  <c r="AH317" i="39" s="1"/>
  <c r="AH51" i="39"/>
  <c r="AH114" i="39"/>
  <c r="AL132" i="38"/>
  <c r="AL134" i="38" s="1"/>
  <c r="G44" i="36"/>
  <c r="G42" i="36"/>
  <c r="AL111" i="36"/>
  <c r="G40" i="36"/>
  <c r="G45" i="36"/>
  <c r="G38" i="36"/>
  <c r="I47" i="36"/>
  <c r="K47" i="36" s="1"/>
  <c r="L47" i="36" s="1"/>
  <c r="G47" i="36"/>
  <c r="G39" i="36"/>
  <c r="G37" i="36"/>
  <c r="G34" i="36"/>
  <c r="G33" i="36"/>
  <c r="G31" i="36"/>
  <c r="G32" i="36"/>
  <c r="G35" i="36"/>
  <c r="G43" i="36"/>
  <c r="G41" i="36"/>
  <c r="G46" i="36"/>
  <c r="AJ81" i="39"/>
  <c r="AJ82" i="39" s="1"/>
  <c r="AJ20" i="39"/>
  <c r="AD78" i="35"/>
  <c r="AD83" i="35" s="1"/>
  <c r="AE76" i="35" s="1"/>
  <c r="AE77" i="35" s="1"/>
  <c r="AH48" i="38"/>
  <c r="AH110" i="38"/>
  <c r="AH244" i="38" s="1"/>
  <c r="AH173" i="38"/>
  <c r="AC830" i="11"/>
  <c r="AJ115" i="39"/>
  <c r="AJ340" i="39" s="1"/>
  <c r="AJ28" i="39"/>
  <c r="AY136" i="55" s="1"/>
  <c r="AJ72" i="39"/>
  <c r="AJ53" i="39"/>
  <c r="AJ172" i="34"/>
  <c r="AJ111" i="34"/>
  <c r="AJ270" i="34" s="1"/>
  <c r="Z6" i="34"/>
  <c r="Z130" i="34"/>
  <c r="Z136" i="34" s="1"/>
  <c r="Z140" i="34" s="1"/>
  <c r="G40" i="37"/>
  <c r="I47" i="37"/>
  <c r="K47" i="37" s="1"/>
  <c r="L47" i="37" s="1"/>
  <c r="G39" i="37"/>
  <c r="G47" i="37"/>
  <c r="G45" i="37"/>
  <c r="G38" i="37"/>
  <c r="G42" i="37"/>
  <c r="G44" i="37"/>
  <c r="AL111" i="37"/>
  <c r="G37" i="37"/>
  <c r="G32" i="37"/>
  <c r="G35" i="37"/>
  <c r="G41" i="37"/>
  <c r="G31" i="37"/>
  <c r="G33" i="37"/>
  <c r="G34" i="37"/>
  <c r="G43" i="37"/>
  <c r="G46" i="37"/>
  <c r="AD310" i="11"/>
  <c r="AD311" i="11" s="1"/>
  <c r="AC279" i="11"/>
  <c r="AF54" i="5"/>
  <c r="AD12" i="6" s="1"/>
  <c r="AF7" i="5"/>
  <c r="AK80" i="39"/>
  <c r="AK104" i="39"/>
  <c r="AK196" i="39" s="1"/>
  <c r="AL19" i="39"/>
  <c r="G36" i="36"/>
  <c r="AB275" i="11"/>
  <c r="AI82" i="34"/>
  <c r="AC437" i="11"/>
  <c r="AK21" i="16" s="1"/>
  <c r="I19" i="35"/>
  <c r="K19" i="35" s="1"/>
  <c r="L19" i="35" s="1"/>
  <c r="AL80" i="35"/>
  <c r="AD513" i="11"/>
  <c r="AL132" i="34" s="1"/>
  <c r="AL134" i="34" s="1"/>
  <c r="AL132" i="35"/>
  <c r="AL134" i="35" s="1"/>
  <c r="AC365" i="11"/>
  <c r="AH62" i="34"/>
  <c r="AH64" i="34" s="1"/>
  <c r="AH8" i="34"/>
  <c r="Z6" i="36"/>
  <c r="Z130" i="36"/>
  <c r="Z136" i="36" s="1"/>
  <c r="Z140" i="36" s="1"/>
  <c r="BI21" i="34"/>
  <c r="AV4" i="50" s="1"/>
  <c r="AF84" i="35"/>
  <c r="Y619" i="11"/>
  <c r="Y628" i="11" s="1"/>
  <c r="Y881" i="11" s="1"/>
  <c r="AE84" i="39"/>
  <c r="X623" i="11"/>
  <c r="X632" i="11" s="1"/>
  <c r="X885" i="11" s="1"/>
  <c r="AD776" i="11"/>
  <c r="BJ21" i="38"/>
  <c r="AW4" i="54" s="1"/>
  <c r="AC337" i="11"/>
  <c r="AC272" i="11"/>
  <c r="AC275" i="11" s="1"/>
  <c r="AD252" i="11"/>
  <c r="Z6" i="35"/>
  <c r="Z130" i="35"/>
  <c r="Z136" i="35" s="1"/>
  <c r="Z140" i="35" s="1"/>
  <c r="AB273" i="11"/>
  <c r="AC268" i="11" s="1"/>
  <c r="AJ80" i="34"/>
  <c r="AD77" i="37" l="1"/>
  <c r="AD83" i="37" s="1"/>
  <c r="AE76" i="37" s="1"/>
  <c r="AE78" i="37" s="1"/>
  <c r="C314" i="11"/>
  <c r="B98" i="8"/>
  <c r="AI8" i="34"/>
  <c r="AI62" i="5"/>
  <c r="AI64" i="5" s="1"/>
  <c r="AA83" i="34"/>
  <c r="AB76" i="34" s="1"/>
  <c r="AB77" i="34" s="1"/>
  <c r="X882" i="11"/>
  <c r="X810" i="11"/>
  <c r="Y620" i="11"/>
  <c r="Y629" i="11" s="1"/>
  <c r="AF84" i="36"/>
  <c r="AD78" i="36"/>
  <c r="AD77" i="36"/>
  <c r="X883" i="11"/>
  <c r="AF84" i="37"/>
  <c r="Y621" i="11"/>
  <c r="Y630" i="11" s="1"/>
  <c r="Y811" i="11"/>
  <c r="AE77" i="37"/>
  <c r="AC383" i="11"/>
  <c r="AL105" i="5"/>
  <c r="AD52" i="6"/>
  <c r="AD17" i="6"/>
  <c r="V138" i="24" s="1"/>
  <c r="AC384" i="11"/>
  <c r="AC52" i="6"/>
  <c r="AC17" i="6"/>
  <c r="U138" i="24" s="1"/>
  <c r="AB78" i="38"/>
  <c r="AB83" i="38" s="1"/>
  <c r="AC76" i="38" s="1"/>
  <c r="E8" i="37"/>
  <c r="AH118" i="34"/>
  <c r="AH388" i="34" s="1"/>
  <c r="AW138" i="50"/>
  <c r="AG173" i="34"/>
  <c r="AV136" i="50"/>
  <c r="AW136" i="26"/>
  <c r="AH110" i="16"/>
  <c r="AH244" i="16" s="1"/>
  <c r="AB385" i="11"/>
  <c r="AH118" i="38"/>
  <c r="AH388" i="38" s="1"/>
  <c r="AW138" i="54"/>
  <c r="AG48" i="34"/>
  <c r="AG73" i="34" s="1"/>
  <c r="AH173" i="16"/>
  <c r="AW136" i="56"/>
  <c r="AI28" i="16"/>
  <c r="AG110" i="34"/>
  <c r="AG244" i="34" s="1"/>
  <c r="AB78" i="16"/>
  <c r="AB77" i="16"/>
  <c r="AD77" i="39"/>
  <c r="AD83" i="39" s="1"/>
  <c r="AE76" i="39" s="1"/>
  <c r="AE78" i="39" s="1"/>
  <c r="AB759" i="11"/>
  <c r="AB868" i="11" s="1"/>
  <c r="AJ21" i="5"/>
  <c r="AJ21" i="34"/>
  <c r="AJ128" i="16"/>
  <c r="AJ128" i="34"/>
  <c r="AJ128" i="5"/>
  <c r="AJ21" i="16"/>
  <c r="AB778" i="11"/>
  <c r="AI115" i="16"/>
  <c r="AI340" i="16" s="1"/>
  <c r="AI53" i="16"/>
  <c r="BK21" i="16" s="1"/>
  <c r="AX4" i="56" s="1"/>
  <c r="AK128" i="5"/>
  <c r="AB356" i="11"/>
  <c r="AC351" i="11" s="1"/>
  <c r="AC356" i="11" s="1"/>
  <c r="AD437" i="11"/>
  <c r="AD778" i="11" s="1"/>
  <c r="AL132" i="16"/>
  <c r="AL134" i="16" s="1"/>
  <c r="AK128" i="16"/>
  <c r="AJ64" i="35"/>
  <c r="AJ63" i="34"/>
  <c r="AL63" i="34" s="1"/>
  <c r="AL24" i="34"/>
  <c r="I24" i="34" s="1"/>
  <c r="K24" i="34" s="1"/>
  <c r="L24" i="34" s="1"/>
  <c r="AJ63" i="16"/>
  <c r="AL63" i="16" s="1"/>
  <c r="AL24" i="16"/>
  <c r="I24" i="16" s="1"/>
  <c r="K24" i="16" s="1"/>
  <c r="L24" i="16" s="1"/>
  <c r="Y809" i="11"/>
  <c r="AI54" i="37"/>
  <c r="BK20" i="37"/>
  <c r="AX3" i="53" s="1"/>
  <c r="AI7" i="37"/>
  <c r="AL132" i="5"/>
  <c r="AL134" i="5" s="1"/>
  <c r="AL63" i="37"/>
  <c r="AL64" i="37" s="1"/>
  <c r="AJ64" i="37"/>
  <c r="AI7" i="36"/>
  <c r="BK20" i="36"/>
  <c r="AX3" i="52" s="1"/>
  <c r="AI54" i="36"/>
  <c r="AJ64" i="36"/>
  <c r="AC273" i="11"/>
  <c r="AL8" i="37"/>
  <c r="AJ63" i="5"/>
  <c r="AL63" i="5" s="1"/>
  <c r="AL24" i="5"/>
  <c r="I24" i="5" s="1"/>
  <c r="K24" i="5" s="1"/>
  <c r="L24" i="5" s="1"/>
  <c r="U884" i="11"/>
  <c r="U812" i="11"/>
  <c r="AK36" i="16"/>
  <c r="AK132" i="16"/>
  <c r="AK134" i="16" s="1"/>
  <c r="AK132" i="5"/>
  <c r="AK134" i="5" s="1"/>
  <c r="AD254" i="11"/>
  <c r="AD384" i="11" s="1"/>
  <c r="X813" i="11"/>
  <c r="AL91" i="34"/>
  <c r="AL92" i="34" s="1"/>
  <c r="I25" i="34"/>
  <c r="K25" i="34" s="1"/>
  <c r="L25" i="34" s="1"/>
  <c r="AL91" i="16"/>
  <c r="AL92" i="16" s="1"/>
  <c r="I25" i="16"/>
  <c r="K25" i="16" s="1"/>
  <c r="L25" i="16" s="1"/>
  <c r="AV136" i="56"/>
  <c r="AG173" i="16"/>
  <c r="AG110" i="16"/>
  <c r="AG244" i="16" s="1"/>
  <c r="AG48" i="16"/>
  <c r="AG118" i="16" s="1"/>
  <c r="AG388" i="16" s="1"/>
  <c r="AV136" i="26"/>
  <c r="AV4" i="26"/>
  <c r="AV4" i="56"/>
  <c r="AJ67" i="16"/>
  <c r="AE78" i="35"/>
  <c r="AE83" i="35" s="1"/>
  <c r="AF76" i="35" s="1"/>
  <c r="AF78" i="35" s="1"/>
  <c r="AG84" i="35"/>
  <c r="Z619" i="11"/>
  <c r="Z628" i="11" s="1"/>
  <c r="Z881" i="11" s="1"/>
  <c r="AD337" i="11"/>
  <c r="AD338" i="11" s="1"/>
  <c r="AC282" i="11"/>
  <c r="AC84" i="38"/>
  <c r="V622" i="11"/>
  <c r="V624" i="11" s="1"/>
  <c r="U633" i="11"/>
  <c r="AC84" i="16" s="1"/>
  <c r="S190" i="11"/>
  <c r="AL115" i="37"/>
  <c r="I67" i="37"/>
  <c r="K67" i="37" s="1"/>
  <c r="L67" i="37" s="1"/>
  <c r="AL72" i="37"/>
  <c r="AL28" i="37"/>
  <c r="AK64" i="36"/>
  <c r="AL62" i="36"/>
  <c r="AL64" i="36" s="1"/>
  <c r="AU3" i="56"/>
  <c r="AU3" i="26"/>
  <c r="AK81" i="38"/>
  <c r="AK82" i="38" s="1"/>
  <c r="AK20" i="38"/>
  <c r="AJ62" i="38"/>
  <c r="AJ64" i="38" s="1"/>
  <c r="AJ8" i="38"/>
  <c r="I19" i="5"/>
  <c r="K19" i="5" s="1"/>
  <c r="L19" i="5" s="1"/>
  <c r="I36" i="38"/>
  <c r="K36" i="38" s="1"/>
  <c r="L36" i="38" s="1"/>
  <c r="AL47" i="38"/>
  <c r="F143" i="54" s="1"/>
  <c r="AC338" i="11"/>
  <c r="AK81" i="39"/>
  <c r="AK82" i="39" s="1"/>
  <c r="AK20" i="39"/>
  <c r="AJ28" i="34"/>
  <c r="AY136" i="50" s="1"/>
  <c r="AJ72" i="34"/>
  <c r="AJ53" i="34"/>
  <c r="AJ115" i="34"/>
  <c r="AJ340" i="34" s="1"/>
  <c r="AX141" i="56"/>
  <c r="AX141" i="52"/>
  <c r="AX141" i="51"/>
  <c r="AX141" i="54"/>
  <c r="AX141" i="53"/>
  <c r="AX141" i="26"/>
  <c r="AI173" i="5"/>
  <c r="AI110" i="5"/>
  <c r="AI244" i="5" s="1"/>
  <c r="AX141" i="50"/>
  <c r="AI48" i="5"/>
  <c r="AI118" i="5" s="1"/>
  <c r="AI388" i="5" s="1"/>
  <c r="AX141" i="55"/>
  <c r="AK172" i="38"/>
  <c r="AK111" i="38"/>
  <c r="AK270" i="38" s="1"/>
  <c r="AK47" i="39"/>
  <c r="AZ137" i="55" s="1"/>
  <c r="AL36" i="39"/>
  <c r="F141" i="55" s="1"/>
  <c r="AI110" i="38"/>
  <c r="AI244" i="38" s="1"/>
  <c r="AI173" i="38"/>
  <c r="AI48" i="38"/>
  <c r="I19" i="16"/>
  <c r="K19" i="16" s="1"/>
  <c r="L19" i="16" s="1"/>
  <c r="AL80" i="16"/>
  <c r="AW138" i="56"/>
  <c r="AH73" i="16"/>
  <c r="AH51" i="16"/>
  <c r="AH171" i="16"/>
  <c r="AW138" i="26"/>
  <c r="AH113" i="16"/>
  <c r="AH317" i="16" s="1"/>
  <c r="AH114" i="16"/>
  <c r="AH54" i="39"/>
  <c r="BJ20" i="39"/>
  <c r="AW3" i="55" s="1"/>
  <c r="AH7" i="39"/>
  <c r="AJ51" i="35"/>
  <c r="AJ73" i="35"/>
  <c r="AJ171" i="35"/>
  <c r="AJ113" i="35"/>
  <c r="AJ317" i="35" s="1"/>
  <c r="AJ114" i="35"/>
  <c r="AG54" i="5"/>
  <c r="AE12" i="6" s="1"/>
  <c r="AG7" i="5"/>
  <c r="AI173" i="34"/>
  <c r="AI48" i="34"/>
  <c r="AI110" i="34"/>
  <c r="AI244" i="34" s="1"/>
  <c r="AD272" i="11"/>
  <c r="AH113" i="38"/>
  <c r="AH317" i="38" s="1"/>
  <c r="AH73" i="38"/>
  <c r="AH114" i="38"/>
  <c r="AH51" i="38"/>
  <c r="AH171" i="38"/>
  <c r="BK20" i="39"/>
  <c r="AX3" i="55" s="1"/>
  <c r="AI54" i="39"/>
  <c r="AI7" i="39"/>
  <c r="BM21" i="37"/>
  <c r="AZ4" i="53" s="1"/>
  <c r="AL53" i="37"/>
  <c r="AD346" i="11"/>
  <c r="AC283" i="11"/>
  <c r="AK115" i="36"/>
  <c r="AK340" i="36" s="1"/>
  <c r="AK28" i="36"/>
  <c r="AZ136" i="52" s="1"/>
  <c r="AK72" i="36"/>
  <c r="AK53" i="36"/>
  <c r="AL67" i="36"/>
  <c r="F150" i="52" s="1"/>
  <c r="BI20" i="38"/>
  <c r="AV3" i="54" s="1"/>
  <c r="AG7" i="38"/>
  <c r="AG54" i="38"/>
  <c r="AL80" i="34"/>
  <c r="I19" i="34"/>
  <c r="K19" i="34" s="1"/>
  <c r="L19" i="34" s="1"/>
  <c r="AJ72" i="5"/>
  <c r="AJ67" i="5"/>
  <c r="AK67" i="35"/>
  <c r="AD279" i="11"/>
  <c r="BL21" i="39"/>
  <c r="AY4" i="55" s="1"/>
  <c r="AK173" i="37"/>
  <c r="AK48" i="37"/>
  <c r="AZ138" i="53" s="1"/>
  <c r="AK110" i="37"/>
  <c r="AK244" i="37" s="1"/>
  <c r="AD757" i="11"/>
  <c r="AD866" i="11" s="1"/>
  <c r="AL128" i="38"/>
  <c r="I21" i="37"/>
  <c r="K21" i="37" s="1"/>
  <c r="L21" i="37" s="1"/>
  <c r="AL81" i="37"/>
  <c r="AL82" i="37" s="1"/>
  <c r="AL104" i="37"/>
  <c r="I36" i="35"/>
  <c r="K36" i="35" s="1"/>
  <c r="L36" i="35" s="1"/>
  <c r="AL47" i="35"/>
  <c r="G36" i="35" s="1"/>
  <c r="AC759" i="11"/>
  <c r="AC868" i="11" s="1"/>
  <c r="AK128" i="34"/>
  <c r="AK21" i="34"/>
  <c r="AK21" i="5"/>
  <c r="AK20" i="5" s="1"/>
  <c r="AJ8" i="39"/>
  <c r="AJ62" i="39"/>
  <c r="AJ64" i="39" s="1"/>
  <c r="AD365" i="11"/>
  <c r="AD375" i="11" s="1"/>
  <c r="AK62" i="35"/>
  <c r="AK8" i="35"/>
  <c r="AL20" i="35"/>
  <c r="AI7" i="35"/>
  <c r="AI54" i="35"/>
  <c r="BK20" i="35"/>
  <c r="AX3" i="51" s="1"/>
  <c r="AW141" i="56"/>
  <c r="AW141" i="54"/>
  <c r="AH173" i="5"/>
  <c r="AW141" i="50"/>
  <c r="AH110" i="5"/>
  <c r="AH244" i="5" s="1"/>
  <c r="AW141" i="55"/>
  <c r="AW141" i="26"/>
  <c r="AW141" i="51"/>
  <c r="AW141" i="52"/>
  <c r="AW141" i="53"/>
  <c r="AH48" i="5"/>
  <c r="AH118" i="5" s="1"/>
  <c r="AH388" i="5" s="1"/>
  <c r="AK111" i="35"/>
  <c r="AK270" i="35" s="1"/>
  <c r="AK172" i="35"/>
  <c r="AJ72" i="38"/>
  <c r="AJ53" i="38"/>
  <c r="AJ115" i="38"/>
  <c r="AJ340" i="38" s="1"/>
  <c r="AJ28" i="38"/>
  <c r="AY136" i="54" s="1"/>
  <c r="AJ110" i="39"/>
  <c r="AJ244" i="39" s="1"/>
  <c r="AJ48" i="39"/>
  <c r="AY138" i="55" s="1"/>
  <c r="AJ173" i="39"/>
  <c r="AF378" i="11"/>
  <c r="AD383" i="11"/>
  <c r="AF383" i="11" s="1"/>
  <c r="I20" i="36"/>
  <c r="K20" i="36" s="1"/>
  <c r="L20" i="36" s="1"/>
  <c r="AL8" i="36"/>
  <c r="E8" i="36"/>
  <c r="AL21" i="36"/>
  <c r="AJ54" i="37"/>
  <c r="BL20" i="37"/>
  <c r="AY3" i="53" s="1"/>
  <c r="AJ7" i="37"/>
  <c r="AK132" i="34"/>
  <c r="AK134" i="34" s="1"/>
  <c r="AK36" i="34"/>
  <c r="AK36" i="5"/>
  <c r="AJ73" i="36"/>
  <c r="AJ51" i="36"/>
  <c r="AJ113" i="36"/>
  <c r="AJ317" i="36" s="1"/>
  <c r="AJ114" i="36"/>
  <c r="AJ171" i="36"/>
  <c r="I19" i="39"/>
  <c r="K19" i="39" s="1"/>
  <c r="L19" i="39" s="1"/>
  <c r="AL80" i="39"/>
  <c r="AK67" i="5"/>
  <c r="AK72" i="5"/>
  <c r="AF84" i="39"/>
  <c r="Y623" i="11"/>
  <c r="Y632" i="11" s="1"/>
  <c r="Y885" i="11" s="1"/>
  <c r="AD355" i="11"/>
  <c r="AD356" i="11" s="1"/>
  <c r="AC284" i="11"/>
  <c r="AK67" i="34" s="1"/>
  <c r="AG113" i="34"/>
  <c r="AG317" i="34" s="1"/>
  <c r="AG171" i="34"/>
  <c r="AH113" i="34"/>
  <c r="AH317" i="34" s="1"/>
  <c r="AH73" i="34"/>
  <c r="AH51" i="34"/>
  <c r="AH114" i="34"/>
  <c r="AH171" i="34"/>
  <c r="AK20" i="16"/>
  <c r="AK81" i="16"/>
  <c r="AK82" i="16" s="1"/>
  <c r="I19" i="38"/>
  <c r="K19" i="38" s="1"/>
  <c r="L19" i="38" s="1"/>
  <c r="AL80" i="38"/>
  <c r="AW4" i="56"/>
  <c r="AW4" i="26"/>
  <c r="AD758" i="11"/>
  <c r="AD867" i="11" s="1"/>
  <c r="AL128" i="39"/>
  <c r="AE83" i="37" l="1"/>
  <c r="AF76" i="37" s="1"/>
  <c r="AF78" i="37" s="1"/>
  <c r="AB78" i="34"/>
  <c r="C323" i="11"/>
  <c r="B99" i="8"/>
  <c r="AF77" i="37"/>
  <c r="AD83" i="36"/>
  <c r="AE76" i="36" s="1"/>
  <c r="AE78" i="36" s="1"/>
  <c r="Y882" i="11"/>
  <c r="AG84" i="36"/>
  <c r="Z620" i="11"/>
  <c r="Z629" i="11" s="1"/>
  <c r="Y810" i="11"/>
  <c r="Y883" i="11"/>
  <c r="AG84" i="37"/>
  <c r="Z621" i="11"/>
  <c r="Z630" i="11" s="1"/>
  <c r="Z811" i="11" s="1"/>
  <c r="AD759" i="11"/>
  <c r="AD868" i="11" s="1"/>
  <c r="AE52" i="6"/>
  <c r="AE17" i="6"/>
  <c r="W138" i="24" s="1"/>
  <c r="AJ28" i="16"/>
  <c r="AY136" i="56" s="1"/>
  <c r="AD266" i="11"/>
  <c r="AG114" i="34"/>
  <c r="AG51" i="34"/>
  <c r="AG54" i="34" s="1"/>
  <c r="AL128" i="34"/>
  <c r="F143" i="51"/>
  <c r="AI118" i="34"/>
  <c r="AI388" i="34" s="1"/>
  <c r="AX138" i="50"/>
  <c r="AG118" i="34"/>
  <c r="AG388" i="34" s="1"/>
  <c r="AV138" i="50"/>
  <c r="AV139" i="50" s="1"/>
  <c r="AI110" i="16"/>
  <c r="AI244" i="16" s="1"/>
  <c r="AX136" i="56"/>
  <c r="AI118" i="38"/>
  <c r="AI388" i="38" s="1"/>
  <c r="AX138" i="54"/>
  <c r="AI173" i="16"/>
  <c r="I53" i="37"/>
  <c r="K53" i="37" s="1"/>
  <c r="L53" i="37" s="1"/>
  <c r="E183" i="53"/>
  <c r="G21" i="37"/>
  <c r="F136" i="53"/>
  <c r="AI48" i="16"/>
  <c r="AI118" i="16" s="1"/>
  <c r="AI388" i="16" s="1"/>
  <c r="AX136" i="26"/>
  <c r="AX4" i="26"/>
  <c r="AB83" i="16"/>
  <c r="AC76" i="16" s="1"/>
  <c r="AC78" i="16" s="1"/>
  <c r="AJ115" i="16"/>
  <c r="AJ340" i="16" s="1"/>
  <c r="AJ72" i="16"/>
  <c r="AF77" i="35"/>
  <c r="AF83" i="35" s="1"/>
  <c r="AG76" i="35" s="1"/>
  <c r="AG77" i="35" s="1"/>
  <c r="AE77" i="39"/>
  <c r="AE83" i="39" s="1"/>
  <c r="AF76" i="39" s="1"/>
  <c r="AF77" i="39" s="1"/>
  <c r="AJ104" i="16"/>
  <c r="AJ196" i="16" s="1"/>
  <c r="AJ81" i="16"/>
  <c r="AJ82" i="16" s="1"/>
  <c r="AJ20" i="16"/>
  <c r="AJ81" i="34"/>
  <c r="AJ82" i="34" s="1"/>
  <c r="AJ104" i="34"/>
  <c r="AJ196" i="34" s="1"/>
  <c r="AJ20" i="34"/>
  <c r="AJ20" i="5"/>
  <c r="AL20" i="5" s="1"/>
  <c r="AJ104" i="5"/>
  <c r="AJ196" i="5" s="1"/>
  <c r="AL128" i="5"/>
  <c r="Z809" i="11"/>
  <c r="AL128" i="16"/>
  <c r="V631" i="11"/>
  <c r="V884" i="11" s="1"/>
  <c r="AJ53" i="16"/>
  <c r="BL21" i="16" s="1"/>
  <c r="AY4" i="26" s="1"/>
  <c r="U886" i="11"/>
  <c r="U814" i="11"/>
  <c r="Y813" i="11"/>
  <c r="AK47" i="16"/>
  <c r="AL36" i="16"/>
  <c r="AV139" i="52"/>
  <c r="AG171" i="16"/>
  <c r="AV139" i="53"/>
  <c r="AV138" i="56"/>
  <c r="AV139" i="56" s="1"/>
  <c r="AV139" i="54"/>
  <c r="AG114" i="16"/>
  <c r="AV139" i="55"/>
  <c r="AG113" i="16"/>
  <c r="AG317" i="16" s="1"/>
  <c r="AV138" i="26"/>
  <c r="AV139" i="26" s="1"/>
  <c r="AG51" i="16"/>
  <c r="AV139" i="51"/>
  <c r="AG73" i="16"/>
  <c r="AW139" i="51"/>
  <c r="AH84" i="35"/>
  <c r="AA619" i="11"/>
  <c r="AK28" i="34"/>
  <c r="AZ136" i="50" s="1"/>
  <c r="AK115" i="34"/>
  <c r="AK340" i="34" s="1"/>
  <c r="AK53" i="34"/>
  <c r="BM21" i="34" s="1"/>
  <c r="AZ4" i="50" s="1"/>
  <c r="AK72" i="34"/>
  <c r="AK20" i="34"/>
  <c r="AK81" i="34"/>
  <c r="AK82" i="34" s="1"/>
  <c r="E8" i="35"/>
  <c r="I20" i="35"/>
  <c r="K20" i="35" s="1"/>
  <c r="L20" i="35" s="1"/>
  <c r="AL8" i="35"/>
  <c r="AL21" i="35"/>
  <c r="AJ7" i="36"/>
  <c r="BL20" i="36"/>
  <c r="AY3" i="52" s="1"/>
  <c r="AJ54" i="36"/>
  <c r="AK64" i="35"/>
  <c r="AL62" i="35"/>
  <c r="AL64" i="35" s="1"/>
  <c r="AL67" i="34"/>
  <c r="F150" i="50" s="1"/>
  <c r="AX143" i="56"/>
  <c r="AI142" i="39"/>
  <c r="AX143" i="53"/>
  <c r="AI142" i="38"/>
  <c r="AI51" i="5"/>
  <c r="AX143" i="54"/>
  <c r="AI142" i="36"/>
  <c r="AI142" i="37"/>
  <c r="AI113" i="5"/>
  <c r="AI317" i="5" s="1"/>
  <c r="AX143" i="26"/>
  <c r="AI142" i="35"/>
  <c r="AI73" i="5"/>
  <c r="AX143" i="50"/>
  <c r="AI142" i="5"/>
  <c r="AX143" i="55"/>
  <c r="AI142" i="34"/>
  <c r="AI142" i="16"/>
  <c r="AI171" i="5"/>
  <c r="AX143" i="51"/>
  <c r="AI114" i="5"/>
  <c r="AX143" i="52"/>
  <c r="AC77" i="38"/>
  <c r="AC78" i="38"/>
  <c r="AK67" i="39"/>
  <c r="AD283" i="11"/>
  <c r="AG84" i="39"/>
  <c r="Z623" i="11"/>
  <c r="Z632" i="11" s="1"/>
  <c r="AJ51" i="39"/>
  <c r="AJ171" i="39"/>
  <c r="AJ114" i="39"/>
  <c r="AJ73" i="39"/>
  <c r="AJ113" i="39"/>
  <c r="AJ317" i="39" s="1"/>
  <c r="G42" i="35"/>
  <c r="AL111" i="35"/>
  <c r="G40" i="35"/>
  <c r="I47" i="35"/>
  <c r="K47" i="35" s="1"/>
  <c r="L47" i="35" s="1"/>
  <c r="G39" i="35"/>
  <c r="G47" i="35"/>
  <c r="G44" i="35"/>
  <c r="G45" i="35"/>
  <c r="G38" i="35"/>
  <c r="G37" i="35"/>
  <c r="G32" i="35"/>
  <c r="G35" i="35"/>
  <c r="G41" i="35"/>
  <c r="G33" i="35"/>
  <c r="G43" i="35"/>
  <c r="G31" i="35"/>
  <c r="G34" i="35"/>
  <c r="G46" i="35"/>
  <c r="AD347" i="11"/>
  <c r="AD348" i="11"/>
  <c r="AI113" i="34"/>
  <c r="AI317" i="34" s="1"/>
  <c r="AI51" i="34"/>
  <c r="AI114" i="34"/>
  <c r="AI171" i="34"/>
  <c r="AI73" i="34"/>
  <c r="AB83" i="34"/>
  <c r="AC76" i="34" s="1"/>
  <c r="AL111" i="38"/>
  <c r="G40" i="38"/>
  <c r="I47" i="38"/>
  <c r="K47" i="38" s="1"/>
  <c r="L47" i="38" s="1"/>
  <c r="G39" i="38"/>
  <c r="G47" i="38"/>
  <c r="G45" i="38"/>
  <c r="G38" i="38"/>
  <c r="G42" i="38"/>
  <c r="G44" i="38"/>
  <c r="G37" i="38"/>
  <c r="G41" i="38"/>
  <c r="G32" i="38"/>
  <c r="G35" i="38"/>
  <c r="G33" i="38"/>
  <c r="G43" i="38"/>
  <c r="G34" i="38"/>
  <c r="G31" i="38"/>
  <c r="G46" i="38"/>
  <c r="AH54" i="38"/>
  <c r="BJ20" i="38"/>
  <c r="AW3" i="54" s="1"/>
  <c r="AH7" i="38"/>
  <c r="AD84" i="38"/>
  <c r="AL81" i="36"/>
  <c r="AL82" i="36" s="1"/>
  <c r="I21" i="36"/>
  <c r="K21" i="36" s="1"/>
  <c r="L21" i="36" s="1"/>
  <c r="AL104" i="36"/>
  <c r="AK53" i="35"/>
  <c r="AK72" i="35"/>
  <c r="AK115" i="35"/>
  <c r="AK340" i="35" s="1"/>
  <c r="AK28" i="35"/>
  <c r="AZ136" i="51" s="1"/>
  <c r="AL67" i="35"/>
  <c r="F150" i="51" s="1"/>
  <c r="AL72" i="36"/>
  <c r="AL28" i="36"/>
  <c r="I67" i="36"/>
  <c r="K67" i="36" s="1"/>
  <c r="L67" i="36" s="1"/>
  <c r="AL115" i="36"/>
  <c r="AJ54" i="35"/>
  <c r="BL20" i="35"/>
  <c r="AY3" i="51" s="1"/>
  <c r="AJ7" i="35"/>
  <c r="I36" i="39"/>
  <c r="K36" i="39" s="1"/>
  <c r="L36" i="39" s="1"/>
  <c r="AL47" i="39"/>
  <c r="BL21" i="34"/>
  <c r="AY4" i="50" s="1"/>
  <c r="G36" i="38"/>
  <c r="AK62" i="38"/>
  <c r="AK8" i="38"/>
  <c r="AL20" i="38"/>
  <c r="S877" i="11"/>
  <c r="S832" i="11"/>
  <c r="AA89" i="39"/>
  <c r="AA87" i="39" s="1"/>
  <c r="AA89" i="38"/>
  <c r="AA87" i="38" s="1"/>
  <c r="AA89" i="37"/>
  <c r="AA87" i="37" s="1"/>
  <c r="AA89" i="36"/>
  <c r="AA87" i="36" s="1"/>
  <c r="AA89" i="35"/>
  <c r="AA87" i="35" s="1"/>
  <c r="AA89" i="16"/>
  <c r="AA87" i="16" s="1"/>
  <c r="AA89" i="34"/>
  <c r="AA127" i="5"/>
  <c r="AA130" i="5" s="1"/>
  <c r="AA136" i="5" s="1"/>
  <c r="AA140" i="5" s="1"/>
  <c r="AA127" i="39"/>
  <c r="AA127" i="38"/>
  <c r="AA127" i="16"/>
  <c r="AA127" i="37"/>
  <c r="AA127" i="36"/>
  <c r="AA127" i="34"/>
  <c r="AA127" i="35"/>
  <c r="BJ20" i="34"/>
  <c r="AW3" i="50" s="1"/>
  <c r="AH7" i="34"/>
  <c r="AH54" i="34"/>
  <c r="AK47" i="5"/>
  <c r="AL36" i="5"/>
  <c r="AX36" i="5"/>
  <c r="AL72" i="5"/>
  <c r="AK47" i="34"/>
  <c r="AZ137" i="50" s="1"/>
  <c r="AL36" i="34"/>
  <c r="F141" i="50" s="1"/>
  <c r="AK8" i="5"/>
  <c r="AK62" i="5"/>
  <c r="AJ115" i="5"/>
  <c r="AJ340" i="5" s="1"/>
  <c r="AJ6" i="5"/>
  <c r="AJ53" i="5"/>
  <c r="AJ28" i="5"/>
  <c r="AL67" i="5"/>
  <c r="BM21" i="36"/>
  <c r="AZ4" i="52" s="1"/>
  <c r="AL53" i="36"/>
  <c r="AX139" i="51"/>
  <c r="AX139" i="52"/>
  <c r="BJ20" i="16"/>
  <c r="AH7" i="16"/>
  <c r="Z7" i="11" s="1"/>
  <c r="AH54" i="16"/>
  <c r="AK172" i="39"/>
  <c r="AK111" i="39"/>
  <c r="AK270" i="39" s="1"/>
  <c r="S191" i="11"/>
  <c r="AD273" i="11"/>
  <c r="AD275" i="11"/>
  <c r="AD276" i="11" s="1"/>
  <c r="AI114" i="38"/>
  <c r="AI171" i="38"/>
  <c r="AI51" i="38"/>
  <c r="AI73" i="38"/>
  <c r="AI113" i="38"/>
  <c r="AI317" i="38" s="1"/>
  <c r="AJ48" i="34"/>
  <c r="AY138" i="50" s="1"/>
  <c r="AJ110" i="34"/>
  <c r="AJ244" i="34" s="1"/>
  <c r="AJ173" i="34"/>
  <c r="AC84" i="34"/>
  <c r="AK67" i="16"/>
  <c r="AK67" i="38"/>
  <c r="AD282" i="11"/>
  <c r="AJ173" i="38"/>
  <c r="AJ48" i="38"/>
  <c r="AY138" i="54" s="1"/>
  <c r="AJ110" i="38"/>
  <c r="AJ244" i="38" s="1"/>
  <c r="AW143" i="56"/>
  <c r="AW144" i="56" s="1"/>
  <c r="AH142" i="37"/>
  <c r="AH142" i="36"/>
  <c r="AH113" i="5"/>
  <c r="AH317" i="5" s="1"/>
  <c r="AW143" i="26"/>
  <c r="AW144" i="26" s="1"/>
  <c r="AH142" i="5"/>
  <c r="AH142" i="34"/>
  <c r="AH73" i="5"/>
  <c r="AW143" i="50"/>
  <c r="AW144" i="50" s="1"/>
  <c r="AH142" i="35"/>
  <c r="AH171" i="5"/>
  <c r="AW143" i="54"/>
  <c r="AW144" i="54" s="1"/>
  <c r="AW143" i="52"/>
  <c r="AW144" i="52" s="1"/>
  <c r="AH114" i="5"/>
  <c r="AW143" i="53"/>
  <c r="AW144" i="53" s="1"/>
  <c r="AH142" i="16"/>
  <c r="AH142" i="39"/>
  <c r="AH51" i="5"/>
  <c r="AW143" i="55"/>
  <c r="AW144" i="55" s="1"/>
  <c r="AH142" i="38"/>
  <c r="AW143" i="51"/>
  <c r="AW144" i="51" s="1"/>
  <c r="AK62" i="39"/>
  <c r="AK8" i="39"/>
  <c r="AL20" i="39"/>
  <c r="AK115" i="5"/>
  <c r="AK340" i="5" s="1"/>
  <c r="AK6" i="5"/>
  <c r="AK28" i="5"/>
  <c r="AK53" i="5"/>
  <c r="AK8" i="16"/>
  <c r="AC8" i="11" s="1"/>
  <c r="AK62" i="16"/>
  <c r="AL20" i="16"/>
  <c r="AK171" i="37"/>
  <c r="AK113" i="37"/>
  <c r="AK317" i="37" s="1"/>
  <c r="AK114" i="37"/>
  <c r="AK51" i="37"/>
  <c r="AK73" i="37"/>
  <c r="AK48" i="36"/>
  <c r="AZ138" i="52" s="1"/>
  <c r="AK173" i="36"/>
  <c r="AK110" i="36"/>
  <c r="AK244" i="36" s="1"/>
  <c r="BL21" i="38"/>
  <c r="AY4" i="54" s="1"/>
  <c r="G67" i="37"/>
  <c r="AL110" i="37"/>
  <c r="G25" i="37"/>
  <c r="AL48" i="37"/>
  <c r="I28" i="37"/>
  <c r="K28" i="37" s="1"/>
  <c r="L28" i="37" s="1"/>
  <c r="G28" i="37"/>
  <c r="AF83" i="37" l="1"/>
  <c r="AG76" i="37" s="1"/>
  <c r="AE77" i="36"/>
  <c r="AE83" i="36" s="1"/>
  <c r="AF76" i="36" s="1"/>
  <c r="AF77" i="36" s="1"/>
  <c r="B100" i="8"/>
  <c r="C332" i="11"/>
  <c r="AG78" i="37"/>
  <c r="Z882" i="11"/>
  <c r="Z810" i="11"/>
  <c r="AH84" i="36"/>
  <c r="AA620" i="11"/>
  <c r="AA629" i="11" s="1"/>
  <c r="AJ173" i="16"/>
  <c r="AJ48" i="16"/>
  <c r="AY136" i="26"/>
  <c r="Z883" i="11"/>
  <c r="AA621" i="11"/>
  <c r="AA630" i="11" s="1"/>
  <c r="AH84" i="37"/>
  <c r="AA811" i="11"/>
  <c r="AJ110" i="16"/>
  <c r="AJ244" i="16" s="1"/>
  <c r="AG77" i="37"/>
  <c r="AG7" i="34"/>
  <c r="BI20" i="34"/>
  <c r="AV3" i="50" s="1"/>
  <c r="W622" i="11"/>
  <c r="W624" i="11" s="1"/>
  <c r="V633" i="11"/>
  <c r="V886" i="11" s="1"/>
  <c r="AI51" i="16"/>
  <c r="AI54" i="16" s="1"/>
  <c r="AI114" i="16"/>
  <c r="G36" i="39"/>
  <c r="F143" i="55"/>
  <c r="AI171" i="16"/>
  <c r="AX138" i="26"/>
  <c r="AX139" i="26" s="1"/>
  <c r="AX138" i="56"/>
  <c r="AX139" i="56" s="1"/>
  <c r="AX139" i="50"/>
  <c r="AI73" i="16"/>
  <c r="AI113" i="16"/>
  <c r="AI317" i="16" s="1"/>
  <c r="AC77" i="16"/>
  <c r="AC83" i="16" s="1"/>
  <c r="AD76" i="16" s="1"/>
  <c r="G67" i="36"/>
  <c r="F136" i="52"/>
  <c r="I53" i="36"/>
  <c r="K53" i="36" s="1"/>
  <c r="L53" i="36" s="1"/>
  <c r="E183" i="52"/>
  <c r="AX139" i="53"/>
  <c r="AW139" i="26"/>
  <c r="AW139" i="50"/>
  <c r="AJ8" i="5"/>
  <c r="AJ62" i="5"/>
  <c r="AJ64" i="5" s="1"/>
  <c r="AX139" i="54"/>
  <c r="AJ62" i="16"/>
  <c r="AJ64" i="16" s="1"/>
  <c r="AJ8" i="16"/>
  <c r="AB8" i="11" s="1"/>
  <c r="AJ62" i="34"/>
  <c r="AJ64" i="34" s="1"/>
  <c r="AJ8" i="34"/>
  <c r="V812" i="11"/>
  <c r="AF78" i="39"/>
  <c r="AF83" i="39" s="1"/>
  <c r="AG76" i="39" s="1"/>
  <c r="AG78" i="39" s="1"/>
  <c r="AX139" i="55"/>
  <c r="AW139" i="55"/>
  <c r="Z885" i="11"/>
  <c r="Z813" i="11"/>
  <c r="AY4" i="56"/>
  <c r="AW139" i="52"/>
  <c r="AD84" i="16"/>
  <c r="I36" i="16"/>
  <c r="K36" i="16" s="1"/>
  <c r="L36" i="16" s="1"/>
  <c r="F141" i="26"/>
  <c r="F149" i="26" s="1"/>
  <c r="F149" i="55"/>
  <c r="F149" i="50"/>
  <c r="F149" i="52"/>
  <c r="F149" i="53"/>
  <c r="AL47" i="16"/>
  <c r="F149" i="51"/>
  <c r="F141" i="56"/>
  <c r="F149" i="56" s="1"/>
  <c r="F149" i="54"/>
  <c r="AW139" i="56"/>
  <c r="AZ137" i="26"/>
  <c r="AK111" i="16"/>
  <c r="AK270" i="16" s="1"/>
  <c r="AK172" i="16"/>
  <c r="AZ137" i="56"/>
  <c r="V814" i="11"/>
  <c r="AW139" i="54"/>
  <c r="AG7" i="16"/>
  <c r="Y7" i="11" s="1"/>
  <c r="BI20" i="16"/>
  <c r="AG54" i="16"/>
  <c r="AW139" i="53"/>
  <c r="AC78" i="34"/>
  <c r="AG78" i="35"/>
  <c r="AG83" i="35" s="1"/>
  <c r="AH76" i="35" s="1"/>
  <c r="AH78" i="35" s="1"/>
  <c r="AX144" i="56"/>
  <c r="AL53" i="5"/>
  <c r="I53" i="5" s="1"/>
  <c r="K53" i="5" s="1"/>
  <c r="L53" i="5" s="1"/>
  <c r="AC83" i="38"/>
  <c r="AD76" i="38" s="1"/>
  <c r="AD78" i="38" s="1"/>
  <c r="AX144" i="54"/>
  <c r="AL53" i="34"/>
  <c r="AD284" i="11"/>
  <c r="AK115" i="38"/>
  <c r="AK340" i="38" s="1"/>
  <c r="AK72" i="38"/>
  <c r="AK53" i="38"/>
  <c r="AK28" i="38"/>
  <c r="AZ136" i="54" s="1"/>
  <c r="AL67" i="38"/>
  <c r="F150" i="54" s="1"/>
  <c r="AA95" i="37"/>
  <c r="AA96" i="37" s="1"/>
  <c r="AA95" i="36"/>
  <c r="AA96" i="36" s="1"/>
  <c r="AA9" i="34"/>
  <c r="AA95" i="38"/>
  <c r="AA96" i="38" s="1"/>
  <c r="AA9" i="5"/>
  <c r="AA9" i="37"/>
  <c r="AA95" i="34"/>
  <c r="AA96" i="34" s="1"/>
  <c r="T187" i="11"/>
  <c r="AA9" i="39"/>
  <c r="AA9" i="35"/>
  <c r="S9" i="11"/>
  <c r="AA9" i="16"/>
  <c r="AA9" i="36"/>
  <c r="AA9" i="38"/>
  <c r="AA95" i="39"/>
  <c r="AA96" i="39" s="1"/>
  <c r="AA95" i="16"/>
  <c r="AA96" i="16" s="1"/>
  <c r="AA95" i="35"/>
  <c r="AA96" i="35" s="1"/>
  <c r="AA97" i="36"/>
  <c r="AA93" i="36"/>
  <c r="AB86" i="36" s="1"/>
  <c r="AK171" i="36"/>
  <c r="AK114" i="36"/>
  <c r="AK73" i="36"/>
  <c r="AK113" i="36"/>
  <c r="AK317" i="36" s="1"/>
  <c r="AK51" i="36"/>
  <c r="AL21" i="16"/>
  <c r="E8" i="11"/>
  <c r="AL8" i="16"/>
  <c r="E8" i="16"/>
  <c r="I20" i="16"/>
  <c r="K20" i="16" s="1"/>
  <c r="L20" i="16" s="1"/>
  <c r="AK28" i="16"/>
  <c r="AK115" i="16"/>
  <c r="AK340" i="16" s="1"/>
  <c r="AK72" i="16"/>
  <c r="AK53" i="16"/>
  <c r="AL67" i="16"/>
  <c r="AI54" i="38"/>
  <c r="BK20" i="38"/>
  <c r="AX3" i="54" s="1"/>
  <c r="AI7" i="38"/>
  <c r="AI7" i="16"/>
  <c r="AA7" i="11" s="1"/>
  <c r="AA130" i="16"/>
  <c r="AA136" i="16" s="1"/>
  <c r="AA140" i="16" s="1"/>
  <c r="AA6" i="16"/>
  <c r="S6" i="11" s="1"/>
  <c r="AA97" i="37"/>
  <c r="AA93" i="37"/>
  <c r="AB86" i="37" s="1"/>
  <c r="AK173" i="35"/>
  <c r="AK48" i="35"/>
  <c r="AZ138" i="51" s="1"/>
  <c r="AK110" i="35"/>
  <c r="AK244" i="35" s="1"/>
  <c r="AD84" i="34"/>
  <c r="AH84" i="39"/>
  <c r="AA623" i="11"/>
  <c r="AA632" i="11" s="1"/>
  <c r="AX144" i="52"/>
  <c r="AX144" i="50"/>
  <c r="AI54" i="5"/>
  <c r="AG12" i="6" s="1"/>
  <c r="AI7" i="5"/>
  <c r="I48" i="37"/>
  <c r="K48" i="37" s="1"/>
  <c r="L48" i="37" s="1"/>
  <c r="AL114" i="37"/>
  <c r="AL113" i="37"/>
  <c r="AL73" i="37"/>
  <c r="AL7" i="37"/>
  <c r="AK54" i="37"/>
  <c r="BM20" i="37"/>
  <c r="AZ3" i="53" s="1"/>
  <c r="AK7" i="37"/>
  <c r="AL51" i="37"/>
  <c r="E173" i="53" s="1"/>
  <c r="AK64" i="5"/>
  <c r="AZ142" i="56"/>
  <c r="AZ142" i="54"/>
  <c r="AK172" i="5"/>
  <c r="AK111" i="5"/>
  <c r="AK270" i="5" s="1"/>
  <c r="AZ142" i="55"/>
  <c r="AZ142" i="50"/>
  <c r="AZ142" i="52"/>
  <c r="AZ142" i="26"/>
  <c r="AZ142" i="51"/>
  <c r="AZ142" i="53"/>
  <c r="AA130" i="39"/>
  <c r="AA136" i="39" s="1"/>
  <c r="AA140" i="39" s="1"/>
  <c r="AA6" i="39"/>
  <c r="AA97" i="39"/>
  <c r="AA93" i="39"/>
  <c r="AB86" i="39" s="1"/>
  <c r="BK20" i="34"/>
  <c r="AX3" i="50" s="1"/>
  <c r="AI7" i="34"/>
  <c r="AI54" i="34"/>
  <c r="AX144" i="51"/>
  <c r="AX144" i="53"/>
  <c r="AK110" i="34"/>
  <c r="AK244" i="34" s="1"/>
  <c r="AK173" i="34"/>
  <c r="AK48" i="34"/>
  <c r="AZ138" i="50" s="1"/>
  <c r="AD8" i="11"/>
  <c r="AL8" i="5"/>
  <c r="E8" i="5"/>
  <c r="I20" i="5"/>
  <c r="K20" i="5" s="1"/>
  <c r="L20" i="5" s="1"/>
  <c r="AL21" i="5"/>
  <c r="AL28" i="5" s="1"/>
  <c r="AA97" i="38"/>
  <c r="AA93" i="38"/>
  <c r="AB86" i="38" s="1"/>
  <c r="H26" i="56"/>
  <c r="M26" i="56" s="1"/>
  <c r="I20" i="39"/>
  <c r="K20" i="39" s="1"/>
  <c r="L20" i="39" s="1"/>
  <c r="AL8" i="39"/>
  <c r="E8" i="39"/>
  <c r="AL21" i="39"/>
  <c r="G40" i="39"/>
  <c r="I47" i="39"/>
  <c r="K47" i="39" s="1"/>
  <c r="L47" i="39" s="1"/>
  <c r="G39" i="39"/>
  <c r="G47" i="39"/>
  <c r="G45" i="39"/>
  <c r="G38" i="39"/>
  <c r="G42" i="39"/>
  <c r="AL111" i="39"/>
  <c r="G44" i="39"/>
  <c r="G37" i="39"/>
  <c r="G33" i="39"/>
  <c r="G43" i="39"/>
  <c r="G35" i="39"/>
  <c r="G34" i="39"/>
  <c r="G41" i="39"/>
  <c r="G32" i="39"/>
  <c r="G31" i="39"/>
  <c r="G46" i="39"/>
  <c r="BM21" i="35"/>
  <c r="AZ4" i="51" s="1"/>
  <c r="AL53" i="35"/>
  <c r="AX144" i="26"/>
  <c r="AK64" i="16"/>
  <c r="AL62" i="16"/>
  <c r="AL64" i="16" s="1"/>
  <c r="AY138" i="56"/>
  <c r="AY139" i="56" s="1"/>
  <c r="AJ114" i="16"/>
  <c r="AJ51" i="16"/>
  <c r="AY139" i="55"/>
  <c r="AY139" i="51"/>
  <c r="AY139" i="52"/>
  <c r="AJ113" i="16"/>
  <c r="AJ317" i="16" s="1"/>
  <c r="AY139" i="54"/>
  <c r="AJ73" i="16"/>
  <c r="AY139" i="53"/>
  <c r="AY138" i="26"/>
  <c r="AJ171" i="16"/>
  <c r="AA97" i="34"/>
  <c r="AA93" i="34"/>
  <c r="AB86" i="34" s="1"/>
  <c r="AB87" i="34" s="1"/>
  <c r="W631" i="11"/>
  <c r="I36" i="5"/>
  <c r="K36" i="5" s="1"/>
  <c r="L36" i="5" s="1"/>
  <c r="AL47" i="5"/>
  <c r="G36" i="5" s="1"/>
  <c r="AH54" i="5"/>
  <c r="AF12" i="6" s="1"/>
  <c r="AH7" i="5"/>
  <c r="I67" i="5"/>
  <c r="K67" i="5" s="1"/>
  <c r="L67" i="5" s="1"/>
  <c r="AL115" i="5"/>
  <c r="AL6" i="5"/>
  <c r="E6" i="5"/>
  <c r="I36" i="34"/>
  <c r="K36" i="34" s="1"/>
  <c r="L36" i="34" s="1"/>
  <c r="AL47" i="34"/>
  <c r="F143" i="50" s="1"/>
  <c r="AA6" i="35"/>
  <c r="AA130" i="35"/>
  <c r="AA136" i="35" s="1"/>
  <c r="AA140" i="35" s="1"/>
  <c r="AK64" i="39"/>
  <c r="AL62" i="39"/>
  <c r="AL64" i="39" s="1"/>
  <c r="AJ171" i="34"/>
  <c r="AJ114" i="34"/>
  <c r="AJ113" i="34"/>
  <c r="AJ317" i="34" s="1"/>
  <c r="AJ51" i="34"/>
  <c r="AJ73" i="34"/>
  <c r="AY141" i="56"/>
  <c r="AY141" i="26"/>
  <c r="AY141" i="55"/>
  <c r="AJ110" i="5"/>
  <c r="AJ244" i="5" s="1"/>
  <c r="AJ48" i="5"/>
  <c r="AY141" i="50"/>
  <c r="AY141" i="51"/>
  <c r="AJ173" i="5"/>
  <c r="AY141" i="52"/>
  <c r="AY141" i="54"/>
  <c r="AY141" i="53"/>
  <c r="AK172" i="34"/>
  <c r="AK111" i="34"/>
  <c r="AK270" i="34" s="1"/>
  <c r="AA6" i="34"/>
  <c r="AA130" i="34"/>
  <c r="AA136" i="34" s="1"/>
  <c r="AA140" i="34" s="1"/>
  <c r="AA97" i="16"/>
  <c r="AA93" i="16"/>
  <c r="AB86" i="16" s="1"/>
  <c r="I20" i="38"/>
  <c r="K20" i="38" s="1"/>
  <c r="L20" i="38" s="1"/>
  <c r="AL8" i="38"/>
  <c r="E8" i="38"/>
  <c r="AL21" i="38"/>
  <c r="G25" i="36"/>
  <c r="AL48" i="36"/>
  <c r="I28" i="36"/>
  <c r="K28" i="36" s="1"/>
  <c r="L28" i="36" s="1"/>
  <c r="G28" i="36"/>
  <c r="AL110" i="36"/>
  <c r="G21" i="36"/>
  <c r="AJ54" i="39"/>
  <c r="BL20" i="39"/>
  <c r="AY3" i="55" s="1"/>
  <c r="AJ7" i="39"/>
  <c r="I67" i="34"/>
  <c r="K67" i="34" s="1"/>
  <c r="L67" i="34" s="1"/>
  <c r="AL72" i="34"/>
  <c r="AL115" i="34"/>
  <c r="AA628" i="11"/>
  <c r="AA130" i="38"/>
  <c r="AA136" i="38" s="1"/>
  <c r="AA140" i="38" s="1"/>
  <c r="AA6" i="38"/>
  <c r="AZ141" i="56"/>
  <c r="AZ141" i="53"/>
  <c r="AZ141" i="55"/>
  <c r="AZ141" i="26"/>
  <c r="AK110" i="5"/>
  <c r="AK244" i="5" s="1"/>
  <c r="AZ141" i="50"/>
  <c r="AK48" i="5"/>
  <c r="AK173" i="5"/>
  <c r="AZ141" i="51"/>
  <c r="AZ141" i="52"/>
  <c r="AZ141" i="54"/>
  <c r="AW3" i="56"/>
  <c r="AW3" i="26"/>
  <c r="AK115" i="39"/>
  <c r="AK340" i="39" s="1"/>
  <c r="AK28" i="39"/>
  <c r="AZ136" i="55" s="1"/>
  <c r="AK53" i="39"/>
  <c r="AK72" i="39"/>
  <c r="AL67" i="39"/>
  <c r="F150" i="55" s="1"/>
  <c r="AA6" i="36"/>
  <c r="AA130" i="36"/>
  <c r="AA136" i="36" s="1"/>
  <c r="AA140" i="36" s="1"/>
  <c r="AA97" i="35"/>
  <c r="AA93" i="35"/>
  <c r="AB86" i="35" s="1"/>
  <c r="AC77" i="34"/>
  <c r="AX144" i="55"/>
  <c r="AK62" i="34"/>
  <c r="AK8" i="34"/>
  <c r="AL20" i="34"/>
  <c r="AJ51" i="38"/>
  <c r="AJ73" i="38"/>
  <c r="AJ114" i="38"/>
  <c r="AJ113" i="38"/>
  <c r="AJ317" i="38" s="1"/>
  <c r="AJ171" i="38"/>
  <c r="AA130" i="37"/>
  <c r="AA136" i="37" s="1"/>
  <c r="AA140" i="37" s="1"/>
  <c r="AA6" i="37"/>
  <c r="AK64" i="38"/>
  <c r="AL62" i="38"/>
  <c r="AL64" i="38" s="1"/>
  <c r="I67" i="35"/>
  <c r="K67" i="35" s="1"/>
  <c r="L67" i="35" s="1"/>
  <c r="AL72" i="35"/>
  <c r="AL115" i="35"/>
  <c r="AL28" i="35"/>
  <c r="I21" i="35"/>
  <c r="K21" i="35" s="1"/>
  <c r="L21" i="35" s="1"/>
  <c r="AL81" i="35"/>
  <c r="AL82" i="35" s="1"/>
  <c r="AL104" i="35"/>
  <c r="AF78" i="36" l="1"/>
  <c r="BK20" i="16"/>
  <c r="B101" i="8"/>
  <c r="C341" i="11"/>
  <c r="AG83" i="37"/>
  <c r="AH76" i="37" s="1"/>
  <c r="AH78" i="37" s="1"/>
  <c r="AF83" i="36"/>
  <c r="AG76" i="36" s="1"/>
  <c r="AA882" i="11"/>
  <c r="AA810" i="11"/>
  <c r="AB620" i="11"/>
  <c r="AB629" i="11" s="1"/>
  <c r="AI84" i="36"/>
  <c r="AA883" i="11"/>
  <c r="AI84" i="37"/>
  <c r="AB621" i="11"/>
  <c r="AB630" i="11" s="1"/>
  <c r="AL62" i="5"/>
  <c r="AL64" i="5" s="1"/>
  <c r="AY139" i="26"/>
  <c r="AF52" i="6"/>
  <c r="AF17" i="6"/>
  <c r="X138" i="24" s="1"/>
  <c r="AG52" i="6"/>
  <c r="AG17" i="6"/>
  <c r="Y138" i="24" s="1"/>
  <c r="G21" i="35"/>
  <c r="F136" i="51"/>
  <c r="G67" i="35"/>
  <c r="I53" i="35"/>
  <c r="K53" i="35" s="1"/>
  <c r="L53" i="35" s="1"/>
  <c r="E183" i="51"/>
  <c r="AD78" i="16"/>
  <c r="I53" i="34"/>
  <c r="K53" i="34" s="1"/>
  <c r="L53" i="34" s="1"/>
  <c r="E183" i="50"/>
  <c r="AD77" i="16"/>
  <c r="AY139" i="50"/>
  <c r="AH77" i="35"/>
  <c r="AH83" i="35" s="1"/>
  <c r="AI76" i="35" s="1"/>
  <c r="AG77" i="39"/>
  <c r="AG83" i="39" s="1"/>
  <c r="AH76" i="39" s="1"/>
  <c r="AH77" i="39" s="1"/>
  <c r="AA885" i="11"/>
  <c r="AA813" i="11"/>
  <c r="G36" i="16"/>
  <c r="F143" i="56"/>
  <c r="F137" i="56" s="1"/>
  <c r="G31" i="16"/>
  <c r="G40" i="16"/>
  <c r="I47" i="16"/>
  <c r="K47" i="16" s="1"/>
  <c r="L47" i="16" s="1"/>
  <c r="F137" i="50"/>
  <c r="G46" i="16"/>
  <c r="G44" i="16"/>
  <c r="G33" i="16"/>
  <c r="F137" i="55"/>
  <c r="G42" i="16"/>
  <c r="F137" i="51"/>
  <c r="F143" i="26"/>
  <c r="F137" i="26" s="1"/>
  <c r="G35" i="16"/>
  <c r="AL111" i="16"/>
  <c r="G38" i="16"/>
  <c r="G41" i="16"/>
  <c r="G32" i="16"/>
  <c r="G39" i="16"/>
  <c r="G47" i="16"/>
  <c r="G37" i="16"/>
  <c r="F137" i="52"/>
  <c r="G45" i="16"/>
  <c r="G43" i="16"/>
  <c r="G34" i="16"/>
  <c r="F137" i="53"/>
  <c r="F137" i="54"/>
  <c r="AA881" i="11"/>
  <c r="AA809" i="11"/>
  <c r="W884" i="11"/>
  <c r="W812" i="11"/>
  <c r="AV3" i="26"/>
  <c r="AV3" i="56"/>
  <c r="AC83" i="34"/>
  <c r="AD76" i="34" s="1"/>
  <c r="AD77" i="34" s="1"/>
  <c r="AD77" i="38"/>
  <c r="AD83" i="38" s="1"/>
  <c r="AE76" i="38" s="1"/>
  <c r="I47" i="34"/>
  <c r="K47" i="34" s="1"/>
  <c r="L47" i="34" s="1"/>
  <c r="G47" i="34"/>
  <c r="G45" i="34"/>
  <c r="G42" i="34"/>
  <c r="G40" i="34"/>
  <c r="G39" i="34"/>
  <c r="AL111" i="34"/>
  <c r="G38" i="34"/>
  <c r="G44" i="34"/>
  <c r="G37" i="34"/>
  <c r="G34" i="34"/>
  <c r="G32" i="34"/>
  <c r="G31" i="34"/>
  <c r="G35" i="34"/>
  <c r="G41" i="34"/>
  <c r="G33" i="34"/>
  <c r="G43" i="34"/>
  <c r="G46" i="34"/>
  <c r="BM21" i="39"/>
  <c r="AZ4" i="55" s="1"/>
  <c r="AL53" i="39"/>
  <c r="AI84" i="35"/>
  <c r="AB619" i="11"/>
  <c r="AB628" i="11" s="1"/>
  <c r="AB809" i="11" s="1"/>
  <c r="I21" i="38"/>
  <c r="K21" i="38" s="1"/>
  <c r="L21" i="38" s="1"/>
  <c r="AL81" i="38"/>
  <c r="AL82" i="38" s="1"/>
  <c r="AL104" i="38"/>
  <c r="AY143" i="56"/>
  <c r="AY144" i="56" s="1"/>
  <c r="AJ142" i="38"/>
  <c r="AJ142" i="37"/>
  <c r="AY143" i="26"/>
  <c r="AY144" i="26" s="1"/>
  <c r="AJ73" i="5"/>
  <c r="AY143" i="50"/>
  <c r="AY144" i="50" s="1"/>
  <c r="AJ171" i="5"/>
  <c r="AJ142" i="35"/>
  <c r="AJ142" i="5"/>
  <c r="AY143" i="55"/>
  <c r="AY144" i="55" s="1"/>
  <c r="AY143" i="52"/>
  <c r="AY144" i="52" s="1"/>
  <c r="AJ142" i="34"/>
  <c r="AJ142" i="16"/>
  <c r="AY143" i="51"/>
  <c r="AY144" i="51" s="1"/>
  <c r="AJ142" i="39"/>
  <c r="AJ114" i="5"/>
  <c r="AY143" i="54"/>
  <c r="AY144" i="54" s="1"/>
  <c r="AJ51" i="5"/>
  <c r="AY143" i="53"/>
  <c r="AY144" i="53" s="1"/>
  <c r="AJ113" i="5"/>
  <c r="AJ317" i="5" s="1"/>
  <c r="AJ142" i="36"/>
  <c r="G36" i="34"/>
  <c r="AE84" i="38"/>
  <c r="X622" i="11"/>
  <c r="X624" i="11" s="1"/>
  <c r="W633" i="11"/>
  <c r="AE84" i="16" s="1"/>
  <c r="AK171" i="34"/>
  <c r="AK114" i="34"/>
  <c r="AK113" i="34"/>
  <c r="AK317" i="34" s="1"/>
  <c r="AK51" i="34"/>
  <c r="AK73" i="34"/>
  <c r="AL81" i="16"/>
  <c r="AL82" i="16" s="1"/>
  <c r="I21" i="16"/>
  <c r="K21" i="16" s="1"/>
  <c r="L21" i="16" s="1"/>
  <c r="AL104" i="16"/>
  <c r="I21" i="39"/>
  <c r="K21" i="39" s="1"/>
  <c r="L21" i="39" s="1"/>
  <c r="AL81" i="39"/>
  <c r="AL82" i="39" s="1"/>
  <c r="AL104" i="39"/>
  <c r="AK51" i="35"/>
  <c r="AK114" i="35"/>
  <c r="AK73" i="35"/>
  <c r="AK113" i="35"/>
  <c r="AK317" i="35" s="1"/>
  <c r="AK171" i="35"/>
  <c r="AK54" i="36"/>
  <c r="BM20" i="36"/>
  <c r="AZ3" i="52" s="1"/>
  <c r="AK7" i="36"/>
  <c r="AL51" i="36"/>
  <c r="E173" i="52" s="1"/>
  <c r="T190" i="11"/>
  <c r="T191" i="11" s="1"/>
  <c r="AL72" i="38"/>
  <c r="AL115" i="38"/>
  <c r="I67" i="38"/>
  <c r="K67" i="38" s="1"/>
  <c r="L67" i="38" s="1"/>
  <c r="AL28" i="38"/>
  <c r="AJ54" i="38"/>
  <c r="BL20" i="38"/>
  <c r="AY3" i="54" s="1"/>
  <c r="AJ7" i="38"/>
  <c r="G67" i="5"/>
  <c r="G25" i="5"/>
  <c r="AL110" i="5"/>
  <c r="AL48" i="5"/>
  <c r="I28" i="5"/>
  <c r="K28" i="5" s="1"/>
  <c r="L28" i="5" s="1"/>
  <c r="G28" i="5"/>
  <c r="AD6" i="11"/>
  <c r="G45" i="5"/>
  <c r="I47" i="5"/>
  <c r="K47" i="5" s="1"/>
  <c r="L47" i="5" s="1"/>
  <c r="G40" i="5"/>
  <c r="AL111" i="5"/>
  <c r="G47" i="5"/>
  <c r="G44" i="5"/>
  <c r="G39" i="5"/>
  <c r="G38" i="5"/>
  <c r="G46" i="5"/>
  <c r="G42" i="5"/>
  <c r="G37" i="5"/>
  <c r="G32" i="5"/>
  <c r="G34" i="5"/>
  <c r="G43" i="5"/>
  <c r="G35" i="5"/>
  <c r="G31" i="5"/>
  <c r="G41" i="5"/>
  <c r="G33" i="5"/>
  <c r="I21" i="5"/>
  <c r="K21" i="5" s="1"/>
  <c r="L21" i="5" s="1"/>
  <c r="G21" i="5"/>
  <c r="AL104" i="5"/>
  <c r="AX3" i="56"/>
  <c r="AX3" i="26"/>
  <c r="AZ136" i="56"/>
  <c r="AZ136" i="26"/>
  <c r="AK110" i="16"/>
  <c r="AK244" i="16" s="1"/>
  <c r="AK173" i="16"/>
  <c r="AK48" i="16"/>
  <c r="AK48" i="38"/>
  <c r="AZ138" i="54" s="1"/>
  <c r="AK173" i="38"/>
  <c r="AK110" i="38"/>
  <c r="AK244" i="38" s="1"/>
  <c r="I51" i="37"/>
  <c r="K51" i="37" s="1"/>
  <c r="L51" i="37" s="1"/>
  <c r="E7" i="37"/>
  <c r="AL54" i="37"/>
  <c r="BM21" i="38"/>
  <c r="AZ4" i="54" s="1"/>
  <c r="AL53" i="38"/>
  <c r="E8" i="34"/>
  <c r="I20" i="34"/>
  <c r="K20" i="34" s="1"/>
  <c r="L20" i="34" s="1"/>
  <c r="AL8" i="34"/>
  <c r="AL21" i="34"/>
  <c r="BL20" i="16"/>
  <c r="AJ54" i="16"/>
  <c r="AJ7" i="16"/>
  <c r="AB7" i="11" s="1"/>
  <c r="AI84" i="39"/>
  <c r="AB623" i="11"/>
  <c r="AB632" i="11" s="1"/>
  <c r="AB813" i="11" s="1"/>
  <c r="AK64" i="34"/>
  <c r="AL62" i="34"/>
  <c r="AL64" i="34" s="1"/>
  <c r="AK48" i="39"/>
  <c r="AZ138" i="55" s="1"/>
  <c r="AK110" i="39"/>
  <c r="AK244" i="39" s="1"/>
  <c r="AK173" i="39"/>
  <c r="AL48" i="35"/>
  <c r="AL110" i="35"/>
  <c r="I28" i="35"/>
  <c r="K28" i="35" s="1"/>
  <c r="L28" i="35" s="1"/>
  <c r="G28" i="35"/>
  <c r="G25" i="35"/>
  <c r="AL115" i="39"/>
  <c r="I67" i="39"/>
  <c r="K67" i="39" s="1"/>
  <c r="L67" i="39" s="1"/>
  <c r="AL72" i="39"/>
  <c r="AL28" i="39"/>
  <c r="I48" i="36"/>
  <c r="K48" i="36" s="1"/>
  <c r="L48" i="36" s="1"/>
  <c r="AL114" i="36"/>
  <c r="AL113" i="36"/>
  <c r="AL73" i="36"/>
  <c r="AL7" i="36"/>
  <c r="AJ54" i="34"/>
  <c r="BL20" i="34"/>
  <c r="AY3" i="50" s="1"/>
  <c r="AJ7" i="34"/>
  <c r="F150" i="56"/>
  <c r="AL28" i="16"/>
  <c r="AL115" i="16"/>
  <c r="AL72" i="16"/>
  <c r="F150" i="26"/>
  <c r="I67" i="16"/>
  <c r="K67" i="16" s="1"/>
  <c r="L67" i="16" s="1"/>
  <c r="AZ143" i="56"/>
  <c r="AZ143" i="51"/>
  <c r="AK142" i="16"/>
  <c r="AK171" i="5"/>
  <c r="AZ143" i="54"/>
  <c r="AK142" i="39"/>
  <c r="AK114" i="5"/>
  <c r="AZ143" i="53"/>
  <c r="AK142" i="38"/>
  <c r="AK51" i="5"/>
  <c r="AK113" i="5"/>
  <c r="AK317" i="5" s="1"/>
  <c r="AZ143" i="55"/>
  <c r="AK142" i="37"/>
  <c r="AZ143" i="50"/>
  <c r="AK142" i="36"/>
  <c r="AK73" i="5"/>
  <c r="AZ143" i="26"/>
  <c r="AK142" i="34"/>
  <c r="AK142" i="5"/>
  <c r="AK142" i="35"/>
  <c r="AZ143" i="52"/>
  <c r="BM21" i="16"/>
  <c r="AL53" i="16"/>
  <c r="B102" i="8" l="1"/>
  <c r="C350" i="11"/>
  <c r="AH77" i="37"/>
  <c r="AH83" i="37" s="1"/>
  <c r="AI76" i="37" s="1"/>
  <c r="AI78" i="37" s="1"/>
  <c r="AB810" i="11"/>
  <c r="AC810" i="11"/>
  <c r="AJ84" i="36"/>
  <c r="AC620" i="11"/>
  <c r="AB811" i="11"/>
  <c r="AC811" i="11"/>
  <c r="AJ84" i="37"/>
  <c r="AC621" i="11"/>
  <c r="AD621" i="11" s="1"/>
  <c r="E239" i="53" s="1"/>
  <c r="G239" i="53" s="1"/>
  <c r="AG78" i="36"/>
  <c r="AG77" i="36"/>
  <c r="AD83" i="16"/>
  <c r="AE76" i="16" s="1"/>
  <c r="AE78" i="16" s="1"/>
  <c r="AH78" i="39"/>
  <c r="AH83" i="39" s="1"/>
  <c r="AI76" i="39" s="1"/>
  <c r="AI78" i="39" s="1"/>
  <c r="G67" i="39"/>
  <c r="F136" i="55"/>
  <c r="I53" i="39"/>
  <c r="K53" i="39" s="1"/>
  <c r="L53" i="39" s="1"/>
  <c r="E183" i="55"/>
  <c r="G183" i="55" s="1"/>
  <c r="I53" i="38"/>
  <c r="K53" i="38" s="1"/>
  <c r="L53" i="38" s="1"/>
  <c r="E183" i="54"/>
  <c r="G183" i="54" s="1"/>
  <c r="G21" i="38"/>
  <c r="F136" i="54"/>
  <c r="I54" i="37"/>
  <c r="K54" i="37" s="1"/>
  <c r="L54" i="37" s="1"/>
  <c r="F156" i="53"/>
  <c r="AZ144" i="53"/>
  <c r="AE78" i="38"/>
  <c r="AZ144" i="52"/>
  <c r="W886" i="11"/>
  <c r="W814" i="11"/>
  <c r="AE77" i="38"/>
  <c r="H205" i="52"/>
  <c r="C26" i="52"/>
  <c r="H205" i="50"/>
  <c r="C26" i="50"/>
  <c r="C26" i="26"/>
  <c r="H205" i="26"/>
  <c r="H205" i="51"/>
  <c r="C26" i="51"/>
  <c r="H205" i="54"/>
  <c r="C26" i="54"/>
  <c r="AD78" i="34"/>
  <c r="AD83" i="34" s="1"/>
  <c r="AE76" i="34" s="1"/>
  <c r="C26" i="53"/>
  <c r="H205" i="53"/>
  <c r="C26" i="55"/>
  <c r="H205" i="55"/>
  <c r="H205" i="56"/>
  <c r="C26" i="56"/>
  <c r="AZ144" i="54"/>
  <c r="AZ144" i="56"/>
  <c r="AZ144" i="55"/>
  <c r="AZ144" i="26"/>
  <c r="AB95" i="36"/>
  <c r="AB96" i="36" s="1"/>
  <c r="AB9" i="35"/>
  <c r="AB95" i="39"/>
  <c r="AB96" i="39" s="1"/>
  <c r="AB9" i="37"/>
  <c r="AB9" i="34"/>
  <c r="AB9" i="5"/>
  <c r="AB9" i="36"/>
  <c r="AB95" i="38"/>
  <c r="AB96" i="38" s="1"/>
  <c r="T9" i="11"/>
  <c r="AB95" i="35"/>
  <c r="AB96" i="35" s="1"/>
  <c r="AB9" i="16"/>
  <c r="AB9" i="38"/>
  <c r="AB95" i="37"/>
  <c r="AB96" i="37" s="1"/>
  <c r="AB9" i="39"/>
  <c r="U187" i="11"/>
  <c r="AB95" i="34"/>
  <c r="AB96" i="34" s="1"/>
  <c r="AB95" i="16"/>
  <c r="AB96" i="16" s="1"/>
  <c r="F136" i="56"/>
  <c r="I28" i="16"/>
  <c r="K28" i="16" s="1"/>
  <c r="L28" i="16" s="1"/>
  <c r="AL48" i="16"/>
  <c r="G28" i="16"/>
  <c r="AL110" i="16"/>
  <c r="F136" i="26"/>
  <c r="G25" i="16"/>
  <c r="H208" i="50"/>
  <c r="C28" i="50"/>
  <c r="F151" i="50"/>
  <c r="AC813" i="11"/>
  <c r="AJ84" i="39"/>
  <c r="AC623" i="11"/>
  <c r="AD623" i="11" s="1"/>
  <c r="E239" i="55" s="1"/>
  <c r="G239" i="55" s="1"/>
  <c r="AK54" i="34"/>
  <c r="BM20" i="34"/>
  <c r="AZ3" i="50" s="1"/>
  <c r="AK7" i="34"/>
  <c r="AC809" i="11"/>
  <c r="AJ84" i="35"/>
  <c r="AC619" i="11"/>
  <c r="AK54" i="5"/>
  <c r="AI12" i="6" s="1"/>
  <c r="AI17" i="6" s="1"/>
  <c r="AA138" i="24" s="1"/>
  <c r="AK7" i="5"/>
  <c r="AZ144" i="51"/>
  <c r="H208" i="56"/>
  <c r="C28" i="56"/>
  <c r="F151" i="56"/>
  <c r="AK171" i="39"/>
  <c r="AK114" i="39"/>
  <c r="AK113" i="39"/>
  <c r="AK317" i="39" s="1"/>
  <c r="AK51" i="39"/>
  <c r="AK73" i="39"/>
  <c r="X631" i="11"/>
  <c r="C28" i="52"/>
  <c r="F151" i="52"/>
  <c r="H208" i="52"/>
  <c r="H208" i="55"/>
  <c r="C28" i="55"/>
  <c r="F151" i="55"/>
  <c r="AL51" i="34"/>
  <c r="E173" i="50" s="1"/>
  <c r="AZ138" i="56"/>
  <c r="AZ139" i="56" s="1"/>
  <c r="AK51" i="16"/>
  <c r="AZ139" i="55"/>
  <c r="AZ139" i="51"/>
  <c r="AZ139" i="52"/>
  <c r="AZ139" i="54"/>
  <c r="AK73" i="16"/>
  <c r="AK113" i="16"/>
  <c r="AK317" i="16" s="1"/>
  <c r="AZ139" i="53"/>
  <c r="AK171" i="16"/>
  <c r="AZ138" i="26"/>
  <c r="AZ139" i="26" s="1"/>
  <c r="AK114" i="16"/>
  <c r="AZ139" i="50"/>
  <c r="I51" i="36"/>
  <c r="K51" i="36" s="1"/>
  <c r="L51" i="36" s="1"/>
  <c r="E7" i="36"/>
  <c r="AL54" i="36"/>
  <c r="AK54" i="35"/>
  <c r="BM20" i="35"/>
  <c r="AZ3" i="51" s="1"/>
  <c r="AK7" i="35"/>
  <c r="AL51" i="35"/>
  <c r="E173" i="51" s="1"/>
  <c r="T877" i="11"/>
  <c r="AB89" i="39"/>
  <c r="AB87" i="39" s="1"/>
  <c r="AB89" i="38"/>
  <c r="AB87" i="38" s="1"/>
  <c r="AB89" i="37"/>
  <c r="AB87" i="37" s="1"/>
  <c r="AB89" i="35"/>
  <c r="AB87" i="35" s="1"/>
  <c r="AB89" i="36"/>
  <c r="AB87" i="36" s="1"/>
  <c r="AB89" i="16"/>
  <c r="AB87" i="16" s="1"/>
  <c r="AB89" i="34"/>
  <c r="AB127" i="5"/>
  <c r="AB130" i="5" s="1"/>
  <c r="AB136" i="5" s="1"/>
  <c r="AB140" i="5" s="1"/>
  <c r="T832" i="11"/>
  <c r="AB127" i="35"/>
  <c r="AB127" i="38"/>
  <c r="AB127" i="16"/>
  <c r="AB127" i="36"/>
  <c r="AB127" i="39"/>
  <c r="AB127" i="34"/>
  <c r="AB127" i="37"/>
  <c r="G21" i="16"/>
  <c r="E183" i="56"/>
  <c r="G183" i="56" s="1"/>
  <c r="E183" i="26"/>
  <c r="G183" i="26" s="1"/>
  <c r="I53" i="16"/>
  <c r="K53" i="16" s="1"/>
  <c r="L53" i="16" s="1"/>
  <c r="G183" i="51"/>
  <c r="G183" i="52"/>
  <c r="G183" i="53"/>
  <c r="G183" i="50"/>
  <c r="AZ4" i="56"/>
  <c r="AZ4" i="26"/>
  <c r="AZ144" i="50"/>
  <c r="G67" i="16"/>
  <c r="F151" i="53"/>
  <c r="H208" i="53"/>
  <c r="C28" i="53"/>
  <c r="AY3" i="56"/>
  <c r="AY3" i="26"/>
  <c r="AE84" i="34"/>
  <c r="AK113" i="38"/>
  <c r="AK317" i="38" s="1"/>
  <c r="AK171" i="38"/>
  <c r="AK114" i="38"/>
  <c r="AK51" i="38"/>
  <c r="AK73" i="38"/>
  <c r="H208" i="54"/>
  <c r="C28" i="54"/>
  <c r="F151" i="54"/>
  <c r="AL48" i="39"/>
  <c r="G28" i="39"/>
  <c r="G25" i="39"/>
  <c r="AL110" i="39"/>
  <c r="I28" i="39"/>
  <c r="K28" i="39" s="1"/>
  <c r="L28" i="39" s="1"/>
  <c r="AL114" i="35"/>
  <c r="AL113" i="35"/>
  <c r="AL73" i="35"/>
  <c r="I48" i="35"/>
  <c r="K48" i="35" s="1"/>
  <c r="L48" i="35" s="1"/>
  <c r="AL7" i="35"/>
  <c r="G67" i="38"/>
  <c r="AL110" i="38"/>
  <c r="AL48" i="38"/>
  <c r="G25" i="38"/>
  <c r="G28" i="38"/>
  <c r="I28" i="38"/>
  <c r="K28" i="38" s="1"/>
  <c r="L28" i="38" s="1"/>
  <c r="G21" i="39"/>
  <c r="AI78" i="35"/>
  <c r="AI77" i="35"/>
  <c r="AL142" i="34"/>
  <c r="I48" i="5"/>
  <c r="K48" i="5" s="1"/>
  <c r="L48" i="5" s="1"/>
  <c r="AL142" i="35"/>
  <c r="AL113" i="5"/>
  <c r="AD7" i="11"/>
  <c r="AL73" i="5"/>
  <c r="AL7" i="5"/>
  <c r="AL142" i="37"/>
  <c r="AL142" i="39"/>
  <c r="AL142" i="38"/>
  <c r="AL142" i="5"/>
  <c r="AL142" i="16"/>
  <c r="AL142" i="36"/>
  <c r="AL114" i="5"/>
  <c r="AJ7" i="5"/>
  <c r="AJ54" i="5"/>
  <c r="AH12" i="6" s="1"/>
  <c r="AL51" i="5"/>
  <c r="C28" i="51"/>
  <c r="F151" i="51"/>
  <c r="H208" i="51"/>
  <c r="H208" i="26"/>
  <c r="C28" i="26"/>
  <c r="F151" i="26"/>
  <c r="AL81" i="34"/>
  <c r="AL82" i="34" s="1"/>
  <c r="I21" i="34"/>
  <c r="K21" i="34" s="1"/>
  <c r="L21" i="34" s="1"/>
  <c r="AL104" i="34"/>
  <c r="AL28" i="34"/>
  <c r="B103" i="8" l="1"/>
  <c r="C359" i="11"/>
  <c r="AI77" i="37"/>
  <c r="AI83" i="37" s="1"/>
  <c r="AJ76" i="37" s="1"/>
  <c r="AJ78" i="37" s="1"/>
  <c r="AE77" i="16"/>
  <c r="AE83" i="16" s="1"/>
  <c r="AF76" i="16" s="1"/>
  <c r="AG83" i="36"/>
  <c r="AH76" i="36" s="1"/>
  <c r="AH78" i="36" s="1"/>
  <c r="AD620" i="11"/>
  <c r="E239" i="52" s="1"/>
  <c r="G239" i="52" s="1"/>
  <c r="AC629" i="11"/>
  <c r="AC630" i="11"/>
  <c r="G21" i="34"/>
  <c r="F136" i="50"/>
  <c r="H204" i="50" s="1"/>
  <c r="AE83" i="38"/>
  <c r="AF76" i="38" s="1"/>
  <c r="I54" i="36"/>
  <c r="K54" i="36" s="1"/>
  <c r="L54" i="36" s="1"/>
  <c r="F156" i="52"/>
  <c r="AI77" i="39"/>
  <c r="AI83" i="39" s="1"/>
  <c r="AJ76" i="39" s="1"/>
  <c r="X884" i="11"/>
  <c r="X812" i="11"/>
  <c r="AI83" i="35"/>
  <c r="AJ76" i="35" s="1"/>
  <c r="AJ77" i="35" s="1"/>
  <c r="BM20" i="38"/>
  <c r="AZ3" i="54" s="1"/>
  <c r="AK7" i="38"/>
  <c r="AK54" i="38"/>
  <c r="AL51" i="38"/>
  <c r="E173" i="54" s="1"/>
  <c r="AB6" i="38"/>
  <c r="AB130" i="38"/>
  <c r="AB136" i="38" s="1"/>
  <c r="AB140" i="38" s="1"/>
  <c r="AB97" i="37"/>
  <c r="AB93" i="37"/>
  <c r="AC86" i="37" s="1"/>
  <c r="I51" i="34"/>
  <c r="K51" i="34" s="1"/>
  <c r="L51" i="34" s="1"/>
  <c r="AL54" i="34"/>
  <c r="E7" i="34"/>
  <c r="AD619" i="11"/>
  <c r="U190" i="11"/>
  <c r="U191" i="11" s="1"/>
  <c r="C25" i="51"/>
  <c r="H204" i="51"/>
  <c r="F145" i="51"/>
  <c r="AL73" i="39"/>
  <c r="AL114" i="39"/>
  <c r="AL7" i="39"/>
  <c r="I48" i="39"/>
  <c r="K48" i="39" s="1"/>
  <c r="L48" i="39" s="1"/>
  <c r="AL113" i="39"/>
  <c r="AB97" i="39"/>
  <c r="AB93" i="39"/>
  <c r="AC86" i="39" s="1"/>
  <c r="C33" i="55"/>
  <c r="H209" i="55"/>
  <c r="C33" i="56"/>
  <c r="H209" i="56"/>
  <c r="C25" i="55"/>
  <c r="H204" i="55"/>
  <c r="F145" i="55"/>
  <c r="AL73" i="16"/>
  <c r="AL113" i="16"/>
  <c r="I48" i="16"/>
  <c r="K48" i="16" s="1"/>
  <c r="L48" i="16" s="1"/>
  <c r="AL114" i="16"/>
  <c r="AL7" i="16"/>
  <c r="AB130" i="35"/>
  <c r="AB136" i="35" s="1"/>
  <c r="AB140" i="35" s="1"/>
  <c r="AB6" i="35"/>
  <c r="AB97" i="38"/>
  <c r="AB93" i="38"/>
  <c r="AC86" i="38" s="1"/>
  <c r="I51" i="5"/>
  <c r="K51" i="5" s="1"/>
  <c r="L51" i="5" s="1"/>
  <c r="E7" i="5"/>
  <c r="AL54" i="5"/>
  <c r="C33" i="53"/>
  <c r="H209" i="53"/>
  <c r="AB6" i="37"/>
  <c r="AB130" i="37"/>
  <c r="AB136" i="37" s="1"/>
  <c r="AB140" i="37" s="1"/>
  <c r="AF84" i="38"/>
  <c r="AF84" i="16"/>
  <c r="Y622" i="11"/>
  <c r="Y624" i="11" s="1"/>
  <c r="X633" i="11"/>
  <c r="AC628" i="11"/>
  <c r="AC632" i="11"/>
  <c r="H204" i="52"/>
  <c r="C25" i="52"/>
  <c r="F145" i="52"/>
  <c r="AH17" i="6"/>
  <c r="AL12" i="6"/>
  <c r="C33" i="54"/>
  <c r="H209" i="54"/>
  <c r="AB130" i="34"/>
  <c r="AB136" i="34" s="1"/>
  <c r="AB140" i="34" s="1"/>
  <c r="AB6" i="34"/>
  <c r="AB97" i="34"/>
  <c r="AB93" i="34"/>
  <c r="AC86" i="34" s="1"/>
  <c r="AC87" i="34" s="1"/>
  <c r="I51" i="35"/>
  <c r="K51" i="35" s="1"/>
  <c r="L51" i="35" s="1"/>
  <c r="AL54" i="35"/>
  <c r="E7" i="35"/>
  <c r="H204" i="26"/>
  <c r="F145" i="26"/>
  <c r="C25" i="26"/>
  <c r="F145" i="54"/>
  <c r="H25" i="56"/>
  <c r="M25" i="56" s="1"/>
  <c r="C25" i="54"/>
  <c r="H204" i="54"/>
  <c r="H209" i="26"/>
  <c r="C33" i="26"/>
  <c r="G67" i="34"/>
  <c r="G28" i="34"/>
  <c r="AL48" i="34"/>
  <c r="I28" i="34"/>
  <c r="K28" i="34" s="1"/>
  <c r="L28" i="34" s="1"/>
  <c r="AL110" i="34"/>
  <c r="G25" i="34"/>
  <c r="AL114" i="38"/>
  <c r="I48" i="38"/>
  <c r="K48" i="38" s="1"/>
  <c r="L48" i="38" s="1"/>
  <c r="AL73" i="38"/>
  <c r="AL7" i="38"/>
  <c r="AL113" i="38"/>
  <c r="AB6" i="39"/>
  <c r="AB130" i="39"/>
  <c r="AB136" i="39" s="1"/>
  <c r="AB140" i="39" s="1"/>
  <c r="AB97" i="16"/>
  <c r="AB93" i="16"/>
  <c r="AC86" i="16" s="1"/>
  <c r="AK54" i="39"/>
  <c r="BM20" i="39"/>
  <c r="AZ3" i="55" s="1"/>
  <c r="AK7" i="39"/>
  <c r="AL51" i="39"/>
  <c r="E173" i="55" s="1"/>
  <c r="F145" i="56"/>
  <c r="H204" i="56"/>
  <c r="C25" i="56"/>
  <c r="H209" i="51"/>
  <c r="C33" i="51"/>
  <c r="AE77" i="34"/>
  <c r="AE78" i="34"/>
  <c r="AB6" i="36"/>
  <c r="AB130" i="36"/>
  <c r="AB136" i="36" s="1"/>
  <c r="AB140" i="36" s="1"/>
  <c r="AB97" i="36"/>
  <c r="AB93" i="36"/>
  <c r="AC86" i="36" s="1"/>
  <c r="AK54" i="16"/>
  <c r="AK7" i="16"/>
  <c r="AC7" i="11" s="1"/>
  <c r="BM20" i="16"/>
  <c r="AL51" i="16"/>
  <c r="C33" i="50"/>
  <c r="H209" i="50"/>
  <c r="C25" i="50"/>
  <c r="F145" i="50"/>
  <c r="AB130" i="16"/>
  <c r="AB136" i="16" s="1"/>
  <c r="AB140" i="16" s="1"/>
  <c r="AB6" i="16"/>
  <c r="T6" i="11" s="1"/>
  <c r="AB97" i="35"/>
  <c r="AB93" i="35"/>
  <c r="AC86" i="35" s="1"/>
  <c r="H209" i="52"/>
  <c r="C33" i="52"/>
  <c r="F145" i="53"/>
  <c r="H204" i="53"/>
  <c r="C25" i="53"/>
  <c r="AH77" i="36" l="1"/>
  <c r="B104" i="8"/>
  <c r="C368" i="11"/>
  <c r="AH83" i="36"/>
  <c r="AI76" i="36" s="1"/>
  <c r="AI77" i="36" s="1"/>
  <c r="AJ77" i="37"/>
  <c r="AJ83" i="37" s="1"/>
  <c r="AK76" i="37" s="1"/>
  <c r="AK84" i="37"/>
  <c r="E9" i="37"/>
  <c r="AK84" i="36"/>
  <c r="E9" i="36"/>
  <c r="I54" i="35"/>
  <c r="F156" i="51"/>
  <c r="I54" i="34"/>
  <c r="K54" i="34" s="1"/>
  <c r="L54" i="34" s="1"/>
  <c r="F156" i="50"/>
  <c r="AF77" i="16"/>
  <c r="AF78" i="38"/>
  <c r="AF77" i="38"/>
  <c r="AJ77" i="39"/>
  <c r="AJ78" i="39"/>
  <c r="X886" i="11"/>
  <c r="X814" i="11"/>
  <c r="AF78" i="16"/>
  <c r="AJ78" i="35"/>
  <c r="AJ83" i="35" s="1"/>
  <c r="AK76" i="35" s="1"/>
  <c r="F148" i="26"/>
  <c r="H206" i="26"/>
  <c r="F146" i="26"/>
  <c r="F148" i="53"/>
  <c r="H206" i="53"/>
  <c r="F146" i="53"/>
  <c r="AK84" i="39"/>
  <c r="E9" i="39"/>
  <c r="F148" i="50"/>
  <c r="H206" i="50"/>
  <c r="F146" i="50"/>
  <c r="AK84" i="35"/>
  <c r="E9" i="35"/>
  <c r="E239" i="51"/>
  <c r="G239" i="51" s="1"/>
  <c r="I51" i="38"/>
  <c r="K51" i="38" s="1"/>
  <c r="L51" i="38" s="1"/>
  <c r="AL54" i="38"/>
  <c r="E7" i="38"/>
  <c r="AF84" i="34"/>
  <c r="H206" i="55"/>
  <c r="F146" i="55"/>
  <c r="F148" i="55"/>
  <c r="F146" i="56"/>
  <c r="F148" i="56"/>
  <c r="H206" i="56"/>
  <c r="Z138" i="24"/>
  <c r="AL17" i="6"/>
  <c r="I54" i="5"/>
  <c r="K54" i="5" s="1"/>
  <c r="L54" i="5" s="1"/>
  <c r="K12" i="6"/>
  <c r="K17" i="6" s="1"/>
  <c r="J10" i="24" s="1"/>
  <c r="E7" i="39"/>
  <c r="AL54" i="39"/>
  <c r="I51" i="39"/>
  <c r="K51" i="39" s="1"/>
  <c r="L51" i="39" s="1"/>
  <c r="F148" i="54"/>
  <c r="H206" i="54"/>
  <c r="F146" i="54"/>
  <c r="H206" i="52"/>
  <c r="F148" i="52"/>
  <c r="F146" i="52"/>
  <c r="F146" i="51"/>
  <c r="F148" i="51"/>
  <c r="H206" i="51"/>
  <c r="AL113" i="34"/>
  <c r="I48" i="34"/>
  <c r="K48" i="34" s="1"/>
  <c r="L48" i="34" s="1"/>
  <c r="AL73" i="34"/>
  <c r="AL114" i="34"/>
  <c r="AL7" i="34"/>
  <c r="E173" i="56"/>
  <c r="G173" i="56" s="1"/>
  <c r="I51" i="16"/>
  <c r="K51" i="16" s="1"/>
  <c r="L51" i="16" s="1"/>
  <c r="E7" i="16"/>
  <c r="E173" i="26"/>
  <c r="G173" i="26" s="1"/>
  <c r="AL54" i="16"/>
  <c r="G173" i="54"/>
  <c r="G173" i="50"/>
  <c r="G173" i="52"/>
  <c r="G173" i="53"/>
  <c r="G173" i="55"/>
  <c r="E7" i="11"/>
  <c r="G173" i="51"/>
  <c r="AZ3" i="56"/>
  <c r="AZ3" i="26"/>
  <c r="AE83" i="34"/>
  <c r="AF76" i="34" s="1"/>
  <c r="Y631" i="11"/>
  <c r="AC89" i="39"/>
  <c r="AC97" i="39" s="1"/>
  <c r="AC89" i="16"/>
  <c r="AC97" i="16" s="1"/>
  <c r="AC127" i="5"/>
  <c r="AC130" i="5" s="1"/>
  <c r="AC136" i="5" s="1"/>
  <c r="AC140" i="5" s="1"/>
  <c r="U877" i="11"/>
  <c r="AC89" i="37"/>
  <c r="AC97" i="37" s="1"/>
  <c r="U832" i="11"/>
  <c r="AC89" i="38"/>
  <c r="AC97" i="38" s="1"/>
  <c r="AC89" i="36"/>
  <c r="AC97" i="36" s="1"/>
  <c r="AC89" i="35"/>
  <c r="AC97" i="35" s="1"/>
  <c r="AC89" i="34"/>
  <c r="AC97" i="34" s="1"/>
  <c r="AC127" i="16"/>
  <c r="AC127" i="34"/>
  <c r="AC127" i="38"/>
  <c r="AC127" i="37"/>
  <c r="AC127" i="36"/>
  <c r="AC127" i="35"/>
  <c r="AC127" i="39"/>
  <c r="AC95" i="37"/>
  <c r="AC96" i="37" s="1"/>
  <c r="AC95" i="38"/>
  <c r="AC96" i="38" s="1"/>
  <c r="AC9" i="36"/>
  <c r="AC95" i="34"/>
  <c r="AC96" i="34" s="1"/>
  <c r="V187" i="11"/>
  <c r="AC9" i="5"/>
  <c r="AC95" i="36"/>
  <c r="AC96" i="36" s="1"/>
  <c r="U9" i="11"/>
  <c r="AC9" i="16"/>
  <c r="AC9" i="35"/>
  <c r="AC9" i="37"/>
  <c r="AC9" i="39"/>
  <c r="AC95" i="39"/>
  <c r="AC96" i="39" s="1"/>
  <c r="AC95" i="16"/>
  <c r="AC96" i="16" s="1"/>
  <c r="AC95" i="35"/>
  <c r="AC96" i="35" s="1"/>
  <c r="AC9" i="38"/>
  <c r="AC9" i="34"/>
  <c r="AK77" i="37" l="1"/>
  <c r="AL77" i="37" s="1"/>
  <c r="C377" i="11"/>
  <c r="B105" i="8"/>
  <c r="AI78" i="36"/>
  <c r="AI83" i="36"/>
  <c r="AJ76" i="36" s="1"/>
  <c r="AK78" i="37"/>
  <c r="AL78" i="37" s="1"/>
  <c r="AL83" i="37" s="1"/>
  <c r="L10" i="24"/>
  <c r="O10" i="24" s="1"/>
  <c r="M10" i="24"/>
  <c r="AF83" i="38"/>
  <c r="AG76" i="38" s="1"/>
  <c r="AF83" i="16"/>
  <c r="AG76" i="16" s="1"/>
  <c r="K54" i="35"/>
  <c r="L54" i="35" s="1"/>
  <c r="F156" i="26"/>
  <c r="AC87" i="16"/>
  <c r="AC93" i="16" s="1"/>
  <c r="AD86" i="16" s="1"/>
  <c r="I54" i="39"/>
  <c r="K54" i="39" s="1"/>
  <c r="L54" i="39" s="1"/>
  <c r="F156" i="55"/>
  <c r="I54" i="38"/>
  <c r="K54" i="38" s="1"/>
  <c r="L54" i="38" s="1"/>
  <c r="F156" i="54"/>
  <c r="AJ83" i="39"/>
  <c r="AK76" i="39" s="1"/>
  <c r="AK78" i="39" s="1"/>
  <c r="AL78" i="39" s="1"/>
  <c r="AC87" i="35"/>
  <c r="AC93" i="35" s="1"/>
  <c r="AD86" i="35" s="1"/>
  <c r="AC87" i="38"/>
  <c r="AC93" i="38" s="1"/>
  <c r="AD86" i="38" s="1"/>
  <c r="Y884" i="11"/>
  <c r="Y812" i="11"/>
  <c r="AF78" i="34"/>
  <c r="AK77" i="35"/>
  <c r="AL77" i="35" s="1"/>
  <c r="AC87" i="39"/>
  <c r="AC93" i="39" s="1"/>
  <c r="AD86" i="39" s="1"/>
  <c r="AC87" i="37"/>
  <c r="AC93" i="37" s="1"/>
  <c r="AD86" i="37" s="1"/>
  <c r="AC87" i="36"/>
  <c r="AC93" i="36" s="1"/>
  <c r="AD86" i="36" s="1"/>
  <c r="AK78" i="35"/>
  <c r="AL78" i="35" s="1"/>
  <c r="AC93" i="34"/>
  <c r="AD86" i="34" s="1"/>
  <c r="AD87" i="34" s="1"/>
  <c r="G163" i="50"/>
  <c r="F163" i="50"/>
  <c r="C41" i="50" s="1"/>
  <c r="G162" i="50"/>
  <c r="F162" i="50"/>
  <c r="C40" i="50" s="1"/>
  <c r="C34" i="50"/>
  <c r="G161" i="50"/>
  <c r="F161" i="50"/>
  <c r="C39" i="50" s="1"/>
  <c r="AC130" i="38"/>
  <c r="AC136" i="38" s="1"/>
  <c r="AC140" i="38" s="1"/>
  <c r="AC6" i="38"/>
  <c r="C27" i="55"/>
  <c r="C29" i="55" s="1"/>
  <c r="C31" i="55" s="1"/>
  <c r="H207" i="55"/>
  <c r="F152" i="55"/>
  <c r="F161" i="26"/>
  <c r="C39" i="26" s="1"/>
  <c r="F163" i="26"/>
  <c r="C41" i="26" s="1"/>
  <c r="C34" i="26"/>
  <c r="G163" i="26"/>
  <c r="G162" i="26"/>
  <c r="F162" i="26"/>
  <c r="C40" i="26" s="1"/>
  <c r="G161" i="26"/>
  <c r="AC130" i="34"/>
  <c r="AC136" i="34" s="1"/>
  <c r="AC140" i="34" s="1"/>
  <c r="AC6" i="34"/>
  <c r="G162" i="51"/>
  <c r="F162" i="51"/>
  <c r="C40" i="51" s="1"/>
  <c r="C34" i="51"/>
  <c r="G161" i="51"/>
  <c r="F161" i="51"/>
  <c r="C39" i="51" s="1"/>
  <c r="G163" i="51"/>
  <c r="F163" i="51"/>
  <c r="C41" i="51" s="1"/>
  <c r="H207" i="54"/>
  <c r="C27" i="54"/>
  <c r="C29" i="54" s="1"/>
  <c r="C31" i="54" s="1"/>
  <c r="F152" i="54"/>
  <c r="AC6" i="36"/>
  <c r="AC130" i="36"/>
  <c r="AC136" i="36" s="1"/>
  <c r="AC140" i="36" s="1"/>
  <c r="AC130" i="16"/>
  <c r="AC136" i="16" s="1"/>
  <c r="AC140" i="16" s="1"/>
  <c r="AC6" i="16"/>
  <c r="U6" i="11" s="1"/>
  <c r="C27" i="51"/>
  <c r="C29" i="51" s="1"/>
  <c r="C31" i="51" s="1"/>
  <c r="H207" i="51"/>
  <c r="F152" i="51"/>
  <c r="F156" i="56"/>
  <c r="I54" i="16"/>
  <c r="K54" i="16" s="1"/>
  <c r="L54" i="16" s="1"/>
  <c r="AC130" i="37"/>
  <c r="AC136" i="37" s="1"/>
  <c r="AC140" i="37" s="1"/>
  <c r="AC6" i="37"/>
  <c r="AF77" i="34"/>
  <c r="H207" i="53"/>
  <c r="C27" i="53"/>
  <c r="C29" i="53" s="1"/>
  <c r="C31" i="53" s="1"/>
  <c r="F152" i="53"/>
  <c r="V190" i="11"/>
  <c r="V191" i="11" s="1"/>
  <c r="AC130" i="39"/>
  <c r="AC136" i="39" s="1"/>
  <c r="AC140" i="39" s="1"/>
  <c r="AC6" i="39"/>
  <c r="G163" i="56"/>
  <c r="G162" i="56"/>
  <c r="F162" i="56"/>
  <c r="C40" i="56" s="1"/>
  <c r="C34" i="56"/>
  <c r="F161" i="56"/>
  <c r="C39" i="56" s="1"/>
  <c r="G161" i="56"/>
  <c r="F163" i="56"/>
  <c r="C41" i="56" s="1"/>
  <c r="C27" i="50"/>
  <c r="C29" i="50" s="1"/>
  <c r="C31" i="50" s="1"/>
  <c r="H207" i="50"/>
  <c r="F152" i="50"/>
  <c r="G162" i="53"/>
  <c r="F162" i="53"/>
  <c r="C40" i="53" s="1"/>
  <c r="C34" i="53"/>
  <c r="G161" i="53"/>
  <c r="F161" i="53"/>
  <c r="C39" i="53" s="1"/>
  <c r="G163" i="53"/>
  <c r="F163" i="53"/>
  <c r="C41" i="53" s="1"/>
  <c r="H207" i="52"/>
  <c r="C27" i="52"/>
  <c r="C29" i="52" s="1"/>
  <c r="C31" i="52" s="1"/>
  <c r="F152" i="52"/>
  <c r="G162" i="55"/>
  <c r="G161" i="55"/>
  <c r="F161" i="55"/>
  <c r="C39" i="55" s="1"/>
  <c r="G163" i="55"/>
  <c r="F163" i="55"/>
  <c r="C41" i="55" s="1"/>
  <c r="F162" i="55"/>
  <c r="C40" i="55" s="1"/>
  <c r="C34" i="55"/>
  <c r="F161" i="54"/>
  <c r="C39" i="54" s="1"/>
  <c r="F163" i="54"/>
  <c r="C41" i="54" s="1"/>
  <c r="G162" i="54"/>
  <c r="F162" i="54"/>
  <c r="C40" i="54" s="1"/>
  <c r="C34" i="54"/>
  <c r="G161" i="54"/>
  <c r="G163" i="54"/>
  <c r="J12" i="6"/>
  <c r="J5" i="24"/>
  <c r="AC130" i="35"/>
  <c r="AC136" i="35" s="1"/>
  <c r="AC140" i="35" s="1"/>
  <c r="AC6" i="35"/>
  <c r="AG84" i="38"/>
  <c r="AG84" i="16"/>
  <c r="AG78" i="16" s="1"/>
  <c r="Z622" i="11"/>
  <c r="Z624" i="11" s="1"/>
  <c r="Y633" i="11"/>
  <c r="C27" i="56"/>
  <c r="C29" i="56" s="1"/>
  <c r="C31" i="56" s="1"/>
  <c r="H207" i="56"/>
  <c r="F152" i="56"/>
  <c r="C27" i="26"/>
  <c r="C29" i="26" s="1"/>
  <c r="C31" i="26" s="1"/>
  <c r="H207" i="26"/>
  <c r="F152" i="26"/>
  <c r="F161" i="52"/>
  <c r="C39" i="52" s="1"/>
  <c r="G163" i="52"/>
  <c r="F163" i="52"/>
  <c r="C41" i="52" s="1"/>
  <c r="G162" i="52"/>
  <c r="C34" i="52"/>
  <c r="F162" i="52"/>
  <c r="C40" i="52" s="1"/>
  <c r="G161" i="52"/>
  <c r="B106" i="8" l="1"/>
  <c r="C386" i="11"/>
  <c r="AK83" i="37"/>
  <c r="AJ77" i="36"/>
  <c r="AJ78" i="36"/>
  <c r="AG78" i="38"/>
  <c r="I5" i="24"/>
  <c r="J17" i="6"/>
  <c r="I10" i="24" s="1"/>
  <c r="AK77" i="39"/>
  <c r="AL77" i="39" s="1"/>
  <c r="AL83" i="39" s="1"/>
  <c r="AF83" i="34"/>
  <c r="AG76" i="34" s="1"/>
  <c r="AL83" i="35"/>
  <c r="Y886" i="11"/>
  <c r="Y814" i="11"/>
  <c r="AK83" i="35"/>
  <c r="AD9" i="37"/>
  <c r="AD95" i="35"/>
  <c r="AD96" i="35" s="1"/>
  <c r="AD95" i="39"/>
  <c r="AD96" i="39" s="1"/>
  <c r="AD95" i="38"/>
  <c r="AD96" i="38" s="1"/>
  <c r="AD9" i="35"/>
  <c r="AD9" i="36"/>
  <c r="AD95" i="36"/>
  <c r="AD96" i="36" s="1"/>
  <c r="AD95" i="16"/>
  <c r="AD96" i="16" s="1"/>
  <c r="AD95" i="37"/>
  <c r="AD96" i="37" s="1"/>
  <c r="V9" i="11"/>
  <c r="AD9" i="16"/>
  <c r="AD9" i="5"/>
  <c r="AD95" i="34"/>
  <c r="AD96" i="34" s="1"/>
  <c r="W187" i="11"/>
  <c r="AD9" i="38"/>
  <c r="AD9" i="34"/>
  <c r="AD9" i="39"/>
  <c r="F153" i="26"/>
  <c r="H210" i="26"/>
  <c r="AG84" i="34"/>
  <c r="M5" i="24"/>
  <c r="AI39" i="51"/>
  <c r="AI41" i="51" s="1"/>
  <c r="AH39" i="51"/>
  <c r="AH41" i="51" s="1"/>
  <c r="AF39" i="51"/>
  <c r="AF41" i="51" s="1"/>
  <c r="AG39" i="51"/>
  <c r="AD39" i="51"/>
  <c r="AD41" i="51" s="1"/>
  <c r="F158" i="51"/>
  <c r="F153" i="52"/>
  <c r="H210" i="52"/>
  <c r="F158" i="53"/>
  <c r="AI39" i="53"/>
  <c r="AI41" i="53" s="1"/>
  <c r="AG39" i="53"/>
  <c r="AH39" i="53"/>
  <c r="AH41" i="53" s="1"/>
  <c r="AF39" i="53"/>
  <c r="AF41" i="53" s="1"/>
  <c r="AD39" i="53"/>
  <c r="AD41" i="53" s="1"/>
  <c r="AG39" i="56"/>
  <c r="AF39" i="56"/>
  <c r="AF41" i="56" s="1"/>
  <c r="AD39" i="56"/>
  <c r="AD41" i="56" s="1"/>
  <c r="F158" i="56"/>
  <c r="AH39" i="56"/>
  <c r="AH41" i="56" s="1"/>
  <c r="AI39" i="56"/>
  <c r="AI41" i="56" s="1"/>
  <c r="H210" i="53"/>
  <c r="F153" i="53"/>
  <c r="AD39" i="54"/>
  <c r="AD41" i="54" s="1"/>
  <c r="F158" i="54"/>
  <c r="AI39" i="54"/>
  <c r="AI41" i="54" s="1"/>
  <c r="AG39" i="54"/>
  <c r="AH39" i="54"/>
  <c r="AH41" i="54" s="1"/>
  <c r="AF39" i="54"/>
  <c r="AF41" i="54" s="1"/>
  <c r="H210" i="55"/>
  <c r="F153" i="55"/>
  <c r="Z631" i="11"/>
  <c r="H210" i="50"/>
  <c r="F153" i="50"/>
  <c r="F153" i="56"/>
  <c r="H210" i="56"/>
  <c r="AG39" i="50"/>
  <c r="AD39" i="50"/>
  <c r="AD41" i="50" s="1"/>
  <c r="F158" i="50"/>
  <c r="AI39" i="50"/>
  <c r="AI41" i="50" s="1"/>
  <c r="AH39" i="50"/>
  <c r="AH41" i="50" s="1"/>
  <c r="AF39" i="50"/>
  <c r="AF41" i="50" s="1"/>
  <c r="H210" i="51"/>
  <c r="F153" i="51"/>
  <c r="F153" i="54"/>
  <c r="H210" i="54"/>
  <c r="AD39" i="55"/>
  <c r="AD41" i="55" s="1"/>
  <c r="AI39" i="55"/>
  <c r="AI41" i="55" s="1"/>
  <c r="AH39" i="55"/>
  <c r="AH41" i="55" s="1"/>
  <c r="AG39" i="55"/>
  <c r="AF39" i="55"/>
  <c r="AF41" i="55" s="1"/>
  <c r="F158" i="55"/>
  <c r="AG77" i="16"/>
  <c r="AG83" i="16" s="1"/>
  <c r="AH76" i="16" s="1"/>
  <c r="AF39" i="26"/>
  <c r="AF41" i="26" s="1"/>
  <c r="AD39" i="26"/>
  <c r="AD41" i="26" s="1"/>
  <c r="AG39" i="26"/>
  <c r="F158" i="26"/>
  <c r="AI39" i="26"/>
  <c r="AI41" i="26" s="1"/>
  <c r="AH39" i="26"/>
  <c r="AH41" i="26" s="1"/>
  <c r="AD89" i="37"/>
  <c r="AD97" i="37" s="1"/>
  <c r="AD89" i="16"/>
  <c r="AD97" i="16" s="1"/>
  <c r="AD127" i="5"/>
  <c r="AD130" i="5" s="1"/>
  <c r="AD136" i="5" s="1"/>
  <c r="AD140" i="5" s="1"/>
  <c r="AD89" i="39"/>
  <c r="AD87" i="39" s="1"/>
  <c r="AD89" i="38"/>
  <c r="AD97" i="38" s="1"/>
  <c r="AD89" i="36"/>
  <c r="AD87" i="36" s="1"/>
  <c r="AD89" i="35"/>
  <c r="AD87" i="35" s="1"/>
  <c r="V877" i="11"/>
  <c r="V832" i="11"/>
  <c r="AD89" i="34"/>
  <c r="AD127" i="39"/>
  <c r="AD127" i="38"/>
  <c r="AD127" i="37"/>
  <c r="AD127" i="35"/>
  <c r="AD127" i="36"/>
  <c r="AD127" i="16"/>
  <c r="AD127" i="34"/>
  <c r="AG77" i="38"/>
  <c r="AF39" i="52"/>
  <c r="AF41" i="52" s="1"/>
  <c r="AD39" i="52"/>
  <c r="AD41" i="52" s="1"/>
  <c r="F158" i="52"/>
  <c r="AI39" i="52"/>
  <c r="AI41" i="52" s="1"/>
  <c r="AG39" i="52"/>
  <c r="AH39" i="52"/>
  <c r="AH41" i="52" s="1"/>
  <c r="AG83" i="38" l="1"/>
  <c r="AH76" i="38" s="1"/>
  <c r="C395" i="11"/>
  <c r="B107" i="8"/>
  <c r="AJ83" i="36"/>
  <c r="AK76" i="36" s="1"/>
  <c r="AD87" i="16"/>
  <c r="AD93" i="16" s="1"/>
  <c r="AE86" i="16" s="1"/>
  <c r="AK83" i="39"/>
  <c r="AG78" i="34"/>
  <c r="AG77" i="34"/>
  <c r="Z884" i="11"/>
  <c r="Z812" i="11"/>
  <c r="AD87" i="38"/>
  <c r="AD93" i="38" s="1"/>
  <c r="AE86" i="38" s="1"/>
  <c r="AD87" i="37"/>
  <c r="AD93" i="37" s="1"/>
  <c r="AE86" i="37" s="1"/>
  <c r="AD6" i="37"/>
  <c r="AD130" i="37"/>
  <c r="AD136" i="37" s="1"/>
  <c r="AD140" i="37" s="1"/>
  <c r="AD97" i="39"/>
  <c r="AD93" i="39"/>
  <c r="AE86" i="39" s="1"/>
  <c r="AD130" i="39"/>
  <c r="AD136" i="39" s="1"/>
  <c r="AD140" i="39" s="1"/>
  <c r="AD6" i="39"/>
  <c r="W190" i="11"/>
  <c r="AD130" i="38"/>
  <c r="AD136" i="38" s="1"/>
  <c r="AD140" i="38" s="1"/>
  <c r="AD6" i="38"/>
  <c r="H211" i="53"/>
  <c r="C35" i="53"/>
  <c r="C36" i="53" s="1"/>
  <c r="AD130" i="34"/>
  <c r="AD136" i="34" s="1"/>
  <c r="AD140" i="34" s="1"/>
  <c r="AD6" i="34"/>
  <c r="AD97" i="34"/>
  <c r="AD93" i="34"/>
  <c r="AE86" i="34" s="1"/>
  <c r="AE87" i="34" s="1"/>
  <c r="AD130" i="16"/>
  <c r="AD136" i="16" s="1"/>
  <c r="AD140" i="16" s="1"/>
  <c r="AD6" i="16"/>
  <c r="V6" i="11" s="1"/>
  <c r="C35" i="50"/>
  <c r="C36" i="50" s="1"/>
  <c r="H211" i="50"/>
  <c r="H211" i="55"/>
  <c r="C35" i="55"/>
  <c r="C36" i="55" s="1"/>
  <c r="H211" i="52"/>
  <c r="C35" i="52"/>
  <c r="C36" i="52" s="1"/>
  <c r="AD6" i="36"/>
  <c r="AD130" i="36"/>
  <c r="AD136" i="36" s="1"/>
  <c r="AD140" i="36" s="1"/>
  <c r="AD97" i="35"/>
  <c r="AD93" i="35"/>
  <c r="AE86" i="35" s="1"/>
  <c r="C35" i="51"/>
  <c r="C36" i="51" s="1"/>
  <c r="H211" i="51"/>
  <c r="H211" i="26"/>
  <c r="C35" i="26"/>
  <c r="C36" i="26" s="1"/>
  <c r="C35" i="54"/>
  <c r="C36" i="54" s="1"/>
  <c r="H211" i="54"/>
  <c r="AD6" i="35"/>
  <c r="AD130" i="35"/>
  <c r="AD136" i="35" s="1"/>
  <c r="AD140" i="35" s="1"/>
  <c r="AD97" i="36"/>
  <c r="AD93" i="36"/>
  <c r="AE86" i="36" s="1"/>
  <c r="H211" i="56"/>
  <c r="C35" i="56"/>
  <c r="C36" i="56" s="1"/>
  <c r="AH84" i="38"/>
  <c r="AA622" i="11"/>
  <c r="AA624" i="11" s="1"/>
  <c r="Z633" i="11"/>
  <c r="AH84" i="16" s="1"/>
  <c r="B108" i="8" l="1"/>
  <c r="C404" i="11"/>
  <c r="AK77" i="36"/>
  <c r="AK78" i="36"/>
  <c r="AL78" i="36" s="1"/>
  <c r="AG83" i="34"/>
  <c r="AH76" i="34" s="1"/>
  <c r="Z886" i="11"/>
  <c r="Z814" i="11"/>
  <c r="AH78" i="38"/>
  <c r="AH77" i="38"/>
  <c r="AH84" i="34"/>
  <c r="AH78" i="16"/>
  <c r="AH77" i="16"/>
  <c r="W877" i="11"/>
  <c r="AE89" i="38"/>
  <c r="AE97" i="38" s="1"/>
  <c r="AE89" i="39"/>
  <c r="AE97" i="39" s="1"/>
  <c r="AE89" i="36"/>
  <c r="AE97" i="36" s="1"/>
  <c r="AE89" i="37"/>
  <c r="AE97" i="37" s="1"/>
  <c r="AE89" i="35"/>
  <c r="AE97" i="35" s="1"/>
  <c r="AE127" i="5"/>
  <c r="AE130" i="5" s="1"/>
  <c r="AE136" i="5" s="1"/>
  <c r="AE140" i="5" s="1"/>
  <c r="AE89" i="34"/>
  <c r="AE97" i="34" s="1"/>
  <c r="AE89" i="16"/>
  <c r="AE97" i="16" s="1"/>
  <c r="W832" i="11"/>
  <c r="AE127" i="39"/>
  <c r="AE127" i="36"/>
  <c r="AE127" i="34"/>
  <c r="AE127" i="38"/>
  <c r="AE127" i="35"/>
  <c r="AE127" i="37"/>
  <c r="AE127" i="16"/>
  <c r="AA631" i="11"/>
  <c r="W191" i="11"/>
  <c r="B109" i="8" l="1"/>
  <c r="C413" i="11"/>
  <c r="AL77" i="36"/>
  <c r="AL83" i="36" s="1"/>
  <c r="AK83" i="36"/>
  <c r="AE87" i="16"/>
  <c r="AE87" i="37"/>
  <c r="AE93" i="37" s="1"/>
  <c r="AF86" i="37" s="1"/>
  <c r="AE87" i="39"/>
  <c r="AE93" i="39" s="1"/>
  <c r="AF86" i="39" s="1"/>
  <c r="AA884" i="11"/>
  <c r="AA812" i="11"/>
  <c r="AE87" i="35"/>
  <c r="AE93" i="35" s="1"/>
  <c r="AF86" i="35" s="1"/>
  <c r="AE87" i="38"/>
  <c r="AE93" i="38" s="1"/>
  <c r="AF86" i="38" s="1"/>
  <c r="AE87" i="36"/>
  <c r="AE93" i="36" s="1"/>
  <c r="AF86" i="36" s="1"/>
  <c r="AE93" i="16"/>
  <c r="AF86" i="16" s="1"/>
  <c r="AH83" i="16"/>
  <c r="AI76" i="16" s="1"/>
  <c r="AE130" i="38"/>
  <c r="AE136" i="38" s="1"/>
  <c r="AE140" i="38" s="1"/>
  <c r="AE6" i="38"/>
  <c r="AI84" i="38"/>
  <c r="AB622" i="11"/>
  <c r="AB624" i="11" s="1"/>
  <c r="AA633" i="11"/>
  <c r="AE130" i="36"/>
  <c r="AE136" i="36" s="1"/>
  <c r="AE140" i="36" s="1"/>
  <c r="AE6" i="36"/>
  <c r="AE130" i="34"/>
  <c r="AE136" i="34" s="1"/>
  <c r="AE140" i="34" s="1"/>
  <c r="AE6" i="34"/>
  <c r="AE130" i="39"/>
  <c r="AE136" i="39" s="1"/>
  <c r="AE140" i="39" s="1"/>
  <c r="AE6" i="39"/>
  <c r="AE130" i="35"/>
  <c r="AE136" i="35" s="1"/>
  <c r="AE140" i="35" s="1"/>
  <c r="AE6" i="35"/>
  <c r="AE9" i="39"/>
  <c r="AE9" i="5"/>
  <c r="AE95" i="34"/>
  <c r="AE96" i="34" s="1"/>
  <c r="AE9" i="38"/>
  <c r="AE95" i="16"/>
  <c r="AE96" i="16" s="1"/>
  <c r="AE9" i="16"/>
  <c r="AE9" i="36"/>
  <c r="AE95" i="38"/>
  <c r="AE96" i="38" s="1"/>
  <c r="AE95" i="36"/>
  <c r="AE96" i="36" s="1"/>
  <c r="AE9" i="37"/>
  <c r="AE95" i="37"/>
  <c r="AE96" i="37" s="1"/>
  <c r="X187" i="11"/>
  <c r="AE9" i="35"/>
  <c r="AE95" i="35"/>
  <c r="AE96" i="35" s="1"/>
  <c r="AE9" i="34"/>
  <c r="W9" i="11"/>
  <c r="AE95" i="39"/>
  <c r="AE96" i="39" s="1"/>
  <c r="AE130" i="16"/>
  <c r="AE136" i="16" s="1"/>
  <c r="AE140" i="16" s="1"/>
  <c r="AE6" i="16"/>
  <c r="W6" i="11" s="1"/>
  <c r="AH78" i="34"/>
  <c r="AH77" i="34"/>
  <c r="AE6" i="37"/>
  <c r="AE130" i="37"/>
  <c r="AE136" i="37" s="1"/>
  <c r="AE140" i="37" s="1"/>
  <c r="AE93" i="34"/>
  <c r="AF86" i="34" s="1"/>
  <c r="AF87" i="34" s="1"/>
  <c r="AH83" i="38"/>
  <c r="AI76" i="38" s="1"/>
  <c r="C422" i="11" l="1"/>
  <c r="B110" i="8"/>
  <c r="AI77" i="38"/>
  <c r="AA886" i="11"/>
  <c r="AA814" i="11"/>
  <c r="AI84" i="16"/>
  <c r="AI78" i="16" s="1"/>
  <c r="AH83" i="34"/>
  <c r="AI76" i="34" s="1"/>
  <c r="AI84" i="34"/>
  <c r="AI78" i="38"/>
  <c r="AB631" i="11"/>
  <c r="AB812" i="11" s="1"/>
  <c r="X190" i="11"/>
  <c r="C431" i="11" l="1"/>
  <c r="B111" i="8"/>
  <c r="AI83" i="38"/>
  <c r="AJ76" i="38" s="1"/>
  <c r="AI78" i="34"/>
  <c r="AI77" i="16"/>
  <c r="AI83" i="16" s="1"/>
  <c r="AJ76" i="16" s="1"/>
  <c r="X877" i="11"/>
  <c r="AF89" i="39"/>
  <c r="AF87" i="39" s="1"/>
  <c r="AF89" i="38"/>
  <c r="AF87" i="38" s="1"/>
  <c r="AF89" i="36"/>
  <c r="AF87" i="36" s="1"/>
  <c r="AF89" i="37"/>
  <c r="AF87" i="37" s="1"/>
  <c r="AF89" i="35"/>
  <c r="AF87" i="35" s="1"/>
  <c r="AF127" i="5"/>
  <c r="AF130" i="5" s="1"/>
  <c r="AF136" i="5" s="1"/>
  <c r="AF140" i="5" s="1"/>
  <c r="AF89" i="34"/>
  <c r="AF89" i="16"/>
  <c r="AF87" i="16" s="1"/>
  <c r="X832" i="11"/>
  <c r="AF127" i="38"/>
  <c r="AF127" i="36"/>
  <c r="AF127" i="34"/>
  <c r="AF127" i="16"/>
  <c r="AF127" i="35"/>
  <c r="AF127" i="39"/>
  <c r="AF127" i="37"/>
  <c r="X191" i="11"/>
  <c r="AI77" i="34"/>
  <c r="AC812" i="11"/>
  <c r="AJ84" i="38"/>
  <c r="AJ84" i="16"/>
  <c r="AC622" i="11"/>
  <c r="AC631" i="11" s="1"/>
  <c r="AB633" i="11"/>
  <c r="AB814" i="11" s="1"/>
  <c r="C440" i="11" l="1"/>
  <c r="C128" i="37"/>
  <c r="B112" i="8"/>
  <c r="C128" i="39"/>
  <c r="C128" i="35"/>
  <c r="C128" i="5"/>
  <c r="C128" i="38"/>
  <c r="C128" i="34"/>
  <c r="C128" i="36"/>
  <c r="C128" i="16"/>
  <c r="AJ77" i="38"/>
  <c r="AI83" i="34"/>
  <c r="AJ76" i="34" s="1"/>
  <c r="AJ78" i="16"/>
  <c r="AK84" i="38"/>
  <c r="E9" i="38"/>
  <c r="E9" i="16"/>
  <c r="AC633" i="11"/>
  <c r="AK84" i="16" s="1"/>
  <c r="AF130" i="39"/>
  <c r="AF136" i="39" s="1"/>
  <c r="AF140" i="39" s="1"/>
  <c r="AF6" i="39"/>
  <c r="AF97" i="34"/>
  <c r="AF93" i="34"/>
  <c r="AG86" i="34" s="1"/>
  <c r="AG87" i="34" s="1"/>
  <c r="AF130" i="35"/>
  <c r="AF136" i="35" s="1"/>
  <c r="AF140" i="35" s="1"/>
  <c r="AF6" i="35"/>
  <c r="AF130" i="16"/>
  <c r="AF136" i="16" s="1"/>
  <c r="AF140" i="16" s="1"/>
  <c r="AF6" i="16"/>
  <c r="X6" i="11" s="1"/>
  <c r="AF97" i="35"/>
  <c r="AF93" i="35"/>
  <c r="AG86" i="35" s="1"/>
  <c r="AF130" i="34"/>
  <c r="AF136" i="34" s="1"/>
  <c r="AF140" i="34" s="1"/>
  <c r="AF6" i="34"/>
  <c r="AF97" i="37"/>
  <c r="AF93" i="37"/>
  <c r="AG86" i="37" s="1"/>
  <c r="AJ78" i="38"/>
  <c r="AJ77" i="16"/>
  <c r="AF130" i="36"/>
  <c r="AF136" i="36" s="1"/>
  <c r="AF140" i="36" s="1"/>
  <c r="AF6" i="36"/>
  <c r="AF97" i="36"/>
  <c r="AF93" i="36"/>
  <c r="AG86" i="36" s="1"/>
  <c r="AC814" i="11"/>
  <c r="AJ84" i="34"/>
  <c r="AF95" i="39"/>
  <c r="AF96" i="39" s="1"/>
  <c r="Y187" i="11"/>
  <c r="AF9" i="16"/>
  <c r="AF9" i="35"/>
  <c r="AF95" i="36"/>
  <c r="AF96" i="36" s="1"/>
  <c r="X9" i="11"/>
  <c r="AF9" i="5"/>
  <c r="AF95" i="16"/>
  <c r="AF96" i="16" s="1"/>
  <c r="AF95" i="35"/>
  <c r="AF96" i="35" s="1"/>
  <c r="AF95" i="37"/>
  <c r="AF96" i="37" s="1"/>
  <c r="AF9" i="36"/>
  <c r="AF9" i="37"/>
  <c r="AF9" i="34"/>
  <c r="AF95" i="34"/>
  <c r="AF96" i="34" s="1"/>
  <c r="AF9" i="38"/>
  <c r="AF95" i="38"/>
  <c r="AF96" i="38" s="1"/>
  <c r="AF9" i="39"/>
  <c r="AF130" i="38"/>
  <c r="AF136" i="38" s="1"/>
  <c r="AF140" i="38" s="1"/>
  <c r="AF6" i="38"/>
  <c r="AF97" i="38"/>
  <c r="AF93" i="38"/>
  <c r="AG86" i="38" s="1"/>
  <c r="AD622" i="11"/>
  <c r="AC624" i="11"/>
  <c r="AF97" i="39"/>
  <c r="AF93" i="39"/>
  <c r="AG86" i="39" s="1"/>
  <c r="AF130" i="37"/>
  <c r="AF136" i="37" s="1"/>
  <c r="AF140" i="37" s="1"/>
  <c r="AF6" i="37"/>
  <c r="AF97" i="16"/>
  <c r="AF93" i="16"/>
  <c r="AG86" i="16" s="1"/>
  <c r="B113" i="8" l="1"/>
  <c r="C453" i="11"/>
  <c r="AJ77" i="34"/>
  <c r="AJ83" i="38"/>
  <c r="AK76" i="38" s="1"/>
  <c r="AK78" i="38" s="1"/>
  <c r="AL78" i="38" s="1"/>
  <c r="AJ83" i="16"/>
  <c r="AK76" i="16" s="1"/>
  <c r="AK77" i="16" s="1"/>
  <c r="AL77" i="16" s="1"/>
  <c r="AJ78" i="34"/>
  <c r="E239" i="54"/>
  <c r="G239" i="54" s="1"/>
  <c r="E239" i="26"/>
  <c r="G239" i="26" s="1"/>
  <c r="AD624" i="11"/>
  <c r="AK84" i="34"/>
  <c r="E9" i="34"/>
  <c r="Y190" i="11"/>
  <c r="Y191" i="11" s="1"/>
  <c r="B116" i="8" l="1"/>
  <c r="C462" i="11"/>
  <c r="AK78" i="16"/>
  <c r="AL78" i="16" s="1"/>
  <c r="AL83" i="16" s="1"/>
  <c r="AK77" i="38"/>
  <c r="AL77" i="38" s="1"/>
  <c r="AL83" i="38" s="1"/>
  <c r="AJ83" i="34"/>
  <c r="AK76" i="34" s="1"/>
  <c r="AK78" i="34" s="1"/>
  <c r="AL78" i="34" s="1"/>
  <c r="AG9" i="16"/>
  <c r="AG9" i="35"/>
  <c r="Y9" i="11"/>
  <c r="AG95" i="37"/>
  <c r="AG96" i="37" s="1"/>
  <c r="Z187" i="11"/>
  <c r="AG9" i="5"/>
  <c r="AG95" i="36"/>
  <c r="AG96" i="36" s="1"/>
  <c r="AG95" i="39"/>
  <c r="AG96" i="39" s="1"/>
  <c r="AG9" i="36"/>
  <c r="AG9" i="39"/>
  <c r="AG9" i="34"/>
  <c r="AG95" i="34"/>
  <c r="AG96" i="34" s="1"/>
  <c r="AG95" i="38"/>
  <c r="AG96" i="38" s="1"/>
  <c r="AG95" i="35"/>
  <c r="AG96" i="35" s="1"/>
  <c r="AG9" i="37"/>
  <c r="AG95" i="16"/>
  <c r="AG96" i="16" s="1"/>
  <c r="AG9" i="38"/>
  <c r="E239" i="56"/>
  <c r="G239" i="56" s="1"/>
  <c r="D140" i="45"/>
  <c r="F140" i="45" s="1"/>
  <c r="D140" i="44"/>
  <c r="F140" i="44" s="1"/>
  <c r="D140" i="47"/>
  <c r="F140" i="47" s="1"/>
  <c r="E239" i="50"/>
  <c r="G239" i="50" s="1"/>
  <c r="D140" i="46"/>
  <c r="F140" i="46" s="1"/>
  <c r="D140" i="48"/>
  <c r="F140" i="48" s="1"/>
  <c r="Y877" i="11"/>
  <c r="AG89" i="39"/>
  <c r="AG87" i="39" s="1"/>
  <c r="AG89" i="38"/>
  <c r="AG87" i="38" s="1"/>
  <c r="AG89" i="36"/>
  <c r="AG87" i="36" s="1"/>
  <c r="AG89" i="37"/>
  <c r="AG87" i="37" s="1"/>
  <c r="AG89" i="34"/>
  <c r="AG127" i="5"/>
  <c r="AG130" i="5" s="1"/>
  <c r="AG136" i="5" s="1"/>
  <c r="AG140" i="5" s="1"/>
  <c r="AG89" i="35"/>
  <c r="AG87" i="35" s="1"/>
  <c r="AG89" i="16"/>
  <c r="AG87" i="16" s="1"/>
  <c r="Y832" i="11"/>
  <c r="AG127" i="37"/>
  <c r="AG127" i="34"/>
  <c r="AG127" i="35"/>
  <c r="AG127" i="16"/>
  <c r="AG127" i="36"/>
  <c r="AG127" i="39"/>
  <c r="AG127" i="38"/>
  <c r="C471" i="11" l="1"/>
  <c r="B117" i="8"/>
  <c r="AK77" i="34"/>
  <c r="AL77" i="34" s="1"/>
  <c r="AL83" i="34" s="1"/>
  <c r="AK83" i="16"/>
  <c r="AK83" i="38"/>
  <c r="AG97" i="37"/>
  <c r="AG93" i="37"/>
  <c r="AH86" i="37" s="1"/>
  <c r="AG130" i="34"/>
  <c r="AG136" i="34" s="1"/>
  <c r="AG140" i="34" s="1"/>
  <c r="AG6" i="34"/>
  <c r="AG97" i="36"/>
  <c r="AG93" i="36"/>
  <c r="AH86" i="36" s="1"/>
  <c r="AG6" i="37"/>
  <c r="AG130" i="37"/>
  <c r="AG136" i="37" s="1"/>
  <c r="AG140" i="37" s="1"/>
  <c r="AG97" i="38"/>
  <c r="AG93" i="38"/>
  <c r="AH86" i="38" s="1"/>
  <c r="AG97" i="34"/>
  <c r="AG93" i="34"/>
  <c r="AH86" i="34" s="1"/>
  <c r="AH87" i="34" s="1"/>
  <c r="AG97" i="16"/>
  <c r="AG93" i="16"/>
  <c r="AH86" i="16" s="1"/>
  <c r="AG6" i="35"/>
  <c r="AG130" i="35"/>
  <c r="AG136" i="35" s="1"/>
  <c r="AG140" i="35" s="1"/>
  <c r="AG97" i="39"/>
  <c r="AG93" i="39"/>
  <c r="AH86" i="39" s="1"/>
  <c r="AG130" i="38"/>
  <c r="AG136" i="38" s="1"/>
  <c r="AG140" i="38" s="1"/>
  <c r="AG6" i="38"/>
  <c r="AG130" i="39"/>
  <c r="AG136" i="39" s="1"/>
  <c r="AG140" i="39" s="1"/>
  <c r="AG6" i="39"/>
  <c r="AG97" i="35"/>
  <c r="AG93" i="35"/>
  <c r="AH86" i="35" s="1"/>
  <c r="Z190" i="11"/>
  <c r="AG6" i="36"/>
  <c r="AG130" i="36"/>
  <c r="AG136" i="36" s="1"/>
  <c r="AG140" i="36" s="1"/>
  <c r="AG130" i="16"/>
  <c r="AG136" i="16" s="1"/>
  <c r="AG140" i="16" s="1"/>
  <c r="AG6" i="16"/>
  <c r="Y6" i="11" s="1"/>
  <c r="C480" i="11" l="1"/>
  <c r="B118" i="8"/>
  <c r="AK83" i="34"/>
  <c r="Z877" i="11"/>
  <c r="Z832" i="11"/>
  <c r="AH89" i="39"/>
  <c r="AH97" i="39" s="1"/>
  <c r="AH89" i="36"/>
  <c r="AH97" i="36" s="1"/>
  <c r="AH89" i="37"/>
  <c r="AH97" i="37" s="1"/>
  <c r="AH89" i="38"/>
  <c r="AH97" i="38" s="1"/>
  <c r="AH89" i="34"/>
  <c r="AH97" i="34" s="1"/>
  <c r="AH89" i="16"/>
  <c r="AH97" i="16" s="1"/>
  <c r="AH127" i="5"/>
  <c r="AH130" i="5" s="1"/>
  <c r="AH136" i="5" s="1"/>
  <c r="AH140" i="5" s="1"/>
  <c r="AH89" i="35"/>
  <c r="AH97" i="35" s="1"/>
  <c r="AH127" i="36"/>
  <c r="AH127" i="34"/>
  <c r="AH127" i="35"/>
  <c r="AH127" i="38"/>
  <c r="AH127" i="16"/>
  <c r="AH127" i="37"/>
  <c r="AH127" i="39"/>
  <c r="Z191" i="11"/>
  <c r="O12" i="14" l="1"/>
  <c r="C489" i="11"/>
  <c r="B119" i="8"/>
  <c r="AH87" i="16"/>
  <c r="AH93" i="16" s="1"/>
  <c r="AI86" i="16" s="1"/>
  <c r="AH87" i="37"/>
  <c r="AH93" i="37" s="1"/>
  <c r="AI86" i="37" s="1"/>
  <c r="AH87" i="38"/>
  <c r="AH87" i="35"/>
  <c r="AH93" i="35" s="1"/>
  <c r="AI86" i="35" s="1"/>
  <c r="AH87" i="39"/>
  <c r="AH93" i="39" s="1"/>
  <c r="AI86" i="39" s="1"/>
  <c r="AH87" i="36"/>
  <c r="AH93" i="36" s="1"/>
  <c r="AI86" i="36" s="1"/>
  <c r="AH93" i="34"/>
  <c r="AI86" i="34" s="1"/>
  <c r="AI87" i="34" s="1"/>
  <c r="AA187" i="11"/>
  <c r="AH9" i="35"/>
  <c r="AH95" i="37"/>
  <c r="AH96" i="37" s="1"/>
  <c r="AH9" i="39"/>
  <c r="AH9" i="36"/>
  <c r="AH95" i="39"/>
  <c r="AH96" i="39" s="1"/>
  <c r="AH95" i="35"/>
  <c r="AH96" i="35" s="1"/>
  <c r="AH95" i="16"/>
  <c r="AH96" i="16" s="1"/>
  <c r="AH95" i="34"/>
  <c r="AH96" i="34" s="1"/>
  <c r="AH95" i="38"/>
  <c r="AH96" i="38" s="1"/>
  <c r="AH9" i="38"/>
  <c r="AH9" i="16"/>
  <c r="AH95" i="36"/>
  <c r="AH96" i="36" s="1"/>
  <c r="Z9" i="11"/>
  <c r="AH9" i="37"/>
  <c r="AH9" i="34"/>
  <c r="AH9" i="5"/>
  <c r="AH6" i="38"/>
  <c r="AH130" i="38"/>
  <c r="AH136" i="38" s="1"/>
  <c r="AH140" i="38" s="1"/>
  <c r="AH6" i="35"/>
  <c r="AH130" i="35"/>
  <c r="AH136" i="35" s="1"/>
  <c r="AH140" i="35" s="1"/>
  <c r="AH130" i="34"/>
  <c r="AH136" i="34" s="1"/>
  <c r="AH140" i="34" s="1"/>
  <c r="AH6" i="34"/>
  <c r="AH130" i="36"/>
  <c r="AH136" i="36" s="1"/>
  <c r="AH140" i="36" s="1"/>
  <c r="AH6" i="36"/>
  <c r="AH130" i="39"/>
  <c r="AH136" i="39" s="1"/>
  <c r="AH140" i="39" s="1"/>
  <c r="AH6" i="39"/>
  <c r="AH6" i="37"/>
  <c r="AH130" i="37"/>
  <c r="AH136" i="37" s="1"/>
  <c r="AH140" i="37" s="1"/>
  <c r="AH93" i="38"/>
  <c r="AI86" i="38" s="1"/>
  <c r="AH6" i="16"/>
  <c r="Z6" i="11" s="1"/>
  <c r="AH130" i="16"/>
  <c r="AH136" i="16" s="1"/>
  <c r="AH140" i="16" s="1"/>
  <c r="C498" i="11" l="1"/>
  <c r="B120" i="8"/>
  <c r="AA190" i="11"/>
  <c r="C507" i="11" l="1"/>
  <c r="B121" i="8"/>
  <c r="AA877" i="11"/>
  <c r="AA832" i="11"/>
  <c r="AI89" i="39"/>
  <c r="AI87" i="39" s="1"/>
  <c r="AI89" i="38"/>
  <c r="AI87" i="38" s="1"/>
  <c r="AI89" i="36"/>
  <c r="AI87" i="36" s="1"/>
  <c r="AI89" i="37"/>
  <c r="AI87" i="37" s="1"/>
  <c r="AI89" i="35"/>
  <c r="AI87" i="35" s="1"/>
  <c r="AI89" i="34"/>
  <c r="AI89" i="16"/>
  <c r="AI87" i="16" s="1"/>
  <c r="AI127" i="5"/>
  <c r="AI130" i="5" s="1"/>
  <c r="AI136" i="5" s="1"/>
  <c r="AI140" i="5" s="1"/>
  <c r="AI127" i="34"/>
  <c r="AI127" i="39"/>
  <c r="AI127" i="38"/>
  <c r="AI127" i="35"/>
  <c r="AI127" i="37"/>
  <c r="AI127" i="36"/>
  <c r="AI127" i="16"/>
  <c r="AA191" i="11"/>
  <c r="C519" i="11" l="1"/>
  <c r="C132" i="35"/>
  <c r="B122" i="8"/>
  <c r="C132" i="38"/>
  <c r="C132" i="37"/>
  <c r="C132" i="16"/>
  <c r="O17" i="14"/>
  <c r="C132" i="36"/>
  <c r="C132" i="5"/>
  <c r="C132" i="39"/>
  <c r="C132" i="34"/>
  <c r="AI97" i="36"/>
  <c r="AI93" i="36"/>
  <c r="AJ86" i="36" s="1"/>
  <c r="AJ87" i="36" s="1"/>
  <c r="AI97" i="38"/>
  <c r="AI93" i="38"/>
  <c r="AJ86" i="38" s="1"/>
  <c r="AI130" i="36"/>
  <c r="AI136" i="36" s="1"/>
  <c r="AI140" i="36" s="1"/>
  <c r="AI6" i="36"/>
  <c r="AI97" i="35"/>
  <c r="AI93" i="35"/>
  <c r="AJ86" i="35" s="1"/>
  <c r="AI130" i="38"/>
  <c r="AI136" i="38" s="1"/>
  <c r="AI140" i="38" s="1"/>
  <c r="AI6" i="38"/>
  <c r="AI130" i="34"/>
  <c r="AI136" i="34" s="1"/>
  <c r="AI140" i="34" s="1"/>
  <c r="AI6" i="34"/>
  <c r="AI97" i="39"/>
  <c r="AI93" i="39"/>
  <c r="AJ86" i="39" s="1"/>
  <c r="AJ87" i="39" s="1"/>
  <c r="AI130" i="37"/>
  <c r="AI136" i="37" s="1"/>
  <c r="AI140" i="37" s="1"/>
  <c r="AI6" i="37"/>
  <c r="AI97" i="37"/>
  <c r="AI93" i="37"/>
  <c r="AJ86" i="37" s="1"/>
  <c r="AI130" i="39"/>
  <c r="AI136" i="39" s="1"/>
  <c r="AI140" i="39" s="1"/>
  <c r="AI6" i="39"/>
  <c r="AI97" i="34"/>
  <c r="AI93" i="34"/>
  <c r="AJ86" i="34" s="1"/>
  <c r="AI6" i="35"/>
  <c r="AI130" i="35"/>
  <c r="AI136" i="35" s="1"/>
  <c r="AI140" i="35" s="1"/>
  <c r="AA9" i="11"/>
  <c r="AI95" i="38"/>
  <c r="AI96" i="38" s="1"/>
  <c r="AI95" i="34"/>
  <c r="AI96" i="34" s="1"/>
  <c r="AI95" i="35"/>
  <c r="AI96" i="35" s="1"/>
  <c r="AI95" i="37"/>
  <c r="AI96" i="37" s="1"/>
  <c r="AI95" i="16"/>
  <c r="AI96" i="16" s="1"/>
  <c r="AI9" i="16"/>
  <c r="AI9" i="38"/>
  <c r="AI9" i="34"/>
  <c r="AB187" i="11"/>
  <c r="AI95" i="36"/>
  <c r="AI96" i="36" s="1"/>
  <c r="AI9" i="37"/>
  <c r="AI9" i="5"/>
  <c r="AI95" i="39"/>
  <c r="AI96" i="39" s="1"/>
  <c r="AI9" i="35"/>
  <c r="AI9" i="39"/>
  <c r="AI9" i="36"/>
  <c r="AI130" i="16"/>
  <c r="AI136" i="16" s="1"/>
  <c r="AI140" i="16" s="1"/>
  <c r="AI6" i="16"/>
  <c r="AA6" i="11" s="1"/>
  <c r="AI97" i="16"/>
  <c r="AI93" i="16"/>
  <c r="AJ86" i="16" s="1"/>
  <c r="C528" i="11" l="1"/>
  <c r="B125" i="8"/>
  <c r="AJ87" i="35"/>
  <c r="AJ87" i="16"/>
  <c r="AJ87" i="34"/>
  <c r="AB190" i="11"/>
  <c r="AB191" i="11" s="1"/>
  <c r="AJ87" i="38"/>
  <c r="AJ87" i="37"/>
  <c r="C537" i="11" l="1"/>
  <c r="B126" i="8"/>
  <c r="AJ9" i="37"/>
  <c r="AJ9" i="35"/>
  <c r="AC187" i="11"/>
  <c r="AC190" i="11" s="1"/>
  <c r="AJ95" i="36"/>
  <c r="AJ96" i="36" s="1"/>
  <c r="AB9" i="11"/>
  <c r="AJ9" i="36"/>
  <c r="AJ95" i="39"/>
  <c r="AJ96" i="39" s="1"/>
  <c r="AJ95" i="34"/>
  <c r="AJ96" i="34" s="1"/>
  <c r="AJ9" i="39"/>
  <c r="AJ9" i="34"/>
  <c r="AJ95" i="35"/>
  <c r="AJ96" i="35" s="1"/>
  <c r="AJ95" i="38"/>
  <c r="AJ96" i="38" s="1"/>
  <c r="AJ9" i="16"/>
  <c r="AJ9" i="38"/>
  <c r="AJ95" i="16"/>
  <c r="AJ96" i="16" s="1"/>
  <c r="AJ95" i="37"/>
  <c r="AJ96" i="37" s="1"/>
  <c r="AJ9" i="5"/>
  <c r="AJ89" i="38"/>
  <c r="AL89" i="38" s="1"/>
  <c r="E215" i="54" s="1"/>
  <c r="AJ127" i="37"/>
  <c r="AJ89" i="16"/>
  <c r="AJ127" i="34"/>
  <c r="AB877" i="11"/>
  <c r="AJ127" i="36"/>
  <c r="AJ127" i="16"/>
  <c r="AB832" i="11"/>
  <c r="AJ89" i="36"/>
  <c r="AJ127" i="39"/>
  <c r="AJ89" i="39"/>
  <c r="AJ127" i="35"/>
  <c r="AJ89" i="35"/>
  <c r="AL89" i="35" s="1"/>
  <c r="E215" i="51" s="1"/>
  <c r="AJ127" i="38"/>
  <c r="AJ89" i="34"/>
  <c r="AJ89" i="37"/>
  <c r="AJ127" i="5"/>
  <c r="AJ130" i="5" s="1"/>
  <c r="AJ136" i="5" s="1"/>
  <c r="AJ140" i="5" s="1"/>
  <c r="O31" i="14" l="1"/>
  <c r="C546" i="11"/>
  <c r="B127" i="8"/>
  <c r="AL89" i="37"/>
  <c r="E215" i="53" s="1"/>
  <c r="AJ93" i="37"/>
  <c r="AK86" i="37" s="1"/>
  <c r="AL89" i="39"/>
  <c r="E215" i="55" s="1"/>
  <c r="AJ93" i="39"/>
  <c r="AK86" i="39" s="1"/>
  <c r="AL89" i="16"/>
  <c r="AJ93" i="16"/>
  <c r="AK86" i="16" s="1"/>
  <c r="AC191" i="11"/>
  <c r="AK127" i="16"/>
  <c r="AK127" i="38"/>
  <c r="AK127" i="37"/>
  <c r="AK127" i="36"/>
  <c r="AK127" i="5"/>
  <c r="AK130" i="5" s="1"/>
  <c r="AK136" i="5" s="1"/>
  <c r="AK140" i="5" s="1"/>
  <c r="AC832" i="11"/>
  <c r="AK127" i="34"/>
  <c r="AK127" i="35"/>
  <c r="AC877" i="11"/>
  <c r="AK127" i="39"/>
  <c r="AD190" i="11"/>
  <c r="AJ6" i="39"/>
  <c r="AJ130" i="39"/>
  <c r="AJ136" i="39" s="1"/>
  <c r="AJ140" i="39" s="1"/>
  <c r="AJ6" i="37"/>
  <c r="AJ130" i="37"/>
  <c r="AJ136" i="37" s="1"/>
  <c r="AJ140" i="37" s="1"/>
  <c r="AL89" i="36"/>
  <c r="E215" i="52" s="1"/>
  <c r="AJ93" i="36"/>
  <c r="AK86" i="36" s="1"/>
  <c r="AJ130" i="16"/>
  <c r="AJ136" i="16" s="1"/>
  <c r="AJ140" i="16" s="1"/>
  <c r="AJ6" i="16"/>
  <c r="AB6" i="11" s="1"/>
  <c r="AJ130" i="38"/>
  <c r="AJ136" i="38" s="1"/>
  <c r="AJ140" i="38" s="1"/>
  <c r="AJ6" i="38"/>
  <c r="AJ130" i="36"/>
  <c r="AJ136" i="36" s="1"/>
  <c r="AJ140" i="36" s="1"/>
  <c r="AJ6" i="36"/>
  <c r="AL89" i="34"/>
  <c r="E215" i="50" s="1"/>
  <c r="AJ93" i="34"/>
  <c r="AK86" i="34" s="1"/>
  <c r="AJ93" i="35"/>
  <c r="AK86" i="35" s="1"/>
  <c r="AJ6" i="35"/>
  <c r="AJ130" i="35"/>
  <c r="AJ136" i="35" s="1"/>
  <c r="AJ140" i="35" s="1"/>
  <c r="AJ6" i="34"/>
  <c r="AJ130" i="34"/>
  <c r="AJ136" i="34" s="1"/>
  <c r="AJ140" i="34" s="1"/>
  <c r="AJ93" i="38"/>
  <c r="AK86" i="38" s="1"/>
  <c r="C555" i="11" l="1"/>
  <c r="B128" i="8"/>
  <c r="AK87" i="35"/>
  <c r="AL87" i="35" s="1"/>
  <c r="AL93" i="35" s="1"/>
  <c r="AK87" i="38"/>
  <c r="AL87" i="38" s="1"/>
  <c r="AL93" i="38" s="1"/>
  <c r="AK87" i="36"/>
  <c r="AL87" i="36" s="1"/>
  <c r="AL93" i="36" s="1"/>
  <c r="AK6" i="16"/>
  <c r="AC6" i="11" s="1"/>
  <c r="AK130" i="16"/>
  <c r="AK136" i="16" s="1"/>
  <c r="AK140" i="16" s="1"/>
  <c r="AC9" i="11"/>
  <c r="AK95" i="39"/>
  <c r="AK96" i="39" s="1"/>
  <c r="AK9" i="36"/>
  <c r="AK9" i="16"/>
  <c r="E9" i="11"/>
  <c r="AK95" i="34"/>
  <c r="AK96" i="34" s="1"/>
  <c r="E9" i="5"/>
  <c r="K5" i="24" s="1"/>
  <c r="AK95" i="38"/>
  <c r="AK96" i="38" s="1"/>
  <c r="AK95" i="35"/>
  <c r="AK96" i="35" s="1"/>
  <c r="AK9" i="35"/>
  <c r="AK9" i="34"/>
  <c r="AK9" i="39"/>
  <c r="AK95" i="37"/>
  <c r="AK96" i="37" s="1"/>
  <c r="AK9" i="38"/>
  <c r="AK95" i="16"/>
  <c r="AK96" i="16" s="1"/>
  <c r="AK9" i="37"/>
  <c r="AL9" i="5"/>
  <c r="AK95" i="36"/>
  <c r="AK96" i="36" s="1"/>
  <c r="AK9" i="5"/>
  <c r="AK6" i="34"/>
  <c r="AK130" i="34"/>
  <c r="AK136" i="34" s="1"/>
  <c r="AK140" i="34" s="1"/>
  <c r="AK87" i="16"/>
  <c r="AL87" i="16" s="1"/>
  <c r="AL93" i="16" s="1"/>
  <c r="AK6" i="35"/>
  <c r="AK130" i="35"/>
  <c r="AK136" i="35" s="1"/>
  <c r="AK140" i="35" s="1"/>
  <c r="E215" i="56"/>
  <c r="E217" i="56" s="1"/>
  <c r="E217" i="51"/>
  <c r="E217" i="52"/>
  <c r="E217" i="54"/>
  <c r="E217" i="53"/>
  <c r="E215" i="26"/>
  <c r="E217" i="26" s="1"/>
  <c r="E217" i="55"/>
  <c r="E217" i="50"/>
  <c r="AK87" i="39"/>
  <c r="AL87" i="39" s="1"/>
  <c r="AL93" i="39" s="1"/>
  <c r="AK130" i="36"/>
  <c r="AK136" i="36" s="1"/>
  <c r="AK140" i="36" s="1"/>
  <c r="AK6" i="36"/>
  <c r="AK87" i="34"/>
  <c r="AL87" i="34" s="1"/>
  <c r="AL93" i="34" s="1"/>
  <c r="AL127" i="36"/>
  <c r="AL127" i="16"/>
  <c r="AL127" i="5"/>
  <c r="AL130" i="5" s="1"/>
  <c r="AL136" i="5" s="1"/>
  <c r="AL140" i="5" s="1"/>
  <c r="AL127" i="37"/>
  <c r="AD877" i="11"/>
  <c r="AL127" i="34"/>
  <c r="AL127" i="39"/>
  <c r="AD191" i="11"/>
  <c r="AL127" i="38"/>
  <c r="AL127" i="35"/>
  <c r="AK130" i="37"/>
  <c r="AK136" i="37" s="1"/>
  <c r="AK140" i="37" s="1"/>
  <c r="AK6" i="37"/>
  <c r="AK87" i="37"/>
  <c r="AL87" i="37" s="1"/>
  <c r="AL93" i="37" s="1"/>
  <c r="AK130" i="39"/>
  <c r="AK136" i="39" s="1"/>
  <c r="AK140" i="39" s="1"/>
  <c r="AK6" i="39"/>
  <c r="AK130" i="38"/>
  <c r="AK136" i="38" s="1"/>
  <c r="AK140" i="38" s="1"/>
  <c r="AK6" i="38"/>
  <c r="B129" i="8" l="1"/>
  <c r="C564" i="11"/>
  <c r="AK93" i="35"/>
  <c r="AK93" i="36"/>
  <c r="AK93" i="39"/>
  <c r="AK93" i="16"/>
  <c r="AL130" i="35"/>
  <c r="AL136" i="35" s="1"/>
  <c r="AL140" i="35" s="1"/>
  <c r="AL6" i="35"/>
  <c r="E6" i="35"/>
  <c r="AK93" i="37"/>
  <c r="E6" i="34"/>
  <c r="AL130" i="34"/>
  <c r="AL136" i="34" s="1"/>
  <c r="AL140" i="34" s="1"/>
  <c r="AL6" i="34"/>
  <c r="N5" i="24"/>
  <c r="L5" i="24"/>
  <c r="O5" i="24" s="1"/>
  <c r="AL6" i="16"/>
  <c r="AL130" i="16"/>
  <c r="AL136" i="16" s="1"/>
  <c r="AL140" i="16" s="1"/>
  <c r="E6" i="16"/>
  <c r="E6" i="11" s="1"/>
  <c r="AL6" i="39"/>
  <c r="AL130" i="39"/>
  <c r="AL136" i="39" s="1"/>
  <c r="AL140" i="39" s="1"/>
  <c r="E6" i="39"/>
  <c r="AL130" i="37"/>
  <c r="AL136" i="37" s="1"/>
  <c r="AL140" i="37" s="1"/>
  <c r="AL6" i="37"/>
  <c r="E6" i="37"/>
  <c r="AK93" i="38"/>
  <c r="AL130" i="38"/>
  <c r="AL136" i="38" s="1"/>
  <c r="AL140" i="38" s="1"/>
  <c r="E6" i="38"/>
  <c r="AL6" i="38"/>
  <c r="AL130" i="36"/>
  <c r="AL136" i="36" s="1"/>
  <c r="AL140" i="36" s="1"/>
  <c r="AL6" i="36"/>
  <c r="E6" i="36"/>
  <c r="AL95" i="16"/>
  <c r="AL96" i="16" s="1"/>
  <c r="AL95" i="38"/>
  <c r="AL96" i="38" s="1"/>
  <c r="AL95" i="36"/>
  <c r="AL96" i="36" s="1"/>
  <c r="AL95" i="37"/>
  <c r="AL96" i="37" s="1"/>
  <c r="AL95" i="35"/>
  <c r="AL96" i="35" s="1"/>
  <c r="AL95" i="39"/>
  <c r="AL96" i="39" s="1"/>
  <c r="AL95" i="34"/>
  <c r="AL96" i="34" s="1"/>
  <c r="AK93" i="34"/>
  <c r="O32" i="14" l="1"/>
  <c r="B130" i="8"/>
  <c r="C573" i="11"/>
  <c r="C129" i="39" l="1"/>
  <c r="C129" i="35"/>
  <c r="B131" i="8"/>
  <c r="C129" i="16"/>
  <c r="C129" i="38"/>
  <c r="C129" i="34"/>
  <c r="C129" i="37"/>
  <c r="C129" i="36"/>
  <c r="C129" i="5"/>
  <c r="C582" i="11"/>
  <c r="C591" i="11" l="1"/>
  <c r="B132" i="8"/>
  <c r="C600" i="11" l="1"/>
  <c r="B133" i="8"/>
  <c r="B134" i="8" l="1"/>
  <c r="C609" i="11"/>
  <c r="C618" i="11" l="1"/>
  <c r="B135" i="8"/>
  <c r="B136" i="8" l="1"/>
  <c r="C627" i="11"/>
  <c r="C636" i="11" l="1"/>
  <c r="B137" i="8"/>
  <c r="C649" i="11" l="1"/>
  <c r="B138" i="8"/>
  <c r="C658" i="11" l="1"/>
  <c r="B141" i="8"/>
  <c r="B142" i="8" l="1"/>
  <c r="C667" i="11"/>
  <c r="B143" i="8" l="1"/>
  <c r="C676" i="11"/>
  <c r="O45" i="14"/>
  <c r="C685" i="11" l="1"/>
  <c r="B144" i="8"/>
  <c r="C694" i="11" l="1"/>
  <c r="B145" i="8"/>
  <c r="C703" i="11" l="1"/>
  <c r="B146" i="8"/>
  <c r="B147" i="8" l="1"/>
  <c r="C712" i="11"/>
  <c r="B148" i="8" l="1"/>
  <c r="C721" i="11"/>
  <c r="B149" i="8" l="1"/>
  <c r="C741" i="11"/>
  <c r="C723" i="11"/>
  <c r="C732" i="11" s="1"/>
  <c r="C133" i="38" l="1"/>
  <c r="C133" i="34"/>
  <c r="C133" i="37"/>
  <c r="C133" i="16"/>
  <c r="C753" i="11"/>
  <c r="C762" i="11" s="1"/>
  <c r="C133" i="36"/>
  <c r="C133" i="5"/>
  <c r="C133" i="39"/>
  <c r="B150" i="8"/>
  <c r="C133"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Larry Hobson</author>
  </authors>
  <commentList>
    <comment ref="C15" authorId="0" shapeId="0" xr:uid="{DC01933E-9AC2-47F2-876C-1FDDE1423039}">
      <text>
        <r>
          <rPr>
            <b/>
            <sz val="9"/>
            <color indexed="81"/>
            <rFont val="Tahoma"/>
            <charset val="1"/>
          </rPr>
          <t>Larry Hobson:</t>
        </r>
        <r>
          <rPr>
            <sz val="9"/>
            <color indexed="81"/>
            <rFont val="Tahoma"/>
            <charset val="1"/>
          </rPr>
          <t xml:space="preserve">
For information only, as a reminder of the Province &amp; Scenario Combination selected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Larry Hobson</author>
  </authors>
  <commentList>
    <comment ref="J12" authorId="0" shapeId="0" xr:uid="{23F1A8F8-E0C2-4A72-9470-4EEE310CCE5C}">
      <text>
        <r>
          <rPr>
            <b/>
            <sz val="9"/>
            <color indexed="81"/>
            <rFont val="Tahoma"/>
            <family val="2"/>
          </rPr>
          <t>Larry Hobson:</t>
        </r>
        <r>
          <rPr>
            <sz val="9"/>
            <color indexed="81"/>
            <rFont val="Tahoma"/>
            <family val="2"/>
          </rPr>
          <t xml:space="preserve">
Copy and paste values between J13-AB13 to the rows below for base case and scenarios.</t>
        </r>
      </text>
    </comment>
    <comment ref="L12" authorId="0" shapeId="0" xr:uid="{B50F0497-91BA-435A-9B6C-E108B3FD298B}">
      <text>
        <r>
          <rPr>
            <b/>
            <sz val="9"/>
            <color indexed="81"/>
            <rFont val="Tahoma"/>
            <family val="2"/>
          </rPr>
          <t>Larry Hobson:</t>
        </r>
        <r>
          <rPr>
            <sz val="9"/>
            <color indexed="81"/>
            <rFont val="Tahoma"/>
            <family val="2"/>
          </rPr>
          <t xml:space="preserve">
After defining and selecting the scenario, copy and paste the results between cell K12 and AK 12 as VALUES to the rows below corresponding to each scenario or Base Case.</t>
        </r>
      </text>
    </comment>
    <comment ref="J17" authorId="0" shapeId="0" xr:uid="{972D807D-B5D4-4733-85E7-1215CC56CE07}">
      <text>
        <r>
          <rPr>
            <b/>
            <sz val="9"/>
            <color indexed="81"/>
            <rFont val="Tahoma"/>
            <family val="2"/>
          </rPr>
          <t>Larry Hobson:</t>
        </r>
        <r>
          <rPr>
            <sz val="9"/>
            <color indexed="81"/>
            <rFont val="Tahoma"/>
            <family val="2"/>
          </rPr>
          <t xml:space="preserve">
Results for Scenario 4 will appear in this row only if Scenario 4 has been selected on the Dashboard worksheet.
If you want to save the results of Scenario 4 on this row, Select "Total"and "Sc4" in the Dashboard worksheet. Then copy the results from J12-Ai12 and paste as values to J17-Ai17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Larry Hobson</author>
  </authors>
  <commentList>
    <comment ref="I14" authorId="0" shapeId="0" xr:uid="{835A14BF-1685-4FF4-8163-189168D20C33}">
      <text>
        <r>
          <rPr>
            <b/>
            <sz val="9"/>
            <color indexed="81"/>
            <rFont val="Tahoma"/>
            <family val="2"/>
          </rPr>
          <t>Larry Hobson:</t>
        </r>
        <r>
          <rPr>
            <sz val="9"/>
            <color indexed="81"/>
            <rFont val="Tahoma"/>
            <family val="2"/>
          </rPr>
          <t xml:space="preserve">
2017 and 2018 financial year results will not be affect by any scenarios designed in Oct 2017, so should not change from the As Is situation.</t>
        </r>
      </text>
    </comment>
    <comment ref="L14" authorId="0" shapeId="0" xr:uid="{3D2FCDB3-5FC4-4F82-B6CB-FF49B866868D}">
      <text>
        <r>
          <rPr>
            <b/>
            <sz val="9"/>
            <color indexed="81"/>
            <rFont val="Tahoma"/>
            <family val="2"/>
          </rPr>
          <t>Larry Hobson:</t>
        </r>
        <r>
          <rPr>
            <sz val="9"/>
            <color indexed="81"/>
            <rFont val="Tahoma"/>
            <family val="2"/>
          </rPr>
          <t xml:space="preserve">
Enter the no. of years expected for the HS Rental Programme to close.</t>
        </r>
      </text>
    </comment>
    <comment ref="F23" authorId="0" shapeId="0" xr:uid="{E721A1EA-CB32-482A-B9CF-7465F13C2B42}">
      <text>
        <r>
          <rPr>
            <b/>
            <sz val="9"/>
            <color indexed="81"/>
            <rFont val="Tahoma"/>
            <family val="2"/>
          </rPr>
          <t>Larry Hobson:</t>
        </r>
        <r>
          <rPr>
            <sz val="9"/>
            <color indexed="81"/>
            <rFont val="Tahoma"/>
            <family val="2"/>
          </rPr>
          <t xml:space="preserve">
Actual CPI 2014-2016 per www.statssa.gov.za</t>
        </r>
      </text>
    </comment>
    <comment ref="I23" authorId="0" shapeId="0" xr:uid="{46BC3962-9182-4D51-87B7-A73A87D75303}">
      <text>
        <r>
          <rPr>
            <b/>
            <sz val="9"/>
            <color indexed="81"/>
            <rFont val="Tahoma"/>
            <family val="2"/>
          </rPr>
          <t>Larry Hobson:</t>
        </r>
        <r>
          <rPr>
            <sz val="9"/>
            <color indexed="81"/>
            <rFont val="Tahoma"/>
            <family val="2"/>
          </rPr>
          <t xml:space="preserve">
Average CPI forecast by Investec over 5 years is 5.5%.</t>
        </r>
      </text>
    </comment>
    <comment ref="I33" authorId="0" shapeId="0" xr:uid="{87E3733F-A036-44C1-B8D9-DA17A0FFC75C}">
      <text>
        <r>
          <rPr>
            <b/>
            <sz val="9"/>
            <color indexed="81"/>
            <rFont val="Tahoma"/>
            <family val="2"/>
          </rPr>
          <t>Larry Hobson:</t>
        </r>
        <r>
          <rPr>
            <sz val="9"/>
            <color indexed="81"/>
            <rFont val="Tahoma"/>
            <family val="2"/>
          </rPr>
          <t xml:space="preserve">
Enter the % of properties held at 2016 that will be sold in this year of the forecast. Y0 and Y1 are set at average of last 3 yrs or following trend if apparent.</t>
        </r>
      </text>
    </comment>
    <comment ref="J33" authorId="0" shapeId="0" xr:uid="{81E8D3D8-0CC2-4EF0-ADCE-20C25E1F1B73}">
      <text>
        <r>
          <rPr>
            <b/>
            <sz val="9"/>
            <color indexed="81"/>
            <rFont val="Tahoma"/>
            <family val="2"/>
          </rPr>
          <t>Larry Hobson:</t>
        </r>
        <r>
          <rPr>
            <sz val="9"/>
            <color indexed="81"/>
            <rFont val="Tahoma"/>
            <family val="2"/>
          </rPr>
          <t xml:space="preserve">
Enter the % of properties held at 2016 that will be sold in this year of the forecast. Y0 and Y1 are set at average of last 3 yrs or following trend if apparent.</t>
        </r>
      </text>
    </comment>
    <comment ref="K33" authorId="0" shapeId="0" xr:uid="{DC1D6999-D8A2-4EED-98B5-0E034B0339C1}">
      <text>
        <r>
          <rPr>
            <b/>
            <sz val="9"/>
            <color indexed="81"/>
            <rFont val="Tahoma"/>
            <family val="2"/>
          </rPr>
          <t>Larry Hobson:</t>
        </r>
        <r>
          <rPr>
            <sz val="9"/>
            <color indexed="81"/>
            <rFont val="Tahoma"/>
            <family val="2"/>
          </rPr>
          <t xml:space="preserve">
Enter the % of properties held at 2016 that will be sold in this year of the forecast. From Y2 onwards, enter the % to be sold, depending on the expected effort to be put into sales.</t>
        </r>
      </text>
    </comment>
    <comment ref="F574" authorId="0" shapeId="0" xr:uid="{1E0A2FCC-12F0-48E5-83E8-60D711E84F25}">
      <text>
        <r>
          <rPr>
            <b/>
            <sz val="9"/>
            <color indexed="81"/>
            <rFont val="Tahoma"/>
            <family val="2"/>
          </rPr>
          <t>Larry Hobson:</t>
        </r>
        <r>
          <rPr>
            <sz val="9"/>
            <color indexed="81"/>
            <rFont val="Tahoma"/>
            <family val="2"/>
          </rPr>
          <t xml:space="preserve">
Rent Collected per PT Reports used in the Expenditure Review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Larry Hobson</author>
  </authors>
  <commentList>
    <comment ref="J83" authorId="0" shapeId="0" xr:uid="{06D1CC75-2C59-4E87-8C93-DB521D443EBB}">
      <text>
        <r>
          <rPr>
            <b/>
            <sz val="9"/>
            <color indexed="81"/>
            <rFont val="Tahoma"/>
            <family val="2"/>
          </rPr>
          <t>Larry Hobson:</t>
        </r>
        <r>
          <rPr>
            <sz val="9"/>
            <color indexed="81"/>
            <rFont val="Tahoma"/>
            <family val="2"/>
          </rPr>
          <t xml:space="preserve">
203 Flats &amp; 57 Garages</t>
        </r>
      </text>
    </comment>
    <comment ref="K83" authorId="0" shapeId="0" xr:uid="{23639145-86A8-40B2-A051-51F879BA8807}">
      <text>
        <r>
          <rPr>
            <b/>
            <sz val="9"/>
            <color indexed="81"/>
            <rFont val="Tahoma"/>
            <family val="2"/>
          </rPr>
          <t>Larry Hobson:</t>
        </r>
        <r>
          <rPr>
            <sz val="9"/>
            <color indexed="81"/>
            <rFont val="Tahoma"/>
            <family val="2"/>
          </rPr>
          <t xml:space="preserve">
88 Flats &amp; 14 Garages</t>
        </r>
      </text>
    </comment>
    <comment ref="E171" authorId="0" shapeId="0" xr:uid="{EC04F034-7D4C-4E48-A0B0-21C27AD2CD21}">
      <text>
        <r>
          <rPr>
            <b/>
            <sz val="9"/>
            <color indexed="81"/>
            <rFont val="Tahoma"/>
            <family val="2"/>
          </rPr>
          <t>Larry Hobson:</t>
        </r>
        <r>
          <rPr>
            <sz val="9"/>
            <color indexed="81"/>
            <rFont val="Tahoma"/>
            <family val="2"/>
          </rPr>
          <t xml:space="preserve">
per HS Debtors System</t>
        </r>
      </text>
    </comment>
    <comment ref="M187" authorId="0" shapeId="0" xr:uid="{2CBBA78C-DEC9-4E33-ADDC-9E99822A97B2}">
      <text>
        <r>
          <rPr>
            <b/>
            <sz val="9"/>
            <color indexed="81"/>
            <rFont val="Tahoma"/>
            <family val="2"/>
          </rPr>
          <t>Larry Hobson:</t>
        </r>
        <r>
          <rPr>
            <sz val="9"/>
            <color indexed="81"/>
            <rFont val="Tahoma"/>
            <family val="2"/>
          </rPr>
          <t xml:space="preserve">
NDoHS Summary contained a note "not received", so the same amount as previous year has been entered until the actual figure is received.</t>
        </r>
      </text>
    </comment>
    <comment ref="M249" authorId="0" shapeId="0" xr:uid="{43588D50-92DC-4E32-AC65-CDC1562815FC}">
      <text>
        <r>
          <rPr>
            <b/>
            <sz val="9"/>
            <color indexed="81"/>
            <rFont val="Tahoma"/>
            <family val="2"/>
          </rPr>
          <t>Larry Hobson:</t>
        </r>
        <r>
          <rPr>
            <sz val="9"/>
            <color indexed="81"/>
            <rFont val="Tahoma"/>
            <family val="2"/>
          </rPr>
          <t xml:space="preserve">
NDoHS Summary contained a note "not received", so the same amount as previous year has been entered until the actual figure is received.</t>
        </r>
      </text>
    </comment>
    <comment ref="M420" authorId="0" shapeId="0" xr:uid="{67228550-283A-4017-B203-64A20FC80920}">
      <text>
        <r>
          <rPr>
            <b/>
            <sz val="9"/>
            <color indexed="81"/>
            <rFont val="Tahoma"/>
            <family val="2"/>
          </rPr>
          <t>Larry Hobson:</t>
        </r>
        <r>
          <rPr>
            <sz val="9"/>
            <color indexed="81"/>
            <rFont val="Tahoma"/>
            <family val="2"/>
          </rPr>
          <t xml:space="preserve">
NDoHS Summary contained a note "not received", so the same amount as previous year has been entered until the actual figure is received.</t>
        </r>
      </text>
    </comment>
  </commentList>
</comments>
</file>

<file path=xl/sharedStrings.xml><?xml version="1.0" encoding="utf-8"?>
<sst xmlns="http://schemas.openxmlformats.org/spreadsheetml/2006/main" count="5679" uniqueCount="1802">
  <si>
    <t>EEDBS per unit</t>
  </si>
  <si>
    <t>EC</t>
  </si>
  <si>
    <t>FS</t>
  </si>
  <si>
    <t>Gau</t>
  </si>
  <si>
    <t>KZN</t>
  </si>
  <si>
    <t>WC</t>
  </si>
  <si>
    <t>Province</t>
  </si>
  <si>
    <t>Dwellings</t>
  </si>
  <si>
    <t>Flats</t>
  </si>
  <si>
    <t>Rooms</t>
  </si>
  <si>
    <t>Other</t>
  </si>
  <si>
    <t>Total</t>
  </si>
  <si>
    <t>%</t>
  </si>
  <si>
    <t>% of Properties Qualifying for EEDBS</t>
  </si>
  <si>
    <t>% of Properties Occupied</t>
  </si>
  <si>
    <t>Total EEDBS</t>
  </si>
  <si>
    <t>Rental Debtors Portfolio @ 31/03/2017</t>
  </si>
  <si>
    <t>D. Rental Debtors</t>
  </si>
  <si>
    <t>D</t>
  </si>
  <si>
    <t>Rental Debtors</t>
  </si>
  <si>
    <t>D1</t>
  </si>
  <si>
    <t>Rental Debtors per Debtors System Age Analysis</t>
  </si>
  <si>
    <t>D1.1</t>
  </si>
  <si>
    <t>Total Debtors' Balances</t>
  </si>
  <si>
    <t>D1.2</t>
  </si>
  <si>
    <t>Total of Age Analysis</t>
  </si>
  <si>
    <t>D1.3</t>
  </si>
  <si>
    <t>Current</t>
  </si>
  <si>
    <t>D1.4</t>
  </si>
  <si>
    <t>30 days</t>
  </si>
  <si>
    <t>D1.5</t>
  </si>
  <si>
    <t>60 days</t>
  </si>
  <si>
    <t>D1.6</t>
  </si>
  <si>
    <t>90 days</t>
  </si>
  <si>
    <t>D1.7</t>
  </si>
  <si>
    <t>120+ days</t>
  </si>
  <si>
    <t>D1.8</t>
  </si>
  <si>
    <t>D1.9</t>
  </si>
  <si>
    <t>No. of Debtors with Arrears at Year-end</t>
  </si>
  <si>
    <t>D1.10</t>
  </si>
  <si>
    <t>No of Rental Accounts Raised</t>
  </si>
  <si>
    <t>D1.11</t>
  </si>
  <si>
    <t>No. of Rental Accounts From Which Collections Were Made</t>
  </si>
  <si>
    <t>D1.12</t>
  </si>
  <si>
    <t>D1.13</t>
  </si>
  <si>
    <t>Rental Debtors per Debtors System % Age Analysis</t>
  </si>
  <si>
    <t>D1.14</t>
  </si>
  <si>
    <t>D1.15</t>
  </si>
  <si>
    <t>D1.16</t>
  </si>
  <si>
    <t>1-12 months</t>
  </si>
  <si>
    <t>D1.17</t>
  </si>
  <si>
    <t>13-60 months</t>
  </si>
  <si>
    <t>D1.18</t>
  </si>
  <si>
    <t>60+ months</t>
  </si>
  <si>
    <t>D1.19</t>
  </si>
  <si>
    <t xml:space="preserve"> </t>
  </si>
  <si>
    <t>D1.20</t>
  </si>
  <si>
    <t>No of Debtors</t>
  </si>
  <si>
    <t>Type</t>
  </si>
  <si>
    <t>Rent</t>
  </si>
  <si>
    <t>Loans/Sales</t>
  </si>
  <si>
    <t>Total Debtors</t>
  </si>
  <si>
    <t>Outstanding Amount</t>
  </si>
  <si>
    <t>Arrear Amount</t>
  </si>
  <si>
    <t>30 Days</t>
  </si>
  <si>
    <t>90 Days</t>
  </si>
  <si>
    <t>120 days</t>
  </si>
  <si>
    <t>Age Analysis per Debtor</t>
  </si>
  <si>
    <t>Project:</t>
  </si>
  <si>
    <t>Client:</t>
  </si>
  <si>
    <t>National Treasury</t>
  </si>
  <si>
    <t>Version:</t>
  </si>
  <si>
    <t>Date:</t>
  </si>
  <si>
    <t>Developed for</t>
  </si>
  <si>
    <t>Developed by</t>
  </si>
  <si>
    <t>Project team</t>
  </si>
  <si>
    <t>Gafee Vengadajellum</t>
  </si>
  <si>
    <t>Odette Crofton</t>
  </si>
  <si>
    <t>Santhurie Naidoo</t>
  </si>
  <si>
    <t>Larry Hobson</t>
  </si>
  <si>
    <t>Saloshna Shunmugum</t>
  </si>
  <si>
    <t>Serena Shunmugam</t>
  </si>
  <si>
    <t>Adrian DiLollo</t>
  </si>
  <si>
    <t>Ilse Martin</t>
  </si>
  <si>
    <t>Kate Shand</t>
  </si>
  <si>
    <t>Table of contents</t>
  </si>
  <si>
    <t>Sheet No</t>
  </si>
  <si>
    <t>Link to sheet</t>
  </si>
  <si>
    <t>Cover</t>
  </si>
  <si>
    <t>Contents</t>
  </si>
  <si>
    <t>1b</t>
  </si>
  <si>
    <t xml:space="preserve">Performance and Expenditure Review of Provincial Government Housing Rental Stock </t>
  </si>
  <si>
    <t>Tinashe Guramatunhu</t>
  </si>
  <si>
    <t>Model Design</t>
  </si>
  <si>
    <t>Scenarios</t>
  </si>
  <si>
    <t>HUMAN SETTLEMENTS</t>
  </si>
  <si>
    <t>Source of Information and Comments</t>
  </si>
  <si>
    <t>TO COMPLETE THE TABLE</t>
  </si>
  <si>
    <t>Expenditure Review</t>
  </si>
  <si>
    <t>Gauteng</t>
  </si>
  <si>
    <t>Source - Person</t>
  </si>
  <si>
    <t>Information Framework</t>
  </si>
  <si>
    <t>2013/14</t>
  </si>
  <si>
    <t>2014/15</t>
  </si>
  <si>
    <t>2015/16</t>
  </si>
  <si>
    <t>Source</t>
  </si>
  <si>
    <t>Comments</t>
  </si>
  <si>
    <t>Codes for Information Gathered</t>
  </si>
  <si>
    <t>Y</t>
  </si>
  <si>
    <t>Yes (=Received)</t>
  </si>
  <si>
    <t>o/s</t>
  </si>
  <si>
    <t>Outstanding</t>
  </si>
  <si>
    <t>X</t>
  </si>
  <si>
    <t>Does not exist</t>
  </si>
  <si>
    <t>NA</t>
  </si>
  <si>
    <t>Not Applicable</t>
  </si>
  <si>
    <t>Basic Information Status</t>
  </si>
  <si>
    <t>Z</t>
  </si>
  <si>
    <r>
      <t xml:space="preserve">Information Gathered </t>
    </r>
    <r>
      <rPr>
        <sz val="11"/>
        <color rgb="FFC00000"/>
        <rFont val="Calibri"/>
        <family val="2"/>
        <scheme val="minor"/>
      </rPr>
      <t>(This will be moved to the bottom later)</t>
    </r>
  </si>
  <si>
    <t>Z1</t>
  </si>
  <si>
    <t>APP</t>
  </si>
  <si>
    <t>Z2</t>
  </si>
  <si>
    <t>Business Plan</t>
  </si>
  <si>
    <t>Z3</t>
  </si>
  <si>
    <t>Budget Vote for Human Settlements</t>
  </si>
  <si>
    <t>Z4</t>
  </si>
  <si>
    <t>Asset Register</t>
  </si>
  <si>
    <t>Z5</t>
  </si>
  <si>
    <t>Lease Register or Rent Roll</t>
  </si>
  <si>
    <t>Z6</t>
  </si>
  <si>
    <t>Debtors Age Analysis</t>
  </si>
  <si>
    <t>Z7</t>
  </si>
  <si>
    <t>Period Total Reports (notepad)</t>
  </si>
  <si>
    <t>Z8</t>
  </si>
  <si>
    <t>Period Total Reports (Excel - analysed)</t>
  </si>
  <si>
    <t>Z9</t>
  </si>
  <si>
    <t>Extract of Recoverable and Non-Recoverable Expenses</t>
  </si>
  <si>
    <t>Z10</t>
  </si>
  <si>
    <t>Write-off Reports (Notepad)</t>
  </si>
  <si>
    <t>Z11</t>
  </si>
  <si>
    <t>Write-off Reports (Excel)</t>
  </si>
  <si>
    <t>Z12</t>
  </si>
  <si>
    <t>BAS Audited Trial Balance for Residential Rentals (Notepad)</t>
  </si>
  <si>
    <t>Z13</t>
  </si>
  <si>
    <t>BAS Audited Trial Balance for Residential Rentals (Excel)</t>
  </si>
  <si>
    <t>Z14</t>
  </si>
  <si>
    <t>Annual Financial Statements</t>
  </si>
  <si>
    <t>A. Asset Profile</t>
  </si>
  <si>
    <t>A</t>
  </si>
  <si>
    <t>Asset Profile</t>
  </si>
  <si>
    <t>A1</t>
  </si>
  <si>
    <t>Unit profile</t>
  </si>
  <si>
    <t>Asset register</t>
  </si>
  <si>
    <t>A1.1</t>
  </si>
  <si>
    <t>Asset Register - Saloshna</t>
  </si>
  <si>
    <t>No. of Units</t>
  </si>
  <si>
    <t>LET Prop Asset Register</t>
  </si>
  <si>
    <t>A1.2</t>
  </si>
  <si>
    <t>Lease Register/Rent Roll - Saloshna</t>
  </si>
  <si>
    <t>No. of Units Leased</t>
  </si>
  <si>
    <t>Period report</t>
  </si>
  <si>
    <t>A1.3</t>
  </si>
  <si>
    <t>% Vacancy</t>
  </si>
  <si>
    <t>A2</t>
  </si>
  <si>
    <t>Types of Units</t>
  </si>
  <si>
    <t>A2.1</t>
  </si>
  <si>
    <t>Houses</t>
  </si>
  <si>
    <t>Combined Let Property</t>
  </si>
  <si>
    <t>A2.2</t>
  </si>
  <si>
    <t>A2.3</t>
  </si>
  <si>
    <t>A2.4</t>
  </si>
  <si>
    <t>Not Known</t>
  </si>
  <si>
    <t>A2.5</t>
  </si>
  <si>
    <t>Total Units</t>
  </si>
  <si>
    <t>A3</t>
  </si>
  <si>
    <t>Property Type</t>
  </si>
  <si>
    <t>A3.1</t>
  </si>
  <si>
    <t>Bachelor</t>
  </si>
  <si>
    <t>A3.2</t>
  </si>
  <si>
    <t>1 bed</t>
  </si>
  <si>
    <t>A3.3</t>
  </si>
  <si>
    <t>2 bed</t>
  </si>
  <si>
    <t>A3.4</t>
  </si>
  <si>
    <t>3 bed</t>
  </si>
  <si>
    <t>A3.5</t>
  </si>
  <si>
    <t>A3.6</t>
  </si>
  <si>
    <t>A3.7</t>
  </si>
  <si>
    <t>A4</t>
  </si>
  <si>
    <t>Location:Town and suburb</t>
  </si>
  <si>
    <t>A4.1</t>
  </si>
  <si>
    <t>See attached schedule for each province</t>
  </si>
  <si>
    <t>A5</t>
  </si>
  <si>
    <t>Rental profile</t>
  </si>
  <si>
    <t>A5.1</t>
  </si>
  <si>
    <t>Average from rent roll or calculate from debtors list - Saloshna</t>
  </si>
  <si>
    <t>Average Rentals - per Period Total Reports</t>
  </si>
  <si>
    <t>Period Totals Total Raised/ No of Acc</t>
  </si>
  <si>
    <t>Average rentals per asset register</t>
  </si>
  <si>
    <t>A5.2</t>
  </si>
  <si>
    <t>Average rental increases</t>
  </si>
  <si>
    <t>Calculation based on debtors age analysis</t>
  </si>
  <si>
    <t>A6</t>
  </si>
  <si>
    <t>Tenant profile</t>
  </si>
  <si>
    <t>A6.1</t>
  </si>
  <si>
    <t>Ask Provinces</t>
  </si>
  <si>
    <t>No. of tenants with income &gt; R3,500 p.m.</t>
  </si>
  <si>
    <t>Leasing register</t>
  </si>
  <si>
    <t>A6.2</t>
  </si>
  <si>
    <t>No. of tenants with income &lt;= R3,500 p.m.</t>
  </si>
  <si>
    <t>Tenancy audit</t>
  </si>
  <si>
    <t>A6.3</t>
  </si>
  <si>
    <t>No. of tenants with unknown income</t>
  </si>
  <si>
    <t>A6.4</t>
  </si>
  <si>
    <t>Total tenants</t>
  </si>
  <si>
    <t>A7</t>
  </si>
  <si>
    <t>State of repair</t>
  </si>
  <si>
    <t>A7.1</t>
  </si>
  <si>
    <t>BCA rating (data entered in section F6 below)</t>
  </si>
  <si>
    <t>A7.2</t>
  </si>
  <si>
    <t>Total Historical Cost</t>
  </si>
  <si>
    <t>A7.3</t>
  </si>
  <si>
    <t>Total Market Value</t>
  </si>
  <si>
    <t>Let  Asset Register Prop</t>
  </si>
  <si>
    <t>B. Asset Planning</t>
  </si>
  <si>
    <t>B</t>
  </si>
  <si>
    <t>Asset Planning</t>
  </si>
  <si>
    <t>B1</t>
  </si>
  <si>
    <t>Budget Vote Information</t>
  </si>
  <si>
    <t>B1.1</t>
  </si>
  <si>
    <t>Budget Votes - Saloshna</t>
  </si>
  <si>
    <t xml:space="preserve">HSDG </t>
  </si>
  <si>
    <t>Jakes Recoverable Non Grant</t>
  </si>
  <si>
    <t>B1.2</t>
  </si>
  <si>
    <t>EEDBS</t>
  </si>
  <si>
    <t>B2</t>
  </si>
  <si>
    <t>Planned Sales</t>
  </si>
  <si>
    <t>B2.1</t>
  </si>
  <si>
    <t>AFS - Saloshna</t>
  </si>
  <si>
    <t>No of Sales Planned</t>
  </si>
  <si>
    <t>B2.2</t>
  </si>
  <si>
    <t>Sales Income Planned</t>
  </si>
  <si>
    <t>C. Sales Actual Performance</t>
  </si>
  <si>
    <t>C</t>
  </si>
  <si>
    <t>Sales Actual Performance</t>
  </si>
  <si>
    <t>C1</t>
  </si>
  <si>
    <t>Actual No. of Transactions</t>
  </si>
  <si>
    <t>C1.1</t>
  </si>
  <si>
    <t>No of sales</t>
  </si>
  <si>
    <t>From PT Totals ACC Rent Aised Les previous year referb2 rows below</t>
  </si>
  <si>
    <t>C1.2</t>
  </si>
  <si>
    <t>No of transfers</t>
  </si>
  <si>
    <t>From PT Acc L/s raised less previous year</t>
  </si>
  <si>
    <t>PT</t>
  </si>
  <si>
    <t>C1.3</t>
  </si>
  <si>
    <t>Period Total - Saloshna</t>
  </si>
  <si>
    <t>No. of Sales &amp; Loans Accounts Raised</t>
  </si>
  <si>
    <t>Period Total Reports</t>
  </si>
  <si>
    <t>C1.4</t>
  </si>
  <si>
    <t>No. of Sales Accounts From Which Collections Were Made</t>
  </si>
  <si>
    <t>C2</t>
  </si>
  <si>
    <t>Actual Subsidy</t>
  </si>
  <si>
    <t>C2.1</t>
  </si>
  <si>
    <t>EEDBS amount</t>
  </si>
  <si>
    <t>C3</t>
  </si>
  <si>
    <t>Actual Sales Results</t>
  </si>
  <si>
    <t>C2.2</t>
  </si>
  <si>
    <t>Income</t>
  </si>
  <si>
    <t>C2.3</t>
  </si>
  <si>
    <t>EEDBS Grant Received per HS debtors system</t>
  </si>
  <si>
    <t>EEDBS Jakes Batch 2</t>
  </si>
  <si>
    <t>C2.4</t>
  </si>
  <si>
    <t>Sales Income</t>
  </si>
  <si>
    <t>Schedule from Province</t>
  </si>
  <si>
    <t>C2.5</t>
  </si>
  <si>
    <t>Total Sales Income and Grants</t>
  </si>
  <si>
    <t>C2.6</t>
  </si>
  <si>
    <t>Less: Costs</t>
  </si>
  <si>
    <t>C2.7</t>
  </si>
  <si>
    <t>? - Ask Provinces</t>
  </si>
  <si>
    <t>Cost of Sales: Selling and Conveyancing</t>
  </si>
  <si>
    <t>C2.8</t>
  </si>
  <si>
    <t>Other Costs</t>
  </si>
  <si>
    <t>C2.9</t>
  </si>
  <si>
    <t>Total Sales-related Costs</t>
  </si>
  <si>
    <t>C2.10</t>
  </si>
  <si>
    <t>Net loss/profit</t>
  </si>
  <si>
    <t>Net loss/profit from Sales as % of HSDG</t>
  </si>
  <si>
    <t>C1. Loans/Sales Debtors</t>
  </si>
  <si>
    <t>Loans/Sales Debtors per Aging Lists</t>
  </si>
  <si>
    <t>No. of Loans/Sales Debtors</t>
  </si>
  <si>
    <t>Analysis of Loans/Sales Debtors Balances per Account</t>
  </si>
  <si>
    <t>Total Balance per Loans/Sales Debtor</t>
  </si>
  <si>
    <t>Debtors Age Analysis - Saloshna</t>
  </si>
  <si>
    <t>EC Schedule Housing</t>
  </si>
  <si>
    <t>Calculation from HS Age Analysis Debtors System</t>
  </si>
  <si>
    <t>debtors age analysis no of debtors</t>
  </si>
  <si>
    <t>D1.21</t>
  </si>
  <si>
    <t>D1.22</t>
  </si>
  <si>
    <t>D1.23</t>
  </si>
  <si>
    <t>Total Aged Balance per Rental Debtor</t>
  </si>
  <si>
    <t>D1.24</t>
  </si>
  <si>
    <t>D1.25</t>
  </si>
  <si>
    <t>D1.26</t>
  </si>
  <si>
    <t>D1.27</t>
  </si>
  <si>
    <t>D1.28</t>
  </si>
  <si>
    <t>D1.29</t>
  </si>
  <si>
    <t>D1.30</t>
  </si>
  <si>
    <t>Ave. No. of months in 120+ days rental debtors</t>
  </si>
  <si>
    <t>D1.31</t>
  </si>
  <si>
    <t>Ave. No. of years in 120+ days rental debtors</t>
  </si>
  <si>
    <t>E</t>
  </si>
  <si>
    <t>Extracts from Financial Information</t>
  </si>
  <si>
    <t>E1. Financial Info Extracts - Source: NDoHS Income &amp; Expense Summary</t>
  </si>
  <si>
    <t>E1</t>
  </si>
  <si>
    <t>Debtors System Income &amp; Expense Summary as the source</t>
  </si>
  <si>
    <t>E1.1</t>
  </si>
  <si>
    <t>Income &amp; Expenses</t>
  </si>
  <si>
    <t>E1.2</t>
  </si>
  <si>
    <t>E1.3</t>
  </si>
  <si>
    <t>Rent raised</t>
  </si>
  <si>
    <t>Period Total Reports (turned off for 2 years as NDOHS Summary was available)</t>
  </si>
  <si>
    <t>Period Total Reports (turned off when NDOHS Summary was available)</t>
  </si>
  <si>
    <t>E1.4</t>
  </si>
  <si>
    <t>E1.5</t>
  </si>
  <si>
    <t>Sales</t>
  </si>
  <si>
    <t>E1.6</t>
  </si>
  <si>
    <t>Sales and Rental Income Combined</t>
  </si>
  <si>
    <t>Total Income per NDoHS Inc. &amp; Exp.  Summary (no breakdown)</t>
  </si>
  <si>
    <t>Total Income per NDoHS Inc. &amp; Exp.  Summary (no breakdown) x0 in case already included above</t>
  </si>
  <si>
    <t>E1.7</t>
  </si>
  <si>
    <t>Total Income</t>
  </si>
  <si>
    <t>E1.8</t>
  </si>
  <si>
    <t>Expenditure</t>
  </si>
  <si>
    <t>E1.9</t>
  </si>
  <si>
    <t>Direct property costs</t>
  </si>
  <si>
    <t>E1.10</t>
  </si>
  <si>
    <t>Rates &amp; Taxes</t>
  </si>
  <si>
    <t>Recoverable and Non-recoverable Expenses extracted from National HS Debtors System</t>
  </si>
  <si>
    <t>Expenses for Gau, KZN &amp; WC from Summary of Recoverable and Non-recoverable Expenses extracted from National HS Debtors System</t>
  </si>
  <si>
    <t>E1.11</t>
  </si>
  <si>
    <t>Municipal Charges</t>
  </si>
  <si>
    <t>E1.12</t>
  </si>
  <si>
    <t>Maintenance</t>
  </si>
  <si>
    <t>E1.13</t>
  </si>
  <si>
    <t>Property Payments</t>
  </si>
  <si>
    <t>E1.14</t>
  </si>
  <si>
    <t>Administering Assets</t>
  </si>
  <si>
    <t>E1.15</t>
  </si>
  <si>
    <t>E1.16</t>
  </si>
  <si>
    <t>E1.17</t>
  </si>
  <si>
    <t>E1.18</t>
  </si>
  <si>
    <t>E1.19</t>
  </si>
  <si>
    <t>E1.20</t>
  </si>
  <si>
    <t>Ask Jakes to complete 2015-16 - Odette</t>
  </si>
  <si>
    <t>Unallocated Expenses</t>
  </si>
  <si>
    <t>Total Expenses per NDoHS Inc. &amp; Exp.  Summary (no breakdown)</t>
  </si>
  <si>
    <t>Total Expenses per NDoHS Inc. &amp; Exp.  Summary less breakdown above</t>
  </si>
  <si>
    <t>E1.21</t>
  </si>
  <si>
    <t>Overheads</t>
  </si>
  <si>
    <t>E1.22</t>
  </si>
  <si>
    <t>Staff</t>
  </si>
  <si>
    <t>Staff breakdown Supplied by EC</t>
  </si>
  <si>
    <t>other 2 year % of Sales</t>
  </si>
  <si>
    <t>unit cost as per EC* given Asset Register total</t>
  </si>
  <si>
    <t>E1.23</t>
  </si>
  <si>
    <t>Office</t>
  </si>
  <si>
    <t>E1.24</t>
  </si>
  <si>
    <t>E1.25</t>
  </si>
  <si>
    <t>E1.26</t>
  </si>
  <si>
    <t>Total Expenditure</t>
  </si>
  <si>
    <t>E1.27</t>
  </si>
  <si>
    <t>Net Surplus / (Deficit)</t>
  </si>
  <si>
    <t>E1.28</t>
  </si>
  <si>
    <t>E1.29</t>
  </si>
  <si>
    <t>Cash Flow</t>
  </si>
  <si>
    <t>E1.30</t>
  </si>
  <si>
    <t>Period Totals - Saloshna</t>
  </si>
  <si>
    <t>Sales Collected</t>
  </si>
  <si>
    <t>E1.31</t>
  </si>
  <si>
    <t>Rent Collected</t>
  </si>
  <si>
    <t>per PT Reports</t>
  </si>
  <si>
    <t>E1.32</t>
  </si>
  <si>
    <t>E1.33</t>
  </si>
  <si>
    <t>Extracts from Balance Sheet using Debtors System TB as the source</t>
  </si>
  <si>
    <t>E1.34</t>
  </si>
  <si>
    <t>Rental Property (Historical Cost)</t>
  </si>
  <si>
    <t>E1.35</t>
  </si>
  <si>
    <t>Debtors System - Saloshna</t>
  </si>
  <si>
    <t>E1.36</t>
  </si>
  <si>
    <t>E1.37</t>
  </si>
  <si>
    <t>HSDG &amp; Rent &amp; Sales Raised</t>
  </si>
  <si>
    <t>E1.38</t>
  </si>
  <si>
    <t>Total HSDG Grant for the Province</t>
  </si>
  <si>
    <t>NDoHS Inc &amp; Exp Summary</t>
  </si>
  <si>
    <t>E1.39</t>
  </si>
  <si>
    <t>Rent Raised</t>
  </si>
  <si>
    <t>E1.40</t>
  </si>
  <si>
    <t>Sales Raised</t>
  </si>
  <si>
    <t>E1.41</t>
  </si>
  <si>
    <t>E1.42</t>
  </si>
  <si>
    <t>Ratios</t>
  </si>
  <si>
    <t>E1.43</t>
  </si>
  <si>
    <t>Sales &amp; Loans Collections/Sales &amp; Loans Raised</t>
  </si>
  <si>
    <t>Based on Period Total Reports</t>
  </si>
  <si>
    <t>E1.44</t>
  </si>
  <si>
    <t>Rental Collections/Rentals Raised</t>
  </si>
  <si>
    <t>E1.45</t>
  </si>
  <si>
    <t>No. of Sales Accounts Where Any Collections Were Made/Sales Accounts Raised</t>
  </si>
  <si>
    <t>E1.46</t>
  </si>
  <si>
    <t>No. of Rental Accounts Where Any Collections Were Made/Rental Accounts Raised</t>
  </si>
  <si>
    <t>E1.47</t>
  </si>
  <si>
    <t>% Increase/(Decrease) in Debtors</t>
  </si>
  <si>
    <t>Movement in Total of Age Analysis</t>
  </si>
  <si>
    <t>E1.48</t>
  </si>
  <si>
    <t>6 - Ask Provinces</t>
  </si>
  <si>
    <t>Eviction rate</t>
  </si>
  <si>
    <t>E1.49</t>
  </si>
  <si>
    <t>Cost to income ratio</t>
  </si>
  <si>
    <t>E1.50</t>
  </si>
  <si>
    <t>Maintenance as % of Expenses</t>
  </si>
  <si>
    <t>E1.51</t>
  </si>
  <si>
    <t>Maintenance Cost per Unit</t>
  </si>
  <si>
    <t>E1.52</t>
  </si>
  <si>
    <t>Net Deficit as % of HSDG Grant -  NDoHS Calc  (excl staff costs)</t>
  </si>
  <si>
    <t>Calc in NDoHS Inc. &amp; Exp.  Summary</t>
  </si>
  <si>
    <t>E1.53</t>
  </si>
  <si>
    <t>Net Deficit (Surplus) as % of HSDG Grant - Calculated Above</t>
  </si>
  <si>
    <t>E1.54</t>
  </si>
  <si>
    <t>EEDBS as % of HSDG</t>
  </si>
  <si>
    <t>E1.55</t>
  </si>
  <si>
    <t>Debtors Balance as % of Rental Raised</t>
  </si>
  <si>
    <t>E1.56</t>
  </si>
  <si>
    <t>Average Expenditure per unit per month</t>
  </si>
  <si>
    <t>E1.57</t>
  </si>
  <si>
    <t>E1.58</t>
  </si>
  <si>
    <t>E1.59</t>
  </si>
  <si>
    <t>E2. Financial Info Extracts - Source: NDoHS Debtors System TB</t>
  </si>
  <si>
    <t>Using Debtors System TB as the source</t>
  </si>
  <si>
    <t>E1.60</t>
  </si>
  <si>
    <t>Debtors System TB - Saloshna</t>
  </si>
  <si>
    <t>E1.61</t>
  </si>
  <si>
    <t>Except Free State - Odette to ask</t>
  </si>
  <si>
    <t>E1.62</t>
  </si>
  <si>
    <t>E1.63</t>
  </si>
  <si>
    <t xml:space="preserve">Other </t>
  </si>
  <si>
    <t>E1.64</t>
  </si>
  <si>
    <t>E1.65</t>
  </si>
  <si>
    <t>E1.66</t>
  </si>
  <si>
    <t>E1.67</t>
  </si>
  <si>
    <t>E1.68</t>
  </si>
  <si>
    <t>E1.69</t>
  </si>
  <si>
    <t>E1.70</t>
  </si>
  <si>
    <t>E1.71</t>
  </si>
  <si>
    <t>E1.72</t>
  </si>
  <si>
    <t>E1.73</t>
  </si>
  <si>
    <t>E1.74</t>
  </si>
  <si>
    <t>E1.75</t>
  </si>
  <si>
    <t>E1.76</t>
  </si>
  <si>
    <t>E1.77</t>
  </si>
  <si>
    <t>Total Expenses per NDoHS Summary</t>
  </si>
  <si>
    <t>E1.78</t>
  </si>
  <si>
    <t>E1.79</t>
  </si>
  <si>
    <t>E1.80</t>
  </si>
  <si>
    <t>E1.81</t>
  </si>
  <si>
    <t>E1.82</t>
  </si>
  <si>
    <t>E1.83</t>
  </si>
  <si>
    <t>Total expenditure</t>
  </si>
  <si>
    <t>E1.84</t>
  </si>
  <si>
    <t>E1.85</t>
  </si>
  <si>
    <t>E1.86</t>
  </si>
  <si>
    <t>E1.87</t>
  </si>
  <si>
    <t>E1.88</t>
  </si>
  <si>
    <t>E1.89</t>
  </si>
  <si>
    <t>E1.90</t>
  </si>
  <si>
    <t>E1.91</t>
  </si>
  <si>
    <t>Rental Property</t>
  </si>
  <si>
    <t>E1.92</t>
  </si>
  <si>
    <t>E1.93</t>
  </si>
  <si>
    <t>E1.94</t>
  </si>
  <si>
    <t>Grant Info</t>
  </si>
  <si>
    <t>E1.95</t>
  </si>
  <si>
    <t>E1.96</t>
  </si>
  <si>
    <t>E1.97</t>
  </si>
  <si>
    <t>E1.98</t>
  </si>
  <si>
    <t>E1.99</t>
  </si>
  <si>
    <t>E1.100</t>
  </si>
  <si>
    <t>E1.101</t>
  </si>
  <si>
    <t>E1.102</t>
  </si>
  <si>
    <t>E1.103</t>
  </si>
  <si>
    <t>E1.104</t>
  </si>
  <si>
    <t>Movement Total of Age Analysis</t>
  </si>
  <si>
    <t>E1.105</t>
  </si>
  <si>
    <t>E1.106</t>
  </si>
  <si>
    <t>E1.107</t>
  </si>
  <si>
    <t>E1.108</t>
  </si>
  <si>
    <t>E1.109</t>
  </si>
  <si>
    <t>Net Deficit as % of HSDG Grant -  NDoHS Calc</t>
  </si>
  <si>
    <t>E1.110</t>
  </si>
  <si>
    <t>E1.111</t>
  </si>
  <si>
    <t>E1.112</t>
  </si>
  <si>
    <t>E4. Financial Info Extracts - Source: BAS Audited TB</t>
  </si>
  <si>
    <t>E3</t>
  </si>
  <si>
    <t>Using BAS Audited TB as the Source</t>
  </si>
  <si>
    <t>BAS Audited TB received But NO   H/H Debt account showing</t>
  </si>
  <si>
    <t>They don’t produce AFS so understand why the H/HDebt Account not in</t>
  </si>
  <si>
    <t>E3.1</t>
  </si>
  <si>
    <t>E3.2</t>
  </si>
  <si>
    <t>TB to be analysed - Saloshna</t>
  </si>
  <si>
    <t>E3.3</t>
  </si>
  <si>
    <t>Govt grant</t>
  </si>
  <si>
    <t>E3.4</t>
  </si>
  <si>
    <t>E3.5</t>
  </si>
  <si>
    <t>E3.6</t>
  </si>
  <si>
    <t>E3.7</t>
  </si>
  <si>
    <t>E3.8</t>
  </si>
  <si>
    <t>E3.9</t>
  </si>
  <si>
    <t>E3.10</t>
  </si>
  <si>
    <t>E3.11</t>
  </si>
  <si>
    <t>E3.12</t>
  </si>
  <si>
    <t>E3.13</t>
  </si>
  <si>
    <t>Bad Debt</t>
  </si>
  <si>
    <t>E3.14</t>
  </si>
  <si>
    <t>Rebates</t>
  </si>
  <si>
    <t>E3.15</t>
  </si>
  <si>
    <t>Prop Devolution</t>
  </si>
  <si>
    <t>E3.16</t>
  </si>
  <si>
    <t>Recoverable Exepnse</t>
  </si>
  <si>
    <t>E3.17</t>
  </si>
  <si>
    <t>E3.18</t>
  </si>
  <si>
    <t>E3.19</t>
  </si>
  <si>
    <t>E3.20</t>
  </si>
  <si>
    <t>E3.21</t>
  </si>
  <si>
    <t>Breakdown given by EC</t>
  </si>
  <si>
    <t>Calculated as per Unit cost from EC *units per Asset rehister</t>
  </si>
  <si>
    <t>E3.22</t>
  </si>
  <si>
    <t>E3.23</t>
  </si>
  <si>
    <t>E3.24</t>
  </si>
  <si>
    <t>E3.25</t>
  </si>
  <si>
    <t>E3.26</t>
  </si>
  <si>
    <t>E3.27</t>
  </si>
  <si>
    <t>E3.28</t>
  </si>
  <si>
    <t>E3.29</t>
  </si>
  <si>
    <t>E3.30</t>
  </si>
  <si>
    <t>E3.31</t>
  </si>
  <si>
    <t>E3.32</t>
  </si>
  <si>
    <t>Extracts from Balance Sheet using BAS as the source</t>
  </si>
  <si>
    <t>E3.33</t>
  </si>
  <si>
    <t>E3.34</t>
  </si>
  <si>
    <t>E3.35</t>
  </si>
  <si>
    <t>E3.36</t>
  </si>
  <si>
    <t>E3.37</t>
  </si>
  <si>
    <t>E3.38</t>
  </si>
  <si>
    <t>E3.39</t>
  </si>
  <si>
    <t>E3.40</t>
  </si>
  <si>
    <t>E3.41</t>
  </si>
  <si>
    <t>E3.42</t>
  </si>
  <si>
    <t>E3.43</t>
  </si>
  <si>
    <t>E3.44</t>
  </si>
  <si>
    <t>E3.45</t>
  </si>
  <si>
    <t>E3.46</t>
  </si>
  <si>
    <t>E3.47</t>
  </si>
  <si>
    <t>E3.48</t>
  </si>
  <si>
    <t>E3.49</t>
  </si>
  <si>
    <t>E3.50</t>
  </si>
  <si>
    <t>E3.51</t>
  </si>
  <si>
    <t>E3.52</t>
  </si>
  <si>
    <t>E3.53</t>
  </si>
  <si>
    <t>E3.54</t>
  </si>
  <si>
    <t>E3.55</t>
  </si>
  <si>
    <t>E4. Financial Info Extracts - Source: Audited Annual Financial Statements</t>
  </si>
  <si>
    <t>E4</t>
  </si>
  <si>
    <t>Extract info from AFS - Larry</t>
  </si>
  <si>
    <t>Using AFS as the Source</t>
  </si>
  <si>
    <t>E4.1</t>
  </si>
  <si>
    <t>Income Statement</t>
  </si>
  <si>
    <t>E4.2</t>
  </si>
  <si>
    <t>E4.3</t>
  </si>
  <si>
    <t>E4.4</t>
  </si>
  <si>
    <t>Admin Fees</t>
  </si>
  <si>
    <t>E4.5</t>
  </si>
  <si>
    <t>Interest Received</t>
  </si>
  <si>
    <t>E4.6</t>
  </si>
  <si>
    <t>Reversal of Impairment</t>
  </si>
  <si>
    <t>E4.7</t>
  </si>
  <si>
    <t>Total Revenue</t>
  </si>
  <si>
    <t>E4.8</t>
  </si>
  <si>
    <t>E4.9</t>
  </si>
  <si>
    <t>Operating Costs and Overheads</t>
  </si>
  <si>
    <t>E4.10</t>
  </si>
  <si>
    <t>Bad Debt Written Off</t>
  </si>
  <si>
    <t>E4.11</t>
  </si>
  <si>
    <t>Depreciation</t>
  </si>
  <si>
    <t>E4.12</t>
  </si>
  <si>
    <t>E4.13</t>
  </si>
  <si>
    <t>Loss on Disposal of Assets</t>
  </si>
  <si>
    <t>E4.14</t>
  </si>
  <si>
    <t>Operating Expenses</t>
  </si>
  <si>
    <t>E4.15</t>
  </si>
  <si>
    <t>Audit fees</t>
  </si>
  <si>
    <t>E4.16</t>
  </si>
  <si>
    <t>Employee Cost (Salaries)</t>
  </si>
  <si>
    <t>E4.17</t>
  </si>
  <si>
    <t>Rebates and Subsidies</t>
  </si>
  <si>
    <t>E4.18</t>
  </si>
  <si>
    <t>Goods and Services</t>
  </si>
  <si>
    <t>E4.19</t>
  </si>
  <si>
    <t>Provision for Doubful debts</t>
  </si>
  <si>
    <t>E4.20</t>
  </si>
  <si>
    <t>Finance Expenses</t>
  </si>
  <si>
    <t>E4.21</t>
  </si>
  <si>
    <t>E4.22</t>
  </si>
  <si>
    <t>E4.23</t>
  </si>
  <si>
    <t>E4.24</t>
  </si>
  <si>
    <t>E4.25</t>
  </si>
  <si>
    <t>E4.26</t>
  </si>
  <si>
    <t>Net Surplus (Deficit) for the year</t>
  </si>
  <si>
    <t>E4.27</t>
  </si>
  <si>
    <t>E4.28</t>
  </si>
  <si>
    <t>14/15 15/16 year not supplied</t>
  </si>
  <si>
    <t>E4.29</t>
  </si>
  <si>
    <t>E4.30</t>
  </si>
  <si>
    <t>E4.31</t>
  </si>
  <si>
    <t>E4.32</t>
  </si>
  <si>
    <t>E4.33</t>
  </si>
  <si>
    <t>Extracts from Balance Sheet using the AFS as the source</t>
  </si>
  <si>
    <t>E4.34</t>
  </si>
  <si>
    <t>E4.35</t>
  </si>
  <si>
    <t>E4.36</t>
  </si>
  <si>
    <t>E4.37</t>
  </si>
  <si>
    <t>E4.38</t>
  </si>
  <si>
    <t>E4.39</t>
  </si>
  <si>
    <t>E4.40</t>
  </si>
  <si>
    <t>E4.41</t>
  </si>
  <si>
    <t>E4.42</t>
  </si>
  <si>
    <t>E4.43</t>
  </si>
  <si>
    <t>E4.44</t>
  </si>
  <si>
    <t>E4.45</t>
  </si>
  <si>
    <t>E4.46</t>
  </si>
  <si>
    <t>E4.47</t>
  </si>
  <si>
    <t>E4.48</t>
  </si>
  <si>
    <t>E4.49</t>
  </si>
  <si>
    <t>E4.50</t>
  </si>
  <si>
    <t>E4.51</t>
  </si>
  <si>
    <t>E4.52</t>
  </si>
  <si>
    <t>E4.53</t>
  </si>
  <si>
    <t>E4.54</t>
  </si>
  <si>
    <t>E4.55</t>
  </si>
  <si>
    <t>Income per PT, Expenses per Jakes</t>
  </si>
  <si>
    <t>E5. Financial Info Extracts - Source: Period Totals Reports, with NDoHS Income &amp; Expense Summary to fill gaps</t>
  </si>
  <si>
    <t>E5</t>
  </si>
  <si>
    <t>Extract info from AFS - Saloshna</t>
  </si>
  <si>
    <t>Using Period Totals, supported by NDoHS Income &amp; Expense Summary to fill gaps as the source</t>
  </si>
  <si>
    <t>E5.1</t>
  </si>
  <si>
    <t>E5.2</t>
  </si>
  <si>
    <t>E5.3</t>
  </si>
  <si>
    <t>E5.4</t>
  </si>
  <si>
    <t>E5.5</t>
  </si>
  <si>
    <t>E5.6</t>
  </si>
  <si>
    <t>E5.7</t>
  </si>
  <si>
    <t>E5.8</t>
  </si>
  <si>
    <t>E5.9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</si>
  <si>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</si>
  <si>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</si>
  <si>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</si>
  <si>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</si>
  <si>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</si>
  <si>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</si>
  <si>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</si>
  <si>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</si>
  <si>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</si>
  <si>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</si>
  <si>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</si>
  <si>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</si>
  <si>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</si>
  <si>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</si>
  <si>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</si>
  <si>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</si>
  <si>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</si>
  <si>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</si>
  <si>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</si>
  <si>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</si>
  <si>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</si>
  <si>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</si>
  <si>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</si>
  <si>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</si>
  <si>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</si>
  <si>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E5.35</t>
  </si>
  <si>
    <t>E5.36</t>
  </si>
  <si>
    <t>E5.37</t>
  </si>
  <si>
    <t>E5.38</t>
  </si>
  <si>
    <t>E5.39</t>
  </si>
  <si>
    <t>E5.40</t>
  </si>
  <si>
    <t>E5.41</t>
  </si>
  <si>
    <t>E5.42</t>
  </si>
  <si>
    <t>E5.43</t>
  </si>
  <si>
    <t>E5.44</t>
  </si>
  <si>
    <t>E5.45</t>
  </si>
  <si>
    <t>E5.46</t>
  </si>
  <si>
    <t>E5.47</t>
  </si>
  <si>
    <t>E5.48</t>
  </si>
  <si>
    <t>E5.49</t>
  </si>
  <si>
    <t>E5.50</t>
  </si>
  <si>
    <t>E5.51</t>
  </si>
  <si>
    <t>E5.52</t>
  </si>
  <si>
    <t>E5.53</t>
  </si>
  <si>
    <t>E5.54</t>
  </si>
  <si>
    <t>E5.55</t>
  </si>
  <si>
    <t>E6. Financial Info Extracts - Source: Information Provided by the Provinces</t>
  </si>
  <si>
    <t>E6</t>
  </si>
  <si>
    <t>Using Information Provided by Provinces as the source</t>
  </si>
  <si>
    <t>E6.1</t>
  </si>
  <si>
    <t>E6.2</t>
  </si>
  <si>
    <t>E6.3</t>
  </si>
  <si>
    <t>E6.4</t>
  </si>
  <si>
    <t>E6.5</t>
  </si>
  <si>
    <t>E6.6</t>
  </si>
  <si>
    <t>E6.7</t>
  </si>
  <si>
    <t>E6.8</t>
  </si>
  <si>
    <t>E6.9</t>
  </si>
  <si>
    <t>E6.10</t>
  </si>
  <si>
    <t>E6.11</t>
  </si>
  <si>
    <t>E6.12</t>
  </si>
  <si>
    <t>E6.13</t>
  </si>
  <si>
    <t>E6.14</t>
  </si>
  <si>
    <t>E6.15</t>
  </si>
  <si>
    <t>E6.16</t>
  </si>
  <si>
    <t>E6.17</t>
  </si>
  <si>
    <t>E6.18</t>
  </si>
  <si>
    <t>E6.19</t>
  </si>
  <si>
    <t>E6.20</t>
  </si>
  <si>
    <t>E6.21</t>
  </si>
  <si>
    <t>E6.22</t>
  </si>
  <si>
    <t>E6.23</t>
  </si>
  <si>
    <t>E6.24</t>
  </si>
  <si>
    <t>E6.25</t>
  </si>
  <si>
    <t>E6.26</t>
  </si>
  <si>
    <t>E6.27</t>
  </si>
  <si>
    <t>E6.28</t>
  </si>
  <si>
    <t>E6.29</t>
  </si>
  <si>
    <t>E6.30</t>
  </si>
  <si>
    <t>E6.31</t>
  </si>
  <si>
    <t>Schedule from the province</t>
  </si>
  <si>
    <t>E6.32</t>
  </si>
  <si>
    <t>E6.33</t>
  </si>
  <si>
    <t>E6.34</t>
  </si>
  <si>
    <t>E6.35</t>
  </si>
  <si>
    <t>E6.36</t>
  </si>
  <si>
    <t>E6.37</t>
  </si>
  <si>
    <t>E6.38</t>
  </si>
  <si>
    <t>E6.39</t>
  </si>
  <si>
    <t>E6.40</t>
  </si>
  <si>
    <t>E6.41</t>
  </si>
  <si>
    <t>E6.42</t>
  </si>
  <si>
    <t>E6.43</t>
  </si>
  <si>
    <t>E6.44</t>
  </si>
  <si>
    <t>E6.45</t>
  </si>
  <si>
    <t>E6.46</t>
  </si>
  <si>
    <t>E6.47</t>
  </si>
  <si>
    <t>E6.48</t>
  </si>
  <si>
    <t>E6.49</t>
  </si>
  <si>
    <t>E6.50</t>
  </si>
  <si>
    <t>E6.51</t>
  </si>
  <si>
    <t>E6.52</t>
  </si>
  <si>
    <t>E6.53</t>
  </si>
  <si>
    <t>E6.54</t>
  </si>
  <si>
    <t>E6.55</t>
  </si>
  <si>
    <t>E7. Financial Info Extracts - Source: Combined Sources - Selection of Most Appropriate</t>
  </si>
  <si>
    <t>E7</t>
  </si>
  <si>
    <t>To be completed when the best data is analysed</t>
  </si>
  <si>
    <t>Combined Sources - Selection of Information Considered Most Appropriate</t>
  </si>
  <si>
    <t>E7.1</t>
  </si>
  <si>
    <t>E7.2</t>
  </si>
  <si>
    <t>E7.3</t>
  </si>
  <si>
    <t>E7.4</t>
  </si>
  <si>
    <t>E7.5</t>
  </si>
  <si>
    <t>E7.6</t>
  </si>
  <si>
    <t>E7.7</t>
  </si>
  <si>
    <t>E7.8</t>
  </si>
  <si>
    <t>E7.9</t>
  </si>
  <si>
    <t>E7.10</t>
  </si>
  <si>
    <t>E7.11</t>
  </si>
  <si>
    <t>E7.12</t>
  </si>
  <si>
    <t>E7.13</t>
  </si>
  <si>
    <t>E7.14</t>
  </si>
  <si>
    <t>E7.15</t>
  </si>
  <si>
    <t>E7.16</t>
  </si>
  <si>
    <t>E7.17</t>
  </si>
  <si>
    <t>E7.18</t>
  </si>
  <si>
    <t>E7.19</t>
  </si>
  <si>
    <t>E7.20</t>
  </si>
  <si>
    <t>E7.21</t>
  </si>
  <si>
    <t>E7.22</t>
  </si>
  <si>
    <t>E7.23</t>
  </si>
  <si>
    <t>E7.24</t>
  </si>
  <si>
    <t>E7.25</t>
  </si>
  <si>
    <t>E7.26</t>
  </si>
  <si>
    <t>E7.27</t>
  </si>
  <si>
    <t>E7.28</t>
  </si>
  <si>
    <t>E7.29</t>
  </si>
  <si>
    <t>E7.30</t>
  </si>
  <si>
    <t>E7.31</t>
  </si>
  <si>
    <t>E7.32</t>
  </si>
  <si>
    <t>E7.33</t>
  </si>
  <si>
    <t>E7.34</t>
  </si>
  <si>
    <t>E7.35</t>
  </si>
  <si>
    <t>E7.36</t>
  </si>
  <si>
    <t>E7.37</t>
  </si>
  <si>
    <t>E7.38</t>
  </si>
  <si>
    <t>E7.39</t>
  </si>
  <si>
    <t>E7.40</t>
  </si>
  <si>
    <t>E7.41</t>
  </si>
  <si>
    <t>E7.42</t>
  </si>
  <si>
    <t>E7.43</t>
  </si>
  <si>
    <t>E7.44</t>
  </si>
  <si>
    <t>E7.45</t>
  </si>
  <si>
    <t>E7.46</t>
  </si>
  <si>
    <t>E7.47</t>
  </si>
  <si>
    <t>E7.48</t>
  </si>
  <si>
    <t>E7.49</t>
  </si>
  <si>
    <t>E7.50</t>
  </si>
  <si>
    <t>E7.51</t>
  </si>
  <si>
    <t>E7.52</t>
  </si>
  <si>
    <t>E7.53</t>
  </si>
  <si>
    <t>E7.54</t>
  </si>
  <si>
    <t>E7.55</t>
  </si>
  <si>
    <t>F. Performance Against CRU, SH &amp; Market</t>
  </si>
  <si>
    <t>F</t>
  </si>
  <si>
    <t>Performance against CRU, Social Housing &amp; Market Rental</t>
  </si>
  <si>
    <t>F1</t>
  </si>
  <si>
    <t>Gafee</t>
  </si>
  <si>
    <t>Average Monthly Rentals</t>
  </si>
  <si>
    <t>F1.1</t>
  </si>
  <si>
    <t>HS</t>
  </si>
  <si>
    <t>F1.2</t>
  </si>
  <si>
    <t>CRU</t>
  </si>
  <si>
    <t>CRU Report</t>
  </si>
  <si>
    <t>F1.3</t>
  </si>
  <si>
    <t>SH</t>
  </si>
  <si>
    <t>Primary Market for Social Housing</t>
  </si>
  <si>
    <t>F1.4</t>
  </si>
  <si>
    <t>Market</t>
  </si>
  <si>
    <t>F2</t>
  </si>
  <si>
    <t>HS Rentals as a % of Other Rentals</t>
  </si>
  <si>
    <t>F2.1</t>
  </si>
  <si>
    <t>F2.2</t>
  </si>
  <si>
    <t>F2.3</t>
  </si>
  <si>
    <t>F3</t>
  </si>
  <si>
    <t>Average Rental Increases p.a.</t>
  </si>
  <si>
    <t>F3.1</t>
  </si>
  <si>
    <t>F3.2</t>
  </si>
  <si>
    <t>F3.3</t>
  </si>
  <si>
    <t>F3.4</t>
  </si>
  <si>
    <t>F4</t>
  </si>
  <si>
    <t>Rent Collection Rate</t>
  </si>
  <si>
    <t>F4.1</t>
  </si>
  <si>
    <t>F4.2</t>
  </si>
  <si>
    <t>F4.3</t>
  </si>
  <si>
    <t>F4.4</t>
  </si>
  <si>
    <t>F5</t>
  </si>
  <si>
    <t>Management costs</t>
  </si>
  <si>
    <t>F5.1</t>
  </si>
  <si>
    <t>F5.2</t>
  </si>
  <si>
    <t>F5.3</t>
  </si>
  <si>
    <t>F5.4</t>
  </si>
  <si>
    <t>F6</t>
  </si>
  <si>
    <t>Condition of Assets</t>
  </si>
  <si>
    <t>F6.1</t>
  </si>
  <si>
    <t>Assess the general condition of properties in each province by using the scoring mechanism below:</t>
  </si>
  <si>
    <t>F6.2</t>
  </si>
  <si>
    <t>5 = Good (Planned maintenance to be programmed)</t>
  </si>
  <si>
    <t>F6.3</t>
  </si>
  <si>
    <t>4 = Maintenance to be undertaken within 1 to 3 years</t>
  </si>
  <si>
    <t>F6.4</t>
  </si>
  <si>
    <t>3 = Maintenance required within 6 months to 1 year</t>
  </si>
  <si>
    <t>F6.5</t>
  </si>
  <si>
    <t>2 = Urgent maintenance required within the next 3 - 6 months</t>
  </si>
  <si>
    <t>F6.6</t>
  </si>
  <si>
    <t>1 = Immediate maintenance required - widespread non-compliance with regulations and health and safety standards</t>
  </si>
  <si>
    <t>F6.7</t>
  </si>
  <si>
    <t>F6.8</t>
  </si>
  <si>
    <t>F6.9</t>
  </si>
  <si>
    <t>F6.10</t>
  </si>
  <si>
    <t>F6.11</t>
  </si>
  <si>
    <t>Profile of the asset</t>
  </si>
  <si>
    <t>No of units</t>
  </si>
  <si>
    <t>1a</t>
  </si>
  <si>
    <t>Types of units</t>
  </si>
  <si>
    <t>1c</t>
  </si>
  <si>
    <t>Average rentals</t>
  </si>
  <si>
    <t>2a</t>
  </si>
  <si>
    <t>2b</t>
  </si>
  <si>
    <t>Incomes</t>
  </si>
  <si>
    <t>3a</t>
  </si>
  <si>
    <t>BCA rating</t>
  </si>
  <si>
    <t>4a</t>
  </si>
  <si>
    <t>Market/Municipal value</t>
  </si>
  <si>
    <t>4b</t>
  </si>
  <si>
    <t>Planned targets</t>
  </si>
  <si>
    <t>RENTAL</t>
  </si>
  <si>
    <t>Budget allocation (global)</t>
  </si>
  <si>
    <t>Budget allocation (asset man)</t>
  </si>
  <si>
    <t>Budgeted Rental income</t>
  </si>
  <si>
    <t>Sales income</t>
  </si>
  <si>
    <t>Rates and taxes</t>
  </si>
  <si>
    <t>Planned actions</t>
  </si>
  <si>
    <t>BCA's</t>
  </si>
  <si>
    <t>Valuations</t>
  </si>
  <si>
    <t>Tenancy audits</t>
  </si>
  <si>
    <t>SALES</t>
  </si>
  <si>
    <t>No of sales/transfers</t>
  </si>
  <si>
    <t>Capital subsidies</t>
  </si>
  <si>
    <t>Cost of sales/transfers</t>
  </si>
  <si>
    <t>Performance</t>
  </si>
  <si>
    <t>Income breakdown: rent raised, govt grant</t>
  </si>
  <si>
    <t>Expenditure breakdown</t>
  </si>
  <si>
    <t>Rent collected vs rent raised</t>
  </si>
  <si>
    <t>Debtors trend</t>
  </si>
  <si>
    <t>Outsourced costs as a % of total cost</t>
  </si>
  <si>
    <t>Vacancy rate incl loss of rental as a % of rent raised</t>
  </si>
  <si>
    <t>Creditors: amounts as a % of …..</t>
  </si>
  <si>
    <t>Asset preservation</t>
  </si>
  <si>
    <t>????</t>
  </si>
  <si>
    <t>Unit to staff ratio</t>
  </si>
  <si>
    <t>Sales Performance</t>
  </si>
  <si>
    <t>Rectification subsidy</t>
  </si>
  <si>
    <t>Cost of sales: maintenance, conveyancing</t>
  </si>
  <si>
    <t>Average rentals - Rental per I/S / No. of units</t>
  </si>
  <si>
    <t>Rentals per I/S / No. of units</t>
  </si>
  <si>
    <t>Municipal Value</t>
  </si>
  <si>
    <t>Use this format adapted for 3 sources</t>
  </si>
  <si>
    <t>Actual Results</t>
  </si>
  <si>
    <t>Rentals Raised</t>
  </si>
  <si>
    <t>Rentals Collected</t>
  </si>
  <si>
    <t>E2</t>
  </si>
  <si>
    <t>Expenses</t>
  </si>
  <si>
    <t>Office Expenses</t>
  </si>
  <si>
    <t>Staff Costs</t>
  </si>
  <si>
    <t>Net Surplus/Deficit</t>
  </si>
  <si>
    <t>E8</t>
  </si>
  <si>
    <t>Keep in reserve</t>
  </si>
  <si>
    <t>Income statement</t>
  </si>
  <si>
    <t>Rental raised</t>
  </si>
  <si>
    <t>Administering of Assets</t>
  </si>
  <si>
    <t>Transfer fees on sectional title</t>
  </si>
  <si>
    <t>Levies: Sectional Title Schemes</t>
  </si>
  <si>
    <t>Survey Costs</t>
  </si>
  <si>
    <t>Legal Expenses</t>
  </si>
  <si>
    <t>Insurance:  Loans &amp; Sales</t>
  </si>
  <si>
    <t>Deeds Services</t>
  </si>
  <si>
    <t>Keep in reserve (Option 2)</t>
  </si>
  <si>
    <t>Planned No. of Units Transferred and Sold</t>
  </si>
  <si>
    <t>Actual No. of Units Transferred and Sold</t>
  </si>
  <si>
    <t>nil</t>
  </si>
  <si>
    <t>203 Flats &amp;
 57 Garages</t>
  </si>
  <si>
    <t>88 Flats &amp;
14 Garages</t>
  </si>
  <si>
    <t>Planned Sales and Transfers ( R )</t>
  </si>
  <si>
    <t>Actual Sales and Transfers ( R )</t>
  </si>
  <si>
    <t>KPIs</t>
  </si>
  <si>
    <t>No of units leased</t>
  </si>
  <si>
    <t>Vacancy rate</t>
  </si>
  <si>
    <t>% market rental units</t>
  </si>
  <si>
    <t>Average rental</t>
  </si>
  <si>
    <t>Average Social Housing Rental</t>
  </si>
  <si>
    <t>Average market rental</t>
  </si>
  <si>
    <t>Actual Rent as % of Social Housing Rent</t>
  </si>
  <si>
    <t>Actual Rent as % of Market Rent</t>
  </si>
  <si>
    <t>Average Actual Rent</t>
  </si>
  <si>
    <t>F7</t>
  </si>
  <si>
    <t>Average Market Rent</t>
  </si>
  <si>
    <t>F8</t>
  </si>
  <si>
    <t>Rent Collection%</t>
  </si>
  <si>
    <t>Bad debts as a % of rental revenue</t>
  </si>
  <si>
    <t>Provisions</t>
  </si>
  <si>
    <t>Written off</t>
  </si>
  <si>
    <t>Cost Income Ratio (Rentals and Sales)</t>
  </si>
  <si>
    <t>Revenue</t>
  </si>
  <si>
    <t>Operating Costs</t>
  </si>
  <si>
    <t>Net funding from Govt</t>
  </si>
  <si>
    <t>Cost to income (Rentals Only)</t>
  </si>
  <si>
    <t>Rental income</t>
  </si>
  <si>
    <t>Average cost per unit</t>
  </si>
  <si>
    <t>Unplanned: responsive/turnover: Actual</t>
  </si>
  <si>
    <t>Maintenance as % of Total Expenses</t>
  </si>
  <si>
    <t>Annual Maintenance Cost per unit</t>
  </si>
  <si>
    <t>o</t>
  </si>
  <si>
    <t>used average rental units for year *average rent</t>
  </si>
  <si>
    <t>Tenant commited to purchase</t>
  </si>
  <si>
    <t>Sch From HS EC</t>
  </si>
  <si>
    <t>recalc from asset registeronly for dwellings</t>
  </si>
  <si>
    <t>Average By Level as per given schedule</t>
  </si>
  <si>
    <t>Asset Management</t>
  </si>
  <si>
    <t>WITHOUT SALES</t>
  </si>
  <si>
    <t xml:space="preserve">  </t>
  </si>
  <si>
    <t>Net Surplus / Deficit</t>
  </si>
  <si>
    <t>Other Information Sources</t>
  </si>
  <si>
    <t>National Debtors System (partially used by EC)</t>
  </si>
  <si>
    <t>Rental Raised</t>
  </si>
  <si>
    <t>Cashflow statement</t>
  </si>
  <si>
    <t>Receipts</t>
  </si>
  <si>
    <t>Rental collected</t>
  </si>
  <si>
    <t>As per HS EC</t>
  </si>
  <si>
    <t>Additional Information</t>
  </si>
  <si>
    <t>Actually cash received from various sources</t>
  </si>
  <si>
    <t xml:space="preserve">                   </t>
  </si>
  <si>
    <t>Total Receipts</t>
  </si>
  <si>
    <t>Payments</t>
  </si>
  <si>
    <t xml:space="preserve">                                            </t>
  </si>
  <si>
    <t>Total Payments</t>
  </si>
  <si>
    <t>Net Cash Flow</t>
  </si>
  <si>
    <t>without Sales Expenses</t>
  </si>
  <si>
    <t>Rental Collected</t>
  </si>
  <si>
    <t>Table - Expenditure Review</t>
  </si>
  <si>
    <t>Provincial Property Portfolio @ 31/03/2016</t>
  </si>
  <si>
    <t>% of Units @ 2016 Sold</t>
  </si>
  <si>
    <t>% of Total Units</t>
  </si>
  <si>
    <t>% Qualifying for EEDBS</t>
  </si>
  <si>
    <t>Units</t>
  </si>
  <si>
    <t>EEDBS Calculated</t>
  </si>
  <si>
    <t>Average EEDBS Applied</t>
  </si>
  <si>
    <t>Table of Contents</t>
  </si>
  <si>
    <t>Sales - Average Sales Value per unit</t>
  </si>
  <si>
    <t>Use average debt per sale debtor</t>
  </si>
  <si>
    <t>Average debt per sale debtor</t>
  </si>
  <si>
    <t>Social Facilition and Audit</t>
  </si>
  <si>
    <t>Conveyancing Fees</t>
  </si>
  <si>
    <t>Municipal Clearance Certficate</t>
  </si>
  <si>
    <t>Sales Debtors Stop accumulating after 31 March 2018</t>
  </si>
  <si>
    <t>Total EEDBS Paid p.a.</t>
  </si>
  <si>
    <t>Total Sale &amp; Loan Debtors</t>
  </si>
  <si>
    <t>No. of Sales Debtors Accounts Cleared (Decrease in No. of Sales Debtors)</t>
  </si>
  <si>
    <t>No. of Units Sold (Increase in No. of Sales Debtors)</t>
  </si>
  <si>
    <t>No. of Sale &amp; Loan Debtors Accounts</t>
  </si>
  <si>
    <t>No. of Sales Debtors Remaining After Clearance</t>
  </si>
  <si>
    <t>History</t>
  </si>
  <si>
    <t>Forecast</t>
  </si>
  <si>
    <t>Inputs - Properties &amp; Debtors</t>
  </si>
  <si>
    <t>Inputs &amp; Calculations</t>
  </si>
  <si>
    <t>Net Deficit as % of HSDG</t>
  </si>
  <si>
    <t>HSDG</t>
  </si>
  <si>
    <t>Scenario Analysis</t>
  </si>
  <si>
    <t>Forecast Results</t>
  </si>
  <si>
    <t>Inputs-Properties &amp; Debtors 2016</t>
  </si>
  <si>
    <t>Total Disposal Costs</t>
  </si>
  <si>
    <t>Total Disposal Costs p.u.</t>
  </si>
  <si>
    <t>No. of Rental Debtors</t>
  </si>
  <si>
    <t>Total Rental Debtors Balance</t>
  </si>
  <si>
    <t>Total Rental Raised p.a.</t>
  </si>
  <si>
    <t>Total Rental Collected p.a.</t>
  </si>
  <si>
    <t>Increase in Rental Debtors (=Rental Raised - Rent Collected)</t>
  </si>
  <si>
    <t>Increase in Rental Debtors p.u.p.a.(=Rental Raised - Rent Collected)</t>
  </si>
  <si>
    <t>Increase in Rental Debtors p.a.(=Existing Debtors Less Sales x Increase per debtor)</t>
  </si>
  <si>
    <t>Average Balance per Rental Debtor</t>
  </si>
  <si>
    <t>Average Rental Debtors Balance per Debtor</t>
  </si>
  <si>
    <t>Rental Debtors Balance Repaid per Debtor</t>
  </si>
  <si>
    <t>Rental Debtors Forecast</t>
  </si>
  <si>
    <t>Rental Debtors History</t>
  </si>
  <si>
    <t>Sales Debtors Forecast</t>
  </si>
  <si>
    <t>Sales Debtors History</t>
  </si>
  <si>
    <t>Provinces</t>
  </si>
  <si>
    <t>Select Your Province:</t>
  </si>
  <si>
    <t>% of Properties held at 2016 sold in the forecast period</t>
  </si>
  <si>
    <t>Rental Escalation p.a.</t>
  </si>
  <si>
    <t>% of Rental Collected p.a.</t>
  </si>
  <si>
    <t>% of Sales Debtors Accounts Cleared (% Decrease in No. of Sales Debtors)</t>
  </si>
  <si>
    <t>Total Rental Raised p.u.p.a</t>
  </si>
  <si>
    <t>Total Rental Raised p.u.p.m</t>
  </si>
  <si>
    <t>Average</t>
  </si>
  <si>
    <t>RENTAL DEBTORS AND RENTAL INCOME</t>
  </si>
  <si>
    <t>SALES DEBTORS AND SALES INCOME</t>
  </si>
  <si>
    <t>Expenses History</t>
  </si>
  <si>
    <t>Expenses Forecast</t>
  </si>
  <si>
    <t>Total Units for Rental</t>
  </si>
  <si>
    <t>Economic Assumptions</t>
  </si>
  <si>
    <t>Inflation on rentals</t>
  </si>
  <si>
    <t>Inflation on costs</t>
  </si>
  <si>
    <t>Sale</t>
  </si>
  <si>
    <t>Less: Uncollectable Debts on Sales</t>
  </si>
  <si>
    <t>Both</t>
  </si>
  <si>
    <t>Select Projected Version:</t>
  </si>
  <si>
    <t>Flexed % of Properties held at 2016 sold in the forecast period</t>
  </si>
  <si>
    <t>Sales Raised - Historic Over the Last 3 Years</t>
  </si>
  <si>
    <t>Sales Raised - Forecast</t>
  </si>
  <si>
    <t>Ave. 2014-16</t>
  </si>
  <si>
    <t>DISPOSAL COSTS</t>
  </si>
  <si>
    <t>EXPENSES FOR RENTAL</t>
  </si>
  <si>
    <t>Disposal Cost History</t>
  </si>
  <si>
    <t>Disposal Costs Forecast</t>
  </si>
  <si>
    <t>Municipal Clearance Certficate per unit</t>
  </si>
  <si>
    <t>Conveyancing Fees per unit</t>
  </si>
  <si>
    <t>Maintenance per unit</t>
  </si>
  <si>
    <t>Total Disposal Costs per unit</t>
  </si>
  <si>
    <t>Human Settlements</t>
  </si>
  <si>
    <t>Responsibility</t>
  </si>
  <si>
    <t>Programme element</t>
  </si>
  <si>
    <t>Prog sub element</t>
  </si>
  <si>
    <t>Inputs</t>
  </si>
  <si>
    <t>Activities/Process</t>
  </si>
  <si>
    <t>Measures / indicators</t>
  </si>
  <si>
    <t>Outputs</t>
  </si>
  <si>
    <t>Intermediate outcome</t>
  </si>
  <si>
    <t>Outcomes</t>
  </si>
  <si>
    <t>Impact</t>
  </si>
  <si>
    <t>Research &amp; policy unit in NDOHS</t>
  </si>
  <si>
    <t>Asset management planning</t>
  </si>
  <si>
    <t>Research, policy, programme development</t>
  </si>
  <si>
    <t>Policy, legislation &amp; programme</t>
  </si>
  <si>
    <t>Review the programme performance, and revise programme and policy/legislation to achieve programme objectives</t>
  </si>
  <si>
    <t>Programme objectives</t>
  </si>
  <si>
    <t>Housing Code</t>
  </si>
  <si>
    <t>Revised EEDBS policy/programme</t>
  </si>
  <si>
    <t>Asset disposal to qualifying beneficiaries</t>
  </si>
  <si>
    <t xml:space="preserve">Asset creation for low income earners </t>
  </si>
  <si>
    <t>Budgeting</t>
  </si>
  <si>
    <t>Provincial budgets</t>
  </si>
  <si>
    <t>Allocate budgets (Provincial APP's) to EEDBS and asset management functions</t>
  </si>
  <si>
    <t>Requested budgets allocated</t>
  </si>
  <si>
    <t>Budget vote/APP/Bus plan</t>
  </si>
  <si>
    <t>Approved HSDG/APP/Bus plan</t>
  </si>
  <si>
    <t>M &amp; E</t>
  </si>
  <si>
    <t>Provincial progress reports</t>
  </si>
  <si>
    <t>Review quarterley reports and provide advices/support or action for non compliance to programme implementation</t>
  </si>
  <si>
    <t>Targets in APP met</t>
  </si>
  <si>
    <t>Reporting template</t>
  </si>
  <si>
    <t>Completed report</t>
  </si>
  <si>
    <t>Asset management planners</t>
  </si>
  <si>
    <t>Asset management review</t>
  </si>
  <si>
    <t>Update asset register</t>
  </si>
  <si>
    <t>Asset profile: no &amp; types of units, rentals</t>
  </si>
  <si>
    <t>Updated asset register</t>
  </si>
  <si>
    <t>Asset management data</t>
  </si>
  <si>
    <t>Annual Asset performance: sales, rental income, expenses, debtors</t>
  </si>
  <si>
    <t>All assets sold/rented to target market, No of units transferred, asset management cost recovery</t>
  </si>
  <si>
    <r>
      <t xml:space="preserve">Debtors system, </t>
    </r>
    <r>
      <rPr>
        <sz val="8"/>
        <color theme="5" tint="-0.249977111117893"/>
        <rFont val="Calibri"/>
        <family val="2"/>
        <scheme val="minor"/>
      </rPr>
      <t>asset register</t>
    </r>
  </si>
  <si>
    <t>Annual asset management performance assessed</t>
  </si>
  <si>
    <t>Beneficiary audit</t>
  </si>
  <si>
    <t>Determine categories of beneficiaries: beneficiaries that can use EEDBS to take transfer, EEDBS + co payment, full payment</t>
  </si>
  <si>
    <t>No of units eligible for transfer, rent, rightsizing &amp; projected subsidy, beneficiary contribution</t>
  </si>
  <si>
    <t>Beneficiary audit report</t>
  </si>
  <si>
    <t>Beneficaries audited</t>
  </si>
  <si>
    <t>Conduct occupancy and income audit</t>
  </si>
  <si>
    <t>Prepare report listing 3 categories</t>
  </si>
  <si>
    <t>Property condition audit</t>
  </si>
  <si>
    <t>Conduct building condition assessment to determine properties for rectification subsidy</t>
  </si>
  <si>
    <t>Planned maintenance programme and budget</t>
  </si>
  <si>
    <t>BCA report</t>
  </si>
  <si>
    <t>Maintenance needs established</t>
  </si>
  <si>
    <t>Prepare report providing Property preparation &amp; rectification needs and costs</t>
  </si>
  <si>
    <t>Asset management plans &amp; budgets</t>
  </si>
  <si>
    <t>Asset management performance reports</t>
  </si>
  <si>
    <t>Use results to develop asset management plans: Bus plan &amp; APP's</t>
  </si>
  <si>
    <t>Projections on assets to be sold/rented to target market, No of units to be transferred &amp; projected asset management cost recovery</t>
  </si>
  <si>
    <t>Bus plans &amp; APP's</t>
  </si>
  <si>
    <t>Asset management plans in place</t>
  </si>
  <si>
    <t>Capacity &amp; staffing for asset management</t>
  </si>
  <si>
    <t>Funded and unfunded post in organogram</t>
  </si>
  <si>
    <t>Units to staff ratio</t>
  </si>
  <si>
    <t>Own calc</t>
  </si>
  <si>
    <t>Updated staffing/resourcing needs</t>
  </si>
  <si>
    <t>Outsourced services required/ procured</t>
  </si>
  <si>
    <t>Outsourced cost as a % of total cost</t>
  </si>
  <si>
    <t>Budget for asset disposal and management</t>
  </si>
  <si>
    <t>Cost of sales/transfers, asset management &amp; rightsizing</t>
  </si>
  <si>
    <t>Bus plan &amp; APP's</t>
  </si>
  <si>
    <t>Budgets for asset disposal &amp; management</t>
  </si>
  <si>
    <t>Asset management sales administrators &amp; maintenance staff</t>
  </si>
  <si>
    <t>Asset disposal</t>
  </si>
  <si>
    <t>Disposal method</t>
  </si>
  <si>
    <t>Asset register,beneficiary audit report</t>
  </si>
  <si>
    <t>Determine beneficiaries eligible for sale and transfer &amp; co payment requirements</t>
  </si>
  <si>
    <t>No of units that can be sold/trfd</t>
  </si>
  <si>
    <t xml:space="preserve">List of units that can be transferred </t>
  </si>
  <si>
    <t>Beneficiaries receive unencumbered ownership</t>
  </si>
  <si>
    <t>Determine beneficiaries not eligible and proposed solution,i.e. relocation to BNG or SH</t>
  </si>
  <si>
    <t>No of tenants that must be relocated</t>
  </si>
  <si>
    <t>List of tenants that must be relocated</t>
  </si>
  <si>
    <t>Property preparation</t>
  </si>
  <si>
    <t>Title deeds, township proc, zoning, survey diagrams,SDP,  building plans</t>
  </si>
  <si>
    <t xml:space="preserve">Prepare properties for transfer:Land survey, town planning, sectional title
</t>
  </si>
  <si>
    <t>No of properties ready for transfer &amp; cost of property preparation</t>
  </si>
  <si>
    <t>Asset register:fields need to be added to accommodate in asset register</t>
  </si>
  <si>
    <t>Properties ready for transfer</t>
  </si>
  <si>
    <t>Funding the transaction</t>
  </si>
  <si>
    <t>Property &amp; beneficiary</t>
  </si>
  <si>
    <t>Meet beneficiaries that can take transfer and conclude sale agreement and collect co payment</t>
  </si>
  <si>
    <t>Required EEDBS  Rectification subsidies &amp; beneficiary contributions</t>
  </si>
  <si>
    <t>Sales/Leasing schedules</t>
  </si>
  <si>
    <t>Verbal agreement with the beneficiary on approach to be undertaken related to the property</t>
  </si>
  <si>
    <t>Beneficiary relocation</t>
  </si>
  <si>
    <t>Property &amp; tenant</t>
  </si>
  <si>
    <t>Meet beneficiaries that cannot take transfer: due to non qualifying or non affordability status. Discuss alternative suitable housing programme &amp; relocation</t>
  </si>
  <si>
    <t xml:space="preserve">Action plan identifying no of units/beneficiaries to be relocated </t>
  </si>
  <si>
    <r>
      <rPr>
        <sz val="8"/>
        <color theme="5" tint="-0.249977111117893"/>
        <rFont val="Calibri"/>
        <family val="2"/>
        <scheme val="minor"/>
      </rPr>
      <t>Leasing register</t>
    </r>
    <r>
      <rPr>
        <sz val="8"/>
        <color theme="1"/>
        <rFont val="Calibri"/>
        <family val="2"/>
        <scheme val="minor"/>
      </rPr>
      <t xml:space="preserve"> &amp; debtors system, </t>
    </r>
    <r>
      <rPr>
        <sz val="8"/>
        <color theme="5" tint="-0.249977111117893"/>
        <rFont val="Calibri"/>
        <family val="2"/>
        <scheme val="minor"/>
      </rPr>
      <t>asset register</t>
    </r>
  </si>
  <si>
    <t>Non eligible beneficaries relocated</t>
  </si>
  <si>
    <t>Proceed to engage municipalities for accomodation of tenants in BNG housing</t>
  </si>
  <si>
    <t>Proceed to engage SHI's to accommodate non qualifiers</t>
  </si>
  <si>
    <t>Contracting</t>
  </si>
  <si>
    <t>Sales/transfer agreement</t>
  </si>
  <si>
    <t>Reach agreement to sell &amp; transfer or transfer property</t>
  </si>
  <si>
    <t>No of units sold to beneficiaries or transferred to municipalities or SHI's</t>
  </si>
  <si>
    <t>List of sales/transfers</t>
  </si>
  <si>
    <t>Properties sold &amp; transferred</t>
  </si>
  <si>
    <t>Conclude agreement</t>
  </si>
  <si>
    <t>Deploy EEDBS</t>
  </si>
  <si>
    <t xml:space="preserve">Value of EEDBS subsidies </t>
  </si>
  <si>
    <t>HSS &amp; Debtors system</t>
  </si>
  <si>
    <t>Deploy Rectification subsidy</t>
  </si>
  <si>
    <t>Value of Rectification subsidies</t>
  </si>
  <si>
    <t>Property transfer</t>
  </si>
  <si>
    <t>Conveyancer</t>
  </si>
  <si>
    <t>Transfer of property to the purchaser</t>
  </si>
  <si>
    <t>No of units transferred</t>
  </si>
  <si>
    <t>List of transfers</t>
  </si>
  <si>
    <t>Leasing/Rental management administrators</t>
  </si>
  <si>
    <t xml:space="preserve">Asset management  </t>
  </si>
  <si>
    <t>Leasing / letting management</t>
  </si>
  <si>
    <t>Tenant, rental &amp; deposit details</t>
  </si>
  <si>
    <t>New/Renew leases &amp; update leasing register</t>
  </si>
  <si>
    <t>Updated leasing register</t>
  </si>
  <si>
    <t>Address dysfunctional public rental housing stock</t>
  </si>
  <si>
    <t>Economic cost recovery public rental housing stock for subsidy target market</t>
  </si>
  <si>
    <t>Rental management</t>
  </si>
  <si>
    <t>Rent roll, age analysis, journals, termination letters</t>
  </si>
  <si>
    <t>Produce and sent out rental accounts</t>
  </si>
  <si>
    <t>Correct billing i.e. rent raised</t>
  </si>
  <si>
    <t>Rent roll</t>
  </si>
  <si>
    <t>Rent accounts produced &amp; delivered</t>
  </si>
  <si>
    <t>Set up/maintain monthly debit order/salary deduction</t>
  </si>
  <si>
    <t>Rent collection rate</t>
  </si>
  <si>
    <t>Rent collected</t>
  </si>
  <si>
    <t>Capture payments received</t>
  </si>
  <si>
    <t>Produce age analysis and send out arrear notices/LOD's</t>
  </si>
  <si>
    <t>Age analysis</t>
  </si>
  <si>
    <t>Make arrangements with tenants to settle arrears</t>
  </si>
  <si>
    <t>Termination of lease letters</t>
  </si>
  <si>
    <t xml:space="preserve">Affidavits </t>
  </si>
  <si>
    <t>Default judgement,EAO &amp; eviction</t>
  </si>
  <si>
    <t>Legal doc's</t>
  </si>
  <si>
    <t>Legal action for non payment</t>
  </si>
  <si>
    <t>Lease/tenant management</t>
  </si>
  <si>
    <t>Complaint</t>
  </si>
  <si>
    <t>Receive &amp; acknowledge, investigate and address complaint</t>
  </si>
  <si>
    <t>No of complaints/non adherence received aginst no resolved</t>
  </si>
  <si>
    <t>no records</t>
  </si>
  <si>
    <t>All complaints &amp; non adherence to lease addressed</t>
  </si>
  <si>
    <t>Non adherence to lease</t>
  </si>
  <si>
    <t>Investigate non adherence, rule and issue notice to adhere</t>
  </si>
  <si>
    <t>Monitor behaviour and if non adherence, move to termination of lease</t>
  </si>
  <si>
    <t>Tenant liaison</t>
  </si>
  <si>
    <t>Communication: Conduct house inspections or send out communication via letters</t>
  </si>
  <si>
    <t>No of tenant inspections</t>
  </si>
  <si>
    <t>Not done</t>
  </si>
  <si>
    <t>All leases monitored for compliance</t>
  </si>
  <si>
    <t>Tenant notice of termination</t>
  </si>
  <si>
    <t>Accept termination, inspect unit, receive keys, appropriate rental account (maintenance, rent o/s and deposit refund)</t>
  </si>
  <si>
    <t>No of lease terminations dealt with on time</t>
  </si>
  <si>
    <t>All notices to terminate addressed and property prepared for reletting</t>
  </si>
  <si>
    <t>Utilities management</t>
  </si>
  <si>
    <t>Municipal accounts for rates &amp; sewerage, water, electricity, refuse</t>
  </si>
  <si>
    <t>Receive account, review for correct billing, pay account</t>
  </si>
  <si>
    <t>No creditors</t>
  </si>
  <si>
    <t>Utility bills reconciled &amp; paid</t>
  </si>
  <si>
    <t>maintenance/cleaning staff</t>
  </si>
  <si>
    <t>Maintenance management</t>
  </si>
  <si>
    <t xml:space="preserve">Emergency &amp; responsive:Inspect property, issue works order/requisition, undertake maintenance </t>
  </si>
  <si>
    <t>No of complaints received vs addressed</t>
  </si>
  <si>
    <t>Complaints register</t>
  </si>
  <si>
    <t>Properties maintained</t>
  </si>
  <si>
    <t>Unit turnover maintenance: Inspect property, undertake maintenance, recover cost from rent deposit or bill tenant</t>
  </si>
  <si>
    <t>Maintenance costs</t>
  </si>
  <si>
    <t>Leasing/Asset register</t>
  </si>
  <si>
    <t>BCA</t>
  </si>
  <si>
    <t>Cyclical: Procurement &amp; Commission works</t>
  </si>
  <si>
    <t>Asset preserved: good rating</t>
  </si>
  <si>
    <t>Facilities management</t>
  </si>
  <si>
    <t>Gardens, communal areas and fencing</t>
  </si>
  <si>
    <t>Clean gardens and communal areas and ensure that security facilities are working</t>
  </si>
  <si>
    <t>Clean estate</t>
  </si>
  <si>
    <t>Monthly management report</t>
  </si>
  <si>
    <t>Facilities maintained</t>
  </si>
  <si>
    <t>Assumptions</t>
  </si>
  <si>
    <t>Risks</t>
  </si>
  <si>
    <t>Provincial property management capacity &amp; systems in place</t>
  </si>
  <si>
    <t>Regularisation of tenancies: Ability to raise rentals to ECR - willingness &amp; affordability of sitting tenants</t>
  </si>
  <si>
    <t xml:space="preserve">Investigation and Regularisation of leases/tenancies to realise ECR </t>
  </si>
  <si>
    <t>Inability to collect rentals including to take action for non payment</t>
  </si>
  <si>
    <t>Rightsizing of tenants that cannot afford to BNG housing</t>
  </si>
  <si>
    <t>Provincial capacity to manage assets</t>
  </si>
  <si>
    <t>Tenant/occupancy audits &amp; removal of subletters/non qualifying occupants</t>
  </si>
  <si>
    <t>Efficiency &amp; effectiveness of management arrangements - ECR</t>
  </si>
  <si>
    <t>Good planning and policy amendment to finalise/close out EEDBS programme</t>
  </si>
  <si>
    <t>Willingness of tenants who cannot afford to relocate to BNG housing</t>
  </si>
  <si>
    <t xml:space="preserve">Use of conveyancers to deal with beneficiary adminsitration </t>
  </si>
  <si>
    <t>Legend</t>
  </si>
  <si>
    <t>Red text</t>
  </si>
  <si>
    <t>Not executed</t>
  </si>
  <si>
    <t>No data</t>
  </si>
  <si>
    <t xml:space="preserve">Brown text </t>
  </si>
  <si>
    <t>Partially executed</t>
  </si>
  <si>
    <t>Provincial variation</t>
  </si>
  <si>
    <t>May not get data</t>
  </si>
  <si>
    <t>Programme element listed in order of priority</t>
  </si>
  <si>
    <t>Row No.</t>
  </si>
  <si>
    <t>Ref.</t>
  </si>
  <si>
    <t>Sub-Heading in Cost Model</t>
  </si>
  <si>
    <t>Cross-referencing to Inputs &amp; Calcs Sheet in Cost Model</t>
  </si>
  <si>
    <t>Rental Debtors Balance Repaid</t>
  </si>
  <si>
    <t>Less: Uncollectable Debts on Rentals</t>
  </si>
  <si>
    <t>Total Sales Debts Collected</t>
  </si>
  <si>
    <t>Sales Collections/Sales Raised</t>
  </si>
  <si>
    <t>Sales Collection %</t>
  </si>
  <si>
    <t>Total 2014-16</t>
  </si>
  <si>
    <t>Includes Debtors Not Collected:</t>
  </si>
  <si>
    <t>NATIONAL INCOME &amp; EXPENSES</t>
  </si>
  <si>
    <t>Human Settlements Development Grant</t>
  </si>
  <si>
    <t>Scenario 3 - Devolve to Local Municipality</t>
  </si>
  <si>
    <t>Sc1</t>
  </si>
  <si>
    <t>Sc2</t>
  </si>
  <si>
    <t>Sc3</t>
  </si>
  <si>
    <t>Sc4</t>
  </si>
  <si>
    <t>Sale Debtors Not Collected</t>
  </si>
  <si>
    <t>Rental Debtors Not Collected</t>
  </si>
  <si>
    <t>Debtors Not Collected</t>
  </si>
  <si>
    <t>Debtors Balances Still Outstanding</t>
  </si>
  <si>
    <t>EEDBS Received</t>
  </si>
  <si>
    <t>Net Operating Deficit funded out of HSDG over 10 years:</t>
  </si>
  <si>
    <t>Net Operating Deficit funded out of HSDG:</t>
  </si>
  <si>
    <t>Net Deficit funded out of HSDG</t>
  </si>
  <si>
    <t>Total Government Funding Required</t>
  </si>
  <si>
    <t>Projected Scenario</t>
  </si>
  <si>
    <t>No. of Rental Units</t>
  </si>
  <si>
    <t>No. of Sales Accounts</t>
  </si>
  <si>
    <t>Total HSDG and EEDBS Spent</t>
  </si>
  <si>
    <t>HSDG and EEDBS Spent per Rental Unit</t>
  </si>
  <si>
    <t>Graphs</t>
  </si>
  <si>
    <t>% Increase/(Decrease) in Rental Debtors</t>
  </si>
  <si>
    <t>Provincial Summary Cash Flow</t>
  </si>
  <si>
    <t>Total Expenditure for Rental Operations</t>
  </si>
  <si>
    <t>Net Surplus/(Deficit) as % of HSDG</t>
  </si>
  <si>
    <t>% of Tenants Qualifying for EEDBS</t>
  </si>
  <si>
    <t>SELECT PROVINCE:</t>
  </si>
  <si>
    <t>Permanent Info</t>
  </si>
  <si>
    <t>User Instructions</t>
  </si>
  <si>
    <t>Scenario</t>
  </si>
  <si>
    <t>Net Cash Flow + Debt w/o</t>
  </si>
  <si>
    <t>Average loss per unit (Sales and Debtors)</t>
  </si>
  <si>
    <t>2016/17</t>
  </si>
  <si>
    <t>2017/18</t>
  </si>
  <si>
    <t>2018/19</t>
  </si>
  <si>
    <t>2019/20</t>
  </si>
  <si>
    <t>2020/21</t>
  </si>
  <si>
    <t>2021/22</t>
  </si>
  <si>
    <t>2022/23</t>
  </si>
  <si>
    <t>2023/24</t>
  </si>
  <si>
    <t>2024/25</t>
  </si>
  <si>
    <t>2025/26</t>
  </si>
  <si>
    <t>2026/27</t>
  </si>
  <si>
    <t>Logframe</t>
  </si>
  <si>
    <t>Normalise the Housing market</t>
  </si>
  <si>
    <t>Scenario 1 - Outsource Property Management</t>
  </si>
  <si>
    <t>Scenario 2 - Accelerate Transfer Voetstoots to Existing Occupants</t>
  </si>
  <si>
    <t>Happened</t>
  </si>
  <si>
    <t>Happening</t>
  </si>
  <si>
    <t>Planning</t>
  </si>
  <si>
    <t>Action</t>
  </si>
  <si>
    <t>Actual</t>
  </si>
  <si>
    <t>Base Case: Operations continue as they are</t>
  </si>
  <si>
    <t>Slow disposal to existing occupants</t>
  </si>
  <si>
    <t>Each province has a different rate of transfer of properties and collection rates for loans and rentals. For the provinces where progress in transfers has been slow, this could extend to 20 years.</t>
  </si>
  <si>
    <t>Rental operation operations continue with similar low collection rates.</t>
  </si>
  <si>
    <t>No rent increases.</t>
  </si>
  <si>
    <t>Property transfers continue at a similar % of the property portfolio until all have been sold.</t>
  </si>
  <si>
    <t>EEDBS stays at R7,500 p.u. upon transfer.</t>
  </si>
  <si>
    <t>Debt on properties transferred continues to accumulate until being written off.</t>
  </si>
  <si>
    <t>Operating costs reduce in proportion to the rental portfolio.</t>
  </si>
  <si>
    <t>Staffing costs reduce in proportion to the rental portfolio.</t>
  </si>
  <si>
    <t>Inflation on operating costs at 6% p.a.</t>
  </si>
  <si>
    <t>No escalation of rentals.</t>
  </si>
  <si>
    <t>Scenario 1: Outsource Property Management and Sales Administration</t>
  </si>
  <si>
    <t>Completion of the sales transfer process happens in a specified period. This will be set at 3 years from 2019/20 to 2021/22 for discussion but can be changed.</t>
  </si>
  <si>
    <t>Existing HS staff administering the properties are redeployed, i.e. no severance packages.</t>
  </si>
  <si>
    <t>Debt on rental and sales debtors is written off.</t>
  </si>
  <si>
    <t>EEDBS quantum is set at the amount to cover any shortfall owing on debts outstanding.</t>
  </si>
  <si>
    <t>All other assumptions remain the same.</t>
  </si>
  <si>
    <t>Scenario 2: Accelerated Sale to Existing Occupants</t>
  </si>
  <si>
    <t>Directive issued from National Government to accelerate transfers within a specified number of years.</t>
  </si>
  <si>
    <t>Scenario 3: Devolve to Municipalities to Manage and Sell</t>
  </si>
  <si>
    <t>Staff administering the HS property portfolio are transferred to municipalities.</t>
  </si>
  <si>
    <t>Cost to Income Ratio</t>
  </si>
  <si>
    <t>AS-IS</t>
  </si>
  <si>
    <t>Low/no rent collection</t>
  </si>
  <si>
    <t>No rent increases</t>
  </si>
  <si>
    <t>EEDBS at R7500 when disposed</t>
  </si>
  <si>
    <t>Transfer/sales uses HSDG funding</t>
  </si>
  <si>
    <t>Debt accumulation and write-off?</t>
  </si>
  <si>
    <t>Model should show cost to gov and how long it will take to close this portfolio</t>
  </si>
  <si>
    <t>Scenario 1 – Outsource management and disposal (SHI or private) – management fee appox R400/month; imptoved rent collection, accelerated sales, reduced operating cost in prov/overhead, direct cost remain and need to be covered</t>
  </si>
  <si>
    <t>Scenario 2 – Accelerated sale to existing occupant</t>
  </si>
  <si>
    <t>Scenario 3 – Devolve to municipality to manage and sell</t>
  </si>
  <si>
    <t>Scenario 4 – User can change variables and see impact per province – variables = years, EEDBS value, units transferred</t>
  </si>
  <si>
    <t>In scenario 1 to 3 EEDBS quantum = amount required to cover any shortfall ; debt is written off at time of transfer/sale</t>
  </si>
  <si>
    <t>Net Surplus/Deficit p.u.p.m.</t>
  </si>
  <si>
    <t>No. of Sale Accounts</t>
  </si>
  <si>
    <t>Scenario 4 - User Creates Own Scenario</t>
  </si>
  <si>
    <t>Improved rent collection, accelerated sales, reduced operating cost in prov/overhead, direct cost remain and need to be covered</t>
  </si>
  <si>
    <t>EEDBS quantum = amount required to cover any shortfall ; debt is written off at time of transfer/sale</t>
  </si>
  <si>
    <t>Base Case</t>
  </si>
  <si>
    <t>BC</t>
  </si>
  <si>
    <t>Scenario 4 - User creates own scenario</t>
  </si>
  <si>
    <t>Description of Base Case and Scenarios</t>
  </si>
  <si>
    <t>1.Cover'!A1</t>
  </si>
  <si>
    <t>2027/28</t>
  </si>
  <si>
    <t>2028/29</t>
  </si>
  <si>
    <t>2029/30</t>
  </si>
  <si>
    <t>2030/31</t>
  </si>
  <si>
    <t>2031/32</t>
  </si>
  <si>
    <t>3032/33</t>
  </si>
  <si>
    <t>2033/34</t>
  </si>
  <si>
    <t>2034/35</t>
  </si>
  <si>
    <t>2035/36</t>
  </si>
  <si>
    <t>2036/37</t>
  </si>
  <si>
    <t>Total 2017-2037</t>
  </si>
  <si>
    <t>Y0-Y20</t>
  </si>
  <si>
    <t>Comb.</t>
  </si>
  <si>
    <t>Net Surplus/Deficit from Sales and Rental Operations</t>
  </si>
  <si>
    <t>COMBINED OPERATIONS</t>
  </si>
  <si>
    <t>Collection</t>
  </si>
  <si>
    <t>Rent Increase</t>
  </si>
  <si>
    <t>Existing Rent Increase</t>
  </si>
  <si>
    <t>Calc</t>
  </si>
  <si>
    <t>No. of Units Remaining</t>
  </si>
  <si>
    <t>No. of Existing Rental Units</t>
  </si>
  <si>
    <t>No. of Units Transferred</t>
  </si>
  <si>
    <t>Rent Collection Target from 2019/20</t>
  </si>
  <si>
    <t>Rent Increase Target from 2019/20</t>
  </si>
  <si>
    <t>EEDBS Basic</t>
  </si>
  <si>
    <t>Existing</t>
  </si>
  <si>
    <t>None</t>
  </si>
  <si>
    <t>Target</t>
  </si>
  <si>
    <t>Ave Rent Collection %</t>
  </si>
  <si>
    <t>Increase</t>
  </si>
  <si>
    <t>Existing Collection Rate in 2015/16</t>
  </si>
  <si>
    <t>Existing/Target</t>
  </si>
  <si>
    <t>None/Increase</t>
  </si>
  <si>
    <t>Total 2020-2037</t>
  </si>
  <si>
    <t>Action Period</t>
  </si>
  <si>
    <t>Calc: Settlement of Debt per unit</t>
  </si>
  <si>
    <t>EEDBS Amount</t>
  </si>
  <si>
    <t>Fixed</t>
  </si>
  <si>
    <t>EEDBS to Settle Debts</t>
  </si>
  <si>
    <t>Total over 20 years</t>
  </si>
  <si>
    <t>Net Cash Flow 2017-2037 (=HSDG &amp; EEDBS Spent)</t>
  </si>
  <si>
    <t>=Overall Tenant Benefit</t>
  </si>
  <si>
    <t>=Tenant Subsidy</t>
  </si>
  <si>
    <t>Difference</t>
  </si>
  <si>
    <t>Staff Costs remain the same, but a different team replaces existing staff</t>
  </si>
  <si>
    <t>Outsourced administration costs of R400 p.u.p.m. for units rented and once-off transfer costs of R1,250 p.u. replace salary costs.</t>
  </si>
  <si>
    <t>% Difference</t>
  </si>
  <si>
    <t>Live Scenario Analysis of Income &amp; Expenses 2017-2037</t>
  </si>
  <si>
    <t>2014-2016</t>
  </si>
  <si>
    <t>2017-2037</t>
  </si>
  <si>
    <t>% of Total Income &amp; Expenses</t>
  </si>
  <si>
    <t>Savings on Staff Costs Due to Outsourcing under Scenario 1</t>
  </si>
  <si>
    <t>Check:</t>
  </si>
  <si>
    <t>=&gt;</t>
  </si>
  <si>
    <t>Management Costs p.u.p.m. Paid to Outsourced Property Rental Manager</t>
  </si>
  <si>
    <t>Outsourced Sales Administration per unit</t>
  </si>
  <si>
    <t>Total p.a.</t>
  </si>
  <si>
    <t>Total Sale Accounts and Rental Units</t>
  </si>
  <si>
    <t>Management Costs Paid to Outsourced Rental Property Manager p.a.</t>
  </si>
  <si>
    <t>No. of Units Devolved to Municipalties</t>
  </si>
  <si>
    <t>Order (Lowest to Highest Cost)</t>
  </si>
  <si>
    <t>Social Facilitation and Audit per unit</t>
  </si>
  <si>
    <t>Rental operations remain as they are, but ownership and management is transferred to municipalities.</t>
  </si>
  <si>
    <t>Forecast Results - National</t>
  </si>
  <si>
    <r>
      <t>Projected Scenario (</t>
    </r>
    <r>
      <rPr>
        <sz val="11"/>
        <color rgb="FFC00000"/>
        <rFont val="Calibri"/>
        <family val="2"/>
        <scheme val="minor"/>
      </rPr>
      <t>Select Scenario</t>
    </r>
    <r>
      <rPr>
        <sz val="11"/>
        <color theme="1"/>
        <rFont val="Calibri"/>
        <family val="2"/>
        <scheme val="minor"/>
      </rPr>
      <t>):</t>
    </r>
  </si>
  <si>
    <t>SCENARIO FLEXORS</t>
  </si>
  <si>
    <t>Pace of Sales - No. of Years to Transfer Units</t>
  </si>
  <si>
    <t>Disclaimer</t>
  </si>
  <si>
    <t>Cover sheet</t>
  </si>
  <si>
    <t>Hyperlinks enable direct access to ratios to minimise time spent looking for information</t>
  </si>
  <si>
    <t>Table of Contents, setting out Worksheets and quick access to key information</t>
  </si>
  <si>
    <t>Set of explanations of what is on each sheet, with Inputs Required and Directions for Use set out alongside</t>
  </si>
  <si>
    <t>Debt accumulation and write-off.</t>
  </si>
  <si>
    <t>Transfers/sales use HSDG funding.</t>
  </si>
  <si>
    <t>Scenario:</t>
  </si>
  <si>
    <t>Debtors Balance remaining</t>
  </si>
  <si>
    <t xml:space="preserve">Although all efforts possible have been made to test the model and to cover as many situations as known about in October 2017, it is possible that there will be unforeseen situations that require adjustments to the calculations. </t>
  </si>
  <si>
    <t>Neither GTAC nor the Alcari Consulting team make any representation about whether the results of the model will be achieved or even whether the model results are accurate.</t>
  </si>
  <si>
    <t>Diagram illustrating the model structure</t>
  </si>
  <si>
    <t xml:space="preserve">Table showing key variables and key results of the base case and all scenarios. </t>
  </si>
  <si>
    <t>Graphs showing comparative results of scenarios and the projected scenario.</t>
  </si>
  <si>
    <t>Description of the base case and all scenarios.</t>
  </si>
  <si>
    <t>Select Base or Scenario No.</t>
  </si>
  <si>
    <t>This is an important sheet in selecting scenarios and testing results driven by key variables.</t>
  </si>
  <si>
    <t>Key results are shown on row 12 and results for Scenario 4 can be copied from the Projecte Scenario on row 12 to Scenario 4 results on row 17.</t>
  </si>
  <si>
    <t>Changes to key variables being tested. As the Base Case and Scenarios 1 to 3 have been defined, all testing must occur in Scenario 4.</t>
  </si>
  <si>
    <t>Dashboard</t>
  </si>
  <si>
    <t>Variables</t>
  </si>
  <si>
    <t>20 year Total</t>
  </si>
  <si>
    <t>Abbreviated</t>
  </si>
  <si>
    <t>Full</t>
  </si>
  <si>
    <t>Data Validation Lists</t>
  </si>
  <si>
    <t>Year of Closure</t>
  </si>
  <si>
    <t>Disposal Cost per unit</t>
  </si>
  <si>
    <t>Total HSDG &amp; EEDBS per Base Case</t>
  </si>
  <si>
    <t>Cost (HSDG &amp; EEDBS) per Projected Scenario</t>
  </si>
  <si>
    <t>Years to Close the HS Programme (from 2018/19)</t>
  </si>
  <si>
    <t>Years to Close This Programme from 2018/19</t>
  </si>
  <si>
    <t>HSDG Top Slice to be Budgeted for this Programme</t>
  </si>
  <si>
    <t>Debt Written Off per unit</t>
  </si>
  <si>
    <t>Costs/Expenses</t>
  </si>
  <si>
    <t>Total EEDBS utilised</t>
  </si>
  <si>
    <t>R</t>
  </si>
  <si>
    <t>Summary of Fixed Scenarios and Scenario Description</t>
  </si>
  <si>
    <t>MTEF Cycle 2018/19 to 2022/23</t>
  </si>
  <si>
    <t>Rental Units Held</t>
  </si>
  <si>
    <t>Total during the next MTEF Period</t>
  </si>
  <si>
    <t>Rental Units Sold</t>
  </si>
  <si>
    <t>Net Rental Debt Converted to Sales Debt
(=Rental Debtors Converted less EEDBS)</t>
  </si>
  <si>
    <t>Total over the 20-year Forecast Period</t>
  </si>
  <si>
    <t>Total HSDG Top Slice over the 20-year Forecast Period</t>
  </si>
  <si>
    <t>Total EEDBS over the 20-year Forecast Period</t>
  </si>
  <si>
    <t>Rental Debt converted p.u.</t>
  </si>
  <si>
    <t>HSDG p.u.</t>
  </si>
  <si>
    <t>EEDBS p.u.</t>
  </si>
  <si>
    <t>This sheet reflects the combined national results.</t>
  </si>
  <si>
    <t>No data entry on this sheet.</t>
  </si>
  <si>
    <t>Results can be shown for a province or nationally if "Total"is selected.</t>
  </si>
  <si>
    <t>No further inputs or changes required. (Changes are only to be made on the Dashboard sheet)</t>
  </si>
  <si>
    <t>Data Inputs taken from the Expenditure Review and Other Sources, with calculations that feed into the Forecast Results sheet.</t>
  </si>
  <si>
    <t>No data entry required.</t>
  </si>
  <si>
    <t>Property and Debtors information extracted from the Expenditure Review are inputs to the Cost Model.</t>
  </si>
  <si>
    <t>The Expenditure Review results are inputs to the Cost Model.</t>
  </si>
  <si>
    <t>The Logframe provides the framework upon which the cost model is developed and is referenced into related sections of the model.</t>
  </si>
  <si>
    <t>This is an important sheet where the user can alter key variables and see the effect.</t>
  </si>
  <si>
    <t>Alternate EEDBS Paid i.r.o Sale Debtors p.a.</t>
  </si>
  <si>
    <t>Rental Debtors Converted to Sales</t>
  </si>
  <si>
    <t>EEDBS Utilised</t>
  </si>
  <si>
    <t>Net Deficit funded by HSDG Top Slice</t>
  </si>
  <si>
    <t>Balance b/f</t>
  </si>
  <si>
    <t>Rent Invoiced</t>
  </si>
  <si>
    <t>Sale Debtors</t>
  </si>
  <si>
    <t>Sales and Interest Invoiced</t>
  </si>
  <si>
    <t>Sales and Interest Collected</t>
  </si>
  <si>
    <t>Balance c/f</t>
  </si>
  <si>
    <t>Bad Debts Written Off</t>
  </si>
  <si>
    <t>Growth in Debtors</t>
  </si>
  <si>
    <t>Reduction in Debtors</t>
  </si>
  <si>
    <t>No of Rental Debtors</t>
  </si>
  <si>
    <t>No of Sale Debtors</t>
  </si>
  <si>
    <t>Total Debt Written Off</t>
  </si>
  <si>
    <t>Income (=Rent &amp; Sales Income)</t>
  </si>
  <si>
    <t>Net Surplus / (deficit) funded by HSDG Top Slice</t>
  </si>
  <si>
    <t>Use EEDBS to reduce the Sale Debtors</t>
  </si>
  <si>
    <t>Movement in No. of Sales Debtors</t>
  </si>
  <si>
    <t>New Sale Debtors (Rental Properties Sold to Occupants)</t>
  </si>
  <si>
    <t>Movement in Sales Debtors Balance</t>
  </si>
  <si>
    <t>Total Existing Rental Units Transferred</t>
  </si>
  <si>
    <t>EEDBS per Existing Rental Unit</t>
  </si>
  <si>
    <t>HSDG Top Slice per Existing Rental Unit</t>
  </si>
  <si>
    <t>Total No. of Rental and Sale Debtors</t>
  </si>
  <si>
    <t>Province:</t>
  </si>
  <si>
    <t>Sales Debtors Written Off</t>
  </si>
  <si>
    <t>Existing Sales Debt Written Off If Not Covered by EEDBS</t>
  </si>
  <si>
    <t>Sales Debtors Accounts Closed</t>
  </si>
  <si>
    <t>Total Sales Debt Written Off over the 20-year Forecast Period</t>
  </si>
  <si>
    <t>Total EEDBS Paid p.a. i.r.o. Existing Rental Units</t>
  </si>
  <si>
    <t>Rental Units Sold + Sales Debtors w/o</t>
  </si>
  <si>
    <t>Average EEDBS Applied for New Sales</t>
  </si>
  <si>
    <t>New Sale Debtors Settled by EEDBS</t>
  </si>
  <si>
    <t>Existing Sale Debtors Written Off Using EEDBS</t>
  </si>
  <si>
    <t>New Sale Debtors Balances paid by EEDBS</t>
  </si>
  <si>
    <t>No. of New Sales Debtors Settled in Full Immediately by EEDBS Calculated (Decrease in No. of New Sales Debtors)</t>
  </si>
  <si>
    <t>EEDBS paid</t>
  </si>
  <si>
    <t>Total Sale &amp; Loan Debtors (Existing)</t>
  </si>
  <si>
    <t>EEDBS utilised to settle Existing Sales Debtors Balances Owing</t>
  </si>
  <si>
    <t>=Tenant Subsidy p.u.</t>
  </si>
  <si>
    <t>=Overall Tenant Benefit p.u.</t>
  </si>
  <si>
    <t>Calculated</t>
  </si>
  <si>
    <t>Model Design &amp; Scenario Descriptions</t>
  </si>
  <si>
    <t>MTEF</t>
  </si>
  <si>
    <t>EEDBS during the MTEF period (2018/19 to 2022/23)</t>
  </si>
  <si>
    <t>HSDG during the MTEF period (2018/19 to 2022/23)</t>
  </si>
  <si>
    <t>HSDG &amp; EEDBS during MTEF Period 2018/19 to 2022/23</t>
  </si>
  <si>
    <t>(Increase)/Decrease in HSDG &amp; EEDBS Compared to Base Case</t>
  </si>
  <si>
    <t>Step 3: Human Settlements Cost Model</t>
  </si>
  <si>
    <t>Background Informaton and User Instructions</t>
  </si>
  <si>
    <t>Input &amp; Key Results</t>
  </si>
  <si>
    <t>Workings (Protected - No Data Entry)</t>
  </si>
  <si>
    <t xml:space="preserve">This financial model was developed for the National Treasury to develop possible scenarios for ownership and management of Human Settlements provincial housing stock. </t>
  </si>
  <si>
    <t>Worksheet 4 contains a description of the Base Case and Scenarios and Model Design.</t>
  </si>
  <si>
    <t>Worksheet 5 is an interactive sheet where users can enter data and test scenarios.</t>
  </si>
  <si>
    <t>Legend (Tab Colours)</t>
  </si>
  <si>
    <t>The worksheet tab colours are explained by the following legend:</t>
  </si>
  <si>
    <t>Graphs illustrate the outcomes of the calculations.</t>
  </si>
  <si>
    <t>Should you require more information, you can browse the detailed tan coloured worksheets.</t>
  </si>
  <si>
    <t>Pre-calculated scenarios are provided as worksheets 5a to 5d in line with the model design.</t>
  </si>
  <si>
    <t>A summary of the worksheets follows:</t>
  </si>
  <si>
    <t>Worksheet 5a</t>
  </si>
  <si>
    <t>5a. Dashboard Total BC'!A1</t>
  </si>
  <si>
    <t>5b. Dashboard Total Sc 1'!A1</t>
  </si>
  <si>
    <t>5c. Dashboard Total Sc 2'!A1</t>
  </si>
  <si>
    <t>5d. Dashboard Total Sc 3'!A1</t>
  </si>
  <si>
    <t>5. Dashboard Live'!A1</t>
  </si>
  <si>
    <t>First select the province or "Total" for all provinces combined.</t>
  </si>
  <si>
    <t>Scenario Summary</t>
  </si>
  <si>
    <t>Scenarios Detailed</t>
  </si>
  <si>
    <t>5a</t>
  </si>
  <si>
    <t>No Data Entry on This Sheet.</t>
  </si>
  <si>
    <t>This is a static sheet showing the results of Scenario 1.</t>
  </si>
  <si>
    <t>This is a static sheet showing the results of Scenario 2.</t>
  </si>
  <si>
    <t>This is a static sheet showing the results of Scenario 3.</t>
  </si>
  <si>
    <t>This is a static sheet showing the results of the Base Case</t>
  </si>
  <si>
    <t>Total EEDBS Paid per Province for Transfer of Rental Properties</t>
  </si>
  <si>
    <t>No. of Rental Units Sold (Increase in No. of Sales Debtors)</t>
  </si>
  <si>
    <t>Total EEDBS for Previous Rentals and Closure of Sale Accounts</t>
  </si>
  <si>
    <t>Fixed &amp; Calc</t>
  </si>
  <si>
    <t>Total EEDBS Paid per Province for Closure of Existing Sale Accounts</t>
  </si>
  <si>
    <t>No. of New Sale Debtors (Rental Properties Sold to Occupants)</t>
  </si>
  <si>
    <t>EEDBS Fixed - per Unit</t>
  </si>
  <si>
    <t>EEDBS Fixed - Total Utilised on Transfer to Tenants</t>
  </si>
  <si>
    <t>Amount of New Sale Debtors after deduction of fixed EEDBS amount (Settled by EEDBS under the Calc option)</t>
  </si>
  <si>
    <t>Total New Sale Debtors settled</t>
  </si>
  <si>
    <t>Total EEDBS Utilised for Settlement of Existing Sales &amp; Loan Accounts</t>
  </si>
  <si>
    <t>No. of Existing Sale Debtors settled</t>
  </si>
  <si>
    <t>Existing Sale Debtors settled</t>
  </si>
  <si>
    <t>Total Sales And Loan Debtors Opening Balance</t>
  </si>
  <si>
    <t>Sales Debtors Control Account</t>
  </si>
  <si>
    <t>Total EEDBS per Province and Scenario Tested</t>
  </si>
  <si>
    <t>Total EEDBS per Province Base Case - Forecast Period</t>
  </si>
  <si>
    <t>Total EEDBS per Province Base Case - MTEF Period</t>
  </si>
  <si>
    <t>Dashboard Total BC</t>
  </si>
  <si>
    <t>Dashboard Total Sc 1</t>
  </si>
  <si>
    <t>Dashboard Total Sc 2</t>
  </si>
  <si>
    <t>Dashboard Total Sc 3</t>
  </si>
  <si>
    <t>Forecast Results National</t>
  </si>
  <si>
    <t>9a</t>
  </si>
  <si>
    <t>9b</t>
  </si>
  <si>
    <t>9c</t>
  </si>
  <si>
    <t>9d</t>
  </si>
  <si>
    <t>9e</t>
  </si>
  <si>
    <t>9f</t>
  </si>
  <si>
    <t>Forecast Results - EC</t>
  </si>
  <si>
    <t>Forecast Results - FS</t>
  </si>
  <si>
    <t>Forecast Results - Gau</t>
  </si>
  <si>
    <t>Forecast Results - KZN</t>
  </si>
  <si>
    <t>Forecast Results - WC</t>
  </si>
  <si>
    <t>5b</t>
  </si>
  <si>
    <t>5c</t>
  </si>
  <si>
    <t>5d</t>
  </si>
  <si>
    <t>2.Contents'!A1</t>
  </si>
  <si>
    <t>3. User Instructions'!A1</t>
  </si>
  <si>
    <t>4. Model Design &amp; Scenario Desc'!A1</t>
  </si>
  <si>
    <t>6. Scenario Summary'!A1</t>
  </si>
  <si>
    <t>7. Scenario Detailed'!A1</t>
  </si>
  <si>
    <t>8. Forecast Results National'!A1</t>
  </si>
  <si>
    <t>9. Forecast Results'!A1</t>
  </si>
  <si>
    <t>9a. Forecast Results - Total'!A1</t>
  </si>
  <si>
    <t>9b. Forecast Results - EC'!A1</t>
  </si>
  <si>
    <t>9c. Forecast Results - FS'!A1</t>
  </si>
  <si>
    <t>9d. Forecast Results - Gau'!A1</t>
  </si>
  <si>
    <t>9e. Forecast Results - KZN'!A1</t>
  </si>
  <si>
    <t>9f. Forecast Results - WC'!A1</t>
  </si>
  <si>
    <t>10. Inputs &amp; Calcs'!A1</t>
  </si>
  <si>
    <t>11. Table - Expenditure Review'!A1</t>
  </si>
  <si>
    <t>12. Inputs-Props &amp; Debtors 2016'!A1</t>
  </si>
  <si>
    <t>13. Logframe HS'!A1</t>
  </si>
  <si>
    <t>14. Permanent Info'!A1</t>
  </si>
  <si>
    <t>DETAILS OF INPUTS &amp; CALCS SHEET</t>
  </si>
  <si>
    <t>Total EEDBS Paid (3 rows above)</t>
  </si>
  <si>
    <t>10. Inputs &amp; Calcs'!D30</t>
  </si>
  <si>
    <t>10. Inputs &amp; Calcs'!D450</t>
  </si>
  <si>
    <t>10. Inputs &amp; Calcs'!D517</t>
  </si>
  <si>
    <t>10. Inputs &amp; Calcs'!D647</t>
  </si>
  <si>
    <t>10. Inputs &amp; Calcs'!D771</t>
  </si>
  <si>
    <t>NB</t>
  </si>
  <si>
    <t>(+Sheets 9a to 9e Containing base case results for provinces and national.</t>
  </si>
  <si>
    <t>No data entry on these sheets.</t>
  </si>
  <si>
    <t>The forecast results sheets refect the provincial or national results, depending on selections made in the Dashboard sheet.</t>
  </si>
  <si>
    <t>Results of the scenario selected can be compared to the base case.</t>
  </si>
  <si>
    <t>Dashboard (Select Options from Drop-down Lists and Key Variable Input &amp; Key Results)</t>
  </si>
  <si>
    <t>Live Forecast Results for National and Provinces (Protected - No Data Entry) - Live</t>
  </si>
  <si>
    <t>Workings (Protected - No Data Entry) - Live</t>
  </si>
  <si>
    <t>Copies of Dashboards for Scenarios and Scenario Summaries (Protected - No Data Entry) - Static</t>
  </si>
  <si>
    <t>Select Options from Drop-Down Boxes in Turquoise Cells</t>
  </si>
  <si>
    <r>
      <rPr>
        <b/>
        <sz val="11"/>
        <color rgb="FF002060"/>
        <rFont val="Calibri"/>
        <family val="2"/>
        <scheme val="minor"/>
      </rPr>
      <t>Note about the years to close this programme:</t>
    </r>
    <r>
      <rPr>
        <sz val="11"/>
        <color rgb="FF002060"/>
        <rFont val="Calibri"/>
        <family val="2"/>
        <scheme val="minor"/>
      </rPr>
      <t xml:space="preserve">
As the base information in the Expenditure Analysis was 2015/16, the 20-year forecast from 2016/17 onwards contains three financial years that will elapse before the effect of new variables selected in this model will come into effect (2016/17 has passed, 2017/18 ends soon and planning will be done in the 2018/19 financial year), i.e 2019/20 is the first year in which results of selections made will be shown. Therefore, enter 1 for immediate closure of the programme in 2019/2020 or any number of years up to 17 for longer duration and latest possible closure.</t>
    </r>
  </si>
  <si>
    <t>Forecast Results - Total</t>
  </si>
  <si>
    <t>Data Sources - Expenditure Review, Properties and Debtors (Protected - No Data Entry) - Static</t>
  </si>
  <si>
    <t>The user must start at Worksheet 5, the Live Dashboard. Drop-down boxes are provided to select one of the options provided and are highlighted in turquoise:</t>
  </si>
  <si>
    <t>Targets for rent collection and rental increases can be entered into the Live Dashboard for each province in the light turquoise cells:</t>
  </si>
  <si>
    <t>The outputs from the calculations are shown in the light tan tabs.</t>
  </si>
  <si>
    <t>Dashboard Live</t>
  </si>
  <si>
    <t>Dashboards Static - Base Case and Scenarios</t>
  </si>
  <si>
    <t xml:space="preserve">5a-d </t>
  </si>
  <si>
    <t>Static sheets showing the results of the Base Case and scenarios.</t>
  </si>
  <si>
    <t>Key inputs on which the calculations are based.</t>
  </si>
  <si>
    <t xml:space="preserve">This model was prepared by the Alcari Consulting team for the Performance and Expenditure Review of Provincial Government Housing Stock in 2017 to estimate the financial impact of various scenarios. </t>
  </si>
  <si>
    <t>Cumulative Surplus/(Deficit)</t>
  </si>
  <si>
    <t>Sheet 9</t>
  </si>
  <si>
    <t>Sheet 8</t>
  </si>
  <si>
    <t>Scen 1</t>
  </si>
  <si>
    <t>Scen 2</t>
  </si>
  <si>
    <t>Scen 3</t>
  </si>
  <si>
    <t>The user can select Scenario 4 to test results for different provinces and for changes in assumptions.</t>
  </si>
  <si>
    <t>Comparison of Total Projected HSDG &amp; EEDBS v Base Case</t>
  </si>
  <si>
    <r>
      <t xml:space="preserve">Years to Close This Programme from 2018/19 </t>
    </r>
    <r>
      <rPr>
        <sz val="11"/>
        <color rgb="FF002060"/>
        <rFont val="Calibri"/>
        <family val="2"/>
        <scheme val="minor"/>
      </rPr>
      <t>(See note above)</t>
    </r>
  </si>
  <si>
    <t>Comparison to Other Subsidies</t>
  </si>
  <si>
    <t>RDP Capital Subsidy per unit (R153,000 p.u.)</t>
  </si>
  <si>
    <t>Social Housing Capital Subsidy per unit (R265,000 p.u.)</t>
  </si>
  <si>
    <t>CRU Capital Subsidy per unit (Average R155,000 p.u.)</t>
  </si>
  <si>
    <t>HSDG Higher/(Less) Than Other Subsidy</t>
  </si>
  <si>
    <t>HSDG as % Higher/(Lower) Than Other Subsidy</t>
  </si>
  <si>
    <t>Total Government Contribution p.u.</t>
  </si>
  <si>
    <t>Total Government Contribution over 20 years</t>
  </si>
  <si>
    <t>Net Surplus / (deficit)</t>
  </si>
  <si>
    <t>Increase/(Decrease) in HSDG &amp; EEDBS Compared to Base Case</t>
  </si>
  <si>
    <t>Scenario Assumptions and Results Summary</t>
  </si>
  <si>
    <t>Cost to the State (HSDG &amp; EEDBS) per Projected Scenario</t>
  </si>
  <si>
    <t>Early stage of summary 060218 not required</t>
  </si>
  <si>
    <t>9a1</t>
  </si>
  <si>
    <t>9a2</t>
  </si>
  <si>
    <t>9a3</t>
  </si>
  <si>
    <t>9a4</t>
  </si>
  <si>
    <t>9b1</t>
  </si>
  <si>
    <t>9b2</t>
  </si>
  <si>
    <t>9b3</t>
  </si>
  <si>
    <t>9b4</t>
  </si>
  <si>
    <t>9c1</t>
  </si>
  <si>
    <t>9c2</t>
  </si>
  <si>
    <t>9c3</t>
  </si>
  <si>
    <t>9c4</t>
  </si>
  <si>
    <t>9d1</t>
  </si>
  <si>
    <t>9d2</t>
  </si>
  <si>
    <t>9d3</t>
  </si>
  <si>
    <t>9d4</t>
  </si>
  <si>
    <t>9e1</t>
  </si>
  <si>
    <t>9e2</t>
  </si>
  <si>
    <t>9e3</t>
  </si>
  <si>
    <t>9e4</t>
  </si>
  <si>
    <t>9f1</t>
  </si>
  <si>
    <t>9f2</t>
  </si>
  <si>
    <t>9f3</t>
  </si>
  <si>
    <t>9f4</t>
  </si>
  <si>
    <t>Forecast Results - Total Sc 1</t>
  </si>
  <si>
    <t>Forecast Results - Total Sc 2</t>
  </si>
  <si>
    <t>Forecast Results - Total Sc 3</t>
  </si>
  <si>
    <t>Forecast Results - Total BC</t>
  </si>
  <si>
    <t>Forecast Results - EC Sc 1</t>
  </si>
  <si>
    <t>Forecast Results - EC Sc 2</t>
  </si>
  <si>
    <t>Forecast Results - EC Sc 3</t>
  </si>
  <si>
    <t>Forecast Results - EC BC</t>
  </si>
  <si>
    <t>Forecast Results - FS Sc 1</t>
  </si>
  <si>
    <t>Forecast Results - FS Sc 2</t>
  </si>
  <si>
    <t>Forecast Results - FS Sc 3</t>
  </si>
  <si>
    <t>Forecast Results - FS BC</t>
  </si>
  <si>
    <t>Forecast Results - Gau Sc 1</t>
  </si>
  <si>
    <t>Forecast Results - Gau Sc 2</t>
  </si>
  <si>
    <t>Forecast Results - Gau Sc 3</t>
  </si>
  <si>
    <t>Forecast Results - Gau BC</t>
  </si>
  <si>
    <t>Forecast Results - KZN Sc 1</t>
  </si>
  <si>
    <t>Forecast Results - KZN Sc 2</t>
  </si>
  <si>
    <t>Forecast Results - KZN Sc 3</t>
  </si>
  <si>
    <t>Forecast Results - KZN BC</t>
  </si>
  <si>
    <t>Forecast Results - WC Sc 1</t>
  </si>
  <si>
    <t>Forecast Results - WC Sc 2</t>
  </si>
  <si>
    <t>Forecast Results - WC Sc 3</t>
  </si>
  <si>
    <t>Forecast Results - WC BC</t>
  </si>
  <si>
    <t>Results Summary</t>
  </si>
  <si>
    <t>Total Government Contribution (HSDG + EEDBS)</t>
  </si>
  <si>
    <t>Scen Selected</t>
  </si>
  <si>
    <t>Secondary Data Inputs</t>
  </si>
  <si>
    <t>If the objective is to reach a collection target</t>
  </si>
  <si>
    <t>Do Not Delete!</t>
  </si>
  <si>
    <t>Comparison p.u. to Base Case</t>
  </si>
  <si>
    <t>Ave Rent Collection % (Modify targets on Dashboard 2)</t>
  </si>
  <si>
    <t>For secondary data inputs for rent collection targets and rent inceases, go to Dashboard 2 to make changes.</t>
  </si>
  <si>
    <t>Quick Key Results</t>
  </si>
  <si>
    <t>Abbreviations are used for Provinces: EC=Eastern Cape, FS=Free State, Gau=Gauteng, KZN=Kwazulu Natal and WC=Western Cape.</t>
  </si>
  <si>
    <t>Dashboard 2 - Secondary Data</t>
  </si>
  <si>
    <t>Variable Inputs per Province</t>
  </si>
  <si>
    <t>Update Secondary Data Inputs in Light Turquoise Cells on Dashboard 2</t>
  </si>
  <si>
    <t>Update Secondary Data Inputs in Light Turquoise Cells</t>
  </si>
  <si>
    <t>Dashboard Total</t>
  </si>
  <si>
    <t>Dashboard EC</t>
  </si>
  <si>
    <t>Dashboard FS</t>
  </si>
  <si>
    <t>Dashboard Gau</t>
  </si>
  <si>
    <t>Dashboard KZN</t>
  </si>
  <si>
    <t>Dashboard WC</t>
  </si>
  <si>
    <t>5. Dashboard Total'!A1</t>
  </si>
  <si>
    <t>5. Dashboard EC'!A1</t>
  </si>
  <si>
    <t>5. Dashboard FS'!A1</t>
  </si>
  <si>
    <t>5. Dashboard Gau'!A1</t>
  </si>
  <si>
    <t>5. Dashboard KZN'!A1</t>
  </si>
  <si>
    <t>5. Dashboard WC'!A1</t>
  </si>
  <si>
    <t>Scenario Assumptions</t>
  </si>
  <si>
    <t>For Final Version</t>
  </si>
  <si>
    <t>This Dashboard shows results for all provinces combined. No data entry or scenario selections can be done on this sheet.</t>
  </si>
  <si>
    <t>Adjustments to scenarios should be done on the Dashboard Live worksheet.</t>
  </si>
  <si>
    <t>First select the Province or "Total" for All Provinces combined from the drop-down list in cell C12. Scenarios 1-3 have been set with specific inputs and results.</t>
  </si>
  <si>
    <t>The user can select Scenario 4 to test changes in assumptions and compare these to the base case.</t>
  </si>
  <si>
    <t>Select Options and Assumptions from Drop-Down Boxes in Turquoise Cells</t>
  </si>
  <si>
    <t>Update secondary data inputs in light turquoise cells on Dashboard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</si>
</sst>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quot;R&quot;#,##0;\-&quot;R&quot;#,##0"/>
    <numFmt numFmtId="165" formatCode="&quot;R&quot;#,##0;[Red]\-&quot;R&quot;#,##0"/>
    <numFmt numFmtId="166" formatCode="_-* #,##0_-;\-* #,##0_-;_-* &quot;-&quot;_-;_-@_-"/>
    <numFmt numFmtId="167" formatCode="_-&quot;R&quot;* #,##0.00_-;\-&quot;R&quot;* #,##0.00_-;_-&quot;R&quot;* &quot;-&quot;??_-;_-@_-"/>
    <numFmt numFmtId="168" formatCode="&quot;R&quot;#,##0_);\(&quot;R&quot;#,##0\)"/>
    <numFmt numFmtId="169" formatCode="&quot;R&quot;#,##0_);[Red]\(&quot;R&quot;#,##0\)"/>
    <numFmt numFmtId="170" formatCode="_(* #,##0_);_(* \(#,##0\);_(* &quot;-&quot;??_);_(@_)"/>
    <numFmt numFmtId="171" formatCode="[$-1C09]dd\ mmmm\ yyyy;@"/>
    <numFmt numFmtId="172" formatCode="&quot;R&quot;#,##0"/>
    <numFmt numFmtId="173" formatCode="0.0%"/>
    <numFmt numFmtId="174" formatCode="0.000%"/>
    <numFmt numFmtId="175" formatCode="_(* #,##0.000_);_(* \(#,##0.000\);_(* &quot;-&quot;??_);_(@_)"/>
    <numFmt numFmtId="176" formatCode="_(* #,##0.0_);_(* \(#,##0.0\);_(* &quot;-&quot;??_);_(@_)"/>
    <numFmt numFmtId="177" formatCode="[$R-1C09]#,##0"/>
    <numFmt numFmtId="178" formatCode="&quot;Y&quot;0"/>
    <numFmt numFmtId="179" formatCode="&quot;R&quot;#,##0.00"/>
    <numFmt numFmtId="180" formatCode="&quot;D&quot;0"/>
  </numFmts>
  <fonts count="60" x14ac:knownFonts="1">
    <font>
      <sz val="11"/>
      <color theme="1"/>
      <name val="Calibri"/>
      <family val="2"/>
      <scheme val="minor"/>
    </font>
    <font>
      <sz val="11"/>
      <color theme="1"/>
      <name val="Calibri"/>
      <family val="2"/>
      <scheme val="minor"/>
    </font>
    <font>
      <b/>
      <sz val="11"/>
      <color theme="1"/>
      <name val="Calibri"/>
      <family val="2"/>
      <scheme val="minor"/>
    </font>
    <font>
      <sz val="11"/>
      <color rgb="FF0000CC"/>
      <name val="Calibri"/>
      <family val="2"/>
      <scheme val="minor"/>
    </font>
    <font>
      <b/>
      <sz val="18"/>
      <color theme="1"/>
      <name val="Calibri"/>
      <family val="2"/>
      <scheme val="minor"/>
    </font>
    <font>
      <b/>
      <sz val="12"/>
      <color theme="1"/>
      <name val="Calibri"/>
      <family val="2"/>
      <scheme val="minor"/>
    </font>
    <font>
      <b/>
      <sz val="11"/>
      <color theme="0"/>
      <name val="Calibri"/>
      <family val="2"/>
      <scheme val="minor"/>
    </font>
    <font>
      <sz val="11"/>
      <color rgb="FFFF0000"/>
      <name val="Calibri"/>
      <family val="2"/>
      <scheme val="minor"/>
    </font>
    <font>
      <sz val="10"/>
      <name val="Arial"/>
      <family val="2"/>
    </font>
    <font>
      <b/>
      <sz val="12"/>
      <name val="Calibri"/>
      <family val="2"/>
    </font>
    <font>
      <b/>
      <sz val="12"/>
      <color rgb="FFEF3F36"/>
      <name val="Calibri"/>
      <family val="2"/>
    </font>
    <font>
      <u/>
      <sz val="11"/>
      <color theme="10"/>
      <name val="Calibri"/>
      <family val="2"/>
      <scheme val="minor"/>
    </font>
    <font>
      <b/>
      <sz val="14"/>
      <color theme="1"/>
      <name val="Calibri"/>
      <family val="2"/>
      <scheme val="minor"/>
    </font>
    <font>
      <b/>
      <sz val="14"/>
      <name val="Calibri"/>
      <family val="2"/>
    </font>
    <font>
      <b/>
      <sz val="16"/>
      <color theme="1"/>
      <name val="Calibri"/>
      <family val="2"/>
      <scheme val="minor"/>
    </font>
    <font>
      <b/>
      <sz val="11"/>
      <color rgb="FFC00000"/>
      <name val="Calibri"/>
      <family val="2"/>
      <scheme val="minor"/>
    </font>
    <font>
      <sz val="11"/>
      <color rgb="FFC00000"/>
      <name val="Calibri"/>
      <family val="2"/>
      <scheme val="minor"/>
    </font>
    <font>
      <b/>
      <i/>
      <sz val="11"/>
      <color theme="1"/>
      <name val="Calibri"/>
      <family val="2"/>
      <scheme val="minor"/>
    </font>
    <font>
      <sz val="10"/>
      <color theme="1"/>
      <name val="Calibri"/>
      <family val="2"/>
      <scheme val="minor"/>
    </font>
    <font>
      <i/>
      <sz val="11"/>
      <color theme="1"/>
      <name val="Calibri"/>
      <family val="2"/>
      <scheme val="minor"/>
    </font>
    <font>
      <i/>
      <sz val="11"/>
      <color rgb="FFFF0000"/>
      <name val="Calibri"/>
      <family val="2"/>
      <scheme val="minor"/>
    </font>
    <font>
      <b/>
      <sz val="9"/>
      <color indexed="81"/>
      <name val="Tahoma"/>
      <family val="2"/>
    </font>
    <font>
      <sz val="9"/>
      <color indexed="81"/>
      <name val="Tahoma"/>
      <family val="2"/>
    </font>
    <font>
      <sz val="11"/>
      <color theme="1"/>
      <name val="Calibri"/>
      <family val="2"/>
      <scheme val="minor"/>
    </font>
    <font>
      <b/>
      <sz val="16"/>
      <color theme="1"/>
      <name val="Calibri"/>
      <family val="2"/>
      <scheme val="minor"/>
    </font>
    <font>
      <sz val="14"/>
      <color theme="1"/>
      <name val="Calibri"/>
      <family val="2"/>
      <scheme val="minor"/>
    </font>
    <font>
      <b/>
      <sz val="11"/>
      <color theme="1"/>
      <name val="Calibri"/>
      <family val="2"/>
      <scheme val="minor"/>
    </font>
    <font>
      <b/>
      <sz val="14"/>
      <color rgb="FFFF0000"/>
      <name val="Calibri"/>
      <family val="2"/>
      <scheme val="minor"/>
    </font>
    <font>
      <sz val="11"/>
      <color theme="0"/>
      <name val="Calibri"/>
      <family val="2"/>
      <scheme val="minor"/>
    </font>
    <font>
      <sz val="8"/>
      <color theme="1"/>
      <name val="Calibri"/>
      <family val="2"/>
      <scheme val="minor"/>
    </font>
    <font>
      <b/>
      <sz val="9"/>
      <color theme="0"/>
      <name val="Calibri"/>
      <family val="2"/>
      <scheme val="minor"/>
    </font>
    <font>
      <b/>
      <sz val="8"/>
      <color theme="1"/>
      <name val="Calibri"/>
      <family val="2"/>
      <scheme val="minor"/>
    </font>
    <font>
      <i/>
      <sz val="8"/>
      <color theme="1"/>
      <name val="Calibri"/>
      <family val="2"/>
      <scheme val="minor"/>
    </font>
    <font>
      <i/>
      <sz val="8"/>
      <color theme="5" tint="-0.249977111117893"/>
      <name val="Calibri"/>
      <family val="2"/>
      <scheme val="minor"/>
    </font>
    <font>
      <sz val="8"/>
      <color theme="5" tint="-0.249977111117893"/>
      <name val="Calibri"/>
      <family val="2"/>
      <scheme val="minor"/>
    </font>
    <font>
      <b/>
      <i/>
      <sz val="8"/>
      <color theme="1"/>
      <name val="Calibri"/>
      <family val="2"/>
      <scheme val="minor"/>
    </font>
    <font>
      <sz val="8"/>
      <color theme="5" tint="-0.249977111117893"/>
      <name val="Calibri"/>
      <family val="2"/>
    </font>
    <font>
      <sz val="8"/>
      <name val="Calibri"/>
      <family val="2"/>
      <scheme val="minor"/>
    </font>
    <font>
      <sz val="8"/>
      <color rgb="FFFF0000"/>
      <name val="Calibri"/>
      <family val="2"/>
      <scheme val="minor"/>
    </font>
    <font>
      <sz val="8"/>
      <color theme="1"/>
      <name val="Calibri"/>
      <family val="2"/>
    </font>
    <font>
      <b/>
      <sz val="9"/>
      <color theme="1"/>
      <name val="Calibri"/>
      <family val="2"/>
      <scheme val="minor"/>
    </font>
    <font>
      <sz val="9"/>
      <color theme="1"/>
      <name val="Calibri"/>
      <family val="2"/>
      <scheme val="minor"/>
    </font>
    <font>
      <sz val="12"/>
      <color rgb="FF000000"/>
      <name val="Calibri"/>
      <family val="2"/>
      <scheme val="minor"/>
    </font>
    <font>
      <b/>
      <sz val="12"/>
      <color rgb="FF000000"/>
      <name val="Calibri"/>
      <family val="2"/>
      <scheme val="minor"/>
    </font>
    <font>
      <b/>
      <sz val="11"/>
      <color theme="9" tint="-0.499984740745262"/>
      <name val="Calibri"/>
      <family val="2"/>
      <scheme val="minor"/>
    </font>
    <font>
      <sz val="11"/>
      <color theme="9" tint="-0.499984740745262"/>
      <name val="Calibri"/>
      <family val="2"/>
      <scheme val="minor"/>
    </font>
    <font>
      <b/>
      <sz val="11"/>
      <color theme="8" tint="-0.499984740745262"/>
      <name val="Calibri"/>
      <family val="2"/>
      <scheme val="minor"/>
    </font>
    <font>
      <sz val="11"/>
      <color theme="8" tint="-0.499984740745262"/>
      <name val="Calibri"/>
      <family val="2"/>
      <scheme val="minor"/>
    </font>
    <font>
      <b/>
      <sz val="11"/>
      <color rgb="FF7030A0"/>
      <name val="Calibri"/>
      <family val="2"/>
      <scheme val="minor"/>
    </font>
    <font>
      <sz val="11"/>
      <color rgb="FF7030A0"/>
      <name val="Calibri"/>
      <family val="2"/>
      <scheme val="minor"/>
    </font>
    <font>
      <b/>
      <sz val="16"/>
      <name val="Calibri"/>
      <family val="2"/>
    </font>
    <font>
      <b/>
      <sz val="11"/>
      <color rgb="FF0000CC"/>
      <name val="Calibri"/>
      <family val="2"/>
      <scheme val="minor"/>
    </font>
    <font>
      <b/>
      <sz val="11"/>
      <name val="Calibri"/>
      <family val="2"/>
      <scheme val="minor"/>
    </font>
    <font>
      <sz val="11"/>
      <name val="Calibri"/>
      <family val="2"/>
      <scheme val="minor"/>
    </font>
    <font>
      <sz val="11"/>
      <color rgb="FF002060"/>
      <name val="Calibri"/>
      <family val="2"/>
      <scheme val="minor"/>
    </font>
    <font>
      <b/>
      <sz val="11"/>
      <color rgb="FF002060"/>
      <name val="Calibri"/>
      <family val="2"/>
      <scheme val="minor"/>
    </font>
    <font>
      <sz val="11"/>
      <color rgb="FF000000"/>
      <name val="Calibri"/>
      <family val="2"/>
      <scheme val="minor"/>
    </font>
    <font>
      <b/>
      <sz val="12"/>
      <color theme="0"/>
      <name val="Calibri"/>
      <family val="2"/>
      <scheme val="minor"/>
    </font>
    <font>
      <sz val="9"/>
      <color indexed="81"/>
      <name val="Tahoma"/>
      <charset val="1"/>
    </font>
    <font>
      <b/>
      <sz val="9"/>
      <color indexed="81"/>
      <name val="Tahoma"/>
      <charset val="1"/>
    </font>
  </fonts>
  <fills count="4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CCCC"/>
        <bgColor indexed="64"/>
      </patternFill>
    </fill>
    <fill>
      <patternFill patternType="solid">
        <fgColor theme="0" tint="-4.9989318521683403E-2"/>
        <bgColor indexed="64"/>
      </patternFill>
    </fill>
    <fill>
      <patternFill patternType="solid">
        <fgColor rgb="FFFFCCFF"/>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249977111117893"/>
        <bgColor indexed="64"/>
      </patternFill>
    </fill>
    <fill>
      <patternFill patternType="solid">
        <fgColor theme="0" tint="-0.499984740745262"/>
        <bgColor indexed="64"/>
      </patternFill>
    </fill>
    <fill>
      <patternFill patternType="solid">
        <fgColor rgb="FFCCFFFF"/>
        <bgColor indexed="64"/>
      </patternFill>
    </fill>
    <fill>
      <patternFill patternType="solid">
        <fgColor rgb="FF00FFFF"/>
        <bgColor indexed="64"/>
      </patternFill>
    </fill>
    <fill>
      <patternFill patternType="solid">
        <fgColor rgb="FF47CFFF"/>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0000CC"/>
        <bgColor indexed="64"/>
      </patternFill>
    </fill>
    <fill>
      <patternFill patternType="solid">
        <fgColor theme="2" tint="-0.249977111117893"/>
        <bgColor indexed="64"/>
      </patternFill>
    </fill>
    <fill>
      <patternFill patternType="solid">
        <fgColor rgb="FF99FF66"/>
        <bgColor indexed="64"/>
      </patternFill>
    </fill>
    <fill>
      <patternFill patternType="solid">
        <fgColor theme="0" tint="-0.249977111117893"/>
        <bgColor indexed="64"/>
      </patternFill>
    </fill>
    <fill>
      <patternFill patternType="solid">
        <fgColor rgb="FF99FF33"/>
        <bgColor indexed="64"/>
      </patternFill>
    </fill>
    <fill>
      <patternFill patternType="solid">
        <fgColor theme="7" tint="0.39997558519241921"/>
        <bgColor indexed="64"/>
      </patternFill>
    </fill>
    <fill>
      <patternFill patternType="solid">
        <fgColor rgb="FFFF9933"/>
        <bgColor indexed="64"/>
      </patternFill>
    </fill>
    <fill>
      <patternFill patternType="solid">
        <fgColor theme="1" tint="0.34998626667073579"/>
        <bgColor indexed="64"/>
      </patternFill>
    </fill>
    <fill>
      <patternFill patternType="solid">
        <fgColor theme="5"/>
        <bgColor indexed="64"/>
      </patternFill>
    </fill>
    <fill>
      <patternFill patternType="solid">
        <fgColor rgb="FF7030A0"/>
        <bgColor indexed="64"/>
      </patternFill>
    </fill>
    <fill>
      <patternFill patternType="solid">
        <fgColor rgb="FFFF9900"/>
        <bgColor indexed="64"/>
      </patternFill>
    </fill>
    <fill>
      <patternFill patternType="solid">
        <fgColor rgb="FFCCCC00"/>
        <bgColor indexed="64"/>
      </patternFill>
    </fill>
    <fill>
      <patternFill patternType="solid">
        <fgColor theme="1" tint="0.249977111117893"/>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double">
        <color indexed="64"/>
      </top>
      <bottom style="double">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right/>
      <top style="double">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11" fillId="0" borderId="0" applyNumberFormat="0" applyFill="0" applyBorder="0" applyAlignment="0" applyProtection="0"/>
    <xf numFmtId="166" fontId="1" fillId="0" borderId="0" applyFont="0" applyFill="0" applyBorder="0" applyAlignment="0" applyProtection="0"/>
    <xf numFmtId="167" fontId="1" fillId="0" borderId="0" applyFont="0" applyFill="0" applyBorder="0" applyAlignment="0" applyProtection="0"/>
  </cellStyleXfs>
  <cellXfs count="1504">
    <xf numFmtId="0" fontId="0" fillId="0" borderId="0" xfId="0"/>
    <xf numFmtId="168" fontId="0" fillId="0" borderId="0" xfId="0" applyNumberFormat="1"/>
    <xf numFmtId="0" fontId="0" fillId="2" borderId="0" xfId="0" applyFill="1"/>
    <xf numFmtId="9" fontId="0" fillId="0" borderId="0" xfId="2" applyFont="1" applyBorder="1"/>
    <xf numFmtId="0" fontId="0" fillId="0" borderId="0" xfId="0" applyBorder="1"/>
    <xf numFmtId="0" fontId="0" fillId="0" borderId="0" xfId="0" applyFont="1" applyFill="1" applyBorder="1" applyAlignment="1">
      <alignment horizontal="left"/>
    </xf>
    <xf numFmtId="170" fontId="0" fillId="0" borderId="2" xfId="1" applyNumberFormat="1" applyFont="1" applyFill="1" applyBorder="1"/>
    <xf numFmtId="170" fontId="0" fillId="0" borderId="3" xfId="1" applyNumberFormat="1" applyFont="1" applyFill="1" applyBorder="1"/>
    <xf numFmtId="170" fontId="0" fillId="0" borderId="4" xfId="1" applyNumberFormat="1" applyFont="1" applyFill="1" applyBorder="1"/>
    <xf numFmtId="0" fontId="5" fillId="0" borderId="0" xfId="0" applyFont="1" applyBorder="1" applyAlignment="1">
      <alignment horizontal="left" vertical="top"/>
    </xf>
    <xf numFmtId="0" fontId="5" fillId="0" borderId="0"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Fill="1" applyBorder="1" applyAlignment="1">
      <alignment vertical="top"/>
    </xf>
    <xf numFmtId="17" fontId="1" fillId="0" borderId="0" xfId="0" applyNumberFormat="1" applyFont="1" applyAlignment="1">
      <alignment horizontal="left" vertical="top"/>
    </xf>
    <xf numFmtId="0" fontId="0" fillId="0" borderId="1" xfId="0" applyFill="1" applyBorder="1" applyAlignment="1">
      <alignment horizontal="center" vertical="center"/>
    </xf>
    <xf numFmtId="0" fontId="0" fillId="0" borderId="0" xfId="0" applyFill="1"/>
    <xf numFmtId="170" fontId="0" fillId="0" borderId="6" xfId="1" applyNumberFormat="1" applyFont="1" applyFill="1" applyBorder="1"/>
    <xf numFmtId="9" fontId="0" fillId="0" borderId="0" xfId="2" applyFont="1" applyFill="1" applyBorder="1"/>
    <xf numFmtId="168" fontId="1" fillId="3" borderId="1" xfId="0" applyNumberFormat="1" applyFont="1" applyFill="1" applyBorder="1" applyAlignment="1">
      <alignment horizontal="right" vertical="top"/>
    </xf>
    <xf numFmtId="168" fontId="1" fillId="0" borderId="7" xfId="0" applyNumberFormat="1" applyFont="1" applyFill="1" applyBorder="1" applyAlignment="1">
      <alignment horizontal="right" vertical="top"/>
    </xf>
    <xf numFmtId="0" fontId="1" fillId="0" borderId="8" xfId="0" applyFont="1" applyBorder="1" applyAlignment="1">
      <alignment horizontal="right" vertical="top"/>
    </xf>
    <xf numFmtId="170" fontId="1" fillId="3" borderId="1" xfId="1" applyNumberFormat="1" applyFont="1" applyFill="1" applyBorder="1" applyAlignment="1">
      <alignment horizontal="right" vertical="top"/>
    </xf>
    <xf numFmtId="0" fontId="1" fillId="0" borderId="9" xfId="0" applyFont="1" applyFill="1" applyBorder="1" applyAlignment="1">
      <alignment vertical="top"/>
    </xf>
    <xf numFmtId="0" fontId="1" fillId="0" borderId="8" xfId="0" applyFont="1" applyFill="1" applyBorder="1" applyAlignment="1">
      <alignment vertical="top"/>
    </xf>
    <xf numFmtId="168" fontId="1" fillId="0" borderId="8" xfId="0" applyNumberFormat="1" applyFont="1" applyFill="1" applyBorder="1" applyAlignment="1">
      <alignment vertical="top"/>
    </xf>
    <xf numFmtId="170" fontId="1" fillId="0" borderId="8" xfId="0" applyNumberFormat="1" applyFont="1" applyFill="1" applyBorder="1" applyAlignment="1">
      <alignment vertical="top"/>
    </xf>
    <xf numFmtId="170" fontId="1" fillId="3" borderId="1" xfId="1" applyNumberFormat="1" applyFont="1" applyFill="1" applyBorder="1" applyAlignment="1">
      <alignment vertical="top"/>
    </xf>
    <xf numFmtId="170" fontId="1" fillId="3" borderId="1" xfId="1" applyNumberFormat="1" applyFont="1" applyFill="1" applyBorder="1" applyAlignment="1">
      <alignment horizontal="center" vertical="top"/>
    </xf>
    <xf numFmtId="0" fontId="1" fillId="0" borderId="8" xfId="0" applyFont="1" applyBorder="1" applyAlignment="1">
      <alignment horizontal="center" vertical="top"/>
    </xf>
    <xf numFmtId="170" fontId="1" fillId="0" borderId="8" xfId="0" applyNumberFormat="1" applyFont="1" applyBorder="1" applyAlignment="1">
      <alignment horizontal="center" vertical="top"/>
    </xf>
    <xf numFmtId="168" fontId="1" fillId="0" borderId="10" xfId="0" applyNumberFormat="1" applyFont="1" applyFill="1" applyBorder="1" applyAlignment="1">
      <alignment horizontal="right" vertical="top"/>
    </xf>
    <xf numFmtId="170" fontId="3" fillId="3" borderId="2" xfId="1" applyNumberFormat="1" applyFont="1" applyFill="1" applyBorder="1"/>
    <xf numFmtId="170" fontId="3" fillId="3" borderId="3" xfId="1" applyNumberFormat="1" applyFont="1" applyFill="1" applyBorder="1"/>
    <xf numFmtId="170" fontId="3" fillId="3" borderId="4" xfId="1" applyNumberFormat="1" applyFont="1" applyFill="1" applyBorder="1"/>
    <xf numFmtId="9" fontId="3" fillId="3" borderId="0" xfId="0" applyNumberFormat="1" applyFont="1" applyFill="1" applyBorder="1"/>
    <xf numFmtId="9" fontId="3" fillId="3" borderId="0" xfId="0" applyNumberFormat="1" applyFont="1" applyFill="1"/>
    <xf numFmtId="43" fontId="2" fillId="0" borderId="0" xfId="1" applyFont="1"/>
    <xf numFmtId="170" fontId="0" fillId="0" borderId="0" xfId="1" applyNumberFormat="1" applyFont="1"/>
    <xf numFmtId="43" fontId="0" fillId="0" borderId="1" xfId="1" applyFont="1" applyBorder="1" applyAlignment="1">
      <alignment horizontal="right" vertical="center"/>
    </xf>
    <xf numFmtId="43" fontId="0" fillId="0" borderId="0" xfId="1" applyFont="1"/>
    <xf numFmtId="170" fontId="0" fillId="0" borderId="6" xfId="1" applyNumberFormat="1" applyFont="1" applyBorder="1"/>
    <xf numFmtId="170" fontId="0" fillId="0" borderId="11" xfId="1" applyNumberFormat="1" applyFont="1" applyBorder="1"/>
    <xf numFmtId="170" fontId="0" fillId="0" borderId="5" xfId="1" applyNumberFormat="1" applyFont="1" applyBorder="1"/>
    <xf numFmtId="0" fontId="0" fillId="0" borderId="0" xfId="0" applyAlignment="1">
      <alignment vertical="center"/>
    </xf>
    <xf numFmtId="0" fontId="0" fillId="0" borderId="0" xfId="0" applyAlignment="1">
      <alignment horizontal="left" vertical="center" indent="1"/>
    </xf>
    <xf numFmtId="0" fontId="9" fillId="0" borderId="12" xfId="3" applyFont="1" applyFill="1" applyBorder="1" applyProtection="1"/>
    <xf numFmtId="171" fontId="9" fillId="0" borderId="13" xfId="3" applyNumberFormat="1" applyFont="1" applyFill="1" applyBorder="1" applyAlignment="1" applyProtection="1">
      <alignment horizontal="left"/>
    </xf>
    <xf numFmtId="0" fontId="9" fillId="0" borderId="14" xfId="3" applyFont="1" applyFill="1" applyBorder="1" applyProtection="1"/>
    <xf numFmtId="171" fontId="9" fillId="0" borderId="15" xfId="3" applyNumberFormat="1" applyFont="1" applyFill="1" applyBorder="1" applyAlignment="1" applyProtection="1">
      <alignment horizontal="left"/>
    </xf>
    <xf numFmtId="171" fontId="10" fillId="0" borderId="15" xfId="3" applyNumberFormat="1" applyFont="1" applyFill="1" applyBorder="1" applyAlignment="1" applyProtection="1">
      <alignment horizontal="left"/>
    </xf>
    <xf numFmtId="0" fontId="9" fillId="0" borderId="14" xfId="3" applyFont="1" applyFill="1" applyBorder="1" applyAlignment="1" applyProtection="1">
      <alignment vertical="top"/>
    </xf>
    <xf numFmtId="0" fontId="0" fillId="0" borderId="15" xfId="0" applyBorder="1"/>
    <xf numFmtId="0" fontId="0" fillId="0" borderId="14" xfId="0" applyBorder="1"/>
    <xf numFmtId="0" fontId="0" fillId="0" borderId="16" xfId="0" applyBorder="1"/>
    <xf numFmtId="0" fontId="0" fillId="0" borderId="17" xfId="0" applyBorder="1"/>
    <xf numFmtId="0" fontId="12" fillId="0" borderId="0" xfId="0" applyFont="1"/>
    <xf numFmtId="0" fontId="2" fillId="0" borderId="18" xfId="0" applyFont="1" applyBorder="1"/>
    <xf numFmtId="0" fontId="14" fillId="0" borderId="0" xfId="0" applyFont="1"/>
    <xf numFmtId="0" fontId="1" fillId="0" borderId="0" xfId="0" applyFont="1"/>
    <xf numFmtId="0" fontId="1" fillId="0" borderId="0" xfId="0" applyFont="1" applyAlignment="1">
      <alignment horizontal="left"/>
    </xf>
    <xf numFmtId="0" fontId="1" fillId="0" borderId="0" xfId="0" applyFont="1" applyAlignment="1">
      <alignment horizontal="right"/>
    </xf>
    <xf numFmtId="0" fontId="2" fillId="5" borderId="0" xfId="0" applyFont="1" applyFill="1" applyAlignment="1">
      <alignment horizontal="left"/>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27" xfId="0" applyFont="1" applyBorder="1" applyAlignment="1">
      <alignment vertical="center" wrapText="1"/>
    </xf>
    <xf numFmtId="0" fontId="14" fillId="5" borderId="0" xfId="0" applyFont="1" applyFill="1" applyAlignment="1">
      <alignment horizontal="left"/>
    </xf>
    <xf numFmtId="0" fontId="2" fillId="0" borderId="7" xfId="0" applyFont="1" applyBorder="1" applyAlignment="1">
      <alignment horizontal="right"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xf numFmtId="0" fontId="2" fillId="0" borderId="1" xfId="0" applyFont="1" applyBorder="1" applyAlignment="1">
      <alignment wrapText="1"/>
    </xf>
    <xf numFmtId="0" fontId="1" fillId="0" borderId="0" xfId="0" applyFont="1" applyBorder="1" applyAlignment="1">
      <alignment horizontal="right" vertical="center"/>
    </xf>
    <xf numFmtId="0" fontId="1" fillId="0" borderId="8" xfId="0" applyFont="1" applyBorder="1" applyAlignment="1">
      <alignment horizontal="right" vertical="center"/>
    </xf>
    <xf numFmtId="0" fontId="15" fillId="0" borderId="27" xfId="0" applyFont="1" applyBorder="1" applyAlignment="1">
      <alignment horizontal="left"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5" fillId="0" borderId="0" xfId="0" applyFont="1" applyBorder="1" applyAlignment="1">
      <alignment horizontal="left" vertical="center"/>
    </xf>
    <xf numFmtId="0" fontId="1" fillId="0" borderId="0" xfId="0" applyFont="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6" fillId="0" borderId="27" xfId="0" applyFont="1" applyBorder="1" applyAlignment="1">
      <alignment horizontal="center" vertical="top"/>
    </xf>
    <xf numFmtId="0" fontId="16" fillId="0" borderId="0" xfId="0" applyFont="1" applyBorder="1" applyAlignment="1">
      <alignment horizontal="left" vertical="top"/>
    </xf>
    <xf numFmtId="0" fontId="16" fillId="0" borderId="0" xfId="0" applyFont="1" applyBorder="1" applyAlignment="1">
      <alignment horizontal="center" vertical="top"/>
    </xf>
    <xf numFmtId="0" fontId="1" fillId="0" borderId="0" xfId="0" applyFont="1" applyAlignment="1">
      <alignment horizontal="left" vertical="top" wrapText="1"/>
    </xf>
    <xf numFmtId="0" fontId="2" fillId="0" borderId="0" xfId="0" applyFont="1" applyAlignment="1">
      <alignment vertical="top"/>
    </xf>
    <xf numFmtId="0" fontId="1" fillId="0" borderId="0" xfId="0" applyFont="1" applyBorder="1" applyAlignment="1">
      <alignment horizontal="right" vertical="top"/>
    </xf>
    <xf numFmtId="0" fontId="1" fillId="0" borderId="27" xfId="0" applyFont="1" applyBorder="1" applyAlignment="1">
      <alignment horizontal="center" vertical="top"/>
    </xf>
    <xf numFmtId="0" fontId="1" fillId="0" borderId="0" xfId="0" applyFont="1" applyBorder="1" applyAlignment="1">
      <alignment horizontal="left" vertical="top"/>
    </xf>
    <xf numFmtId="0" fontId="1" fillId="0" borderId="0" xfId="0" applyFont="1" applyBorder="1" applyAlignment="1">
      <alignment horizontal="center" vertical="top"/>
    </xf>
    <xf numFmtId="0" fontId="1" fillId="0" borderId="0" xfId="0" applyFont="1" applyAlignment="1">
      <alignment horizontal="center" vertical="top"/>
    </xf>
    <xf numFmtId="0" fontId="1" fillId="0" borderId="0" xfId="0" applyFont="1" applyFill="1" applyBorder="1" applyAlignment="1">
      <alignment horizontal="right" vertical="top"/>
    </xf>
    <xf numFmtId="0" fontId="1" fillId="0" borderId="8" xfId="0" applyFont="1" applyFill="1" applyBorder="1" applyAlignment="1">
      <alignment horizontal="right" vertical="top"/>
    </xf>
    <xf numFmtId="0" fontId="1" fillId="3" borderId="1" xfId="0" applyFont="1" applyFill="1" applyBorder="1" applyAlignment="1">
      <alignment horizontal="center" vertical="top"/>
    </xf>
    <xf numFmtId="0" fontId="1" fillId="3" borderId="7" xfId="0" applyFont="1" applyFill="1" applyBorder="1" applyAlignment="1">
      <alignment horizontal="center" vertical="top"/>
    </xf>
    <xf numFmtId="0" fontId="1" fillId="3" borderId="1" xfId="0" applyFont="1" applyFill="1" applyBorder="1" applyAlignment="1">
      <alignment horizontal="left" vertical="top"/>
    </xf>
    <xf numFmtId="0" fontId="1" fillId="0" borderId="0" xfId="0" applyFont="1" applyBorder="1" applyAlignment="1">
      <alignment horizontal="left"/>
    </xf>
    <xf numFmtId="0" fontId="1" fillId="0" borderId="0" xfId="0" applyFont="1" applyBorder="1" applyAlignment="1">
      <alignment horizontal="left" wrapText="1"/>
    </xf>
    <xf numFmtId="0" fontId="1" fillId="0" borderId="0" xfId="0" applyFont="1" applyBorder="1"/>
    <xf numFmtId="0" fontId="5"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3" xfId="0" applyFont="1" applyBorder="1" applyAlignment="1">
      <alignment vertical="top"/>
    </xf>
    <xf numFmtId="0" fontId="1" fillId="6" borderId="0" xfId="0" applyFont="1" applyFill="1" applyAlignment="1">
      <alignment horizontal="left" vertical="top" wrapText="1"/>
    </xf>
    <xf numFmtId="170" fontId="1" fillId="0" borderId="0" xfId="1" applyNumberFormat="1" applyFont="1" applyBorder="1" applyAlignment="1">
      <alignment horizontal="right" vertical="top"/>
    </xf>
    <xf numFmtId="170" fontId="1" fillId="0" borderId="8" xfId="1" applyNumberFormat="1" applyFont="1" applyBorder="1" applyAlignment="1">
      <alignment horizontal="right" vertical="top"/>
    </xf>
    <xf numFmtId="170" fontId="1" fillId="7" borderId="1" xfId="1" applyNumberFormat="1" applyFont="1" applyFill="1" applyBorder="1" applyAlignment="1">
      <alignment horizontal="right" vertical="top"/>
    </xf>
    <xf numFmtId="170" fontId="1" fillId="3" borderId="7" xfId="1" applyNumberFormat="1" applyFont="1" applyFill="1" applyBorder="1" applyAlignment="1">
      <alignment horizontal="center" vertical="top"/>
    </xf>
    <xf numFmtId="0" fontId="0" fillId="0" borderId="0" xfId="0" applyFont="1" applyFill="1" applyBorder="1" applyAlignment="1">
      <alignment vertical="top"/>
    </xf>
    <xf numFmtId="170" fontId="1" fillId="7" borderId="1" xfId="1" applyNumberFormat="1" applyFont="1" applyFill="1" applyBorder="1" applyAlignment="1">
      <alignment horizontal="center" vertical="top"/>
    </xf>
    <xf numFmtId="9" fontId="1" fillId="0" borderId="28" xfId="2" applyFont="1" applyBorder="1" applyAlignment="1">
      <alignment horizontal="right" vertical="top"/>
    </xf>
    <xf numFmtId="9" fontId="1" fillId="0" borderId="29" xfId="2" applyFont="1" applyBorder="1" applyAlignment="1">
      <alignment horizontal="right" vertical="top"/>
    </xf>
    <xf numFmtId="9" fontId="1" fillId="0" borderId="9" xfId="2" applyFont="1" applyBorder="1" applyAlignment="1">
      <alignment horizontal="right" vertical="top"/>
    </xf>
    <xf numFmtId="0" fontId="1" fillId="0" borderId="0" xfId="0" applyFont="1" applyBorder="1" applyAlignment="1">
      <alignment horizontal="left" vertical="top" wrapText="1"/>
    </xf>
    <xf numFmtId="0" fontId="1" fillId="0" borderId="0" xfId="0" applyFont="1" applyBorder="1" applyAlignment="1">
      <alignment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3" xfId="0" applyFont="1" applyBorder="1" applyAlignment="1">
      <alignment horizontal="left" vertical="top" wrapText="1"/>
    </xf>
    <xf numFmtId="170" fontId="1" fillId="0" borderId="27" xfId="1" applyNumberFormat="1" applyFont="1" applyBorder="1" applyAlignment="1">
      <alignment horizontal="right" vertical="top"/>
    </xf>
    <xf numFmtId="170" fontId="1" fillId="0" borderId="6" xfId="1" applyNumberFormat="1" applyFont="1" applyBorder="1" applyAlignment="1">
      <alignment horizontal="right" vertical="top"/>
    </xf>
    <xf numFmtId="170" fontId="1" fillId="0" borderId="30" xfId="1" applyNumberFormat="1" applyFont="1" applyBorder="1" applyAlignment="1">
      <alignment horizontal="right" vertical="top"/>
    </xf>
    <xf numFmtId="170" fontId="1" fillId="0" borderId="0" xfId="1" applyNumberFormat="1" applyFont="1" applyBorder="1" applyAlignment="1">
      <alignment horizontal="center" vertical="top"/>
    </xf>
    <xf numFmtId="170" fontId="1" fillId="0" borderId="8" xfId="1" applyNumberFormat="1" applyFont="1" applyBorder="1" applyAlignment="1">
      <alignment horizontal="center" vertical="top"/>
    </xf>
    <xf numFmtId="170" fontId="1" fillId="7" borderId="7" xfId="1" applyNumberFormat="1" applyFont="1" applyFill="1" applyBorder="1" applyAlignment="1">
      <alignment horizontal="center" vertical="top"/>
    </xf>
    <xf numFmtId="0" fontId="1" fillId="7" borderId="8" xfId="0" applyFont="1" applyFill="1" applyBorder="1" applyAlignment="1">
      <alignment horizontal="center" vertical="top"/>
    </xf>
    <xf numFmtId="170" fontId="1" fillId="0" borderId="31" xfId="1" applyNumberFormat="1" applyFont="1" applyBorder="1" applyAlignment="1">
      <alignment horizontal="right" vertical="top"/>
    </xf>
    <xf numFmtId="0" fontId="1" fillId="6" borderId="0" xfId="0" applyFont="1" applyFill="1" applyBorder="1" applyAlignment="1">
      <alignment horizontal="left" vertical="top" wrapText="1"/>
    </xf>
    <xf numFmtId="0" fontId="0" fillId="0" borderId="0" xfId="0" applyFont="1" applyBorder="1" applyAlignment="1">
      <alignment vertical="top"/>
    </xf>
    <xf numFmtId="172" fontId="1" fillId="0" borderId="0" xfId="0" applyNumberFormat="1" applyFont="1" applyBorder="1" applyAlignment="1">
      <alignment horizontal="right" vertical="top"/>
    </xf>
    <xf numFmtId="172" fontId="1" fillId="0" borderId="8" xfId="0" applyNumberFormat="1" applyFont="1" applyBorder="1" applyAlignment="1">
      <alignment horizontal="right" vertical="top"/>
    </xf>
    <xf numFmtId="168" fontId="1" fillId="3" borderId="1" xfId="1" applyNumberFormat="1" applyFont="1" applyFill="1" applyBorder="1" applyAlignment="1">
      <alignment vertical="top"/>
    </xf>
    <xf numFmtId="168" fontId="1" fillId="3" borderId="7" xfId="1" applyNumberFormat="1" applyFont="1" applyFill="1" applyBorder="1" applyAlignment="1">
      <alignment vertical="top"/>
    </xf>
    <xf numFmtId="9" fontId="1" fillId="3" borderId="1" xfId="2" applyFont="1" applyFill="1" applyBorder="1" applyAlignment="1">
      <alignment horizontal="right" vertical="top"/>
    </xf>
    <xf numFmtId="9" fontId="1" fillId="3" borderId="7" xfId="2" applyFont="1" applyFill="1" applyBorder="1" applyAlignment="1">
      <alignment horizontal="right" vertical="top"/>
    </xf>
    <xf numFmtId="9" fontId="1" fillId="3" borderId="0" xfId="2" applyFont="1" applyFill="1" applyBorder="1" applyAlignment="1">
      <alignment horizontal="right" vertical="top"/>
    </xf>
    <xf numFmtId="9" fontId="1" fillId="3" borderId="8" xfId="2" applyFont="1" applyFill="1" applyBorder="1" applyAlignment="1">
      <alignment horizontal="right" vertical="top"/>
    </xf>
    <xf numFmtId="0" fontId="1" fillId="8" borderId="0" xfId="0" applyFont="1" applyFill="1" applyBorder="1" applyAlignment="1">
      <alignment horizontal="left" vertical="top" wrapText="1"/>
    </xf>
    <xf numFmtId="170" fontId="1" fillId="7" borderId="7" xfId="1" applyNumberFormat="1" applyFont="1" applyFill="1" applyBorder="1" applyAlignment="1">
      <alignment vertical="top"/>
    </xf>
    <xf numFmtId="170" fontId="1" fillId="7" borderId="1" xfId="1" applyNumberFormat="1" applyFont="1" applyFill="1" applyBorder="1" applyAlignment="1">
      <alignment vertical="top"/>
    </xf>
    <xf numFmtId="170" fontId="1" fillId="0" borderId="25" xfId="1" applyNumberFormat="1" applyFont="1" applyFill="1" applyBorder="1" applyAlignment="1">
      <alignment vertical="top"/>
    </xf>
    <xf numFmtId="170" fontId="1" fillId="0" borderId="26" xfId="1" applyNumberFormat="1" applyFont="1" applyFill="1" applyBorder="1" applyAlignment="1">
      <alignment vertical="top"/>
    </xf>
    <xf numFmtId="170" fontId="1" fillId="0" borderId="7" xfId="1" applyNumberFormat="1" applyFont="1" applyFill="1" applyBorder="1" applyAlignment="1">
      <alignment vertical="top"/>
    </xf>
    <xf numFmtId="170" fontId="1" fillId="0" borderId="6" xfId="0" applyNumberFormat="1" applyFont="1" applyBorder="1" applyAlignment="1">
      <alignment horizontal="center" vertical="top"/>
    </xf>
    <xf numFmtId="170" fontId="1" fillId="0" borderId="30" xfId="0" applyNumberFormat="1" applyFont="1" applyBorder="1" applyAlignment="1">
      <alignment horizontal="center" vertical="top"/>
    </xf>
    <xf numFmtId="170" fontId="1" fillId="0" borderId="6" xfId="0" applyNumberFormat="1" applyFont="1" applyFill="1" applyBorder="1" applyAlignment="1">
      <alignment horizontal="center" vertical="top"/>
    </xf>
    <xf numFmtId="170" fontId="1" fillId="0" borderId="30" xfId="0" applyNumberFormat="1" applyFont="1" applyFill="1" applyBorder="1" applyAlignment="1">
      <alignment horizontal="center" vertical="top"/>
    </xf>
    <xf numFmtId="43" fontId="1" fillId="0" borderId="1" xfId="1" applyNumberFormat="1" applyFont="1" applyFill="1" applyBorder="1" applyAlignment="1">
      <alignment vertical="top"/>
    </xf>
    <xf numFmtId="170" fontId="1" fillId="0" borderId="1" xfId="1" applyNumberFormat="1" applyFont="1" applyFill="1" applyBorder="1" applyAlignment="1">
      <alignment vertical="top"/>
    </xf>
    <xf numFmtId="0" fontId="1" fillId="9" borderId="0" xfId="0" applyFont="1" applyFill="1" applyAlignment="1">
      <alignment horizontal="left" vertical="top"/>
    </xf>
    <xf numFmtId="0" fontId="1" fillId="9" borderId="0" xfId="0" applyFont="1" applyFill="1" applyAlignment="1">
      <alignment horizontal="left" vertical="top" wrapText="1"/>
    </xf>
    <xf numFmtId="0" fontId="1" fillId="9" borderId="0" xfId="0" applyFont="1" applyFill="1" applyAlignment="1">
      <alignment vertical="top"/>
    </xf>
    <xf numFmtId="170" fontId="1" fillId="9" borderId="0" xfId="1" applyNumberFormat="1" applyFont="1" applyFill="1" applyBorder="1" applyAlignment="1">
      <alignment horizontal="right" vertical="top"/>
    </xf>
    <xf numFmtId="170" fontId="1" fillId="9" borderId="8" xfId="1" applyNumberFormat="1" applyFont="1" applyFill="1" applyBorder="1" applyAlignment="1">
      <alignment horizontal="right" vertical="top"/>
    </xf>
    <xf numFmtId="168" fontId="1" fillId="9" borderId="1" xfId="1" applyNumberFormat="1" applyFont="1" applyFill="1" applyBorder="1" applyAlignment="1">
      <alignment vertical="top"/>
    </xf>
    <xf numFmtId="170" fontId="1" fillId="9" borderId="7" xfId="1" applyNumberFormat="1" applyFont="1" applyFill="1" applyBorder="1" applyAlignment="1">
      <alignment horizontal="center" vertical="top"/>
    </xf>
    <xf numFmtId="170" fontId="1" fillId="9" borderId="1" xfId="1" applyNumberFormat="1" applyFont="1" applyFill="1" applyBorder="1" applyAlignment="1">
      <alignment horizontal="center" vertical="top"/>
    </xf>
    <xf numFmtId="0" fontId="1" fillId="9" borderId="0" xfId="0" applyFont="1" applyFill="1"/>
    <xf numFmtId="0" fontId="1" fillId="9" borderId="0" xfId="0" applyFont="1" applyFill="1" applyAlignment="1">
      <alignment horizontal="center" vertical="top"/>
    </xf>
    <xf numFmtId="0" fontId="1" fillId="9" borderId="3" xfId="0" applyFont="1" applyFill="1" applyBorder="1" applyAlignment="1">
      <alignment vertical="top"/>
    </xf>
    <xf numFmtId="0" fontId="1" fillId="9" borderId="3" xfId="0" applyFont="1" applyFill="1" applyBorder="1" applyAlignment="1">
      <alignment horizontal="left" vertical="top" wrapText="1"/>
    </xf>
    <xf numFmtId="0" fontId="0" fillId="9" borderId="0" xfId="0" applyFont="1" applyFill="1" applyAlignment="1">
      <alignment vertical="top"/>
    </xf>
    <xf numFmtId="170" fontId="1" fillId="9" borderId="1" xfId="1" applyNumberFormat="1" applyFont="1" applyFill="1" applyBorder="1" applyAlignment="1">
      <alignment horizontal="right" vertical="top"/>
    </xf>
    <xf numFmtId="0" fontId="1" fillId="10" borderId="0" xfId="0" applyFont="1" applyFill="1" applyBorder="1" applyAlignment="1">
      <alignment horizontal="left" vertical="top"/>
    </xf>
    <xf numFmtId="0" fontId="1" fillId="10" borderId="0" xfId="0" applyFont="1" applyFill="1" applyBorder="1" applyAlignment="1">
      <alignment vertical="top"/>
    </xf>
    <xf numFmtId="168" fontId="1" fillId="3" borderId="1" xfId="1" applyNumberFormat="1" applyFont="1" applyFill="1" applyBorder="1" applyAlignment="1">
      <alignment horizontal="right" vertical="top"/>
    </xf>
    <xf numFmtId="168" fontId="1" fillId="3" borderId="7" xfId="1" applyNumberFormat="1" applyFont="1" applyFill="1" applyBorder="1" applyAlignment="1">
      <alignment horizontal="right" vertical="top"/>
    </xf>
    <xf numFmtId="0" fontId="0" fillId="10" borderId="0" xfId="0" applyFont="1" applyFill="1" applyBorder="1" applyAlignment="1">
      <alignment vertical="top"/>
    </xf>
    <xf numFmtId="0" fontId="2" fillId="0" borderId="0" xfId="0" applyFont="1" applyFill="1" applyBorder="1" applyAlignment="1">
      <alignment vertical="top"/>
    </xf>
    <xf numFmtId="168" fontId="1" fillId="0" borderId="32" xfId="1" applyNumberFormat="1" applyFont="1" applyFill="1" applyBorder="1" applyAlignment="1">
      <alignment vertical="top"/>
    </xf>
    <xf numFmtId="168" fontId="1" fillId="0" borderId="33" xfId="1" applyNumberFormat="1" applyFont="1" applyFill="1" applyBorder="1" applyAlignment="1">
      <alignment vertical="top"/>
    </xf>
    <xf numFmtId="168" fontId="1" fillId="0" borderId="10" xfId="1" applyNumberFormat="1" applyFont="1" applyFill="1" applyBorder="1" applyAlignment="1">
      <alignment vertical="top"/>
    </xf>
    <xf numFmtId="0" fontId="1" fillId="10" borderId="0" xfId="0" applyFont="1" applyFill="1" applyBorder="1" applyAlignment="1">
      <alignment horizontal="left" vertical="top" wrapText="1"/>
    </xf>
    <xf numFmtId="0" fontId="1" fillId="2" borderId="0" xfId="0" applyFont="1" applyFill="1" applyBorder="1" applyAlignment="1">
      <alignment horizontal="left" vertical="top"/>
    </xf>
    <xf numFmtId="0" fontId="1" fillId="2" borderId="0" xfId="0" applyFont="1" applyFill="1" applyBorder="1" applyAlignment="1">
      <alignment horizontal="left" vertical="top" wrapText="1"/>
    </xf>
    <xf numFmtId="0" fontId="1" fillId="2" borderId="0" xfId="0" applyFont="1" applyFill="1" applyBorder="1" applyAlignment="1">
      <alignment vertical="top"/>
    </xf>
    <xf numFmtId="168" fontId="1" fillId="3" borderId="0" xfId="1" applyNumberFormat="1" applyFont="1" applyFill="1" applyBorder="1" applyAlignment="1">
      <alignment horizontal="right" vertical="top"/>
    </xf>
    <xf numFmtId="168" fontId="1" fillId="3" borderId="8" xfId="1" applyNumberFormat="1" applyFont="1" applyFill="1" applyBorder="1" applyAlignment="1">
      <alignment horizontal="right" vertical="top"/>
    </xf>
    <xf numFmtId="168" fontId="0" fillId="3" borderId="0" xfId="1" applyNumberFormat="1" applyFont="1" applyFill="1" applyBorder="1" applyAlignment="1">
      <alignment horizontal="right" vertical="top"/>
    </xf>
    <xf numFmtId="0" fontId="1" fillId="2" borderId="0" xfId="0" applyFont="1" applyFill="1"/>
    <xf numFmtId="0" fontId="1" fillId="2" borderId="0" xfId="0" applyFont="1" applyFill="1" applyAlignment="1">
      <alignment horizontal="center" vertical="top"/>
    </xf>
    <xf numFmtId="0" fontId="1" fillId="2" borderId="3" xfId="0" applyFont="1" applyFill="1" applyBorder="1" applyAlignment="1">
      <alignment horizontal="left" vertical="top" wrapText="1"/>
    </xf>
    <xf numFmtId="168" fontId="1" fillId="0" borderId="28" xfId="0" applyNumberFormat="1" applyFont="1" applyBorder="1" applyAlignment="1">
      <alignment horizontal="right" vertical="top"/>
    </xf>
    <xf numFmtId="168" fontId="1" fillId="0" borderId="29" xfId="0" applyNumberFormat="1" applyFont="1" applyBorder="1" applyAlignment="1">
      <alignment horizontal="right" vertical="top"/>
    </xf>
    <xf numFmtId="168" fontId="1" fillId="0" borderId="9" xfId="0" applyNumberFormat="1" applyFont="1" applyBorder="1" applyAlignment="1">
      <alignment horizontal="right" vertical="top"/>
    </xf>
    <xf numFmtId="168" fontId="1" fillId="7" borderId="7" xfId="1" applyNumberFormat="1" applyFont="1" applyFill="1" applyBorder="1" applyAlignment="1">
      <alignment horizontal="right" vertical="top"/>
    </xf>
    <xf numFmtId="168" fontId="1" fillId="7" borderId="1" xfId="1" applyNumberFormat="1" applyFont="1" applyFill="1" applyBorder="1" applyAlignment="1">
      <alignment horizontal="right" vertical="top"/>
    </xf>
    <xf numFmtId="0" fontId="1" fillId="0" borderId="0" xfId="0" applyFont="1" applyFill="1" applyBorder="1" applyAlignment="1">
      <alignment horizontal="left" vertical="top"/>
    </xf>
    <xf numFmtId="172" fontId="1" fillId="0" borderId="6" xfId="0" applyNumberFormat="1" applyFont="1" applyBorder="1" applyAlignment="1">
      <alignment horizontal="right" vertical="top"/>
    </xf>
    <xf numFmtId="172" fontId="1" fillId="0" borderId="30" xfId="0" applyNumberFormat="1" applyFont="1" applyBorder="1" applyAlignment="1">
      <alignment horizontal="right" vertical="top"/>
    </xf>
    <xf numFmtId="168" fontId="1" fillId="0" borderId="31" xfId="0" applyNumberFormat="1" applyFont="1" applyBorder="1" applyAlignment="1">
      <alignment horizontal="right" vertical="top"/>
    </xf>
    <xf numFmtId="168" fontId="1" fillId="0" borderId="6" xfId="0" applyNumberFormat="1" applyFont="1" applyBorder="1" applyAlignment="1">
      <alignment horizontal="right" vertical="top"/>
    </xf>
    <xf numFmtId="168" fontId="1" fillId="0" borderId="30" xfId="0" applyNumberFormat="1" applyFont="1" applyBorder="1" applyAlignment="1">
      <alignment horizontal="right" vertical="top"/>
    </xf>
    <xf numFmtId="0" fontId="4" fillId="0" borderId="0" xfId="0" applyFont="1" applyBorder="1" applyAlignment="1">
      <alignment horizontal="center" vertical="center" textRotation="90" wrapText="1"/>
    </xf>
    <xf numFmtId="173" fontId="1" fillId="0" borderId="0" xfId="2" applyNumberFormat="1" applyFont="1" applyBorder="1" applyAlignment="1">
      <alignment vertical="top"/>
    </xf>
    <xf numFmtId="173" fontId="1" fillId="0" borderId="8" xfId="2" applyNumberFormat="1" applyFont="1" applyBorder="1" applyAlignment="1">
      <alignment vertical="top"/>
    </xf>
    <xf numFmtId="10" fontId="1" fillId="0" borderId="0" xfId="2" applyNumberFormat="1" applyFont="1" applyBorder="1" applyAlignment="1">
      <alignment horizontal="right" vertical="top"/>
    </xf>
    <xf numFmtId="0" fontId="1" fillId="6" borderId="0" xfId="0" applyFont="1" applyFill="1" applyBorder="1" applyAlignment="1">
      <alignment horizontal="left" vertical="top"/>
    </xf>
    <xf numFmtId="170" fontId="1" fillId="0" borderId="34" xfId="1" applyNumberFormat="1" applyFont="1" applyBorder="1" applyAlignment="1">
      <alignment horizontal="right" vertical="top"/>
    </xf>
    <xf numFmtId="168" fontId="1" fillId="0" borderId="0" xfId="0" applyNumberFormat="1" applyFont="1" applyBorder="1" applyAlignment="1">
      <alignment horizontal="right" vertical="top"/>
    </xf>
    <xf numFmtId="168" fontId="1" fillId="0" borderId="35" xfId="0" applyNumberFormat="1" applyFont="1" applyBorder="1" applyAlignment="1">
      <alignment horizontal="right" vertical="top"/>
    </xf>
    <xf numFmtId="168" fontId="1" fillId="0" borderId="8" xfId="0" applyNumberFormat="1" applyFont="1" applyBorder="1" applyAlignment="1">
      <alignment horizontal="right" vertical="top"/>
    </xf>
    <xf numFmtId="168" fontId="1" fillId="0" borderId="34" xfId="0" applyNumberFormat="1" applyFont="1" applyBorder="1" applyAlignment="1">
      <alignment horizontal="right" vertical="top"/>
    </xf>
    <xf numFmtId="172" fontId="1" fillId="11" borderId="0" xfId="0" applyNumberFormat="1" applyFont="1" applyFill="1" applyBorder="1" applyAlignment="1">
      <alignment horizontal="right" vertical="top"/>
    </xf>
    <xf numFmtId="168" fontId="1" fillId="0" borderId="25" xfId="0" applyNumberFormat="1" applyFont="1" applyFill="1" applyBorder="1" applyAlignment="1">
      <alignment horizontal="right" vertical="top"/>
    </xf>
    <xf numFmtId="168" fontId="1" fillId="0" borderId="26" xfId="0" applyNumberFormat="1" applyFont="1" applyFill="1" applyBorder="1" applyAlignment="1">
      <alignment horizontal="right" vertical="top"/>
    </xf>
    <xf numFmtId="0" fontId="1" fillId="0" borderId="27" xfId="0" applyFont="1" applyBorder="1" applyAlignment="1">
      <alignment horizontal="right" vertical="top"/>
    </xf>
    <xf numFmtId="0" fontId="1" fillId="0" borderId="28" xfId="0" applyFont="1" applyFill="1" applyBorder="1" applyAlignment="1">
      <alignment vertical="top"/>
    </xf>
    <xf numFmtId="0" fontId="1" fillId="0" borderId="29" xfId="0" applyFont="1" applyFill="1" applyBorder="1" applyAlignment="1">
      <alignment vertical="top"/>
    </xf>
    <xf numFmtId="0" fontId="1" fillId="0" borderId="27" xfId="0" applyFont="1" applyFill="1" applyBorder="1" applyAlignment="1">
      <alignment vertical="top"/>
    </xf>
    <xf numFmtId="9" fontId="1" fillId="0" borderId="0" xfId="2" applyFont="1" applyBorder="1" applyAlignment="1">
      <alignment horizontal="center" vertical="top"/>
    </xf>
    <xf numFmtId="0" fontId="1" fillId="5" borderId="0" xfId="0" applyFont="1" applyFill="1" applyAlignment="1">
      <alignment horizontal="left" vertical="top"/>
    </xf>
    <xf numFmtId="43" fontId="0" fillId="0" borderId="8" xfId="1" applyFont="1" applyBorder="1"/>
    <xf numFmtId="170" fontId="1" fillId="0" borderId="27" xfId="1" applyNumberFormat="1" applyFont="1" applyFill="1" applyBorder="1" applyAlignment="1">
      <alignment vertical="top"/>
    </xf>
    <xf numFmtId="170" fontId="1" fillId="0" borderId="0" xfId="1" applyNumberFormat="1" applyFont="1" applyFill="1" applyBorder="1" applyAlignment="1">
      <alignment vertical="top"/>
    </xf>
    <xf numFmtId="170" fontId="1" fillId="0" borderId="8" xfId="1" applyNumberFormat="1" applyFont="1" applyFill="1" applyBorder="1" applyAlignment="1">
      <alignment vertical="top"/>
    </xf>
    <xf numFmtId="172" fontId="1" fillId="3" borderId="1" xfId="1" applyNumberFormat="1" applyFont="1" applyFill="1" applyBorder="1" applyAlignment="1">
      <alignment vertical="top"/>
    </xf>
    <xf numFmtId="172" fontId="1" fillId="3" borderId="7" xfId="1" applyNumberFormat="1" applyFont="1" applyFill="1" applyBorder="1" applyAlignment="1">
      <alignment vertical="top"/>
    </xf>
    <xf numFmtId="0" fontId="1" fillId="7" borderId="3" xfId="0" applyFont="1" applyFill="1" applyBorder="1" applyAlignment="1">
      <alignment horizontal="left" vertical="top" wrapText="1"/>
    </xf>
    <xf numFmtId="0" fontId="0" fillId="10" borderId="0" xfId="0" applyFont="1" applyFill="1" applyBorder="1" applyAlignment="1">
      <alignment horizontal="left" vertical="top"/>
    </xf>
    <xf numFmtId="0" fontId="1" fillId="7" borderId="1" xfId="0" applyFont="1" applyFill="1" applyBorder="1" applyAlignment="1">
      <alignment horizontal="left" vertical="top" wrapText="1"/>
    </xf>
    <xf numFmtId="0" fontId="1" fillId="0" borderId="0" xfId="0" applyFont="1" applyFill="1" applyBorder="1" applyAlignment="1">
      <alignment horizontal="left" vertical="top" wrapText="1"/>
    </xf>
    <xf numFmtId="172" fontId="1" fillId="0" borderId="28" xfId="1" applyNumberFormat="1" applyFont="1" applyBorder="1" applyAlignment="1">
      <alignment vertical="top"/>
    </xf>
    <xf numFmtId="172" fontId="1" fillId="0" borderId="29" xfId="1" applyNumberFormat="1" applyFont="1" applyBorder="1" applyAlignment="1">
      <alignment vertical="top"/>
    </xf>
    <xf numFmtId="172" fontId="1" fillId="0" borderId="9" xfId="1" applyNumberFormat="1" applyFont="1" applyBorder="1" applyAlignment="1">
      <alignment vertical="top"/>
    </xf>
    <xf numFmtId="172" fontId="1" fillId="0" borderId="27" xfId="1" applyNumberFormat="1" applyFont="1" applyBorder="1" applyAlignment="1">
      <alignment vertical="top"/>
    </xf>
    <xf numFmtId="172" fontId="1" fillId="0" borderId="0" xfId="1" applyNumberFormat="1" applyFont="1" applyBorder="1" applyAlignment="1">
      <alignment vertical="top"/>
    </xf>
    <xf numFmtId="172" fontId="1" fillId="0" borderId="8" xfId="1" applyNumberFormat="1" applyFont="1" applyBorder="1" applyAlignment="1">
      <alignment vertical="top"/>
    </xf>
    <xf numFmtId="0" fontId="17" fillId="0" borderId="0" xfId="0" applyFont="1" applyBorder="1" applyAlignment="1">
      <alignment vertical="top"/>
    </xf>
    <xf numFmtId="0" fontId="1" fillId="3" borderId="1" xfId="0" applyFont="1" applyFill="1" applyBorder="1" applyAlignment="1">
      <alignment vertical="top"/>
    </xf>
    <xf numFmtId="0" fontId="1" fillId="13" borderId="0" xfId="0" applyFont="1" applyFill="1" applyBorder="1" applyAlignment="1">
      <alignment horizontal="left" vertical="top" wrapText="1"/>
    </xf>
    <xf numFmtId="0" fontId="0" fillId="3" borderId="1" xfId="0" applyFont="1" applyFill="1" applyBorder="1" applyAlignment="1">
      <alignment vertical="top"/>
    </xf>
    <xf numFmtId="172" fontId="1" fillId="13" borderId="1" xfId="1" applyNumberFormat="1" applyFont="1" applyFill="1" applyBorder="1" applyAlignment="1">
      <alignment vertical="top"/>
    </xf>
    <xf numFmtId="172" fontId="1" fillId="7" borderId="1" xfId="1" applyNumberFormat="1" applyFont="1" applyFill="1" applyBorder="1" applyAlignment="1">
      <alignment vertical="top"/>
    </xf>
    <xf numFmtId="0" fontId="17" fillId="0" borderId="0" xfId="0" applyFont="1" applyFill="1" applyBorder="1" applyAlignment="1">
      <alignment vertical="top"/>
    </xf>
    <xf numFmtId="172" fontId="1" fillId="0" borderId="25" xfId="1" applyNumberFormat="1" applyFont="1" applyBorder="1" applyAlignment="1">
      <alignment vertical="top"/>
    </xf>
    <xf numFmtId="172" fontId="1" fillId="0" borderId="26" xfId="1" applyNumberFormat="1" applyFont="1" applyBorder="1" applyAlignment="1">
      <alignment vertical="top"/>
    </xf>
    <xf numFmtId="172" fontId="1" fillId="0" borderId="7" xfId="1" applyNumberFormat="1" applyFont="1" applyBorder="1" applyAlignment="1">
      <alignment vertical="top"/>
    </xf>
    <xf numFmtId="0" fontId="2" fillId="10" borderId="0" xfId="0" applyFont="1" applyFill="1" applyBorder="1" applyAlignment="1">
      <alignment vertical="top"/>
    </xf>
    <xf numFmtId="172" fontId="1" fillId="0" borderId="31" xfId="1" applyNumberFormat="1" applyFont="1" applyBorder="1" applyAlignment="1">
      <alignment vertical="top"/>
    </xf>
    <xf numFmtId="172" fontId="1" fillId="0" borderId="6" xfId="1" applyNumberFormat="1" applyFont="1" applyBorder="1" applyAlignment="1">
      <alignment vertical="top"/>
    </xf>
    <xf numFmtId="172" fontId="1" fillId="0" borderId="30" xfId="1" applyNumberFormat="1" applyFont="1" applyBorder="1" applyAlignment="1">
      <alignment vertical="top"/>
    </xf>
    <xf numFmtId="43" fontId="1" fillId="0" borderId="8" xfId="1" applyFont="1" applyBorder="1" applyAlignment="1">
      <alignment horizontal="center" vertical="top"/>
    </xf>
    <xf numFmtId="172" fontId="1" fillId="0" borderId="0" xfId="0" applyNumberFormat="1" applyFont="1" applyBorder="1" applyAlignment="1">
      <alignment horizontal="center" vertical="top"/>
    </xf>
    <xf numFmtId="0" fontId="0" fillId="0" borderId="0" xfId="0" applyFont="1" applyBorder="1" applyAlignment="1">
      <alignment horizontal="left" vertical="top"/>
    </xf>
    <xf numFmtId="172" fontId="18" fillId="3" borderId="6" xfId="0" applyNumberFormat="1" applyFont="1" applyFill="1" applyBorder="1" applyAlignment="1">
      <alignment vertical="center" wrapText="1"/>
    </xf>
    <xf numFmtId="173" fontId="1" fillId="0" borderId="0" xfId="2" applyNumberFormat="1" applyFont="1" applyBorder="1" applyAlignment="1">
      <alignment horizontal="right" vertical="top"/>
    </xf>
    <xf numFmtId="173" fontId="1" fillId="0" borderId="8" xfId="2" applyNumberFormat="1" applyFont="1" applyBorder="1" applyAlignment="1">
      <alignment horizontal="right" vertical="top"/>
    </xf>
    <xf numFmtId="173" fontId="1" fillId="0" borderId="27" xfId="2" applyNumberFormat="1" applyFont="1" applyBorder="1" applyAlignment="1">
      <alignment horizontal="right" vertical="top"/>
    </xf>
    <xf numFmtId="173" fontId="1" fillId="0" borderId="27" xfId="2" applyNumberFormat="1" applyFont="1" applyBorder="1" applyAlignment="1">
      <alignment vertical="top"/>
    </xf>
    <xf numFmtId="173" fontId="1" fillId="0" borderId="0" xfId="2" applyNumberFormat="1" applyFont="1" applyBorder="1" applyAlignment="1">
      <alignment horizontal="center" vertical="top"/>
    </xf>
    <xf numFmtId="173" fontId="1" fillId="0" borderId="27" xfId="2" applyNumberFormat="1" applyFont="1" applyBorder="1" applyAlignment="1">
      <alignment horizontal="center" vertical="top"/>
    </xf>
    <xf numFmtId="173" fontId="1" fillId="14" borderId="1" xfId="2" applyNumberFormat="1" applyFont="1" applyFill="1" applyBorder="1" applyAlignment="1">
      <alignment vertical="top"/>
    </xf>
    <xf numFmtId="168" fontId="1" fillId="0" borderId="27" xfId="2" applyNumberFormat="1" applyFont="1" applyBorder="1" applyAlignment="1">
      <alignment horizontal="right" vertical="top"/>
    </xf>
    <xf numFmtId="168" fontId="1" fillId="0" borderId="0" xfId="2" applyNumberFormat="1" applyFont="1" applyBorder="1" applyAlignment="1">
      <alignment horizontal="right" vertical="top"/>
    </xf>
    <xf numFmtId="168" fontId="1" fillId="0" borderId="8" xfId="2" applyNumberFormat="1" applyFont="1" applyBorder="1" applyAlignment="1">
      <alignment horizontal="right" vertical="top"/>
    </xf>
    <xf numFmtId="0" fontId="0" fillId="0" borderId="0" xfId="0" applyFont="1" applyAlignment="1">
      <alignment horizontal="left" vertical="top"/>
    </xf>
    <xf numFmtId="174" fontId="1" fillId="3" borderId="1" xfId="2" applyNumberFormat="1" applyFont="1" applyFill="1" applyBorder="1" applyAlignment="1">
      <alignment horizontal="right" vertical="top"/>
    </xf>
    <xf numFmtId="174" fontId="1" fillId="0" borderId="8" xfId="2" applyNumberFormat="1" applyFont="1" applyBorder="1" applyAlignment="1">
      <alignment horizontal="right" vertical="top"/>
    </xf>
    <xf numFmtId="174" fontId="1" fillId="0" borderId="27" xfId="2" applyNumberFormat="1" applyFont="1" applyBorder="1" applyAlignment="1">
      <alignment vertical="top"/>
    </xf>
    <xf numFmtId="174" fontId="1" fillId="0" borderId="0" xfId="2" applyNumberFormat="1" applyFont="1" applyBorder="1" applyAlignment="1">
      <alignment vertical="top"/>
    </xf>
    <xf numFmtId="174" fontId="1" fillId="0" borderId="8" xfId="2" applyNumberFormat="1" applyFont="1" applyBorder="1" applyAlignment="1">
      <alignment vertical="top"/>
    </xf>
    <xf numFmtId="174" fontId="1" fillId="0" borderId="29" xfId="2" applyNumberFormat="1" applyFont="1" applyBorder="1" applyAlignment="1">
      <alignment vertical="top"/>
    </xf>
    <xf numFmtId="174" fontId="1" fillId="0" borderId="9" xfId="2" applyNumberFormat="1" applyFont="1" applyBorder="1" applyAlignment="1">
      <alignment vertical="top"/>
    </xf>
    <xf numFmtId="10" fontId="1" fillId="0" borderId="0" xfId="2" applyNumberFormat="1" applyFont="1" applyBorder="1" applyAlignment="1">
      <alignment vertical="top"/>
    </xf>
    <xf numFmtId="10" fontId="1" fillId="0" borderId="8" xfId="2" applyNumberFormat="1" applyFont="1" applyBorder="1" applyAlignment="1">
      <alignment vertical="top"/>
    </xf>
    <xf numFmtId="9" fontId="1" fillId="0" borderId="8" xfId="2" applyFont="1" applyBorder="1" applyAlignment="1">
      <alignment vertical="top"/>
    </xf>
    <xf numFmtId="0" fontId="1" fillId="0" borderId="0" xfId="0" applyFont="1" applyFill="1"/>
    <xf numFmtId="0" fontId="1" fillId="6" borderId="2" xfId="0" applyFont="1" applyFill="1" applyBorder="1" applyAlignment="1">
      <alignment horizontal="left" vertical="top" wrapText="1"/>
    </xf>
    <xf numFmtId="0" fontId="1" fillId="13" borderId="3" xfId="0" applyFont="1" applyFill="1" applyBorder="1" applyAlignment="1">
      <alignment horizontal="left" vertical="top" wrapText="1"/>
    </xf>
    <xf numFmtId="0" fontId="1" fillId="0" borderId="4" xfId="0" applyFont="1" applyBorder="1" applyAlignment="1">
      <alignment horizontal="left" vertical="top" wrapText="1"/>
    </xf>
    <xf numFmtId="172" fontId="1" fillId="3" borderId="1" xfId="0" applyNumberFormat="1" applyFont="1" applyFill="1" applyBorder="1" applyAlignment="1">
      <alignment vertical="top"/>
    </xf>
    <xf numFmtId="173" fontId="1" fillId="3" borderId="1" xfId="2" applyNumberFormat="1" applyFont="1" applyFill="1" applyBorder="1" applyAlignment="1">
      <alignment horizontal="right" vertical="top"/>
    </xf>
    <xf numFmtId="0" fontId="1" fillId="3" borderId="0" xfId="0" applyFont="1" applyFill="1" applyAlignment="1">
      <alignment vertical="top"/>
    </xf>
    <xf numFmtId="172" fontId="1" fillId="3" borderId="4" xfId="1" applyNumberFormat="1" applyFont="1" applyFill="1" applyBorder="1" applyAlignment="1">
      <alignment vertical="top"/>
    </xf>
    <xf numFmtId="175" fontId="1" fillId="3" borderId="1" xfId="1" applyNumberFormat="1" applyFont="1" applyFill="1" applyBorder="1" applyAlignment="1">
      <alignment horizontal="right" vertical="top"/>
    </xf>
    <xf numFmtId="0" fontId="1" fillId="0" borderId="8" xfId="0" applyFont="1" applyBorder="1" applyAlignment="1">
      <alignment vertical="top"/>
    </xf>
    <xf numFmtId="0" fontId="1" fillId="17" borderId="0" xfId="0" applyFont="1" applyFill="1" applyBorder="1" applyAlignment="1">
      <alignment horizontal="left" vertical="top" wrapText="1"/>
    </xf>
    <xf numFmtId="172" fontId="0" fillId="3" borderId="7" xfId="1" applyNumberFormat="1" applyFont="1" applyFill="1" applyBorder="1" applyAlignment="1">
      <alignment vertical="top"/>
    </xf>
    <xf numFmtId="172" fontId="1" fillId="0" borderId="27" xfId="0" applyNumberFormat="1" applyFont="1" applyBorder="1" applyAlignment="1">
      <alignment horizontal="right" vertical="top"/>
    </xf>
    <xf numFmtId="172" fontId="0" fillId="3" borderId="1" xfId="1" applyNumberFormat="1" applyFont="1" applyFill="1" applyBorder="1" applyAlignment="1">
      <alignment vertical="top"/>
    </xf>
    <xf numFmtId="0" fontId="16" fillId="0" borderId="0" xfId="0" applyFont="1" applyFill="1" applyBorder="1" applyAlignment="1">
      <alignment horizontal="left" vertical="top"/>
    </xf>
    <xf numFmtId="172" fontId="1" fillId="7" borderId="7" xfId="1" applyNumberFormat="1" applyFont="1" applyFill="1" applyBorder="1" applyAlignment="1">
      <alignment vertical="top"/>
    </xf>
    <xf numFmtId="173" fontId="1" fillId="3" borderId="1" xfId="2" applyNumberFormat="1" applyFont="1" applyFill="1" applyBorder="1" applyAlignment="1">
      <alignment vertical="top"/>
    </xf>
    <xf numFmtId="0" fontId="1" fillId="0" borderId="27" xfId="0" applyFont="1" applyBorder="1" applyAlignment="1">
      <alignment vertical="top"/>
    </xf>
    <xf numFmtId="0" fontId="1" fillId="19" borderId="0" xfId="0" applyFont="1" applyFill="1" applyBorder="1" applyAlignment="1">
      <alignment horizontal="left" vertical="top" wrapText="1"/>
    </xf>
    <xf numFmtId="172" fontId="1" fillId="0" borderId="0" xfId="0" quotePrefix="1" applyNumberFormat="1" applyFont="1" applyBorder="1" applyAlignment="1">
      <alignment horizontal="right" vertical="top"/>
    </xf>
    <xf numFmtId="10" fontId="1" fillId="0" borderId="8" xfId="2" applyNumberFormat="1" applyFont="1" applyBorder="1" applyAlignment="1">
      <alignment horizontal="right" vertical="top"/>
    </xf>
    <xf numFmtId="10" fontId="1" fillId="3" borderId="1" xfId="2" applyNumberFormat="1" applyFont="1" applyFill="1" applyBorder="1" applyAlignment="1">
      <alignment vertical="top"/>
    </xf>
    <xf numFmtId="10" fontId="1" fillId="3" borderId="7" xfId="2" applyNumberFormat="1" applyFont="1" applyFill="1" applyBorder="1" applyAlignment="1">
      <alignment vertical="top"/>
    </xf>
    <xf numFmtId="168" fontId="1" fillId="3" borderId="1" xfId="2" applyNumberFormat="1" applyFont="1" applyFill="1" applyBorder="1" applyAlignment="1">
      <alignment vertical="top"/>
    </xf>
    <xf numFmtId="168" fontId="1" fillId="3" borderId="7" xfId="2" applyNumberFormat="1" applyFont="1" applyFill="1" applyBorder="1" applyAlignment="1">
      <alignment vertical="top"/>
    </xf>
    <xf numFmtId="0" fontId="2" fillId="5" borderId="1" xfId="0" applyFont="1" applyFill="1" applyBorder="1" applyAlignment="1">
      <alignment vertical="top" wrapText="1"/>
    </xf>
    <xf numFmtId="0" fontId="2" fillId="7" borderId="1" xfId="0" applyFont="1" applyFill="1" applyBorder="1" applyAlignment="1">
      <alignment vertical="top" wrapText="1"/>
    </xf>
    <xf numFmtId="0" fontId="6" fillId="20" borderId="1" xfId="0" applyFont="1" applyFill="1" applyBorder="1" applyAlignment="1">
      <alignment vertical="top" wrapText="1"/>
    </xf>
    <xf numFmtId="176" fontId="1" fillId="3" borderId="1" xfId="1" applyNumberFormat="1" applyFont="1" applyFill="1" applyBorder="1" applyAlignment="1">
      <alignment horizontal="center" vertical="top"/>
    </xf>
    <xf numFmtId="0" fontId="1" fillId="0" borderId="1" xfId="0" applyFont="1" applyBorder="1" applyAlignment="1">
      <alignment vertical="top"/>
    </xf>
    <xf numFmtId="0" fontId="1" fillId="21" borderId="0" xfId="0" applyFont="1" applyFill="1"/>
    <xf numFmtId="0" fontId="1" fillId="0" borderId="1" xfId="0" applyFont="1" applyBorder="1" applyAlignment="1">
      <alignment horizontal="left" vertical="top"/>
    </xf>
    <xf numFmtId="0" fontId="2" fillId="0" borderId="1" xfId="0" applyFont="1" applyBorder="1" applyAlignment="1">
      <alignment vertical="top"/>
    </xf>
    <xf numFmtId="0" fontId="2" fillId="0" borderId="27" xfId="0" applyFont="1" applyBorder="1" applyAlignment="1">
      <alignment vertical="top"/>
    </xf>
    <xf numFmtId="0" fontId="2" fillId="0" borderId="1" xfId="0" applyFont="1" applyBorder="1" applyAlignment="1">
      <alignment horizontal="left" vertical="top"/>
    </xf>
    <xf numFmtId="0" fontId="1" fillId="0" borderId="1" xfId="0" applyFont="1" applyBorder="1" applyAlignment="1">
      <alignment horizontal="left"/>
    </xf>
    <xf numFmtId="0" fontId="2" fillId="0" borderId="27" xfId="0" applyFont="1" applyBorder="1"/>
    <xf numFmtId="0" fontId="2" fillId="0" borderId="1" xfId="0" applyFont="1" applyBorder="1" applyAlignment="1">
      <alignment horizontal="left"/>
    </xf>
    <xf numFmtId="0" fontId="1" fillId="0" borderId="1" xfId="0" applyFont="1" applyBorder="1"/>
    <xf numFmtId="0" fontId="1" fillId="0" borderId="27" xfId="0" applyFont="1" applyBorder="1"/>
    <xf numFmtId="0" fontId="1" fillId="22" borderId="0" xfId="0" applyFont="1" applyFill="1" applyBorder="1" applyAlignment="1">
      <alignment horizontal="left"/>
    </xf>
    <xf numFmtId="0" fontId="1" fillId="22" borderId="0" xfId="0" applyFont="1" applyFill="1" applyBorder="1"/>
    <xf numFmtId="168" fontId="1" fillId="22" borderId="1" xfId="1" applyNumberFormat="1" applyFont="1" applyFill="1" applyBorder="1"/>
    <xf numFmtId="0" fontId="1" fillId="22" borderId="0" xfId="0" applyFont="1" applyFill="1" applyAlignment="1">
      <alignment horizontal="left" vertical="top"/>
    </xf>
    <xf numFmtId="0" fontId="1" fillId="22" borderId="0" xfId="0" applyFont="1" applyFill="1" applyAlignment="1">
      <alignment vertical="top"/>
    </xf>
    <xf numFmtId="170" fontId="1" fillId="22" borderId="1" xfId="1" applyNumberFormat="1" applyFont="1" applyFill="1" applyBorder="1" applyAlignment="1">
      <alignment horizontal="right" vertical="top"/>
    </xf>
    <xf numFmtId="170" fontId="1" fillId="22" borderId="7" xfId="1" applyNumberFormat="1" applyFont="1" applyFill="1" applyBorder="1" applyAlignment="1">
      <alignment horizontal="center" vertical="top"/>
    </xf>
    <xf numFmtId="170" fontId="1" fillId="22" borderId="1" xfId="1" applyNumberFormat="1" applyFont="1" applyFill="1" applyBorder="1" applyAlignment="1">
      <alignment horizontal="center" vertical="top"/>
    </xf>
    <xf numFmtId="170" fontId="1" fillId="22" borderId="0" xfId="1" applyNumberFormat="1" applyFont="1" applyFill="1" applyBorder="1" applyAlignment="1">
      <alignment horizontal="right" vertical="top"/>
    </xf>
    <xf numFmtId="170" fontId="1" fillId="22" borderId="8" xfId="1" applyNumberFormat="1" applyFont="1" applyFill="1" applyBorder="1" applyAlignment="1">
      <alignment horizontal="right" vertical="top"/>
    </xf>
    <xf numFmtId="0" fontId="1" fillId="0" borderId="0" xfId="0" applyFont="1" applyFill="1" applyAlignment="1">
      <alignment horizontal="center" vertical="top"/>
    </xf>
    <xf numFmtId="0" fontId="1" fillId="22" borderId="3" xfId="0" applyFont="1" applyFill="1" applyBorder="1" applyAlignment="1">
      <alignment horizontal="left" vertical="top" wrapText="1"/>
    </xf>
    <xf numFmtId="168" fontId="1" fillId="22" borderId="7" xfId="1" applyNumberFormat="1" applyFont="1" applyFill="1" applyBorder="1"/>
    <xf numFmtId="172" fontId="1" fillId="22" borderId="0" xfId="0" applyNumberFormat="1" applyFont="1" applyFill="1" applyBorder="1" applyAlignment="1">
      <alignment horizontal="right" vertical="top"/>
    </xf>
    <xf numFmtId="172" fontId="1" fillId="22" borderId="8" xfId="0" applyNumberFormat="1" applyFont="1" applyFill="1" applyBorder="1" applyAlignment="1">
      <alignment horizontal="right" vertical="top"/>
    </xf>
    <xf numFmtId="0" fontId="1" fillId="22" borderId="0" xfId="0" applyFont="1" applyFill="1" applyAlignment="1">
      <alignment horizontal="center" vertical="top"/>
    </xf>
    <xf numFmtId="0" fontId="1" fillId="7" borderId="0" xfId="0" applyFont="1" applyFill="1" applyAlignment="1">
      <alignment horizontal="left" vertical="top"/>
    </xf>
    <xf numFmtId="0" fontId="1" fillId="0" borderId="28" xfId="0" applyFont="1" applyBorder="1" applyAlignment="1">
      <alignment horizontal="right" vertical="top"/>
    </xf>
    <xf numFmtId="0" fontId="1" fillId="0" borderId="29" xfId="0" applyFont="1" applyBorder="1" applyAlignment="1">
      <alignment horizontal="right" vertical="top"/>
    </xf>
    <xf numFmtId="0" fontId="1" fillId="0" borderId="9" xfId="0" applyFont="1" applyBorder="1" applyAlignment="1">
      <alignment horizontal="right" vertical="top"/>
    </xf>
    <xf numFmtId="0" fontId="1" fillId="0" borderId="32" xfId="0" applyFont="1" applyBorder="1" applyAlignment="1">
      <alignment horizontal="right" vertical="top"/>
    </xf>
    <xf numFmtId="0" fontId="1" fillId="0" borderId="33" xfId="0" applyFont="1" applyBorder="1" applyAlignment="1">
      <alignment horizontal="right" vertical="top"/>
    </xf>
    <xf numFmtId="0" fontId="1" fillId="0" borderId="10" xfId="0" applyFont="1" applyBorder="1" applyAlignment="1">
      <alignment horizontal="right" vertical="top"/>
    </xf>
    <xf numFmtId="0" fontId="1" fillId="0" borderId="31" xfId="0" applyFont="1" applyBorder="1" applyAlignment="1">
      <alignment horizontal="right" vertical="top"/>
    </xf>
    <xf numFmtId="0" fontId="1" fillId="0" borderId="6" xfId="0" applyFont="1" applyBorder="1" applyAlignment="1">
      <alignment horizontal="right" vertical="top"/>
    </xf>
    <xf numFmtId="0" fontId="1" fillId="0" borderId="30" xfId="0" applyFont="1" applyBorder="1" applyAlignment="1">
      <alignment horizontal="right" vertical="top"/>
    </xf>
    <xf numFmtId="0" fontId="1" fillId="7" borderId="0" xfId="0" applyFont="1" applyFill="1" applyAlignment="1">
      <alignment vertical="top"/>
    </xf>
    <xf numFmtId="170" fontId="1" fillId="0" borderId="0" xfId="1" applyNumberFormat="1" applyFont="1"/>
    <xf numFmtId="0" fontId="2" fillId="0" borderId="0" xfId="0" applyFont="1" applyBorder="1"/>
    <xf numFmtId="172" fontId="1" fillId="0" borderId="1" xfId="1" applyNumberFormat="1" applyFont="1" applyFill="1" applyBorder="1" applyAlignment="1">
      <alignment horizontal="right" vertical="top"/>
    </xf>
    <xf numFmtId="172" fontId="1" fillId="0" borderId="28" xfId="1" applyNumberFormat="1" applyFont="1" applyFill="1" applyBorder="1" applyAlignment="1">
      <alignment horizontal="right" vertical="top"/>
    </xf>
    <xf numFmtId="172" fontId="1" fillId="0" borderId="29" xfId="1" applyNumberFormat="1" applyFont="1" applyFill="1" applyBorder="1" applyAlignment="1">
      <alignment horizontal="right" vertical="top"/>
    </xf>
    <xf numFmtId="172" fontId="1" fillId="0" borderId="9" xfId="1" applyNumberFormat="1" applyFont="1" applyFill="1" applyBorder="1" applyAlignment="1">
      <alignment horizontal="right" vertical="top"/>
    </xf>
    <xf numFmtId="172" fontId="1" fillId="0" borderId="27" xfId="1" applyNumberFormat="1" applyFont="1" applyFill="1" applyBorder="1" applyAlignment="1">
      <alignment horizontal="right" vertical="top"/>
    </xf>
    <xf numFmtId="172" fontId="1" fillId="0" borderId="0" xfId="1" applyNumberFormat="1" applyFont="1" applyFill="1" applyBorder="1" applyAlignment="1">
      <alignment horizontal="right" vertical="top"/>
    </xf>
    <xf numFmtId="172" fontId="1" fillId="0" borderId="8" xfId="1" applyNumberFormat="1" applyFont="1" applyFill="1" applyBorder="1" applyAlignment="1">
      <alignment horizontal="right" vertical="top"/>
    </xf>
    <xf numFmtId="172" fontId="1" fillId="0" borderId="25" xfId="1" applyNumberFormat="1" applyFont="1" applyFill="1" applyBorder="1" applyAlignment="1">
      <alignment horizontal="right" vertical="top"/>
    </xf>
    <xf numFmtId="172" fontId="1" fillId="0" borderId="26" xfId="1" applyNumberFormat="1" applyFont="1" applyFill="1" applyBorder="1" applyAlignment="1">
      <alignment horizontal="right" vertical="top"/>
    </xf>
    <xf numFmtId="172" fontId="1" fillId="0" borderId="7" xfId="1" applyNumberFormat="1" applyFont="1" applyFill="1" applyBorder="1" applyAlignment="1">
      <alignment horizontal="right" vertical="top"/>
    </xf>
    <xf numFmtId="0" fontId="1" fillId="0" borderId="0" xfId="0" applyFont="1" applyBorder="1" applyAlignment="1">
      <alignment horizontal="left" vertical="top" indent="1"/>
    </xf>
    <xf numFmtId="0" fontId="1" fillId="0" borderId="0" xfId="0" applyFont="1" applyFill="1" applyBorder="1" applyAlignment="1">
      <alignment horizontal="left" vertical="top" indent="1"/>
    </xf>
    <xf numFmtId="172" fontId="1" fillId="0" borderId="1" xfId="0" applyNumberFormat="1" applyFont="1" applyFill="1" applyBorder="1" applyAlignment="1">
      <alignment horizontal="right" vertical="top"/>
    </xf>
    <xf numFmtId="172" fontId="1" fillId="0" borderId="31" xfId="1" applyNumberFormat="1" applyFont="1" applyFill="1" applyBorder="1" applyAlignment="1">
      <alignment horizontal="right" vertical="top"/>
    </xf>
    <xf numFmtId="172" fontId="1" fillId="0" borderId="6" xfId="1" applyNumberFormat="1" applyFont="1" applyFill="1" applyBorder="1" applyAlignment="1">
      <alignment horizontal="right" vertical="top"/>
    </xf>
    <xf numFmtId="172" fontId="1" fillId="0" borderId="30" xfId="1" applyNumberFormat="1" applyFont="1" applyFill="1" applyBorder="1" applyAlignment="1">
      <alignment horizontal="right" vertical="top"/>
    </xf>
    <xf numFmtId="0" fontId="1" fillId="0" borderId="27" xfId="0" applyFont="1" applyBorder="1" applyAlignment="1">
      <alignment horizontal="right" vertical="top" wrapText="1"/>
    </xf>
    <xf numFmtId="0" fontId="1" fillId="0" borderId="0" xfId="0" applyFont="1" applyBorder="1" applyAlignment="1">
      <alignment horizontal="right" vertical="top" wrapText="1"/>
    </xf>
    <xf numFmtId="0" fontId="1" fillId="0" borderId="8" xfId="0" applyFont="1" applyBorder="1" applyAlignment="1">
      <alignment horizontal="right" vertical="top" wrapText="1"/>
    </xf>
    <xf numFmtId="168" fontId="1" fillId="0" borderId="27" xfId="0" applyNumberFormat="1" applyFont="1" applyBorder="1" applyAlignment="1">
      <alignment horizontal="right" vertical="top"/>
    </xf>
    <xf numFmtId="0" fontId="1" fillId="0" borderId="8" xfId="0" applyFont="1" applyBorder="1"/>
    <xf numFmtId="0" fontId="1" fillId="0" borderId="0" xfId="0" applyFont="1" applyFill="1" applyBorder="1"/>
    <xf numFmtId="170" fontId="1" fillId="3" borderId="1" xfId="1" applyNumberFormat="1" applyFont="1" applyFill="1" applyBorder="1"/>
    <xf numFmtId="9" fontId="1" fillId="3" borderId="1" xfId="2" applyFont="1" applyFill="1" applyBorder="1"/>
    <xf numFmtId="0" fontId="1" fillId="0" borderId="10" xfId="0" applyFont="1" applyBorder="1"/>
    <xf numFmtId="0" fontId="19" fillId="0" borderId="0" xfId="0" applyFont="1" applyFill="1" applyBorder="1"/>
    <xf numFmtId="168" fontId="1" fillId="3" borderId="1" xfId="1" applyNumberFormat="1" applyFont="1" applyFill="1" applyBorder="1"/>
    <xf numFmtId="0" fontId="1" fillId="0" borderId="0" xfId="0" applyFont="1" applyFill="1" applyBorder="1" applyAlignment="1">
      <alignment horizontal="left"/>
    </xf>
    <xf numFmtId="168" fontId="1" fillId="0" borderId="28" xfId="1" applyNumberFormat="1" applyFont="1" applyBorder="1"/>
    <xf numFmtId="168" fontId="1" fillId="0" borderId="29" xfId="1" applyNumberFormat="1" applyFont="1" applyBorder="1"/>
    <xf numFmtId="168" fontId="1" fillId="0" borderId="9" xfId="1" applyNumberFormat="1" applyFont="1" applyBorder="1"/>
    <xf numFmtId="9" fontId="1" fillId="0" borderId="27" xfId="2" applyFont="1" applyBorder="1" applyAlignment="1">
      <alignment horizontal="right" vertical="top"/>
    </xf>
    <xf numFmtId="9" fontId="1" fillId="0" borderId="0" xfId="2" applyFont="1" applyBorder="1" applyAlignment="1">
      <alignment horizontal="right" vertical="top"/>
    </xf>
    <xf numFmtId="9" fontId="1" fillId="0" borderId="8" xfId="2" applyFont="1" applyBorder="1" applyAlignment="1">
      <alignment horizontal="right" vertical="top"/>
    </xf>
    <xf numFmtId="0" fontId="1" fillId="0" borderId="0" xfId="0" applyFont="1" applyAlignment="1">
      <alignment horizontal="left" vertical="top" indent="1"/>
    </xf>
    <xf numFmtId="172" fontId="1" fillId="3" borderId="1" xfId="0" applyNumberFormat="1" applyFont="1" applyFill="1" applyBorder="1" applyAlignment="1">
      <alignment horizontal="right" vertical="top"/>
    </xf>
    <xf numFmtId="168" fontId="1" fillId="0" borderId="28" xfId="1" applyNumberFormat="1" applyFont="1" applyFill="1" applyBorder="1"/>
    <xf numFmtId="168" fontId="1" fillId="0" borderId="29" xfId="1" applyNumberFormat="1" applyFont="1" applyFill="1" applyBorder="1"/>
    <xf numFmtId="168" fontId="1" fillId="0" borderId="9" xfId="1" applyNumberFormat="1" applyFont="1" applyFill="1" applyBorder="1"/>
    <xf numFmtId="9" fontId="1" fillId="0" borderId="32" xfId="2" applyFont="1" applyBorder="1" applyAlignment="1">
      <alignment horizontal="right" vertical="top"/>
    </xf>
    <xf numFmtId="9" fontId="1" fillId="0" borderId="33" xfId="2" applyFont="1" applyBorder="1" applyAlignment="1">
      <alignment horizontal="right" vertical="top"/>
    </xf>
    <xf numFmtId="9" fontId="1" fillId="0" borderId="10" xfId="2" applyFont="1" applyBorder="1" applyAlignment="1">
      <alignment horizontal="right" vertical="top"/>
    </xf>
    <xf numFmtId="0" fontId="7" fillId="0" borderId="0" xfId="0" applyFont="1" applyBorder="1"/>
    <xf numFmtId="168" fontId="1" fillId="0" borderId="27" xfId="1" applyNumberFormat="1" applyFont="1" applyBorder="1"/>
    <xf numFmtId="168" fontId="1" fillId="0" borderId="0" xfId="1" applyNumberFormat="1" applyFont="1" applyBorder="1"/>
    <xf numFmtId="168" fontId="1" fillId="0" borderId="8" xfId="1" applyNumberFormat="1" applyFont="1" applyBorder="1"/>
    <xf numFmtId="0" fontId="20" fillId="11" borderId="0" xfId="0" applyFont="1" applyFill="1" applyBorder="1"/>
    <xf numFmtId="9" fontId="1" fillId="0" borderId="1" xfId="2" applyFont="1" applyFill="1" applyBorder="1"/>
    <xf numFmtId="0" fontId="19" fillId="11" borderId="0" xfId="0" applyFont="1" applyFill="1" applyBorder="1"/>
    <xf numFmtId="173" fontId="1" fillId="0" borderId="27" xfId="2" applyNumberFormat="1" applyFont="1" applyBorder="1"/>
    <xf numFmtId="173" fontId="1" fillId="0" borderId="0" xfId="2" applyNumberFormat="1" applyFont="1" applyBorder="1"/>
    <xf numFmtId="173" fontId="1" fillId="0" borderId="8" xfId="2" applyNumberFormat="1" applyFont="1" applyBorder="1"/>
    <xf numFmtId="168" fontId="1" fillId="0" borderId="1" xfId="1" applyNumberFormat="1" applyFont="1" applyBorder="1"/>
    <xf numFmtId="0" fontId="1" fillId="2" borderId="0" xfId="0" applyFont="1" applyFill="1" applyBorder="1"/>
    <xf numFmtId="170" fontId="1" fillId="0" borderId="27" xfId="1" applyNumberFormat="1" applyFont="1" applyFill="1" applyBorder="1"/>
    <xf numFmtId="170" fontId="1" fillId="0" borderId="0" xfId="1" applyNumberFormat="1" applyFont="1" applyFill="1" applyBorder="1"/>
    <xf numFmtId="170" fontId="1" fillId="0" borderId="8" xfId="1" applyNumberFormat="1" applyFont="1" applyFill="1" applyBorder="1"/>
    <xf numFmtId="168" fontId="1" fillId="0" borderId="32" xfId="1" applyNumberFormat="1" applyFont="1" applyBorder="1"/>
    <xf numFmtId="168" fontId="1" fillId="0" borderId="33" xfId="1" applyNumberFormat="1" applyFont="1" applyBorder="1"/>
    <xf numFmtId="168" fontId="1" fillId="0" borderId="10" xfId="1" applyNumberFormat="1" applyFont="1" applyBorder="1"/>
    <xf numFmtId="0" fontId="1" fillId="0" borderId="32" xfId="0" applyFont="1" applyBorder="1" applyAlignment="1">
      <alignment horizontal="center" vertical="top"/>
    </xf>
    <xf numFmtId="0" fontId="1" fillId="0" borderId="33" xfId="0" applyFont="1" applyBorder="1" applyAlignment="1">
      <alignment horizontal="center" vertical="top"/>
    </xf>
    <xf numFmtId="0" fontId="1" fillId="0" borderId="10" xfId="0" applyFont="1" applyBorder="1" applyAlignment="1">
      <alignment horizontal="center" vertical="top"/>
    </xf>
    <xf numFmtId="0" fontId="1" fillId="0" borderId="0" xfId="0" applyFont="1" applyAlignment="1">
      <alignment wrapText="1"/>
    </xf>
    <xf numFmtId="0" fontId="2" fillId="0" borderId="36" xfId="0" applyFont="1" applyBorder="1"/>
    <xf numFmtId="0" fontId="2" fillId="0" borderId="36" xfId="0" applyFont="1" applyBorder="1" applyAlignment="1">
      <alignment horizontal="right"/>
    </xf>
    <xf numFmtId="0" fontId="2" fillId="0" borderId="18" xfId="0" applyFont="1" applyBorder="1" applyAlignment="1">
      <alignment horizontal="right"/>
    </xf>
    <xf numFmtId="0" fontId="2" fillId="0" borderId="19" xfId="0" applyFont="1" applyBorder="1" applyAlignment="1">
      <alignment horizontal="right"/>
    </xf>
    <xf numFmtId="0" fontId="2" fillId="0" borderId="18" xfId="0" applyFont="1" applyBorder="1" applyAlignment="1">
      <alignment wrapText="1"/>
    </xf>
    <xf numFmtId="0" fontId="1" fillId="0" borderId="20" xfId="0" applyFont="1" applyBorder="1" applyAlignment="1">
      <alignment vertical="top"/>
    </xf>
    <xf numFmtId="0" fontId="1" fillId="0" borderId="33" xfId="0" applyFont="1" applyBorder="1" applyAlignment="1">
      <alignment vertical="top"/>
    </xf>
    <xf numFmtId="172" fontId="1" fillId="0" borderId="33" xfId="1" applyNumberFormat="1" applyFont="1" applyFill="1" applyBorder="1" applyAlignment="1">
      <alignment vertical="top"/>
    </xf>
    <xf numFmtId="172" fontId="1" fillId="0" borderId="20" xfId="1" applyNumberFormat="1" applyFont="1" applyFill="1" applyBorder="1" applyAlignment="1">
      <alignment vertical="top"/>
    </xf>
    <xf numFmtId="172" fontId="1" fillId="0" borderId="21" xfId="1" applyNumberFormat="1" applyFont="1" applyFill="1" applyBorder="1" applyAlignment="1">
      <alignment vertical="top"/>
    </xf>
    <xf numFmtId="0" fontId="1" fillId="0" borderId="37" xfId="0" applyFont="1" applyBorder="1" applyAlignment="1">
      <alignment vertical="top"/>
    </xf>
    <xf numFmtId="0" fontId="1" fillId="0" borderId="37" xfId="0" applyFont="1" applyBorder="1" applyAlignment="1">
      <alignment vertical="top" wrapText="1"/>
    </xf>
    <xf numFmtId="0" fontId="1" fillId="0" borderId="23" xfId="0" applyFont="1" applyBorder="1" applyAlignment="1">
      <alignment vertical="top"/>
    </xf>
    <xf numFmtId="0" fontId="1" fillId="0" borderId="26" xfId="0" applyFont="1" applyBorder="1" applyAlignment="1">
      <alignment vertical="top"/>
    </xf>
    <xf numFmtId="172" fontId="1" fillId="0" borderId="23" xfId="1" applyNumberFormat="1" applyFont="1" applyBorder="1" applyAlignment="1">
      <alignment vertical="top"/>
    </xf>
    <xf numFmtId="172" fontId="1" fillId="0" borderId="24" xfId="1" applyNumberFormat="1" applyFont="1" applyBorder="1" applyAlignment="1">
      <alignment vertical="top"/>
    </xf>
    <xf numFmtId="0" fontId="1" fillId="0" borderId="38" xfId="0" applyFont="1" applyBorder="1" applyAlignment="1">
      <alignment vertical="top"/>
    </xf>
    <xf numFmtId="0" fontId="1" fillId="0" borderId="38" xfId="0" applyFont="1" applyBorder="1" applyAlignment="1">
      <alignment vertical="top" wrapText="1"/>
    </xf>
    <xf numFmtId="0" fontId="2" fillId="0" borderId="39" xfId="0" applyFont="1" applyBorder="1" applyAlignment="1">
      <alignment vertical="top"/>
    </xf>
    <xf numFmtId="0" fontId="2" fillId="0" borderId="6" xfId="0" applyFont="1" applyBorder="1" applyAlignment="1">
      <alignment vertical="top"/>
    </xf>
    <xf numFmtId="172" fontId="1" fillId="0" borderId="39" xfId="1" applyNumberFormat="1" applyFont="1" applyBorder="1" applyAlignment="1">
      <alignment vertical="top"/>
    </xf>
    <xf numFmtId="172" fontId="1" fillId="0" borderId="40" xfId="1" applyNumberFormat="1" applyFont="1" applyBorder="1" applyAlignment="1">
      <alignment vertical="top"/>
    </xf>
    <xf numFmtId="0" fontId="2" fillId="0" borderId="20" xfId="0" applyFont="1" applyBorder="1" applyAlignment="1">
      <alignment vertical="top"/>
    </xf>
    <xf numFmtId="0" fontId="2" fillId="0" borderId="33" xfId="0" applyFont="1" applyBorder="1" applyAlignment="1">
      <alignment vertical="top"/>
    </xf>
    <xf numFmtId="172" fontId="1" fillId="0" borderId="33" xfId="1" applyNumberFormat="1" applyFont="1" applyBorder="1" applyAlignment="1">
      <alignment vertical="top"/>
    </xf>
    <xf numFmtId="172" fontId="1" fillId="0" borderId="20" xfId="1" applyNumberFormat="1" applyFont="1" applyBorder="1" applyAlignment="1">
      <alignment vertical="top"/>
    </xf>
    <xf numFmtId="172" fontId="1" fillId="0" borderId="21" xfId="1" applyNumberFormat="1" applyFont="1" applyBorder="1" applyAlignment="1">
      <alignment vertical="top"/>
    </xf>
    <xf numFmtId="0" fontId="17" fillId="0" borderId="23" xfId="0" applyFont="1" applyBorder="1" applyAlignment="1">
      <alignment vertical="top"/>
    </xf>
    <xf numFmtId="0" fontId="17" fillId="0" borderId="26" xfId="0" applyFont="1" applyBorder="1" applyAlignment="1">
      <alignment vertical="top"/>
    </xf>
    <xf numFmtId="0" fontId="1" fillId="0" borderId="23" xfId="0" applyFont="1" applyBorder="1" applyAlignment="1">
      <alignment horizontal="left" vertical="top"/>
    </xf>
    <xf numFmtId="0" fontId="1" fillId="0" borderId="26" xfId="0" applyFont="1" applyBorder="1" applyAlignment="1">
      <alignment horizontal="left" vertical="top"/>
    </xf>
    <xf numFmtId="172" fontId="1" fillId="11" borderId="26" xfId="1" applyNumberFormat="1" applyFont="1" applyFill="1" applyBorder="1" applyAlignment="1">
      <alignment vertical="top"/>
    </xf>
    <xf numFmtId="172" fontId="1" fillId="11" borderId="23" xfId="1" applyNumberFormat="1" applyFont="1" applyFill="1" applyBorder="1" applyAlignment="1">
      <alignment vertical="top"/>
    </xf>
    <xf numFmtId="172" fontId="1" fillId="11" borderId="24" xfId="1" applyNumberFormat="1" applyFont="1" applyFill="1" applyBorder="1" applyAlignment="1">
      <alignment vertical="top"/>
    </xf>
    <xf numFmtId="0" fontId="1" fillId="0" borderId="23" xfId="0" applyFont="1" applyFill="1" applyBorder="1" applyAlignment="1">
      <alignment horizontal="left" vertical="top"/>
    </xf>
    <xf numFmtId="0" fontId="1" fillId="0" borderId="26" xfId="0" applyFont="1" applyFill="1" applyBorder="1" applyAlignment="1">
      <alignment horizontal="left" vertical="top"/>
    </xf>
    <xf numFmtId="0" fontId="17" fillId="0" borderId="23" xfId="0" applyFont="1" applyFill="1" applyBorder="1" applyAlignment="1">
      <alignment vertical="top"/>
    </xf>
    <xf numFmtId="0" fontId="17" fillId="0" borderId="26" xfId="0" applyFont="1" applyFill="1" applyBorder="1" applyAlignment="1">
      <alignment vertical="top"/>
    </xf>
    <xf numFmtId="0" fontId="1" fillId="0" borderId="23" xfId="0" applyFont="1" applyFill="1" applyBorder="1" applyAlignment="1">
      <alignment vertical="top"/>
    </xf>
    <xf numFmtId="0" fontId="1" fillId="0" borderId="26" xfId="0" applyFont="1" applyFill="1" applyBorder="1" applyAlignment="1">
      <alignment vertical="top"/>
    </xf>
    <xf numFmtId="172" fontId="1" fillId="0" borderId="41" xfId="0" applyNumberFormat="1" applyFont="1" applyBorder="1" applyAlignment="1">
      <alignment vertical="top"/>
    </xf>
    <xf numFmtId="172" fontId="1" fillId="0" borderId="23" xfId="0" applyNumberFormat="1" applyFont="1" applyBorder="1" applyAlignment="1">
      <alignment vertical="top"/>
    </xf>
    <xf numFmtId="0" fontId="17" fillId="0" borderId="42" xfId="0" applyFont="1" applyFill="1" applyBorder="1" applyAlignment="1">
      <alignment vertical="top"/>
    </xf>
    <xf numFmtId="0" fontId="17" fillId="0" borderId="43" xfId="0" applyFont="1" applyFill="1" applyBorder="1" applyAlignment="1">
      <alignment vertical="top"/>
    </xf>
    <xf numFmtId="172" fontId="1" fillId="0" borderId="43" xfId="1" applyNumberFormat="1" applyFont="1" applyBorder="1" applyAlignment="1">
      <alignment vertical="top"/>
    </xf>
    <xf numFmtId="172" fontId="1" fillId="0" borderId="42" xfId="1" applyNumberFormat="1" applyFont="1" applyBorder="1" applyAlignment="1">
      <alignment vertical="top"/>
    </xf>
    <xf numFmtId="172" fontId="1" fillId="0" borderId="44" xfId="1" applyNumberFormat="1" applyFont="1" applyBorder="1" applyAlignment="1">
      <alignment vertical="top"/>
    </xf>
    <xf numFmtId="0" fontId="1" fillId="0" borderId="45" xfId="0" applyFont="1" applyBorder="1" applyAlignment="1">
      <alignment vertical="top"/>
    </xf>
    <xf numFmtId="0" fontId="1" fillId="0" borderId="45" xfId="0" applyFont="1" applyBorder="1" applyAlignment="1">
      <alignment vertical="top" wrapText="1"/>
    </xf>
    <xf numFmtId="0" fontId="1" fillId="0" borderId="0" xfId="0" applyFont="1" applyBorder="1" applyAlignment="1">
      <alignment vertical="top" wrapText="1"/>
    </xf>
    <xf numFmtId="0" fontId="2" fillId="0" borderId="0" xfId="0" applyFont="1"/>
    <xf numFmtId="0" fontId="1" fillId="0" borderId="20" xfId="0" applyFont="1" applyBorder="1"/>
    <xf numFmtId="0" fontId="1" fillId="0" borderId="33" xfId="0" applyFont="1" applyBorder="1"/>
    <xf numFmtId="168" fontId="1" fillId="0" borderId="33" xfId="1" applyNumberFormat="1" applyFont="1" applyFill="1" applyBorder="1"/>
    <xf numFmtId="168" fontId="1" fillId="0" borderId="20" xfId="1" applyNumberFormat="1" applyFont="1" applyFill="1" applyBorder="1"/>
    <xf numFmtId="168" fontId="1" fillId="0" borderId="21" xfId="1" applyNumberFormat="1" applyFont="1" applyFill="1" applyBorder="1"/>
    <xf numFmtId="0" fontId="1" fillId="0" borderId="37" xfId="0" applyFont="1" applyBorder="1"/>
    <xf numFmtId="0" fontId="1" fillId="0" borderId="37" xfId="0" applyFont="1" applyBorder="1" applyAlignment="1">
      <alignment wrapText="1"/>
    </xf>
    <xf numFmtId="0" fontId="1" fillId="0" borderId="23" xfId="0" applyFont="1" applyBorder="1"/>
    <xf numFmtId="0" fontId="1" fillId="0" borderId="26" xfId="0" applyFont="1" applyBorder="1"/>
    <xf numFmtId="168" fontId="1" fillId="0" borderId="26" xfId="1" applyNumberFormat="1" applyFont="1" applyBorder="1"/>
    <xf numFmtId="168" fontId="1" fillId="0" borderId="23" xfId="1" applyNumberFormat="1" applyFont="1" applyBorder="1"/>
    <xf numFmtId="168" fontId="1" fillId="0" borderId="24" xfId="1" applyNumberFormat="1" applyFont="1" applyBorder="1"/>
    <xf numFmtId="0" fontId="1" fillId="0" borderId="38" xfId="0" applyFont="1" applyBorder="1"/>
    <xf numFmtId="0" fontId="1" fillId="0" borderId="38" xfId="0" applyFont="1" applyBorder="1" applyAlignment="1">
      <alignment wrapText="1"/>
    </xf>
    <xf numFmtId="0" fontId="2" fillId="0" borderId="39" xfId="0" applyFont="1" applyBorder="1"/>
    <xf numFmtId="0" fontId="2" fillId="0" borderId="6" xfId="0" applyFont="1" applyBorder="1"/>
    <xf numFmtId="168" fontId="1" fillId="0" borderId="6" xfId="1" applyNumberFormat="1" applyFont="1" applyBorder="1"/>
    <xf numFmtId="168" fontId="1" fillId="0" borderId="39" xfId="1" applyNumberFormat="1" applyFont="1" applyBorder="1"/>
    <xf numFmtId="168" fontId="1" fillId="0" borderId="40" xfId="1" applyNumberFormat="1" applyFont="1" applyBorder="1"/>
    <xf numFmtId="0" fontId="2" fillId="0" borderId="20" xfId="0" applyFont="1" applyBorder="1"/>
    <xf numFmtId="0" fontId="2" fillId="0" borderId="33" xfId="0" applyFont="1" applyBorder="1"/>
    <xf numFmtId="168" fontId="1" fillId="0" borderId="20" xfId="1" applyNumberFormat="1" applyFont="1" applyBorder="1"/>
    <xf numFmtId="168" fontId="1" fillId="0" borderId="21" xfId="1" applyNumberFormat="1" applyFont="1" applyBorder="1"/>
    <xf numFmtId="0" fontId="17" fillId="0" borderId="23" xfId="0" applyFont="1" applyBorder="1"/>
    <xf numFmtId="0" fontId="17" fillId="0" borderId="26" xfId="0" applyFont="1" applyBorder="1"/>
    <xf numFmtId="168" fontId="1" fillId="0" borderId="26" xfId="1" applyNumberFormat="1" applyFont="1" applyBorder="1" applyAlignment="1">
      <alignment vertical="top"/>
    </xf>
    <xf numFmtId="168" fontId="1" fillId="0" borderId="23" xfId="1" applyNumberFormat="1" applyFont="1" applyBorder="1" applyAlignment="1">
      <alignment vertical="top"/>
    </xf>
    <xf numFmtId="168" fontId="1" fillId="0" borderId="24" xfId="1" applyNumberFormat="1" applyFont="1" applyBorder="1" applyAlignment="1">
      <alignment vertical="top"/>
    </xf>
    <xf numFmtId="0" fontId="1" fillId="0" borderId="23" xfId="0" applyFont="1" applyBorder="1" applyAlignment="1">
      <alignment horizontal="left" vertical="top" indent="1"/>
    </xf>
    <xf numFmtId="0" fontId="1" fillId="0" borderId="26" xfId="0" applyFont="1" applyBorder="1" applyAlignment="1">
      <alignment horizontal="left" vertical="top" indent="1"/>
    </xf>
    <xf numFmtId="168" fontId="1" fillId="11" borderId="26" xfId="1" applyNumberFormat="1" applyFont="1" applyFill="1" applyBorder="1"/>
    <xf numFmtId="168" fontId="1" fillId="11" borderId="23" xfId="1" applyNumberFormat="1" applyFont="1" applyFill="1" applyBorder="1"/>
    <xf numFmtId="168" fontId="1" fillId="11" borderId="24" xfId="1" applyNumberFormat="1" applyFont="1" applyFill="1" applyBorder="1"/>
    <xf numFmtId="0" fontId="1" fillId="0" borderId="23" xfId="0" applyFont="1" applyFill="1" applyBorder="1" applyAlignment="1">
      <alignment horizontal="left" vertical="top" indent="1"/>
    </xf>
    <xf numFmtId="0" fontId="1" fillId="0" borderId="26" xfId="0" applyFont="1" applyFill="1" applyBorder="1" applyAlignment="1">
      <alignment horizontal="left" vertical="top" indent="1"/>
    </xf>
    <xf numFmtId="168" fontId="1" fillId="0" borderId="24" xfId="0" applyNumberFormat="1" applyFont="1" applyBorder="1"/>
    <xf numFmtId="168" fontId="1" fillId="0" borderId="23" xfId="0" applyNumberFormat="1" applyFont="1" applyBorder="1"/>
    <xf numFmtId="0" fontId="17" fillId="0" borderId="45" xfId="0" applyFont="1" applyFill="1" applyBorder="1" applyAlignment="1">
      <alignment vertical="top"/>
    </xf>
    <xf numFmtId="0" fontId="17" fillId="0" borderId="5" xfId="0" applyFont="1" applyFill="1" applyBorder="1" applyAlignment="1">
      <alignment vertical="top"/>
    </xf>
    <xf numFmtId="168" fontId="1" fillId="0" borderId="5" xfId="1" applyNumberFormat="1" applyFont="1" applyBorder="1"/>
    <xf numFmtId="168" fontId="1" fillId="0" borderId="45" xfId="1" applyNumberFormat="1" applyFont="1" applyBorder="1"/>
    <xf numFmtId="168" fontId="1" fillId="0" borderId="46" xfId="1" applyNumberFormat="1" applyFont="1" applyBorder="1"/>
    <xf numFmtId="0" fontId="1" fillId="0" borderId="45" xfId="0" applyFont="1" applyBorder="1"/>
    <xf numFmtId="0" fontId="1" fillId="0" borderId="45" xfId="0" applyFont="1" applyBorder="1" applyAlignment="1">
      <alignment wrapText="1"/>
    </xf>
    <xf numFmtId="0" fontId="1" fillId="0" borderId="47" xfId="0" applyFont="1" applyBorder="1"/>
    <xf numFmtId="168" fontId="1" fillId="0" borderId="47" xfId="1" applyNumberFormat="1" applyFont="1" applyBorder="1"/>
    <xf numFmtId="0" fontId="1" fillId="0" borderId="47" xfId="0" applyFont="1" applyBorder="1" applyAlignment="1">
      <alignment wrapText="1"/>
    </xf>
    <xf numFmtId="168" fontId="1" fillId="0" borderId="0" xfId="0" applyNumberFormat="1" applyFont="1" applyBorder="1"/>
    <xf numFmtId="0" fontId="1" fillId="0" borderId="0" xfId="0" applyFont="1" applyBorder="1" applyAlignment="1">
      <alignment wrapText="1"/>
    </xf>
    <xf numFmtId="168" fontId="1" fillId="0" borderId="0" xfId="0" applyNumberFormat="1" applyFont="1"/>
    <xf numFmtId="168" fontId="1" fillId="0" borderId="0" xfId="1" applyNumberFormat="1" applyFont="1"/>
    <xf numFmtId="0" fontId="12" fillId="0" borderId="0" xfId="0" applyFont="1" applyFill="1" applyBorder="1"/>
    <xf numFmtId="0" fontId="2" fillId="0" borderId="18" xfId="0" applyFont="1" applyFill="1" applyBorder="1"/>
    <xf numFmtId="0" fontId="2" fillId="0" borderId="36" xfId="0" applyFont="1" applyFill="1" applyBorder="1"/>
    <xf numFmtId="170" fontId="1" fillId="0" borderId="33" xfId="1" applyNumberFormat="1" applyFont="1" applyBorder="1" applyAlignment="1">
      <alignment vertical="top"/>
    </xf>
    <xf numFmtId="170" fontId="1" fillId="0" borderId="20" xfId="1" applyNumberFormat="1" applyFont="1" applyBorder="1" applyAlignment="1">
      <alignment vertical="top"/>
    </xf>
    <xf numFmtId="170" fontId="1" fillId="0" borderId="26" xfId="1" applyNumberFormat="1" applyFont="1" applyBorder="1" applyAlignment="1">
      <alignment vertical="top"/>
    </xf>
    <xf numFmtId="170" fontId="1" fillId="0" borderId="23" xfId="1" applyNumberFormat="1" applyFont="1" applyBorder="1" applyAlignment="1">
      <alignment vertical="top"/>
    </xf>
    <xf numFmtId="0" fontId="1" fillId="0" borderId="38" xfId="0" applyFont="1" applyFill="1" applyBorder="1" applyAlignment="1">
      <alignment vertical="top" wrapText="1"/>
    </xf>
    <xf numFmtId="170" fontId="1" fillId="0" borderId="6" xfId="1" applyNumberFormat="1" applyFont="1" applyBorder="1" applyAlignment="1">
      <alignment vertical="top"/>
    </xf>
    <xf numFmtId="170" fontId="1" fillId="0" borderId="39" xfId="1" applyNumberFormat="1" applyFont="1" applyBorder="1" applyAlignment="1">
      <alignment vertical="top"/>
    </xf>
    <xf numFmtId="177" fontId="1" fillId="0" borderId="41" xfId="0" applyNumberFormat="1" applyFont="1" applyBorder="1" applyAlignment="1">
      <alignment vertical="top"/>
    </xf>
    <xf numFmtId="177" fontId="1" fillId="0" borderId="22" xfId="0" applyNumberFormat="1" applyFont="1" applyBorder="1" applyAlignment="1">
      <alignment vertical="top"/>
    </xf>
    <xf numFmtId="0" fontId="1" fillId="0" borderId="0" xfId="0" applyFont="1" applyAlignment="1">
      <alignment vertical="top" wrapText="1"/>
    </xf>
    <xf numFmtId="0" fontId="14" fillId="0" borderId="0" xfId="0" applyFont="1" applyFill="1" applyBorder="1"/>
    <xf numFmtId="170" fontId="1" fillId="0" borderId="33" xfId="1" applyNumberFormat="1" applyFont="1" applyBorder="1"/>
    <xf numFmtId="170" fontId="1" fillId="0" borderId="20" xfId="1" applyNumberFormat="1" applyFont="1" applyBorder="1"/>
    <xf numFmtId="170" fontId="1" fillId="0" borderId="26" xfId="1" applyNumberFormat="1" applyFont="1" applyBorder="1"/>
    <xf numFmtId="170" fontId="1" fillId="0" borderId="23" xfId="1" applyNumberFormat="1" applyFont="1" applyBorder="1"/>
    <xf numFmtId="170" fontId="1" fillId="0" borderId="6" xfId="1" applyNumberFormat="1" applyFont="1" applyBorder="1"/>
    <xf numFmtId="170" fontId="1" fillId="0" borderId="39" xfId="1" applyNumberFormat="1" applyFont="1" applyBorder="1"/>
    <xf numFmtId="0" fontId="1" fillId="0" borderId="48" xfId="0" applyFont="1" applyBorder="1" applyAlignment="1">
      <alignment wrapText="1"/>
    </xf>
    <xf numFmtId="170" fontId="3" fillId="3" borderId="0" xfId="1" applyNumberFormat="1" applyFont="1" applyFill="1" applyBorder="1"/>
    <xf numFmtId="170" fontId="0" fillId="0" borderId="0" xfId="1" applyNumberFormat="1" applyFont="1" applyFill="1" applyBorder="1"/>
    <xf numFmtId="0" fontId="0" fillId="0" borderId="1" xfId="0" applyFont="1" applyFill="1" applyBorder="1" applyAlignment="1">
      <alignment horizontal="right" vertical="center"/>
    </xf>
    <xf numFmtId="170" fontId="0" fillId="0" borderId="0" xfId="1" applyNumberFormat="1" applyFont="1" applyBorder="1"/>
    <xf numFmtId="170" fontId="0" fillId="0" borderId="29" xfId="0" applyNumberFormat="1" applyBorder="1"/>
    <xf numFmtId="178" fontId="2" fillId="0" borderId="0" xfId="0" applyNumberFormat="1" applyFont="1" applyFill="1" applyBorder="1" applyAlignment="1">
      <alignment horizontal="right"/>
    </xf>
    <xf numFmtId="178" fontId="2" fillId="0" borderId="0" xfId="0" applyNumberFormat="1" applyFont="1" applyAlignment="1">
      <alignment horizontal="right"/>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172" fontId="0" fillId="0" borderId="0" xfId="0" applyNumberFormat="1"/>
    <xf numFmtId="9" fontId="0" fillId="0" borderId="0" xfId="0" applyNumberFormat="1"/>
    <xf numFmtId="172" fontId="0" fillId="0" borderId="29" xfId="0" applyNumberFormat="1" applyBorder="1"/>
    <xf numFmtId="0" fontId="2" fillId="0" borderId="0" xfId="0" applyFont="1" applyAlignment="1">
      <alignment horizontal="right"/>
    </xf>
    <xf numFmtId="170" fontId="0" fillId="0" borderId="0" xfId="0" applyNumberFormat="1"/>
    <xf numFmtId="9" fontId="0" fillId="23" borderId="0" xfId="2" applyFont="1" applyFill="1" applyBorder="1"/>
    <xf numFmtId="9" fontId="0" fillId="23" borderId="0" xfId="0" applyNumberFormat="1" applyFill="1" applyBorder="1"/>
    <xf numFmtId="172" fontId="0" fillId="23" borderId="0" xfId="0" applyNumberFormat="1" applyFill="1" applyBorder="1"/>
    <xf numFmtId="0" fontId="0" fillId="0" borderId="0" xfId="0" applyBorder="1" applyAlignment="1">
      <alignment horizontal="center"/>
    </xf>
    <xf numFmtId="0" fontId="2" fillId="0" borderId="0" xfId="0" applyFont="1" applyBorder="1" applyAlignment="1">
      <alignment horizontal="center"/>
    </xf>
    <xf numFmtId="0" fontId="0" fillId="23" borderId="0" xfId="0" applyFill="1"/>
    <xf numFmtId="170" fontId="2" fillId="0" borderId="0" xfId="1" applyNumberFormat="1" applyFont="1" applyFill="1" applyBorder="1"/>
    <xf numFmtId="170" fontId="0" fillId="0" borderId="29" xfId="1" applyNumberFormat="1" applyFont="1" applyBorder="1"/>
    <xf numFmtId="170" fontId="0" fillId="0" borderId="0" xfId="0" applyNumberFormat="1" applyBorder="1"/>
    <xf numFmtId="0" fontId="2" fillId="9" borderId="0" xfId="0" applyFont="1" applyFill="1"/>
    <xf numFmtId="0" fontId="0" fillId="9" borderId="0" xfId="0" applyFill="1"/>
    <xf numFmtId="0" fontId="0" fillId="9" borderId="0" xfId="0" applyFill="1" applyBorder="1"/>
    <xf numFmtId="170" fontId="0" fillId="9" borderId="0" xfId="1" applyNumberFormat="1" applyFont="1" applyFill="1" applyBorder="1"/>
    <xf numFmtId="170" fontId="0" fillId="9" borderId="29" xfId="0" applyNumberFormat="1" applyFill="1" applyBorder="1"/>
    <xf numFmtId="172" fontId="0" fillId="0" borderId="0" xfId="0" applyNumberFormat="1" applyBorder="1"/>
    <xf numFmtId="0" fontId="0" fillId="0" borderId="29" xfId="0" applyBorder="1"/>
    <xf numFmtId="172" fontId="0" fillId="0" borderId="6" xfId="0" applyNumberFormat="1" applyBorder="1"/>
    <xf numFmtId="0" fontId="0" fillId="0" borderId="0" xfId="0" applyFill="1" applyBorder="1" applyAlignment="1">
      <alignment horizontal="center" vertical="center"/>
    </xf>
    <xf numFmtId="43" fontId="0" fillId="0" borderId="0" xfId="1" applyFont="1" applyBorder="1" applyAlignment="1">
      <alignment horizontal="right" vertical="center"/>
    </xf>
    <xf numFmtId="168" fontId="1" fillId="0" borderId="0" xfId="0" applyNumberFormat="1" applyFont="1" applyFill="1" applyBorder="1" applyAlignment="1">
      <alignment horizontal="right" vertical="top"/>
    </xf>
    <xf numFmtId="0" fontId="0" fillId="0" borderId="0" xfId="0" applyFill="1" applyBorder="1"/>
    <xf numFmtId="10" fontId="0" fillId="0" borderId="0" xfId="2" applyNumberFormat="1" applyFont="1"/>
    <xf numFmtId="171" fontId="13" fillId="0" borderId="15" xfId="3" applyNumberFormat="1" applyFont="1" applyFill="1" applyBorder="1" applyAlignment="1" applyProtection="1">
      <alignment horizontal="left"/>
    </xf>
    <xf numFmtId="171" fontId="13" fillId="0" borderId="0" xfId="3" applyNumberFormat="1" applyFont="1" applyFill="1" applyBorder="1" applyAlignment="1" applyProtection="1">
      <alignment horizontal="left"/>
    </xf>
    <xf numFmtId="170" fontId="3" fillId="0" borderId="0" xfId="1" applyNumberFormat="1" applyFont="1" applyFill="1" applyBorder="1"/>
    <xf numFmtId="0" fontId="1" fillId="0" borderId="0" xfId="0" applyFont="1" applyFill="1" applyAlignment="1">
      <alignment vertical="top"/>
    </xf>
    <xf numFmtId="170" fontId="1" fillId="0" borderId="0" xfId="1" applyNumberFormat="1" applyFont="1" applyFill="1" applyBorder="1" applyAlignment="1">
      <alignment horizontal="center" vertical="top"/>
    </xf>
    <xf numFmtId="0" fontId="1" fillId="0" borderId="0" xfId="0" applyFont="1" applyFill="1" applyBorder="1" applyAlignment="1">
      <alignment horizontal="center" vertical="top"/>
    </xf>
    <xf numFmtId="172" fontId="0" fillId="9" borderId="0" xfId="0" applyNumberFormat="1" applyFill="1"/>
    <xf numFmtId="172" fontId="0" fillId="9" borderId="29" xfId="0" applyNumberFormat="1" applyFill="1" applyBorder="1"/>
    <xf numFmtId="172" fontId="0" fillId="9" borderId="6" xfId="0" applyNumberFormat="1" applyFill="1" applyBorder="1"/>
    <xf numFmtId="168" fontId="0" fillId="0" borderId="29" xfId="0" applyNumberFormat="1" applyBorder="1"/>
    <xf numFmtId="0" fontId="0" fillId="0" borderId="1" xfId="0" applyFill="1" applyBorder="1" applyAlignment="1">
      <alignment horizontal="right" vertical="center"/>
    </xf>
    <xf numFmtId="0" fontId="0" fillId="0" borderId="0" xfId="0" applyFont="1" applyFill="1" applyBorder="1"/>
    <xf numFmtId="0" fontId="0" fillId="13" borderId="0" xfId="0" applyFill="1" applyBorder="1"/>
    <xf numFmtId="0" fontId="15" fillId="0" borderId="0" xfId="0" applyFont="1" applyBorder="1"/>
    <xf numFmtId="0" fontId="0" fillId="0" borderId="0" xfId="0" applyFont="1" applyAlignment="1">
      <alignment horizontal="center"/>
    </xf>
    <xf numFmtId="170" fontId="0" fillId="0" borderId="0" xfId="1" quotePrefix="1" applyNumberFormat="1" applyFont="1" applyAlignment="1">
      <alignment horizontal="center"/>
    </xf>
    <xf numFmtId="168" fontId="1" fillId="0" borderId="1" xfId="0" applyNumberFormat="1" applyFont="1" applyFill="1" applyBorder="1" applyAlignment="1">
      <alignment vertical="top"/>
    </xf>
    <xf numFmtId="168" fontId="1" fillId="0" borderId="7" xfId="0" applyNumberFormat="1" applyFont="1" applyFill="1" applyBorder="1" applyAlignment="1">
      <alignment vertical="top"/>
    </xf>
    <xf numFmtId="0" fontId="2" fillId="0" borderId="0" xfId="0" applyNumberFormat="1" applyFont="1" applyFill="1" applyBorder="1" applyAlignment="1">
      <alignment horizontal="right"/>
    </xf>
    <xf numFmtId="172" fontId="0" fillId="7" borderId="0" xfId="0" applyNumberFormat="1" applyFill="1"/>
    <xf numFmtId="10" fontId="0" fillId="7" borderId="0" xfId="2" applyNumberFormat="1" applyFont="1" applyFill="1"/>
    <xf numFmtId="10" fontId="0" fillId="0" borderId="0" xfId="2" applyNumberFormat="1" applyFont="1" applyFill="1"/>
    <xf numFmtId="10" fontId="0" fillId="0" borderId="0" xfId="0" applyNumberFormat="1" applyFill="1"/>
    <xf numFmtId="0" fontId="23" fillId="0" borderId="0" xfId="0" applyFont="1"/>
    <xf numFmtId="0" fontId="24" fillId="0" borderId="0" xfId="0" applyFont="1"/>
    <xf numFmtId="0" fontId="25" fillId="0" borderId="0" xfId="0" applyFont="1"/>
    <xf numFmtId="178" fontId="26" fillId="3" borderId="0" xfId="0" applyNumberFormat="1" applyFont="1" applyFill="1" applyBorder="1" applyAlignment="1">
      <alignment horizontal="right"/>
    </xf>
    <xf numFmtId="178" fontId="26" fillId="0" borderId="0" xfId="0" applyNumberFormat="1" applyFont="1" applyFill="1" applyBorder="1" applyAlignment="1">
      <alignment horizontal="right"/>
    </xf>
    <xf numFmtId="178" fontId="26" fillId="0" borderId="0" xfId="0" applyNumberFormat="1" applyFont="1" applyAlignment="1">
      <alignment horizontal="right"/>
    </xf>
    <xf numFmtId="0" fontId="26" fillId="3" borderId="0" xfId="0" applyFont="1" applyFill="1"/>
    <xf numFmtId="0" fontId="26" fillId="0" borderId="0" xfId="0" applyFont="1" applyBorder="1"/>
    <xf numFmtId="0" fontId="26" fillId="0" borderId="0" xfId="0" applyFont="1"/>
    <xf numFmtId="9" fontId="23" fillId="23" borderId="0" xfId="0" applyNumberFormat="1" applyFont="1" applyFill="1"/>
    <xf numFmtId="173" fontId="23" fillId="23" borderId="0" xfId="0" applyNumberFormat="1" applyFont="1" applyFill="1"/>
    <xf numFmtId="0" fontId="23" fillId="6" borderId="2" xfId="0" applyFont="1" applyFill="1" applyBorder="1" applyAlignment="1">
      <alignment vertical="center" wrapText="1"/>
    </xf>
    <xf numFmtId="0" fontId="26" fillId="6" borderId="1" xfId="0" applyFont="1" applyFill="1" applyBorder="1"/>
    <xf numFmtId="0" fontId="23" fillId="0" borderId="0" xfId="0" applyFont="1" applyBorder="1"/>
    <xf numFmtId="0" fontId="23" fillId="6" borderId="3" xfId="0" applyFont="1" applyFill="1" applyBorder="1" applyAlignment="1">
      <alignment vertical="center" wrapText="1"/>
    </xf>
    <xf numFmtId="9" fontId="23" fillId="23" borderId="0" xfId="2" applyFont="1" applyFill="1" applyBorder="1"/>
    <xf numFmtId="9" fontId="23" fillId="0" borderId="6" xfId="2" applyFont="1" applyFill="1" applyBorder="1"/>
    <xf numFmtId="9" fontId="23" fillId="0" borderId="0" xfId="2" applyFont="1" applyFill="1" applyBorder="1"/>
    <xf numFmtId="0" fontId="26" fillId="0" borderId="0" xfId="0" applyFont="1" applyFill="1" applyBorder="1" applyAlignment="1">
      <alignment horizontal="left" vertical="center"/>
    </xf>
    <xf numFmtId="170" fontId="23" fillId="3" borderId="0" xfId="1" applyNumberFormat="1" applyFont="1" applyFill="1"/>
    <xf numFmtId="170" fontId="23" fillId="0" borderId="0" xfId="1" applyNumberFormat="1" applyFont="1" applyBorder="1"/>
    <xf numFmtId="170" fontId="23" fillId="0" borderId="0" xfId="0" applyNumberFormat="1" applyFont="1"/>
    <xf numFmtId="170" fontId="23" fillId="0" borderId="29" xfId="0" applyNumberFormat="1" applyFont="1" applyBorder="1"/>
    <xf numFmtId="170" fontId="23" fillId="0" borderId="0" xfId="0" applyNumberFormat="1" applyFont="1" applyBorder="1"/>
    <xf numFmtId="170" fontId="23" fillId="3" borderId="29" xfId="1" applyNumberFormat="1" applyFont="1" applyFill="1" applyBorder="1"/>
    <xf numFmtId="9" fontId="23" fillId="0" borderId="29" xfId="2" applyFont="1" applyBorder="1"/>
    <xf numFmtId="9" fontId="23" fillId="23" borderId="0" xfId="0" applyNumberFormat="1" applyFont="1" applyFill="1" applyBorder="1"/>
    <xf numFmtId="9" fontId="23" fillId="0" borderId="0" xfId="0" applyNumberFormat="1" applyFont="1"/>
    <xf numFmtId="172" fontId="23" fillId="23" borderId="0" xfId="0" applyNumberFormat="1" applyFont="1" applyFill="1" applyBorder="1"/>
    <xf numFmtId="172" fontId="23" fillId="0" borderId="0" xfId="0" applyNumberFormat="1" applyFont="1"/>
    <xf numFmtId="172" fontId="23" fillId="0" borderId="29" xfId="0" applyNumberFormat="1" applyFont="1" applyBorder="1"/>
    <xf numFmtId="172" fontId="23" fillId="3" borderId="0" xfId="0" applyNumberFormat="1" applyFont="1" applyFill="1"/>
    <xf numFmtId="172" fontId="23" fillId="0" borderId="0" xfId="0" applyNumberFormat="1" applyFont="1" applyBorder="1"/>
    <xf numFmtId="0" fontId="26" fillId="9" borderId="0" xfId="0" applyFont="1" applyFill="1"/>
    <xf numFmtId="0" fontId="23" fillId="9" borderId="0" xfId="0" applyFont="1" applyFill="1"/>
    <xf numFmtId="0" fontId="23" fillId="9" borderId="0" xfId="0" applyFont="1" applyFill="1" applyBorder="1"/>
    <xf numFmtId="170" fontId="23" fillId="3" borderId="0" xfId="1" applyNumberFormat="1" applyFont="1" applyFill="1" applyBorder="1"/>
    <xf numFmtId="170" fontId="23" fillId="9" borderId="29" xfId="0" applyNumberFormat="1" applyFont="1" applyFill="1" applyBorder="1"/>
    <xf numFmtId="172" fontId="23" fillId="3" borderId="29" xfId="0" applyNumberFormat="1" applyFont="1" applyFill="1" applyBorder="1"/>
    <xf numFmtId="0" fontId="23" fillId="6" borderId="4" xfId="0" applyFont="1" applyFill="1" applyBorder="1" applyAlignment="1">
      <alignment vertical="center" wrapText="1"/>
    </xf>
    <xf numFmtId="172" fontId="23" fillId="0" borderId="33" xfId="0" applyNumberFormat="1" applyFont="1" applyBorder="1"/>
    <xf numFmtId="0" fontId="23" fillId="5" borderId="2" xfId="0" applyFont="1" applyFill="1" applyBorder="1"/>
    <xf numFmtId="0" fontId="26" fillId="5" borderId="1" xfId="0" applyFont="1" applyFill="1" applyBorder="1"/>
    <xf numFmtId="0" fontId="23" fillId="5" borderId="3" xfId="0" applyFont="1" applyFill="1" applyBorder="1"/>
    <xf numFmtId="170" fontId="23" fillId="0" borderId="0" xfId="1" applyNumberFormat="1" applyFont="1"/>
    <xf numFmtId="170" fontId="23" fillId="0" borderId="29" xfId="1" applyNumberFormat="1" applyFont="1" applyBorder="1"/>
    <xf numFmtId="172" fontId="23" fillId="3" borderId="0" xfId="0" applyNumberFormat="1" applyFont="1" applyFill="1" applyBorder="1"/>
    <xf numFmtId="10" fontId="23" fillId="0" borderId="0" xfId="2" applyNumberFormat="1" applyFont="1" applyFill="1" applyBorder="1"/>
    <xf numFmtId="172" fontId="23" fillId="0" borderId="0" xfId="0" applyNumberFormat="1" applyFont="1" applyFill="1" applyBorder="1"/>
    <xf numFmtId="9" fontId="23" fillId="23" borderId="0" xfId="2" applyFont="1" applyFill="1"/>
    <xf numFmtId="168" fontId="23" fillId="0" borderId="0" xfId="0" applyNumberFormat="1" applyFont="1"/>
    <xf numFmtId="168" fontId="23" fillId="0" borderId="29" xfId="0" applyNumberFormat="1" applyFont="1" applyBorder="1"/>
    <xf numFmtId="0" fontId="23" fillId="12" borderId="2" xfId="0" applyFont="1" applyFill="1" applyBorder="1"/>
    <xf numFmtId="0" fontId="26" fillId="12" borderId="1" xfId="0" applyFont="1" applyFill="1" applyBorder="1"/>
    <xf numFmtId="0" fontId="23" fillId="12" borderId="3" xfId="0" applyFont="1" applyFill="1" applyBorder="1"/>
    <xf numFmtId="0" fontId="23" fillId="12" borderId="4" xfId="0" applyFont="1" applyFill="1" applyBorder="1"/>
    <xf numFmtId="173" fontId="23" fillId="0" borderId="0" xfId="2" applyNumberFormat="1" applyFont="1" applyBorder="1" applyAlignment="1">
      <alignment vertical="top"/>
    </xf>
    <xf numFmtId="10" fontId="23" fillId="0" borderId="0" xfId="2" applyNumberFormat="1" applyFont="1" applyBorder="1" applyAlignment="1">
      <alignment vertical="top"/>
    </xf>
    <xf numFmtId="173" fontId="23" fillId="0" borderId="0" xfId="2" applyNumberFormat="1" applyFont="1" applyBorder="1"/>
    <xf numFmtId="173" fontId="23" fillId="0" borderId="0" xfId="2" applyNumberFormat="1" applyFont="1" applyFill="1" applyBorder="1"/>
    <xf numFmtId="0" fontId="23" fillId="24" borderId="1" xfId="0" applyFont="1" applyFill="1" applyBorder="1"/>
    <xf numFmtId="43" fontId="23" fillId="0" borderId="0" xfId="1" applyFont="1"/>
    <xf numFmtId="0" fontId="27" fillId="0" borderId="0" xfId="0" applyFont="1"/>
    <xf numFmtId="0" fontId="2" fillId="0" borderId="0" xfId="0" applyFont="1" applyBorder="1" applyAlignment="1">
      <alignment horizontal="right" wrapText="1"/>
    </xf>
    <xf numFmtId="0" fontId="23" fillId="11" borderId="0" xfId="0" applyFont="1" applyFill="1"/>
    <xf numFmtId="179" fontId="23" fillId="0" borderId="0" xfId="0" applyNumberFormat="1" applyFont="1" applyBorder="1"/>
    <xf numFmtId="168" fontId="23" fillId="3" borderId="0" xfId="0" applyNumberFormat="1" applyFont="1" applyFill="1"/>
    <xf numFmtId="168" fontId="23" fillId="3" borderId="29" xfId="0" applyNumberFormat="1" applyFont="1" applyFill="1" applyBorder="1"/>
    <xf numFmtId="0" fontId="26" fillId="25" borderId="1" xfId="0" applyFont="1" applyFill="1" applyBorder="1"/>
    <xf numFmtId="0" fontId="23" fillId="25" borderId="3" xfId="0" applyFont="1" applyFill="1" applyBorder="1" applyAlignment="1">
      <alignment vertical="center" wrapText="1"/>
    </xf>
    <xf numFmtId="0" fontId="23" fillId="25" borderId="4" xfId="0" applyFont="1" applyFill="1" applyBorder="1" applyAlignment="1">
      <alignment vertical="center" wrapText="1"/>
    </xf>
    <xf numFmtId="0" fontId="23" fillId="0" borderId="0" xfId="0" applyFont="1" applyFill="1" applyBorder="1" applyAlignment="1">
      <alignment vertical="center" wrapText="1"/>
    </xf>
    <xf numFmtId="0" fontId="23" fillId="25" borderId="2" xfId="0" applyFont="1" applyFill="1" applyBorder="1" applyAlignment="1">
      <alignment vertical="center" wrapText="1"/>
    </xf>
    <xf numFmtId="0" fontId="23" fillId="5" borderId="4" xfId="0" applyFont="1" applyFill="1" applyBorder="1"/>
    <xf numFmtId="0" fontId="29" fillId="0" borderId="0" xfId="0" applyFont="1"/>
    <xf numFmtId="0" fontId="29" fillId="0" borderId="0" xfId="0" applyFont="1" applyAlignment="1">
      <alignment horizontal="left" vertical="top"/>
    </xf>
    <xf numFmtId="0" fontId="32" fillId="28" borderId="53" xfId="0" applyFont="1" applyFill="1" applyBorder="1" applyAlignment="1">
      <alignment wrapText="1"/>
    </xf>
    <xf numFmtId="0" fontId="29" fillId="28" borderId="53" xfId="0" applyFont="1" applyFill="1" applyBorder="1" applyAlignment="1">
      <alignment vertical="top" wrapText="1"/>
    </xf>
    <xf numFmtId="0" fontId="29" fillId="28" borderId="53" xfId="0" applyFont="1" applyFill="1" applyBorder="1" applyAlignment="1">
      <alignment vertical="top"/>
    </xf>
    <xf numFmtId="0" fontId="33" fillId="28" borderId="1" xfId="0" applyFont="1" applyFill="1" applyBorder="1" applyAlignment="1">
      <alignment vertical="top" wrapText="1"/>
    </xf>
    <xf numFmtId="0" fontId="34" fillId="28" borderId="26" xfId="0" applyFont="1" applyFill="1" applyBorder="1" applyAlignment="1">
      <alignment vertical="top" wrapText="1"/>
    </xf>
    <xf numFmtId="0" fontId="34" fillId="28" borderId="1" xfId="0" applyFont="1" applyFill="1" applyBorder="1" applyAlignment="1">
      <alignment vertical="top" wrapText="1"/>
    </xf>
    <xf numFmtId="0" fontId="34" fillId="28" borderId="1" xfId="0" applyFont="1" applyFill="1" applyBorder="1" applyAlignment="1">
      <alignment vertical="top"/>
    </xf>
    <xf numFmtId="0" fontId="34" fillId="28" borderId="58" xfId="0" applyFont="1" applyFill="1" applyBorder="1" applyAlignment="1">
      <alignment vertical="top"/>
    </xf>
    <xf numFmtId="0" fontId="34" fillId="28" borderId="0" xfId="0" applyFont="1" applyFill="1" applyAlignment="1">
      <alignment vertical="top" wrapText="1"/>
    </xf>
    <xf numFmtId="0" fontId="34" fillId="28" borderId="3" xfId="0" applyFont="1" applyFill="1" applyBorder="1" applyAlignment="1">
      <alignment vertical="top"/>
    </xf>
    <xf numFmtId="0" fontId="34" fillId="28" borderId="3" xfId="0" applyFont="1" applyFill="1" applyBorder="1" applyAlignment="1">
      <alignment vertical="top" wrapText="1"/>
    </xf>
    <xf numFmtId="0" fontId="36" fillId="28" borderId="53" xfId="0" applyFont="1" applyFill="1" applyBorder="1" applyAlignment="1">
      <alignment horizontal="left" vertical="top" wrapText="1"/>
    </xf>
    <xf numFmtId="0" fontId="36" fillId="28" borderId="53" xfId="0" applyFont="1" applyFill="1" applyBorder="1" applyAlignment="1">
      <alignment horizontal="left" vertical="top"/>
    </xf>
    <xf numFmtId="0" fontId="37" fillId="28" borderId="53" xfId="0" applyFont="1" applyFill="1" applyBorder="1" applyAlignment="1">
      <alignment horizontal="left" vertical="top" wrapText="1"/>
    </xf>
    <xf numFmtId="0" fontId="34" fillId="28" borderId="53" xfId="0" applyFont="1" applyFill="1" applyBorder="1" applyAlignment="1">
      <alignment horizontal="left" vertical="top" wrapText="1"/>
    </xf>
    <xf numFmtId="0" fontId="34" fillId="28" borderId="4" xfId="0" applyFont="1" applyFill="1" applyBorder="1" applyAlignment="1">
      <alignment horizontal="left" vertical="top"/>
    </xf>
    <xf numFmtId="0" fontId="34" fillId="28" borderId="4" xfId="0" applyFont="1" applyFill="1" applyBorder="1" applyAlignment="1">
      <alignment horizontal="left" vertical="top" wrapText="1"/>
    </xf>
    <xf numFmtId="0" fontId="37" fillId="28" borderId="1" xfId="0" applyFont="1" applyFill="1" applyBorder="1" applyAlignment="1">
      <alignment horizontal="left" vertical="top" wrapText="1"/>
    </xf>
    <xf numFmtId="0" fontId="34" fillId="28" borderId="1" xfId="0" applyFont="1" applyFill="1" applyBorder="1" applyAlignment="1">
      <alignment horizontal="left" vertical="top" wrapText="1"/>
    </xf>
    <xf numFmtId="0" fontId="34" fillId="28" borderId="1" xfId="0" applyFont="1" applyFill="1" applyBorder="1" applyAlignment="1">
      <alignment horizontal="left" vertical="top"/>
    </xf>
    <xf numFmtId="0" fontId="34" fillId="28" borderId="2" xfId="0" applyFont="1" applyFill="1" applyBorder="1" applyAlignment="1">
      <alignment horizontal="left" vertical="top"/>
    </xf>
    <xf numFmtId="0" fontId="29" fillId="28" borderId="4" xfId="0" applyFont="1" applyFill="1" applyBorder="1" applyAlignment="1">
      <alignment horizontal="left" vertical="top" wrapText="1"/>
    </xf>
    <xf numFmtId="0" fontId="37" fillId="28" borderId="4" xfId="0" applyFont="1" applyFill="1" applyBorder="1" applyAlignment="1">
      <alignment horizontal="left" vertical="top" wrapText="1"/>
    </xf>
    <xf numFmtId="0" fontId="0" fillId="0" borderId="1" xfId="0" applyBorder="1"/>
    <xf numFmtId="0" fontId="34" fillId="28" borderId="60" xfId="0" applyFont="1" applyFill="1" applyBorder="1" applyAlignment="1">
      <alignment horizontal="left" vertical="top" wrapText="1"/>
    </xf>
    <xf numFmtId="0" fontId="34" fillId="28" borderId="60" xfId="0" applyFont="1" applyFill="1" applyBorder="1" applyAlignment="1">
      <alignment horizontal="left" vertical="top"/>
    </xf>
    <xf numFmtId="0" fontId="29" fillId="28" borderId="60" xfId="0" applyFont="1" applyFill="1" applyBorder="1" applyAlignment="1">
      <alignment horizontal="left" vertical="top" wrapText="1"/>
    </xf>
    <xf numFmtId="0" fontId="34" fillId="30" borderId="53" xfId="0" applyFont="1" applyFill="1" applyBorder="1" applyAlignment="1">
      <alignment vertical="top" wrapText="1"/>
    </xf>
    <xf numFmtId="0" fontId="29" fillId="30" borderId="53" xfId="0" applyFont="1" applyFill="1" applyBorder="1" applyAlignment="1">
      <alignment horizontal="left" vertical="top" wrapText="1"/>
    </xf>
    <xf numFmtId="0" fontId="34" fillId="30" borderId="53" xfId="0" applyFont="1" applyFill="1" applyBorder="1" applyAlignment="1">
      <alignment horizontal="left" vertical="top" wrapText="1"/>
    </xf>
    <xf numFmtId="0" fontId="38" fillId="30" borderId="4" xfId="0" applyFont="1" applyFill="1" applyBorder="1" applyAlignment="1">
      <alignment horizontal="left" vertical="top" wrapText="1"/>
    </xf>
    <xf numFmtId="0" fontId="29" fillId="30" borderId="4" xfId="0" applyFont="1" applyFill="1" applyBorder="1" applyAlignment="1">
      <alignment horizontal="left" vertical="top" wrapText="1"/>
    </xf>
    <xf numFmtId="0" fontId="35" fillId="30" borderId="4" xfId="0" applyFont="1" applyFill="1" applyBorder="1" applyAlignment="1">
      <alignment horizontal="left" vertical="top" wrapText="1"/>
    </xf>
    <xf numFmtId="0" fontId="34" fillId="30" borderId="4" xfId="0" applyFont="1" applyFill="1" applyBorder="1" applyAlignment="1">
      <alignment horizontal="left" vertical="top" wrapText="1"/>
    </xf>
    <xf numFmtId="0" fontId="35" fillId="30" borderId="2" xfId="0" applyFont="1" applyFill="1" applyBorder="1" applyAlignment="1">
      <alignment horizontal="left" vertical="top" wrapText="1"/>
    </xf>
    <xf numFmtId="0" fontId="34" fillId="30" borderId="2" xfId="0" applyFont="1" applyFill="1" applyBorder="1" applyAlignment="1">
      <alignment horizontal="left" vertical="top"/>
    </xf>
    <xf numFmtId="0" fontId="34" fillId="30" borderId="1" xfId="0" applyFont="1" applyFill="1" applyBorder="1" applyAlignment="1">
      <alignment horizontal="left" vertical="top" wrapText="1"/>
    </xf>
    <xf numFmtId="0" fontId="29" fillId="30" borderId="2" xfId="0" applyFont="1" applyFill="1" applyBorder="1" applyAlignment="1">
      <alignment horizontal="left" vertical="top" wrapText="1"/>
    </xf>
    <xf numFmtId="0" fontId="38" fillId="30" borderId="2" xfId="0" applyFont="1" applyFill="1" applyBorder="1" applyAlignment="1">
      <alignment horizontal="left" vertical="top" wrapText="1"/>
    </xf>
    <xf numFmtId="0" fontId="34" fillId="30" borderId="3" xfId="0" applyFont="1" applyFill="1" applyBorder="1" applyAlignment="1">
      <alignment wrapText="1"/>
    </xf>
    <xf numFmtId="0" fontId="38" fillId="30" borderId="1" xfId="0" applyFont="1" applyFill="1" applyBorder="1" applyAlignment="1">
      <alignment horizontal="left" vertical="top" wrapText="1"/>
    </xf>
    <xf numFmtId="0" fontId="29" fillId="30" borderId="1" xfId="0" applyFont="1" applyFill="1" applyBorder="1" applyAlignment="1">
      <alignment horizontal="left" vertical="top" wrapText="1"/>
    </xf>
    <xf numFmtId="0" fontId="35" fillId="30" borderId="58" xfId="0" applyFont="1" applyFill="1" applyBorder="1" applyAlignment="1">
      <alignment horizontal="left" vertical="top" wrapText="1"/>
    </xf>
    <xf numFmtId="0" fontId="29" fillId="30" borderId="58" xfId="0" applyFont="1" applyFill="1" applyBorder="1" applyAlignment="1">
      <alignment horizontal="left" vertical="top" wrapText="1"/>
    </xf>
    <xf numFmtId="0" fontId="29" fillId="30" borderId="60" xfId="0" applyFont="1" applyFill="1" applyBorder="1" applyAlignment="1">
      <alignment horizontal="left" vertical="top" wrapText="1"/>
    </xf>
    <xf numFmtId="0" fontId="29" fillId="30" borderId="58" xfId="0" applyFont="1" applyFill="1" applyBorder="1" applyAlignment="1">
      <alignment horizontal="left" vertical="top"/>
    </xf>
    <xf numFmtId="0" fontId="35" fillId="31" borderId="3" xfId="0" applyFont="1" applyFill="1" applyBorder="1" applyAlignment="1">
      <alignment vertical="top" wrapText="1"/>
    </xf>
    <xf numFmtId="0" fontId="38" fillId="31" borderId="4" xfId="0" applyFont="1" applyFill="1" applyBorder="1" applyAlignment="1">
      <alignment vertical="top"/>
    </xf>
    <xf numFmtId="0" fontId="38" fillId="31" borderId="4" xfId="0" applyFont="1" applyFill="1" applyBorder="1" applyAlignment="1">
      <alignment vertical="top" wrapText="1"/>
    </xf>
    <xf numFmtId="0" fontId="29" fillId="31" borderId="4" xfId="0" applyFont="1" applyFill="1" applyBorder="1" applyAlignment="1">
      <alignment vertical="top"/>
    </xf>
    <xf numFmtId="0" fontId="34" fillId="31" borderId="4" xfId="0" applyFont="1" applyFill="1" applyBorder="1" applyAlignment="1">
      <alignment vertical="top" wrapText="1"/>
    </xf>
    <xf numFmtId="0" fontId="34" fillId="31" borderId="4" xfId="0" applyFont="1" applyFill="1" applyBorder="1" applyAlignment="1">
      <alignment horizontal="left" vertical="top" wrapText="1"/>
    </xf>
    <xf numFmtId="0" fontId="34" fillId="31" borderId="1" xfId="0" applyFont="1" applyFill="1" applyBorder="1" applyAlignment="1">
      <alignment vertical="top" wrapText="1"/>
    </xf>
    <xf numFmtId="0" fontId="39" fillId="31" borderId="1" xfId="0" applyFont="1" applyFill="1" applyBorder="1" applyAlignment="1">
      <alignment vertical="top"/>
    </xf>
    <xf numFmtId="0" fontId="29" fillId="31" borderId="1" xfId="0" applyFont="1" applyFill="1" applyBorder="1" applyAlignment="1">
      <alignment vertical="top" wrapText="1"/>
    </xf>
    <xf numFmtId="0" fontId="29" fillId="31" borderId="1" xfId="0" applyFont="1" applyFill="1" applyBorder="1" applyAlignment="1">
      <alignment vertical="top"/>
    </xf>
    <xf numFmtId="0" fontId="38" fillId="31" borderId="1" xfId="0" applyFont="1" applyFill="1" applyBorder="1" applyAlignment="1">
      <alignment vertical="top" wrapText="1"/>
    </xf>
    <xf numFmtId="0" fontId="38" fillId="31" borderId="1" xfId="0" applyFont="1" applyFill="1" applyBorder="1" applyAlignment="1">
      <alignment vertical="top"/>
    </xf>
    <xf numFmtId="0" fontId="38" fillId="31" borderId="3" xfId="0" applyFont="1" applyFill="1" applyBorder="1" applyAlignment="1">
      <alignment horizontal="left" vertical="top" wrapText="1"/>
    </xf>
    <xf numFmtId="0" fontId="38" fillId="31" borderId="1" xfId="0" applyFont="1" applyFill="1" applyBorder="1" applyAlignment="1">
      <alignment horizontal="left" vertical="top" wrapText="1"/>
    </xf>
    <xf numFmtId="0" fontId="34" fillId="31" borderId="1" xfId="0" applyFont="1" applyFill="1" applyBorder="1" applyAlignment="1">
      <alignment vertical="top"/>
    </xf>
    <xf numFmtId="0" fontId="34" fillId="31" borderId="1" xfId="0" applyFont="1" applyFill="1" applyBorder="1" applyAlignment="1">
      <alignment horizontal="left" vertical="top" wrapText="1"/>
    </xf>
    <xf numFmtId="0" fontId="35" fillId="31" borderId="1" xfId="0" applyFont="1" applyFill="1" applyBorder="1" applyAlignment="1">
      <alignment vertical="top" wrapText="1"/>
    </xf>
    <xf numFmtId="0" fontId="34" fillId="31" borderId="4" xfId="0" applyFont="1" applyFill="1" applyBorder="1" applyAlignment="1">
      <alignment vertical="top"/>
    </xf>
    <xf numFmtId="0" fontId="29" fillId="31" borderId="4" xfId="0" applyFont="1" applyFill="1" applyBorder="1" applyAlignment="1">
      <alignment horizontal="left" vertical="top" wrapText="1"/>
    </xf>
    <xf numFmtId="0" fontId="38" fillId="31" borderId="4" xfId="0" applyFont="1" applyFill="1" applyBorder="1" applyAlignment="1">
      <alignment horizontal="left" vertical="top" wrapText="1"/>
    </xf>
    <xf numFmtId="0" fontId="29" fillId="31" borderId="1" xfId="0" applyFont="1" applyFill="1" applyBorder="1" applyAlignment="1">
      <alignment horizontal="left" vertical="top"/>
    </xf>
    <xf numFmtId="0" fontId="29" fillId="31" borderId="4" xfId="0" applyFont="1" applyFill="1" applyBorder="1" applyAlignment="1">
      <alignment horizontal="left" vertical="top"/>
    </xf>
    <xf numFmtId="0" fontId="35" fillId="31" borderId="58" xfId="0" applyFont="1" applyFill="1" applyBorder="1" applyAlignment="1">
      <alignment horizontal="left" vertical="top" wrapText="1"/>
    </xf>
    <xf numFmtId="0" fontId="38" fillId="31" borderId="58" xfId="0" applyFont="1" applyFill="1" applyBorder="1" applyAlignment="1">
      <alignment vertical="top" wrapText="1"/>
    </xf>
    <xf numFmtId="0" fontId="29" fillId="31" borderId="58" xfId="0" applyFont="1" applyFill="1" applyBorder="1" applyAlignment="1">
      <alignment horizontal="left" vertical="top"/>
    </xf>
    <xf numFmtId="0" fontId="38" fillId="31" borderId="58" xfId="0" applyFont="1" applyFill="1" applyBorder="1" applyAlignment="1">
      <alignment horizontal="left" vertical="top" wrapText="1"/>
    </xf>
    <xf numFmtId="0" fontId="40" fillId="20" borderId="15" xfId="0" applyFont="1" applyFill="1" applyBorder="1"/>
    <xf numFmtId="0" fontId="40" fillId="20" borderId="17" xfId="0" applyFont="1" applyFill="1" applyBorder="1"/>
    <xf numFmtId="0" fontId="40" fillId="34" borderId="13" xfId="0" applyFont="1" applyFill="1" applyBorder="1"/>
    <xf numFmtId="0" fontId="40" fillId="34" borderId="15" xfId="0" applyFont="1" applyFill="1" applyBorder="1"/>
    <xf numFmtId="0" fontId="40" fillId="34" borderId="48" xfId="0" applyFont="1" applyFill="1" applyBorder="1" applyAlignment="1">
      <alignment horizontal="left" vertical="center"/>
    </xf>
    <xf numFmtId="0" fontId="40" fillId="34" borderId="17" xfId="0" applyFont="1" applyFill="1" applyBorder="1"/>
    <xf numFmtId="0" fontId="40" fillId="0" borderId="0" xfId="0" applyFont="1"/>
    <xf numFmtId="0" fontId="0" fillId="0" borderId="0" xfId="0" applyBorder="1" applyAlignment="1">
      <alignment horizontal="left" vertical="center" wrapText="1"/>
    </xf>
    <xf numFmtId="0" fontId="0" fillId="0" borderId="28" xfId="0" applyBorder="1" applyAlignment="1">
      <alignment horizontal="left" vertical="center"/>
    </xf>
    <xf numFmtId="0" fontId="0" fillId="0" borderId="29" xfId="0" applyBorder="1" applyAlignment="1">
      <alignment horizontal="left" vertical="center" wrapText="1"/>
    </xf>
    <xf numFmtId="0" fontId="0" fillId="0" borderId="9" xfId="0" applyBorder="1" applyAlignment="1">
      <alignment horizontal="left" vertical="center"/>
    </xf>
    <xf numFmtId="0" fontId="0" fillId="0" borderId="27" xfId="0" applyBorder="1" applyAlignment="1">
      <alignment horizontal="left" vertical="center"/>
    </xf>
    <xf numFmtId="0" fontId="0" fillId="0" borderId="8"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wrapText="1"/>
    </xf>
    <xf numFmtId="0" fontId="0" fillId="0" borderId="10" xfId="0" applyBorder="1" applyAlignment="1">
      <alignment horizontal="left" vertical="center"/>
    </xf>
    <xf numFmtId="0" fontId="0" fillId="0" borderId="0" xfId="0" applyFont="1"/>
    <xf numFmtId="172" fontId="0" fillId="0" borderId="28" xfId="0" applyNumberFormat="1" applyBorder="1"/>
    <xf numFmtId="172" fontId="0" fillId="0" borderId="9" xfId="0" applyNumberFormat="1" applyBorder="1"/>
    <xf numFmtId="172" fontId="0" fillId="0" borderId="32" xfId="0" applyNumberFormat="1" applyBorder="1"/>
    <xf numFmtId="172" fontId="0" fillId="0" borderId="33" xfId="0" applyNumberFormat="1" applyBorder="1"/>
    <xf numFmtId="172" fontId="0" fillId="0" borderId="10" xfId="0" applyNumberFormat="1" applyBorder="1"/>
    <xf numFmtId="172" fontId="0" fillId="0" borderId="2" xfId="0" applyNumberFormat="1" applyBorder="1"/>
    <xf numFmtId="172" fontId="0" fillId="0" borderId="4" xfId="0" applyNumberFormat="1" applyBorder="1"/>
    <xf numFmtId="0" fontId="42" fillId="0" borderId="0" xfId="0" applyFont="1"/>
    <xf numFmtId="178" fontId="2" fillId="3" borderId="0" xfId="0" applyNumberFormat="1" applyFont="1" applyFill="1" applyBorder="1" applyAlignment="1">
      <alignment horizontal="right"/>
    </xf>
    <xf numFmtId="10" fontId="1" fillId="0" borderId="0" xfId="2" applyNumberFormat="1" applyFont="1" applyBorder="1" applyAlignment="1">
      <alignment horizontal="center" vertical="top"/>
    </xf>
    <xf numFmtId="173" fontId="23" fillId="0" borderId="29" xfId="2" applyNumberFormat="1" applyFont="1" applyBorder="1"/>
    <xf numFmtId="173" fontId="23" fillId="23" borderId="0" xfId="2" applyNumberFormat="1" applyFont="1" applyFill="1" applyBorder="1"/>
    <xf numFmtId="173" fontId="23" fillId="23" borderId="29" xfId="2" applyNumberFormat="1" applyFont="1" applyFill="1" applyBorder="1"/>
    <xf numFmtId="173" fontId="23" fillId="15" borderId="0" xfId="2" applyNumberFormat="1" applyFont="1" applyFill="1" applyBorder="1"/>
    <xf numFmtId="173" fontId="23" fillId="15" borderId="29" xfId="2" applyNumberFormat="1" applyFont="1" applyFill="1" applyBorder="1"/>
    <xf numFmtId="172" fontId="0" fillId="9" borderId="28" xfId="0" applyNumberFormat="1" applyFill="1" applyBorder="1"/>
    <xf numFmtId="172" fontId="0" fillId="9" borderId="9" xfId="0" applyNumberFormat="1" applyFill="1" applyBorder="1"/>
    <xf numFmtId="172" fontId="0" fillId="9" borderId="32" xfId="0" applyNumberFormat="1" applyFill="1" applyBorder="1"/>
    <xf numFmtId="172" fontId="0" fillId="9" borderId="33" xfId="0" applyNumberFormat="1" applyFill="1" applyBorder="1"/>
    <xf numFmtId="172" fontId="0" fillId="9" borderId="10" xfId="0" applyNumberFormat="1" applyFill="1" applyBorder="1"/>
    <xf numFmtId="172" fontId="2" fillId="0" borderId="6" xfId="0" applyNumberFormat="1" applyFont="1" applyBorder="1"/>
    <xf numFmtId="179" fontId="23" fillId="0" borderId="0" xfId="0" applyNumberFormat="1" applyFont="1"/>
    <xf numFmtId="173" fontId="23" fillId="0" borderId="0" xfId="2" applyNumberFormat="1" applyFont="1"/>
    <xf numFmtId="165" fontId="0" fillId="0" borderId="0" xfId="0" applyNumberFormat="1" applyFont="1"/>
    <xf numFmtId="165" fontId="2" fillId="0" borderId="0" xfId="0" applyNumberFormat="1" applyFont="1"/>
    <xf numFmtId="165" fontId="0" fillId="0" borderId="0" xfId="0" applyNumberFormat="1"/>
    <xf numFmtId="0" fontId="28" fillId="35" borderId="2" xfId="0" applyFont="1" applyFill="1" applyBorder="1"/>
    <xf numFmtId="0" fontId="28" fillId="35" borderId="3" xfId="0" applyFont="1" applyFill="1" applyBorder="1"/>
    <xf numFmtId="0" fontId="28" fillId="35" borderId="4" xfId="0" applyFont="1" applyFill="1" applyBorder="1"/>
    <xf numFmtId="168" fontId="23" fillId="0" borderId="6" xfId="0" applyNumberFormat="1" applyFont="1" applyBorder="1"/>
    <xf numFmtId="168" fontId="23" fillId="11" borderId="0" xfId="0" applyNumberFormat="1" applyFont="1" applyFill="1"/>
    <xf numFmtId="172" fontId="2" fillId="0" borderId="0" xfId="0" applyNumberFormat="1" applyFont="1"/>
    <xf numFmtId="0" fontId="23" fillId="14" borderId="0" xfId="0" applyFont="1" applyFill="1"/>
    <xf numFmtId="169" fontId="2" fillId="9" borderId="0" xfId="1" applyNumberFormat="1" applyFont="1" applyFill="1"/>
    <xf numFmtId="167" fontId="0" fillId="0" borderId="0" xfId="6" applyFont="1" applyBorder="1"/>
    <xf numFmtId="169" fontId="2" fillId="0" borderId="0" xfId="1" applyNumberFormat="1" applyFont="1" applyFill="1"/>
    <xf numFmtId="166" fontId="1" fillId="0" borderId="0" xfId="5" applyFont="1" applyFill="1" applyBorder="1" applyAlignment="1">
      <alignment horizontal="right"/>
    </xf>
    <xf numFmtId="166" fontId="0" fillId="0" borderId="0" xfId="5" applyFont="1"/>
    <xf numFmtId="173" fontId="23" fillId="3" borderId="0" xfId="2" applyNumberFormat="1" applyFont="1" applyFill="1" applyBorder="1" applyAlignment="1">
      <alignment vertical="top"/>
    </xf>
    <xf numFmtId="173" fontId="23" fillId="3" borderId="29" xfId="2" applyNumberFormat="1" applyFont="1" applyFill="1" applyBorder="1" applyAlignment="1">
      <alignment vertical="top"/>
    </xf>
    <xf numFmtId="10" fontId="23" fillId="3" borderId="29" xfId="2" applyNumberFormat="1" applyFont="1" applyFill="1" applyBorder="1" applyAlignment="1">
      <alignment vertical="top"/>
    </xf>
    <xf numFmtId="10" fontId="23" fillId="0" borderId="0" xfId="2" applyNumberFormat="1" applyFont="1"/>
    <xf numFmtId="0" fontId="15" fillId="0" borderId="0" xfId="0" applyFont="1"/>
    <xf numFmtId="0" fontId="0" fillId="0" borderId="0" xfId="0" applyFont="1" applyBorder="1"/>
    <xf numFmtId="0" fontId="2" fillId="0" borderId="1" xfId="0" applyFont="1" applyBorder="1" applyAlignment="1">
      <alignment horizontal="center" vertical="center" wrapText="1"/>
    </xf>
    <xf numFmtId="172" fontId="0" fillId="11" borderId="0" xfId="0" applyNumberFormat="1" applyFill="1"/>
    <xf numFmtId="0" fontId="0" fillId="11" borderId="0" xfId="0" applyFill="1"/>
    <xf numFmtId="0" fontId="0" fillId="0" borderId="28" xfId="0" applyBorder="1"/>
    <xf numFmtId="0" fontId="0" fillId="0" borderId="9" xfId="0" applyBorder="1"/>
    <xf numFmtId="165" fontId="2" fillId="0" borderId="27" xfId="0" applyNumberFormat="1" applyFont="1" applyBorder="1"/>
    <xf numFmtId="165" fontId="2" fillId="0" borderId="0" xfId="0" applyNumberFormat="1" applyFont="1" applyBorder="1"/>
    <xf numFmtId="165" fontId="2" fillId="0" borderId="8" xfId="0" applyNumberFormat="1" applyFont="1" applyBorder="1"/>
    <xf numFmtId="173" fontId="1" fillId="0" borderId="0" xfId="2" applyNumberFormat="1" applyFont="1" applyFill="1" applyBorder="1" applyAlignment="1">
      <alignment vertical="top"/>
    </xf>
    <xf numFmtId="172" fontId="0" fillId="0" borderId="0" xfId="0" applyNumberFormat="1" applyFill="1"/>
    <xf numFmtId="10" fontId="1" fillId="0" borderId="0" xfId="2" applyNumberFormat="1" applyFont="1" applyFill="1" applyBorder="1" applyAlignment="1">
      <alignment vertical="top"/>
    </xf>
    <xf numFmtId="0" fontId="0" fillId="0" borderId="0" xfId="0" applyAlignment="1">
      <alignment horizontal="right"/>
    </xf>
    <xf numFmtId="0" fontId="3" fillId="0" borderId="0" xfId="0" applyFont="1" applyAlignment="1">
      <alignment horizontal="right"/>
    </xf>
    <xf numFmtId="0" fontId="0" fillId="36" borderId="0" xfId="0" applyFill="1"/>
    <xf numFmtId="0" fontId="26" fillId="3" borderId="0" xfId="0" applyFont="1" applyFill="1" applyAlignment="1">
      <alignment horizontal="right"/>
    </xf>
    <xf numFmtId="0" fontId="26" fillId="0" borderId="0" xfId="0" applyFont="1" applyBorder="1" applyAlignment="1">
      <alignment horizontal="right"/>
    </xf>
    <xf numFmtId="0" fontId="26" fillId="0" borderId="0" xfId="0" applyFont="1" applyAlignment="1">
      <alignment horizontal="right"/>
    </xf>
    <xf numFmtId="0" fontId="2" fillId="0" borderId="0" xfId="0" applyFont="1" applyBorder="1" applyAlignment="1">
      <alignment horizontal="right"/>
    </xf>
    <xf numFmtId="43" fontId="23" fillId="11" borderId="0" xfId="1" applyFont="1" applyFill="1"/>
    <xf numFmtId="0" fontId="0" fillId="29" borderId="0" xfId="0" applyFill="1" applyBorder="1" applyAlignment="1">
      <alignment horizontal="center"/>
    </xf>
    <xf numFmtId="0" fontId="0" fillId="29" borderId="0" xfId="0" applyFill="1" applyBorder="1"/>
    <xf numFmtId="173" fontId="0" fillId="0" borderId="0" xfId="2" applyNumberFormat="1" applyFont="1"/>
    <xf numFmtId="165" fontId="0" fillId="11" borderId="0" xfId="0" applyNumberFormat="1" applyFont="1" applyFill="1"/>
    <xf numFmtId="165" fontId="0" fillId="11" borderId="0" xfId="0" applyNumberFormat="1" applyFill="1"/>
    <xf numFmtId="0" fontId="0" fillId="11" borderId="1" xfId="0" applyFill="1" applyBorder="1" applyAlignment="1">
      <alignment horizontal="right"/>
    </xf>
    <xf numFmtId="0" fontId="0" fillId="0" borderId="1" xfId="0" applyBorder="1" applyAlignment="1">
      <alignment horizontal="right"/>
    </xf>
    <xf numFmtId="169" fontId="0" fillId="0" borderId="0" xfId="2" applyNumberFormat="1" applyFont="1"/>
    <xf numFmtId="0" fontId="0" fillId="3" borderId="1" xfId="0" applyFill="1" applyBorder="1" applyAlignment="1">
      <alignment horizontal="right"/>
    </xf>
    <xf numFmtId="165" fontId="0" fillId="3" borderId="0" xfId="0" applyNumberFormat="1" applyFont="1" applyFill="1"/>
    <xf numFmtId="165" fontId="0" fillId="3" borderId="0" xfId="0" applyNumberFormat="1" applyFill="1"/>
    <xf numFmtId="178" fontId="2" fillId="11" borderId="0" xfId="0" applyNumberFormat="1" applyFont="1" applyFill="1" applyBorder="1" applyAlignment="1">
      <alignment horizontal="right"/>
    </xf>
    <xf numFmtId="0" fontId="26" fillId="11" borderId="0" xfId="0" applyFont="1" applyFill="1" applyBorder="1" applyAlignment="1">
      <alignment horizontal="right"/>
    </xf>
    <xf numFmtId="0" fontId="26" fillId="11" borderId="0" xfId="0" applyFont="1" applyFill="1" applyAlignment="1">
      <alignment horizontal="right"/>
    </xf>
    <xf numFmtId="0" fontId="0" fillId="0" borderId="0" xfId="0" applyFill="1" applyAlignment="1">
      <alignment vertical="center"/>
    </xf>
    <xf numFmtId="0" fontId="0" fillId="24" borderId="0" xfId="0" applyFill="1"/>
    <xf numFmtId="180" fontId="0" fillId="0" borderId="0" xfId="0" applyNumberFormat="1"/>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Font="1" applyBorder="1"/>
    <xf numFmtId="0" fontId="23" fillId="0" borderId="3" xfId="0" applyFont="1" applyBorder="1"/>
    <xf numFmtId="0" fontId="23" fillId="0" borderId="4" xfId="0" applyFont="1" applyBorder="1"/>
    <xf numFmtId="9" fontId="23" fillId="0" borderId="0" xfId="2" applyFont="1"/>
    <xf numFmtId="10" fontId="23" fillId="3" borderId="0" xfId="2" applyNumberFormat="1" applyFont="1" applyFill="1" applyBorder="1" applyAlignment="1">
      <alignment vertical="top"/>
    </xf>
    <xf numFmtId="10" fontId="23" fillId="0" borderId="29" xfId="2" applyNumberFormat="1" applyFont="1" applyBorder="1"/>
    <xf numFmtId="10" fontId="23" fillId="0" borderId="29" xfId="2" applyNumberFormat="1" applyFont="1" applyBorder="1" applyAlignment="1">
      <alignment vertical="top"/>
    </xf>
    <xf numFmtId="165" fontId="23" fillId="0" borderId="0" xfId="2" applyNumberFormat="1" applyFont="1" applyBorder="1" applyAlignment="1">
      <alignment vertical="top"/>
    </xf>
    <xf numFmtId="165" fontId="23" fillId="0" borderId="29" xfId="2" applyNumberFormat="1" applyFont="1" applyBorder="1" applyAlignment="1">
      <alignment vertical="top"/>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0" fillId="0" borderId="1" xfId="0" applyBorder="1" applyAlignment="1">
      <alignment horizontal="center" vertical="center" wrapText="1"/>
    </xf>
    <xf numFmtId="9" fontId="0" fillId="0" borderId="6" xfId="2" applyFont="1" applyBorder="1"/>
    <xf numFmtId="9" fontId="0" fillId="0" borderId="27" xfId="2" applyFont="1" applyBorder="1"/>
    <xf numFmtId="9" fontId="0" fillId="0" borderId="32" xfId="2" applyFont="1" applyBorder="1"/>
    <xf numFmtId="10" fontId="0" fillId="0" borderId="6" xfId="2" applyNumberFormat="1" applyFont="1" applyBorder="1"/>
    <xf numFmtId="10" fontId="0" fillId="0" borderId="1" xfId="2" applyNumberFormat="1" applyFont="1" applyFill="1" applyBorder="1" applyAlignment="1">
      <alignment horizontal="right"/>
    </xf>
    <xf numFmtId="0" fontId="2" fillId="0" borderId="1" xfId="0" applyFont="1" applyFill="1" applyBorder="1" applyAlignment="1">
      <alignment horizontal="center" vertical="center" wrapText="1"/>
    </xf>
    <xf numFmtId="0" fontId="0" fillId="11" borderId="1" xfId="0" applyFill="1" applyBorder="1" applyAlignment="1">
      <alignment horizontal="center" vertical="center" wrapText="1"/>
    </xf>
    <xf numFmtId="9" fontId="43" fillId="9" borderId="0" xfId="2" applyFont="1" applyFill="1" applyBorder="1" applyAlignment="1">
      <alignment horizontal="center" vertical="center"/>
    </xf>
    <xf numFmtId="165" fontId="43" fillId="9" borderId="0" xfId="5" applyNumberFormat="1" applyFont="1" applyFill="1" applyBorder="1" applyAlignment="1">
      <alignment horizontal="right" vertical="center"/>
    </xf>
    <xf numFmtId="0" fontId="2" fillId="0" borderId="1" xfId="0" applyFont="1" applyBorder="1" applyAlignment="1">
      <alignment horizontal="center" vertical="center" wrapText="1"/>
    </xf>
    <xf numFmtId="9" fontId="0" fillId="0" borderId="0" xfId="2" applyFont="1"/>
    <xf numFmtId="0" fontId="0" fillId="0" borderId="1" xfId="0" quotePrefix="1" applyBorder="1" applyAlignment="1">
      <alignment horizontal="center" vertical="center" wrapText="1"/>
    </xf>
    <xf numFmtId="0" fontId="0" fillId="14" borderId="1" xfId="0" applyFill="1" applyBorder="1" applyAlignment="1">
      <alignment horizontal="center" vertical="center" wrapText="1"/>
    </xf>
    <xf numFmtId="43" fontId="0" fillId="0" borderId="0" xfId="0" applyNumberFormat="1"/>
    <xf numFmtId="0" fontId="2" fillId="0" borderId="0" xfId="0" applyFont="1" applyFill="1" applyBorder="1" applyAlignment="1">
      <alignment horizontal="center" vertical="center"/>
    </xf>
    <xf numFmtId="172" fontId="0" fillId="10" borderId="0" xfId="0" applyNumberFormat="1" applyFill="1"/>
    <xf numFmtId="0" fontId="2" fillId="13" borderId="0" xfId="0" applyFont="1" applyFill="1"/>
    <xf numFmtId="0" fontId="2" fillId="13" borderId="0" xfId="0" applyFont="1" applyFill="1" applyAlignment="1">
      <alignment vertical="center"/>
    </xf>
    <xf numFmtId="0" fontId="0" fillId="13" borderId="0" xfId="0" applyFill="1"/>
    <xf numFmtId="0" fontId="0" fillId="13" borderId="0" xfId="0" applyFill="1" applyAlignment="1">
      <alignment vertical="center"/>
    </xf>
    <xf numFmtId="0" fontId="15" fillId="12" borderId="0" xfId="0" applyFont="1" applyFill="1"/>
    <xf numFmtId="0" fontId="15" fillId="12" borderId="0" xfId="0" applyFont="1" applyFill="1" applyAlignment="1">
      <alignment vertical="center"/>
    </xf>
    <xf numFmtId="0" fontId="16" fillId="12" borderId="0" xfId="0" applyFont="1" applyFill="1"/>
    <xf numFmtId="0" fontId="16" fillId="12" borderId="0" xfId="0" applyFont="1" applyFill="1" applyAlignment="1">
      <alignment vertical="center"/>
    </xf>
    <xf numFmtId="0" fontId="44" fillId="37" borderId="0" xfId="0" applyFont="1" applyFill="1"/>
    <xf numFmtId="0" fontId="44" fillId="37" borderId="0" xfId="0" applyFont="1" applyFill="1" applyAlignment="1">
      <alignment vertical="center"/>
    </xf>
    <xf numFmtId="0" fontId="45" fillId="37" borderId="0" xfId="0" applyFont="1" applyFill="1"/>
    <xf numFmtId="0" fontId="45" fillId="37" borderId="0" xfId="0" applyFont="1" applyFill="1" applyAlignment="1">
      <alignment vertical="center"/>
    </xf>
    <xf numFmtId="0" fontId="46" fillId="15" borderId="0" xfId="0" applyFont="1" applyFill="1"/>
    <xf numFmtId="0" fontId="46" fillId="15" borderId="0" xfId="0" applyFont="1" applyFill="1" applyAlignment="1">
      <alignment vertical="center"/>
    </xf>
    <xf numFmtId="0" fontId="47" fillId="15" borderId="0" xfId="0" applyFont="1" applyFill="1"/>
    <xf numFmtId="0" fontId="47" fillId="15" borderId="0" xfId="0" applyFont="1" applyFill="1" applyAlignment="1">
      <alignment vertical="center"/>
    </xf>
    <xf numFmtId="0" fontId="15" fillId="0" borderId="0" xfId="0" applyFont="1" applyFill="1"/>
    <xf numFmtId="0" fontId="16" fillId="0" borderId="0" xfId="0" applyFont="1" applyFill="1" applyAlignment="1">
      <alignment vertical="center"/>
    </xf>
    <xf numFmtId="0" fontId="16" fillId="0" borderId="0" xfId="0" applyFont="1" applyFill="1"/>
    <xf numFmtId="0" fontId="48" fillId="10" borderId="0" xfId="0" applyFont="1" applyFill="1"/>
    <xf numFmtId="0" fontId="48" fillId="10" borderId="0" xfId="0" applyFont="1" applyFill="1" applyAlignment="1">
      <alignment vertical="center"/>
    </xf>
    <xf numFmtId="0" fontId="49" fillId="10" borderId="0" xfId="0" applyFont="1" applyFill="1"/>
    <xf numFmtId="0" fontId="49" fillId="10" borderId="0" xfId="0" applyFont="1" applyFill="1" applyAlignment="1">
      <alignment vertical="center"/>
    </xf>
    <xf numFmtId="0" fontId="0" fillId="0" borderId="1" xfId="0" applyBorder="1" applyAlignment="1">
      <alignment horizontal="center"/>
    </xf>
    <xf numFmtId="165" fontId="0" fillId="0" borderId="1" xfId="0" applyNumberFormat="1" applyFill="1" applyBorder="1"/>
    <xf numFmtId="0" fontId="0" fillId="0" borderId="0" xfId="0" applyAlignment="1">
      <alignment horizontal="center" vertical="center"/>
    </xf>
    <xf numFmtId="173" fontId="0" fillId="0" borderId="29" xfId="2" applyNumberFormat="1" applyFont="1" applyBorder="1"/>
    <xf numFmtId="173" fontId="0" fillId="0" borderId="2" xfId="2" applyNumberFormat="1" applyFont="1" applyBorder="1"/>
    <xf numFmtId="173" fontId="0" fillId="0" borderId="4" xfId="2" applyNumberFormat="1" applyFont="1" applyBorder="1"/>
    <xf numFmtId="173" fontId="0" fillId="0" borderId="6" xfId="2" applyNumberFormat="1" applyFont="1" applyBorder="1"/>
    <xf numFmtId="172" fontId="0" fillId="0" borderId="3" xfId="0" applyNumberFormat="1" applyBorder="1"/>
    <xf numFmtId="173" fontId="0" fillId="0" borderId="3" xfId="2" applyNumberFormat="1" applyFont="1" applyBorder="1"/>
    <xf numFmtId="0" fontId="0" fillId="0" borderId="1" xfId="0" applyBorder="1" applyAlignment="1">
      <alignment horizontal="center" vertical="center"/>
    </xf>
    <xf numFmtId="9" fontId="0" fillId="0" borderId="29" xfId="2" applyFont="1" applyBorder="1"/>
    <xf numFmtId="0" fontId="2" fillId="0" borderId="0" xfId="0" applyNumberFormat="1" applyFont="1" applyFill="1" applyBorder="1" applyAlignment="1">
      <alignment horizontal="center" vertical="center"/>
    </xf>
    <xf numFmtId="172" fontId="0" fillId="0" borderId="0" xfId="0" applyNumberFormat="1" applyFont="1"/>
    <xf numFmtId="0" fontId="2" fillId="23" borderId="1" xfId="0" quotePrefix="1" applyFont="1" applyFill="1" applyBorder="1"/>
    <xf numFmtId="179" fontId="0" fillId="0" borderId="0" xfId="0" applyNumberFormat="1" applyFont="1"/>
    <xf numFmtId="166" fontId="0" fillId="0" borderId="0" xfId="0" applyNumberFormat="1"/>
    <xf numFmtId="0" fontId="43" fillId="9" borderId="0" xfId="0" applyFont="1" applyFill="1" applyAlignment="1">
      <alignment horizontal="center"/>
    </xf>
    <xf numFmtId="172" fontId="0" fillId="38" borderId="0" xfId="0" applyNumberFormat="1" applyFill="1"/>
    <xf numFmtId="172" fontId="0" fillId="38" borderId="2" xfId="0" applyNumberFormat="1" applyFill="1" applyBorder="1"/>
    <xf numFmtId="172" fontId="0" fillId="38" borderId="4" xfId="0" applyNumberFormat="1" applyFill="1" applyBorder="1"/>
    <xf numFmtId="172" fontId="0" fillId="38" borderId="29" xfId="0" applyNumberFormat="1" applyFill="1" applyBorder="1"/>
    <xf numFmtId="0" fontId="0" fillId="38" borderId="0" xfId="0" applyFill="1"/>
    <xf numFmtId="172" fontId="0" fillId="38" borderId="3" xfId="0" applyNumberFormat="1" applyFill="1" applyBorder="1"/>
    <xf numFmtId="172" fontId="0" fillId="38" borderId="6" xfId="0" applyNumberFormat="1" applyFill="1" applyBorder="1"/>
    <xf numFmtId="169" fontId="0" fillId="0" borderId="0" xfId="0" applyNumberFormat="1"/>
    <xf numFmtId="0" fontId="0" fillId="39" borderId="1" xfId="0" applyFill="1" applyBorder="1" applyAlignment="1">
      <alignment horizontal="right"/>
    </xf>
    <xf numFmtId="0" fontId="2" fillId="39" borderId="1" xfId="0" applyFont="1" applyFill="1" applyBorder="1" applyAlignment="1">
      <alignment horizontal="center" vertical="center" wrapText="1"/>
    </xf>
    <xf numFmtId="0" fontId="0" fillId="0" borderId="0" xfId="0" applyAlignment="1">
      <alignment horizontal="right" wrapText="1"/>
    </xf>
    <xf numFmtId="171" fontId="50" fillId="0" borderId="13" xfId="3" applyNumberFormat="1" applyFont="1" applyFill="1" applyBorder="1" applyAlignment="1" applyProtection="1">
      <alignment horizontal="left"/>
    </xf>
    <xf numFmtId="0" fontId="14" fillId="0" borderId="0" xfId="0" applyFont="1" applyAlignment="1">
      <alignment vertical="center"/>
    </xf>
    <xf numFmtId="0" fontId="2" fillId="24" borderId="1" xfId="0" quotePrefix="1" applyFont="1" applyFill="1" applyBorder="1"/>
    <xf numFmtId="171" fontId="50" fillId="0" borderId="0" xfId="3" applyNumberFormat="1" applyFont="1" applyFill="1" applyBorder="1" applyAlignment="1" applyProtection="1">
      <alignment horizontal="left"/>
    </xf>
    <xf numFmtId="43" fontId="23" fillId="0" borderId="0" xfId="1" applyFont="1" applyFill="1"/>
    <xf numFmtId="173" fontId="0" fillId="9" borderId="0" xfId="2" applyNumberFormat="1" applyFont="1" applyFill="1"/>
    <xf numFmtId="10" fontId="0" fillId="9" borderId="0" xfId="2" applyNumberFormat="1" applyFont="1" applyFill="1"/>
    <xf numFmtId="173" fontId="1" fillId="9" borderId="0" xfId="2" applyNumberFormat="1" applyFont="1" applyFill="1" applyBorder="1" applyAlignment="1">
      <alignment vertical="top"/>
    </xf>
    <xf numFmtId="0" fontId="11" fillId="23" borderId="0" xfId="4" quotePrefix="1" applyFill="1" applyBorder="1"/>
    <xf numFmtId="0" fontId="11" fillId="23" borderId="0" xfId="4" quotePrefix="1" applyFill="1"/>
    <xf numFmtId="0" fontId="30" fillId="26" borderId="18" xfId="0" applyFont="1" applyFill="1" applyBorder="1" applyAlignment="1">
      <alignment vertical="center" wrapText="1"/>
    </xf>
    <xf numFmtId="0" fontId="30" fillId="26" borderId="49" xfId="0" applyFont="1" applyFill="1" applyBorder="1" applyAlignment="1">
      <alignment vertical="center" wrapText="1"/>
    </xf>
    <xf numFmtId="0" fontId="30" fillId="26" borderId="50" xfId="0" applyFont="1" applyFill="1" applyBorder="1" applyAlignment="1">
      <alignment vertical="center" wrapText="1"/>
    </xf>
    <xf numFmtId="0" fontId="30" fillId="26" borderId="51" xfId="0" applyFont="1" applyFill="1" applyBorder="1" applyAlignment="1">
      <alignment vertical="center" wrapText="1"/>
    </xf>
    <xf numFmtId="0" fontId="30" fillId="26" borderId="0" xfId="0" applyFont="1" applyFill="1" applyBorder="1" applyAlignment="1">
      <alignment vertical="center"/>
    </xf>
    <xf numFmtId="0" fontId="30" fillId="26" borderId="0" xfId="0" applyFont="1" applyFill="1" applyBorder="1" applyAlignment="1">
      <alignment vertical="center" wrapText="1"/>
    </xf>
    <xf numFmtId="0" fontId="2" fillId="0" borderId="1" xfId="0" applyFont="1" applyBorder="1" applyAlignment="1">
      <alignment horizontal="center"/>
    </xf>
    <xf numFmtId="0" fontId="16" fillId="0" borderId="0" xfId="0" applyFont="1" applyBorder="1"/>
    <xf numFmtId="0" fontId="16" fillId="0" borderId="32" xfId="0" applyFont="1" applyBorder="1"/>
    <xf numFmtId="0" fontId="53" fillId="0" borderId="0" xfId="0" applyFont="1" applyBorder="1"/>
    <xf numFmtId="0" fontId="16" fillId="0" borderId="28" xfId="0" applyFont="1" applyBorder="1"/>
    <xf numFmtId="0" fontId="0" fillId="0" borderId="8" xfId="0" applyBorder="1"/>
    <xf numFmtId="0" fontId="0" fillId="0" borderId="33" xfId="0" applyBorder="1"/>
    <xf numFmtId="0" fontId="0" fillId="0" borderId="10" xfId="0" applyBorder="1"/>
    <xf numFmtId="9" fontId="3" fillId="24" borderId="1" xfId="2" applyFont="1" applyFill="1" applyBorder="1"/>
    <xf numFmtId="0" fontId="52" fillId="0" borderId="0" xfId="0" applyFont="1" applyBorder="1"/>
    <xf numFmtId="0" fontId="0" fillId="0" borderId="0" xfId="0" applyBorder="1" applyAlignment="1">
      <alignment horizontal="left" vertical="top"/>
    </xf>
    <xf numFmtId="0" fontId="0" fillId="0" borderId="0" xfId="0" applyFill="1" applyAlignment="1">
      <alignment horizontal="center"/>
    </xf>
    <xf numFmtId="9" fontId="42" fillId="0" borderId="1" xfId="2" applyFont="1" applyFill="1" applyBorder="1" applyAlignment="1">
      <alignment horizontal="center"/>
    </xf>
    <xf numFmtId="0" fontId="0" fillId="0" borderId="1" xfId="0" applyFill="1" applyBorder="1" applyAlignment="1">
      <alignment horizontal="center"/>
    </xf>
    <xf numFmtId="165" fontId="2" fillId="0" borderId="32" xfId="0" applyNumberFormat="1" applyFont="1" applyFill="1" applyBorder="1"/>
    <xf numFmtId="165" fontId="2" fillId="0" borderId="33" xfId="0" applyNumberFormat="1" applyFont="1" applyFill="1" applyBorder="1"/>
    <xf numFmtId="165" fontId="2" fillId="0" borderId="10" xfId="0" applyNumberFormat="1" applyFont="1" applyFill="1" applyBorder="1"/>
    <xf numFmtId="38" fontId="2" fillId="0" borderId="0" xfId="1" applyNumberFormat="1" applyFont="1" applyFill="1" applyAlignment="1">
      <alignment horizontal="left"/>
    </xf>
    <xf numFmtId="0" fontId="2" fillId="0" borderId="1" xfId="0" applyFont="1" applyFill="1" applyBorder="1"/>
    <xf numFmtId="0" fontId="23" fillId="16" borderId="2" xfId="0" applyFont="1" applyFill="1" applyBorder="1"/>
    <xf numFmtId="0" fontId="23" fillId="16" borderId="3" xfId="0" applyFont="1" applyFill="1" applyBorder="1"/>
    <xf numFmtId="0" fontId="23" fillId="16" borderId="4" xfId="0" applyFont="1" applyFill="1" applyBorder="1"/>
    <xf numFmtId="172" fontId="23" fillId="7" borderId="0" xfId="0" applyNumberFormat="1" applyFont="1" applyFill="1"/>
    <xf numFmtId="0" fontId="0" fillId="0" borderId="27" xfId="0" applyBorder="1"/>
    <xf numFmtId="0" fontId="0" fillId="0" borderId="32" xfId="0" applyBorder="1"/>
    <xf numFmtId="0" fontId="2" fillId="0" borderId="28" xfId="0" applyFont="1" applyBorder="1"/>
    <xf numFmtId="0" fontId="23" fillId="0" borderId="1" xfId="0" applyFont="1" applyFill="1" applyBorder="1"/>
    <xf numFmtId="0" fontId="2" fillId="0" borderId="1" xfId="0" applyFont="1" applyBorder="1" applyAlignment="1">
      <alignment horizontal="center" vertical="center" wrapText="1"/>
    </xf>
    <xf numFmtId="10" fontId="23" fillId="40" borderId="0" xfId="2" applyNumberFormat="1" applyFont="1" applyFill="1" applyBorder="1"/>
    <xf numFmtId="10" fontId="23" fillId="23" borderId="0" xfId="2" applyNumberFormat="1" applyFont="1" applyFill="1" applyBorder="1"/>
    <xf numFmtId="10" fontId="23" fillId="0" borderId="0" xfId="2" applyNumberFormat="1" applyFont="1" applyBorder="1"/>
    <xf numFmtId="10" fontId="23" fillId="0" borderId="6" xfId="2" applyNumberFormat="1" applyFont="1" applyFill="1" applyBorder="1"/>
    <xf numFmtId="10" fontId="23" fillId="13" borderId="0" xfId="2" applyNumberFormat="1" applyFont="1" applyFill="1" applyBorder="1"/>
    <xf numFmtId="10" fontId="23" fillId="7" borderId="0" xfId="2" applyNumberFormat="1" applyFont="1" applyFill="1" applyBorder="1"/>
    <xf numFmtId="178" fontId="0" fillId="0" borderId="2" xfId="0" applyNumberFormat="1" applyBorder="1" applyAlignment="1">
      <alignment horizontal="center" vertical="center"/>
    </xf>
    <xf numFmtId="178" fontId="0" fillId="0" borderId="3" xfId="0" applyNumberFormat="1" applyBorder="1" applyAlignment="1">
      <alignment horizontal="center" vertical="center"/>
    </xf>
    <xf numFmtId="178" fontId="0" fillId="0" borderId="4"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xf>
    <xf numFmtId="0" fontId="0" fillId="0" borderId="27" xfId="0" applyBorder="1" applyAlignment="1">
      <alignment horizontal="left"/>
    </xf>
    <xf numFmtId="0" fontId="0" fillId="11" borderId="0" xfId="0" applyFill="1" applyAlignment="1">
      <alignment horizontal="center"/>
    </xf>
    <xf numFmtId="9" fontId="42" fillId="11" borderId="1" xfId="2" applyFont="1" applyFill="1" applyBorder="1" applyAlignment="1">
      <alignment horizontal="center"/>
    </xf>
    <xf numFmtId="165" fontId="42" fillId="11" borderId="1" xfId="0" applyNumberFormat="1" applyFont="1" applyFill="1" applyBorder="1" applyAlignment="1">
      <alignment horizontal="right"/>
    </xf>
    <xf numFmtId="0" fontId="2" fillId="10" borderId="0" xfId="0" applyNumberFormat="1" applyFont="1" applyFill="1" applyBorder="1" applyAlignment="1">
      <alignment horizontal="right"/>
    </xf>
    <xf numFmtId="0" fontId="2" fillId="0" borderId="1" xfId="0" applyFont="1" applyBorder="1" applyAlignment="1">
      <alignment horizontal="right" vertical="center" wrapText="1"/>
    </xf>
    <xf numFmtId="172" fontId="0" fillId="10" borderId="0" xfId="0" applyNumberFormat="1" applyFill="1" applyBorder="1"/>
    <xf numFmtId="172" fontId="0" fillId="0" borderId="0" xfId="0" applyNumberFormat="1" applyFill="1" applyBorder="1"/>
    <xf numFmtId="166" fontId="0" fillId="0" borderId="0" xfId="0" applyNumberFormat="1" applyBorder="1"/>
    <xf numFmtId="172" fontId="0" fillId="10" borderId="2" xfId="0" applyNumberFormat="1" applyFill="1" applyBorder="1"/>
    <xf numFmtId="166" fontId="0" fillId="0" borderId="2" xfId="5" applyFont="1" applyBorder="1"/>
    <xf numFmtId="172" fontId="0" fillId="10" borderId="3" xfId="0" applyNumberFormat="1" applyFill="1" applyBorder="1"/>
    <xf numFmtId="166" fontId="0" fillId="0" borderId="3" xfId="5" applyFont="1" applyBorder="1"/>
    <xf numFmtId="172" fontId="0" fillId="10" borderId="4" xfId="0" applyNumberFormat="1" applyFill="1" applyBorder="1"/>
    <xf numFmtId="166" fontId="0" fillId="0" borderId="4" xfId="5" applyFont="1" applyBorder="1"/>
    <xf numFmtId="168" fontId="23" fillId="7" borderId="0" xfId="0" applyNumberFormat="1" applyFont="1" applyFill="1"/>
    <xf numFmtId="172" fontId="23" fillId="7" borderId="0" xfId="0" applyNumberFormat="1" applyFont="1" applyFill="1" applyBorder="1"/>
    <xf numFmtId="172" fontId="23" fillId="41" borderId="0" xfId="0" applyNumberFormat="1" applyFont="1" applyFill="1"/>
    <xf numFmtId="169" fontId="23" fillId="0" borderId="0" xfId="0" applyNumberFormat="1" applyFont="1"/>
    <xf numFmtId="0" fontId="0" fillId="9" borderId="0" xfId="0" applyFont="1" applyFill="1"/>
    <xf numFmtId="0" fontId="23" fillId="41" borderId="0" xfId="0" applyFont="1" applyFill="1"/>
    <xf numFmtId="172" fontId="23" fillId="41" borderId="29" xfId="0" applyNumberFormat="1" applyFont="1" applyFill="1" applyBorder="1"/>
    <xf numFmtId="9" fontId="0" fillId="0" borderId="33" xfId="0" applyNumberFormat="1" applyBorder="1"/>
    <xf numFmtId="10" fontId="23" fillId="24" borderId="0" xfId="2" applyNumberFormat="1" applyFont="1" applyFill="1" applyBorder="1"/>
    <xf numFmtId="10" fontId="23" fillId="17" borderId="0" xfId="2" applyNumberFormat="1" applyFont="1" applyFill="1" applyBorder="1"/>
    <xf numFmtId="165" fontId="2" fillId="24" borderId="1" xfId="0" applyNumberFormat="1" applyFont="1" applyFill="1" applyBorder="1" applyAlignment="1">
      <alignment horizontal="center" vertical="center" wrapText="1"/>
    </xf>
    <xf numFmtId="0" fontId="2" fillId="24" borderId="1" xfId="0" applyFont="1" applyFill="1" applyBorder="1" applyAlignment="1">
      <alignment horizontal="center" vertical="center" wrapText="1"/>
    </xf>
    <xf numFmtId="172" fontId="23" fillId="11" borderId="0" xfId="0" applyNumberFormat="1" applyFont="1" applyFill="1"/>
    <xf numFmtId="179" fontId="0" fillId="9" borderId="29" xfId="0" applyNumberFormat="1" applyFill="1" applyBorder="1"/>
    <xf numFmtId="172" fontId="23" fillId="11" borderId="29" xfId="0" applyNumberFormat="1" applyFont="1" applyFill="1" applyBorder="1"/>
    <xf numFmtId="166" fontId="23" fillId="0" borderId="0" xfId="5" applyFont="1"/>
    <xf numFmtId="166" fontId="23" fillId="0" borderId="0" xfId="5" applyFont="1" applyBorder="1"/>
    <xf numFmtId="172" fontId="23" fillId="41" borderId="0" xfId="0" applyNumberFormat="1" applyFont="1" applyFill="1" applyBorder="1"/>
    <xf numFmtId="172" fontId="0" fillId="41" borderId="0" xfId="0" applyNumberFormat="1" applyFill="1"/>
    <xf numFmtId="0" fontId="2" fillId="0" borderId="1" xfId="0" applyFont="1" applyBorder="1" applyAlignment="1">
      <alignment horizontal="center" vertical="center" wrapText="1"/>
    </xf>
    <xf numFmtId="0" fontId="2" fillId="0" borderId="1" xfId="0" applyFont="1" applyBorder="1" applyAlignment="1">
      <alignment horizontal="center"/>
    </xf>
    <xf numFmtId="179" fontId="0" fillId="0" borderId="29" xfId="0" applyNumberFormat="1" applyBorder="1"/>
    <xf numFmtId="0" fontId="23"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14" fillId="0" borderId="0" xfId="0" applyFont="1" applyAlignment="1">
      <alignment horizontal="left" vertical="center"/>
    </xf>
    <xf numFmtId="168" fontId="1" fillId="43" borderId="1" xfId="1" applyNumberFormat="1" applyFont="1" applyFill="1" applyBorder="1" applyAlignment="1">
      <alignment horizontal="right" vertical="top"/>
    </xf>
    <xf numFmtId="168" fontId="1" fillId="43" borderId="1" xfId="1" applyNumberFormat="1" applyFont="1" applyFill="1" applyBorder="1" applyAlignment="1">
      <alignment vertical="top"/>
    </xf>
    <xf numFmtId="170" fontId="23" fillId="11" borderId="0" xfId="1" applyNumberFormat="1" applyFont="1" applyFill="1" applyBorder="1"/>
    <xf numFmtId="172" fontId="0" fillId="0" borderId="0" xfId="0" applyNumberFormat="1" applyFont="1" applyFill="1" applyBorder="1"/>
    <xf numFmtId="0" fontId="0" fillId="0" borderId="0" xfId="0" applyAlignment="1">
      <alignment wrapText="1"/>
    </xf>
    <xf numFmtId="0" fontId="14" fillId="0" borderId="0" xfId="0" applyFont="1" applyAlignment="1">
      <alignment horizontal="center" vertical="center"/>
    </xf>
    <xf numFmtId="165" fontId="0" fillId="0" borderId="0" xfId="0" applyNumberFormat="1" applyFill="1" applyAlignment="1">
      <alignment horizontal="center"/>
    </xf>
    <xf numFmtId="0" fontId="2" fillId="0" borderId="1" xfId="0" applyFont="1" applyBorder="1" applyAlignment="1">
      <alignment vertical="center" wrapText="1"/>
    </xf>
    <xf numFmtId="0" fontId="2" fillId="0" borderId="1" xfId="0" applyFont="1" applyBorder="1" applyAlignment="1">
      <alignment vertical="center"/>
    </xf>
    <xf numFmtId="172" fontId="23" fillId="23" borderId="1" xfId="0" applyNumberFormat="1" applyFont="1" applyFill="1" applyBorder="1"/>
    <xf numFmtId="168" fontId="53" fillId="3" borderId="0" xfId="0" applyNumberFormat="1" applyFont="1" applyFill="1"/>
    <xf numFmtId="0" fontId="0" fillId="23" borderId="2" xfId="0" applyFill="1" applyBorder="1"/>
    <xf numFmtId="0" fontId="0" fillId="23" borderId="3" xfId="0" applyFill="1" applyBorder="1"/>
    <xf numFmtId="0" fontId="0" fillId="23" borderId="4" xfId="0" applyFill="1" applyBorder="1"/>
    <xf numFmtId="0" fontId="0" fillId="23" borderId="2" xfId="0" applyFont="1" applyFill="1" applyBorder="1" applyAlignment="1">
      <alignment horizontal="center"/>
    </xf>
    <xf numFmtId="0" fontId="0" fillId="23" borderId="3" xfId="0" applyFont="1" applyFill="1" applyBorder="1" applyAlignment="1">
      <alignment horizontal="center"/>
    </xf>
    <xf numFmtId="0" fontId="0" fillId="23" borderId="4" xfId="0" applyFont="1" applyFill="1" applyBorder="1" applyAlignment="1">
      <alignment horizontal="center"/>
    </xf>
    <xf numFmtId="0" fontId="0" fillId="23" borderId="2" xfId="0" applyFill="1" applyBorder="1" applyAlignment="1">
      <alignment horizontal="center" vertical="center"/>
    </xf>
    <xf numFmtId="0" fontId="0" fillId="23" borderId="3" xfId="0" applyFill="1" applyBorder="1" applyAlignment="1">
      <alignment horizontal="center" vertical="center"/>
    </xf>
    <xf numFmtId="0" fontId="47" fillId="15" borderId="2" xfId="0" applyFont="1" applyFill="1" applyBorder="1" applyAlignment="1">
      <alignment vertical="center"/>
    </xf>
    <xf numFmtId="0" fontId="16" fillId="12" borderId="3" xfId="0" applyFont="1" applyFill="1" applyBorder="1" applyAlignment="1">
      <alignment vertical="center"/>
    </xf>
    <xf numFmtId="0" fontId="0" fillId="13" borderId="3" xfId="0" applyFill="1" applyBorder="1" applyAlignment="1">
      <alignment vertical="center"/>
    </xf>
    <xf numFmtId="0" fontId="49" fillId="10" borderId="3" xfId="0" applyFont="1" applyFill="1" applyBorder="1" applyAlignment="1">
      <alignment vertical="center"/>
    </xf>
    <xf numFmtId="0" fontId="45" fillId="37" borderId="4" xfId="0" applyFont="1" applyFill="1" applyBorder="1" applyAlignment="1">
      <alignment vertical="center"/>
    </xf>
    <xf numFmtId="0" fontId="23" fillId="0" borderId="29" xfId="0" applyFont="1" applyFill="1" applyBorder="1" applyAlignment="1">
      <alignment vertical="center" wrapText="1"/>
    </xf>
    <xf numFmtId="169" fontId="2" fillId="0" borderId="0" xfId="1" applyNumberFormat="1" applyFont="1" applyFill="1" applyBorder="1"/>
    <xf numFmtId="172" fontId="2" fillId="11" borderId="0" xfId="0" applyNumberFormat="1" applyFont="1" applyFill="1" applyBorder="1"/>
    <xf numFmtId="0" fontId="0" fillId="23" borderId="4" xfId="0" applyFill="1" applyBorder="1" applyAlignment="1">
      <alignment horizontal="center" vertical="center"/>
    </xf>
    <xf numFmtId="9" fontId="42" fillId="0" borderId="1" xfId="2" applyFont="1" applyFill="1" applyBorder="1" applyAlignment="1">
      <alignment horizontal="center" vertical="center"/>
    </xf>
    <xf numFmtId="165" fontId="42" fillId="0" borderId="1" xfId="0" applyNumberFormat="1" applyFont="1" applyFill="1" applyBorder="1" applyAlignment="1">
      <alignment horizontal="center" vertical="center"/>
    </xf>
    <xf numFmtId="9" fontId="0" fillId="0" borderId="8" xfId="2" applyFont="1" applyFill="1" applyBorder="1"/>
    <xf numFmtId="9" fontId="0" fillId="0" borderId="27" xfId="2" applyFont="1" applyFill="1" applyBorder="1"/>
    <xf numFmtId="10" fontId="0" fillId="0" borderId="8" xfId="2" applyNumberFormat="1" applyFont="1" applyFill="1" applyBorder="1"/>
    <xf numFmtId="9" fontId="0" fillId="0" borderId="10" xfId="2" applyFont="1" applyFill="1" applyBorder="1"/>
    <xf numFmtId="9" fontId="0" fillId="0" borderId="32" xfId="2" applyFont="1" applyFill="1" applyBorder="1"/>
    <xf numFmtId="10" fontId="0" fillId="0" borderId="10" xfId="2" applyNumberFormat="1" applyFont="1" applyFill="1" applyBorder="1"/>
    <xf numFmtId="0" fontId="0" fillId="24" borderId="0" xfId="0" applyFill="1" applyAlignment="1">
      <alignment horizontal="center"/>
    </xf>
    <xf numFmtId="0" fontId="0" fillId="24" borderId="0" xfId="0" applyFill="1" applyBorder="1"/>
    <xf numFmtId="0" fontId="12" fillId="0" borderId="0" xfId="0" applyFont="1" applyBorder="1"/>
    <xf numFmtId="0" fontId="0" fillId="3" borderId="28" xfId="0" applyFill="1" applyBorder="1"/>
    <xf numFmtId="0" fontId="0" fillId="3" borderId="29" xfId="0" applyFill="1" applyBorder="1"/>
    <xf numFmtId="0" fontId="2" fillId="3" borderId="1" xfId="0" applyFont="1" applyFill="1" applyBorder="1" applyAlignment="1">
      <alignment horizontal="right" vertical="center" wrapText="1"/>
    </xf>
    <xf numFmtId="0" fontId="2" fillId="3" borderId="1" xfId="0" applyFont="1" applyFill="1" applyBorder="1" applyAlignment="1">
      <alignment horizontal="right" vertical="center"/>
    </xf>
    <xf numFmtId="0" fontId="2" fillId="3" borderId="29" xfId="0" applyFont="1" applyFill="1" applyBorder="1" applyAlignment="1">
      <alignment horizontal="right" vertical="center"/>
    </xf>
    <xf numFmtId="0" fontId="0" fillId="3" borderId="9" xfId="0" applyFill="1" applyBorder="1"/>
    <xf numFmtId="0" fontId="2" fillId="3" borderId="27" xfId="0" applyFont="1" applyFill="1" applyBorder="1"/>
    <xf numFmtId="0" fontId="0" fillId="3" borderId="0" xfId="0" applyFill="1" applyBorder="1"/>
    <xf numFmtId="172" fontId="0" fillId="3" borderId="0" xfId="0" applyNumberFormat="1" applyFill="1" applyBorder="1"/>
    <xf numFmtId="0" fontId="0" fillId="3" borderId="8" xfId="0" applyFill="1" applyBorder="1"/>
    <xf numFmtId="0" fontId="0" fillId="3" borderId="27" xfId="0" applyFill="1" applyBorder="1" applyAlignment="1">
      <alignment horizontal="left" indent="2"/>
    </xf>
    <xf numFmtId="172" fontId="0" fillId="3" borderId="2" xfId="0" applyNumberFormat="1" applyFill="1" applyBorder="1"/>
    <xf numFmtId="172" fontId="0" fillId="3" borderId="3" xfId="0" applyNumberFormat="1" applyFill="1" applyBorder="1"/>
    <xf numFmtId="172" fontId="0" fillId="3" borderId="4" xfId="0" applyNumberFormat="1" applyFill="1" applyBorder="1"/>
    <xf numFmtId="0" fontId="0" fillId="3" borderId="27" xfId="0" applyFill="1" applyBorder="1"/>
    <xf numFmtId="172" fontId="2" fillId="3" borderId="6" xfId="0" applyNumberFormat="1" applyFont="1" applyFill="1" applyBorder="1"/>
    <xf numFmtId="0" fontId="0" fillId="3" borderId="27" xfId="0" applyFill="1" applyBorder="1" applyAlignment="1">
      <alignment horizontal="left"/>
    </xf>
    <xf numFmtId="0" fontId="0" fillId="3" borderId="0" xfId="0" applyFill="1"/>
    <xf numFmtId="166" fontId="0" fillId="3" borderId="0" xfId="5" applyFont="1" applyFill="1" applyBorder="1" applyAlignment="1">
      <alignment horizontal="right"/>
    </xf>
    <xf numFmtId="172" fontId="2" fillId="3" borderId="0" xfId="0" applyNumberFormat="1" applyFont="1" applyFill="1" applyBorder="1"/>
    <xf numFmtId="172" fontId="2" fillId="3" borderId="0" xfId="0" applyNumberFormat="1" applyFont="1" applyFill="1"/>
    <xf numFmtId="172" fontId="0" fillId="3" borderId="0" xfId="0" applyNumberFormat="1" applyFill="1"/>
    <xf numFmtId="166" fontId="0" fillId="3" borderId="0" xfId="5" applyFont="1" applyFill="1"/>
    <xf numFmtId="166" fontId="0" fillId="3" borderId="2" xfId="5" applyFont="1" applyFill="1" applyBorder="1"/>
    <xf numFmtId="166" fontId="0" fillId="3" borderId="3" xfId="5" applyFont="1" applyFill="1" applyBorder="1"/>
    <xf numFmtId="166" fontId="0" fillId="3" borderId="4" xfId="5" applyFont="1" applyFill="1" applyBorder="1"/>
    <xf numFmtId="166" fontId="0" fillId="3" borderId="0" xfId="0" applyNumberFormat="1" applyFill="1" applyBorder="1"/>
    <xf numFmtId="166" fontId="0" fillId="3" borderId="0" xfId="5" applyFont="1" applyFill="1" applyBorder="1"/>
    <xf numFmtId="0" fontId="0" fillId="3" borderId="32" xfId="0" applyFill="1" applyBorder="1"/>
    <xf numFmtId="0" fontId="0" fillId="3" borderId="33" xfId="0" applyFill="1" applyBorder="1"/>
    <xf numFmtId="172" fontId="0" fillId="3" borderId="33" xfId="0" applyNumberFormat="1" applyFill="1" applyBorder="1"/>
    <xf numFmtId="0" fontId="0" fillId="3" borderId="10" xfId="0" applyFill="1" applyBorder="1"/>
    <xf numFmtId="0" fontId="11" fillId="15" borderId="0" xfId="4" quotePrefix="1" applyFill="1"/>
    <xf numFmtId="0" fontId="11" fillId="12" borderId="0" xfId="4" quotePrefix="1" applyFill="1"/>
    <xf numFmtId="0" fontId="11" fillId="10" borderId="0" xfId="4" quotePrefix="1" applyFill="1"/>
    <xf numFmtId="0" fontId="11" fillId="37" borderId="0" xfId="4" quotePrefix="1" applyFill="1"/>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0" fillId="12" borderId="0" xfId="0" applyFill="1"/>
    <xf numFmtId="0" fontId="11" fillId="13" borderId="0" xfId="4" quotePrefix="1" applyFill="1"/>
    <xf numFmtId="0" fontId="23" fillId="0"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173" fontId="0" fillId="3" borderId="0" xfId="2" applyNumberFormat="1" applyFont="1" applyFill="1"/>
    <xf numFmtId="173" fontId="0" fillId="3" borderId="2" xfId="2" applyNumberFormat="1" applyFont="1" applyFill="1" applyBorder="1"/>
    <xf numFmtId="173" fontId="0" fillId="3" borderId="4" xfId="2" applyNumberFormat="1" applyFont="1" applyFill="1" applyBorder="1"/>
    <xf numFmtId="172" fontId="0" fillId="3" borderId="29" xfId="0" applyNumberFormat="1" applyFill="1" applyBorder="1"/>
    <xf numFmtId="173" fontId="0" fillId="3" borderId="29" xfId="2" applyNumberFormat="1" applyFont="1" applyFill="1" applyBorder="1"/>
    <xf numFmtId="173" fontId="0" fillId="3" borderId="3" xfId="2" applyNumberFormat="1" applyFont="1" applyFill="1" applyBorder="1"/>
    <xf numFmtId="172" fontId="0" fillId="3" borderId="6" xfId="0" applyNumberFormat="1" applyFill="1" applyBorder="1"/>
    <xf numFmtId="173" fontId="0" fillId="3" borderId="6" xfId="2" applyNumberFormat="1" applyFont="1" applyFill="1" applyBorder="1"/>
    <xf numFmtId="172" fontId="0" fillId="3" borderId="28" xfId="0" applyNumberFormat="1" applyFill="1" applyBorder="1"/>
    <xf numFmtId="172" fontId="0" fillId="3" borderId="32" xfId="0" applyNumberFormat="1" applyFill="1" applyBorder="1"/>
    <xf numFmtId="172" fontId="0" fillId="11" borderId="2" xfId="0" applyNumberFormat="1" applyFill="1" applyBorder="1"/>
    <xf numFmtId="172" fontId="0" fillId="11" borderId="4" xfId="0" applyNumberFormat="1" applyFill="1" applyBorder="1"/>
    <xf numFmtId="172" fontId="0" fillId="11" borderId="29" xfId="0" applyNumberFormat="1" applyFill="1" applyBorder="1"/>
    <xf numFmtId="172" fontId="0" fillId="11" borderId="3" xfId="0" applyNumberFormat="1" applyFill="1" applyBorder="1"/>
    <xf numFmtId="172" fontId="0" fillId="11" borderId="6" xfId="0" applyNumberFormat="1" applyFill="1" applyBorder="1"/>
    <xf numFmtId="0" fontId="0" fillId="11" borderId="0" xfId="0" applyFill="1" applyBorder="1"/>
    <xf numFmtId="38" fontId="2" fillId="0" borderId="0" xfId="1" applyNumberFormat="1" applyFont="1" applyFill="1" applyAlignment="1">
      <alignment horizontal="right"/>
    </xf>
    <xf numFmtId="165" fontId="0" fillId="39" borderId="0" xfId="0" applyNumberFormat="1" applyFont="1" applyFill="1"/>
    <xf numFmtId="165" fontId="0" fillId="39" borderId="0" xfId="0" applyNumberFormat="1" applyFill="1"/>
    <xf numFmtId="164" fontId="0" fillId="0" borderId="0" xfId="0" applyNumberFormat="1" applyAlignment="1">
      <alignment horizontal="right"/>
    </xf>
    <xf numFmtId="0" fontId="49" fillId="0" borderId="28" xfId="0" applyFont="1" applyBorder="1"/>
    <xf numFmtId="0" fontId="49" fillId="0" borderId="32" xfId="0" applyFont="1" applyBorder="1"/>
    <xf numFmtId="9" fontId="0" fillId="0" borderId="6" xfId="2" applyFont="1" applyFill="1" applyBorder="1"/>
    <xf numFmtId="10" fontId="0" fillId="0" borderId="6" xfId="2" applyNumberFormat="1" applyFont="1" applyFill="1" applyBorder="1"/>
    <xf numFmtId="169" fontId="2" fillId="9" borderId="0" xfId="1" applyNumberFormat="1" applyFont="1" applyFill="1" applyBorder="1"/>
    <xf numFmtId="0" fontId="23" fillId="44" borderId="0" xfId="0" applyFont="1" applyFill="1"/>
    <xf numFmtId="0" fontId="23" fillId="0" borderId="0" xfId="0" applyFont="1" applyFill="1"/>
    <xf numFmtId="0" fontId="23" fillId="37" borderId="0" xfId="0" applyFont="1" applyFill="1"/>
    <xf numFmtId="0" fontId="23" fillId="31" borderId="0" xfId="0" applyFont="1" applyFill="1"/>
    <xf numFmtId="0" fontId="23" fillId="42" borderId="0" xfId="0" applyFont="1" applyFill="1"/>
    <xf numFmtId="172" fontId="23" fillId="11" borderId="0" xfId="0" applyNumberFormat="1" applyFont="1" applyFill="1" applyBorder="1"/>
    <xf numFmtId="170" fontId="23" fillId="11" borderId="0" xfId="0" applyNumberFormat="1" applyFont="1" applyFill="1" applyBorder="1"/>
    <xf numFmtId="170" fontId="23" fillId="15" borderId="29" xfId="0" applyNumberFormat="1" applyFont="1" applyFill="1" applyBorder="1"/>
    <xf numFmtId="166" fontId="23" fillId="0" borderId="29" xfId="5" applyFont="1" applyBorder="1"/>
    <xf numFmtId="172" fontId="23" fillId="0" borderId="0" xfId="5" applyNumberFormat="1" applyFont="1" applyBorder="1"/>
    <xf numFmtId="172" fontId="23" fillId="0" borderId="29" xfId="5" applyNumberFormat="1" applyFont="1" applyBorder="1"/>
    <xf numFmtId="0" fontId="0" fillId="0" borderId="0" xfId="0" applyBorder="1" applyAlignment="1">
      <alignment horizontal="left" vertical="top"/>
    </xf>
    <xf numFmtId="172" fontId="23" fillId="39" borderId="0" xfId="0" applyNumberFormat="1" applyFont="1" applyFill="1"/>
    <xf numFmtId="43" fontId="23" fillId="39" borderId="0" xfId="1" applyFont="1" applyFill="1"/>
    <xf numFmtId="0" fontId="0" fillId="0" borderId="0" xfId="0" applyBorder="1" applyAlignment="1">
      <alignment horizontal="left" vertical="top"/>
    </xf>
    <xf numFmtId="0" fontId="0" fillId="0" borderId="0" xfId="0" applyBorder="1" applyAlignment="1">
      <alignment horizontal="left" vertical="top" wrapText="1"/>
    </xf>
    <xf numFmtId="166" fontId="0" fillId="0" borderId="0" xfId="5" applyFont="1" applyBorder="1"/>
    <xf numFmtId="172" fontId="23" fillId="39" borderId="29" xfId="0" applyNumberFormat="1" applyFont="1" applyFill="1" applyBorder="1"/>
    <xf numFmtId="0" fontId="23" fillId="39" borderId="3" xfId="0" applyFont="1" applyFill="1" applyBorder="1" applyAlignment="1">
      <alignment vertical="center" wrapText="1"/>
    </xf>
    <xf numFmtId="172" fontId="23" fillId="39" borderId="0" xfId="5" applyNumberFormat="1" applyFont="1" applyFill="1" applyBorder="1"/>
    <xf numFmtId="0" fontId="23" fillId="39" borderId="0" xfId="0" applyFont="1" applyFill="1"/>
    <xf numFmtId="172" fontId="23" fillId="39" borderId="29" xfId="5" applyNumberFormat="1" applyFont="1" applyFill="1" applyBorder="1"/>
    <xf numFmtId="170" fontId="1" fillId="0" borderId="0" xfId="1" applyNumberFormat="1" applyFont="1" applyBorder="1"/>
    <xf numFmtId="166" fontId="0" fillId="0" borderId="0" xfId="5" applyFont="1" applyBorder="1" applyAlignment="1">
      <alignment horizontal="right"/>
    </xf>
    <xf numFmtId="172" fontId="0" fillId="0" borderId="29" xfId="0" applyNumberFormat="1" applyFill="1" applyBorder="1"/>
    <xf numFmtId="166" fontId="0" fillId="0" borderId="0" xfId="5" applyFont="1" applyFill="1"/>
    <xf numFmtId="166" fontId="0" fillId="0" borderId="0" xfId="0" applyNumberFormat="1" applyFill="1"/>
    <xf numFmtId="0" fontId="0" fillId="11" borderId="0" xfId="0" applyFill="1" applyBorder="1" applyAlignment="1">
      <alignment horizontal="center"/>
    </xf>
    <xf numFmtId="0" fontId="11" fillId="0" borderId="0" xfId="4" quotePrefix="1"/>
    <xf numFmtId="0" fontId="23" fillId="0" borderId="29" xfId="0" applyFont="1" applyFill="1" applyBorder="1"/>
    <xf numFmtId="0" fontId="23" fillId="0" borderId="33" xfId="0" applyFont="1" applyFill="1" applyBorder="1"/>
    <xf numFmtId="0" fontId="0" fillId="0" borderId="0" xfId="0" applyAlignment="1">
      <alignment horizontal="left"/>
    </xf>
    <xf numFmtId="180" fontId="0" fillId="0" borderId="0" xfId="0" applyNumberFormat="1" applyAlignment="1">
      <alignment horizontal="right"/>
    </xf>
    <xf numFmtId="0" fontId="23" fillId="16" borderId="0" xfId="0" applyFont="1" applyFill="1" applyBorder="1"/>
    <xf numFmtId="0" fontId="0" fillId="0" borderId="0" xfId="0" applyBorder="1" applyAlignment="1">
      <alignment horizontal="right"/>
    </xf>
    <xf numFmtId="0" fontId="2" fillId="6" borderId="0" xfId="0" applyFont="1" applyFill="1"/>
    <xf numFmtId="0" fontId="2" fillId="0" borderId="0" xfId="0" applyFont="1" applyAlignment="1">
      <alignment horizontal="center"/>
    </xf>
    <xf numFmtId="0" fontId="2" fillId="25" borderId="0" xfId="0" applyFont="1" applyFill="1"/>
    <xf numFmtId="0" fontId="2" fillId="5" borderId="0" xfId="0" applyFont="1" applyFill="1"/>
    <xf numFmtId="0" fontId="2" fillId="12" borderId="0" xfId="0" applyFont="1" applyFill="1"/>
    <xf numFmtId="0" fontId="0" fillId="24" borderId="1" xfId="0" applyFill="1" applyBorder="1" applyAlignment="1">
      <alignment horizontal="center"/>
    </xf>
    <xf numFmtId="0" fontId="0" fillId="29" borderId="1" xfId="0" applyFill="1" applyBorder="1" applyAlignment="1">
      <alignment horizontal="center"/>
    </xf>
    <xf numFmtId="0" fontId="0" fillId="11" borderId="1" xfId="0" applyFill="1" applyBorder="1" applyAlignment="1">
      <alignment horizontal="center"/>
    </xf>
    <xf numFmtId="0" fontId="0" fillId="29" borderId="1" xfId="0" applyFill="1" applyBorder="1"/>
    <xf numFmtId="0" fontId="23" fillId="24" borderId="1" xfId="0" applyFont="1" applyFill="1" applyBorder="1" applyAlignment="1" applyProtection="1">
      <alignment horizontal="center" vertical="center"/>
      <protection locked="0"/>
    </xf>
    <xf numFmtId="0" fontId="0" fillId="24" borderId="1" xfId="0" applyFill="1" applyBorder="1" applyAlignment="1" applyProtection="1">
      <alignment horizontal="center" vertical="center"/>
      <protection locked="0"/>
    </xf>
    <xf numFmtId="9" fontId="42" fillId="24" borderId="1" xfId="2" applyFont="1" applyFill="1" applyBorder="1" applyAlignment="1" applyProtection="1">
      <alignment horizontal="center" vertical="center"/>
      <protection locked="0"/>
    </xf>
    <xf numFmtId="165" fontId="42" fillId="24" borderId="1" xfId="0" applyNumberFormat="1" applyFont="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9" fontId="0" fillId="23" borderId="8" xfId="2" applyFont="1" applyFill="1" applyBorder="1" applyProtection="1">
      <protection locked="0"/>
    </xf>
    <xf numFmtId="9" fontId="0" fillId="23" borderId="10" xfId="2" applyFont="1" applyFill="1" applyBorder="1" applyProtection="1">
      <protection locked="0"/>
    </xf>
    <xf numFmtId="10" fontId="0" fillId="23" borderId="8" xfId="2" applyNumberFormat="1" applyFont="1" applyFill="1" applyBorder="1" applyProtection="1">
      <protection locked="0"/>
    </xf>
    <xf numFmtId="10" fontId="0" fillId="23" borderId="10" xfId="2" applyNumberFormat="1" applyFont="1" applyFill="1" applyBorder="1" applyProtection="1">
      <protection locked="0"/>
    </xf>
    <xf numFmtId="0" fontId="51" fillId="0" borderId="0" xfId="0" quotePrefix="1" applyFont="1" applyFill="1" applyBorder="1"/>
    <xf numFmtId="0" fontId="0" fillId="31" borderId="0" xfId="0" applyFill="1" applyBorder="1" applyAlignment="1">
      <alignment horizontal="center"/>
    </xf>
    <xf numFmtId="0" fontId="0" fillId="18" borderId="1" xfId="0" applyFill="1" applyBorder="1" applyAlignment="1">
      <alignment horizontal="center"/>
    </xf>
    <xf numFmtId="0" fontId="0" fillId="18" borderId="0" xfId="0" applyFill="1" applyBorder="1" applyAlignment="1">
      <alignment horizontal="center"/>
    </xf>
    <xf numFmtId="0" fontId="0" fillId="12" borderId="1" xfId="0" applyFill="1" applyBorder="1" applyAlignment="1">
      <alignment horizontal="center"/>
    </xf>
    <xf numFmtId="0" fontId="0" fillId="31" borderId="1" xfId="0" applyFill="1" applyBorder="1" applyAlignment="1">
      <alignment horizontal="center"/>
    </xf>
    <xf numFmtId="0" fontId="16" fillId="0" borderId="27" xfId="0" applyFont="1" applyBorder="1"/>
    <xf numFmtId="0" fontId="0" fillId="24" borderId="1" xfId="0" applyFill="1" applyBorder="1"/>
    <xf numFmtId="0" fontId="0" fillId="23" borderId="1" xfId="0" applyFill="1" applyBorder="1"/>
    <xf numFmtId="172" fontId="23" fillId="45" borderId="0" xfId="0" applyNumberFormat="1" applyFont="1" applyFill="1"/>
    <xf numFmtId="9" fontId="3" fillId="23" borderId="1" xfId="2" applyFont="1" applyFill="1" applyBorder="1"/>
    <xf numFmtId="0" fontId="0" fillId="12" borderId="1" xfId="0" applyFill="1" applyBorder="1"/>
    <xf numFmtId="0" fontId="2" fillId="11" borderId="0" xfId="0" applyFont="1" applyFill="1"/>
    <xf numFmtId="0" fontId="2" fillId="11" borderId="0" xfId="0" applyFont="1" applyFill="1" applyBorder="1"/>
    <xf numFmtId="0" fontId="2" fillId="24" borderId="0" xfId="0" applyFont="1" applyFill="1" applyBorder="1"/>
    <xf numFmtId="0" fontId="0" fillId="12" borderId="0" xfId="0" applyFill="1" applyBorder="1" applyAlignment="1">
      <alignment horizontal="left" vertical="top" wrapText="1"/>
    </xf>
    <xf numFmtId="0" fontId="2" fillId="12" borderId="0" xfId="0" applyFont="1" applyFill="1" applyAlignment="1">
      <alignment horizontal="right"/>
    </xf>
    <xf numFmtId="0" fontId="2" fillId="12" borderId="0" xfId="0" applyFont="1" applyFill="1" applyBorder="1" applyAlignment="1">
      <alignment horizontal="left" vertical="top"/>
    </xf>
    <xf numFmtId="0" fontId="2" fillId="12" borderId="0" xfId="0" applyFont="1" applyFill="1" applyBorder="1"/>
    <xf numFmtId="0" fontId="0" fillId="12" borderId="0" xfId="0" applyFill="1" applyBorder="1"/>
    <xf numFmtId="0" fontId="52" fillId="12" borderId="0" xfId="0" applyFont="1" applyFill="1" applyBorder="1"/>
    <xf numFmtId="0" fontId="53" fillId="12" borderId="0" xfId="0" applyFont="1" applyFill="1" applyBorder="1"/>
    <xf numFmtId="0" fontId="0" fillId="18" borderId="0" xfId="0" applyFill="1"/>
    <xf numFmtId="0" fontId="2" fillId="18" borderId="0" xfId="0" applyFont="1" applyFill="1"/>
    <xf numFmtId="0" fontId="53" fillId="18" borderId="0" xfId="0" applyFont="1" applyFill="1" applyBorder="1"/>
    <xf numFmtId="0" fontId="0" fillId="31" borderId="0" xfId="0" applyFill="1"/>
    <xf numFmtId="0" fontId="53" fillId="31" borderId="0" xfId="0" applyFont="1" applyFill="1" applyBorder="1"/>
    <xf numFmtId="0" fontId="52" fillId="31" borderId="0" xfId="0" applyFont="1" applyFill="1" applyBorder="1"/>
    <xf numFmtId="0" fontId="52" fillId="11" borderId="0" xfId="0" applyFont="1" applyFill="1" applyBorder="1"/>
    <xf numFmtId="0" fontId="53" fillId="11" borderId="0" xfId="0" applyFont="1" applyFill="1" applyBorder="1"/>
    <xf numFmtId="0" fontId="0" fillId="38" borderId="0" xfId="0" applyFill="1" applyBorder="1" applyAlignment="1">
      <alignment horizontal="center"/>
    </xf>
    <xf numFmtId="0" fontId="0" fillId="38" borderId="0" xfId="0" applyFill="1" applyBorder="1"/>
    <xf numFmtId="0" fontId="0" fillId="31" borderId="0" xfId="0" applyFill="1" applyBorder="1"/>
    <xf numFmtId="0" fontId="0" fillId="18" borderId="0" xfId="0" applyFill="1" applyBorder="1"/>
    <xf numFmtId="0" fontId="0" fillId="12" borderId="0" xfId="0" applyFill="1" applyBorder="1" applyAlignment="1">
      <alignment horizontal="center"/>
    </xf>
    <xf numFmtId="172" fontId="23" fillId="23" borderId="2" xfId="0" applyNumberFormat="1" applyFont="1" applyFill="1" applyBorder="1"/>
    <xf numFmtId="172" fontId="23" fillId="23" borderId="3" xfId="0" applyNumberFormat="1" applyFont="1" applyFill="1" applyBorder="1"/>
    <xf numFmtId="172" fontId="23" fillId="23" borderId="4" xfId="0" applyNumberFormat="1" applyFont="1" applyFill="1" applyBorder="1"/>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165" fontId="42" fillId="0" borderId="0" xfId="0" applyNumberFormat="1" applyFont="1" applyFill="1" applyBorder="1" applyAlignment="1">
      <alignment horizontal="center" vertical="center"/>
    </xf>
    <xf numFmtId="10" fontId="0" fillId="0" borderId="0" xfId="2" applyNumberFormat="1" applyFont="1" applyFill="1" applyBorder="1"/>
    <xf numFmtId="172" fontId="0" fillId="3" borderId="8" xfId="0" applyNumberFormat="1" applyFill="1" applyBorder="1"/>
    <xf numFmtId="0" fontId="2" fillId="0" borderId="0" xfId="0" applyFont="1" applyBorder="1" applyAlignment="1">
      <alignment horizontal="right" vertical="center" wrapText="1"/>
    </xf>
    <xf numFmtId="0" fontId="2" fillId="0" borderId="8" xfId="0" applyFont="1" applyBorder="1" applyAlignment="1">
      <alignment horizontal="right" vertical="center" wrapText="1"/>
    </xf>
    <xf numFmtId="172" fontId="0" fillId="0" borderId="8" xfId="0" applyNumberFormat="1" applyBorder="1"/>
    <xf numFmtId="0" fontId="2" fillId="3" borderId="9" xfId="0" applyFont="1" applyFill="1" applyBorder="1" applyAlignment="1">
      <alignment horizontal="right" vertical="center"/>
    </xf>
    <xf numFmtId="166" fontId="0" fillId="3" borderId="8" xfId="5" applyFont="1" applyFill="1" applyBorder="1" applyAlignment="1">
      <alignment horizontal="right"/>
    </xf>
    <xf numFmtId="0" fontId="2" fillId="0" borderId="1" xfId="0" applyFont="1" applyFill="1" applyBorder="1" applyAlignment="1">
      <alignment horizontal="right" vertical="center" wrapText="1"/>
    </xf>
    <xf numFmtId="0" fontId="2" fillId="0" borderId="1" xfId="0" applyFont="1" applyFill="1" applyBorder="1" applyAlignment="1">
      <alignment horizontal="right" vertical="center"/>
    </xf>
    <xf numFmtId="0" fontId="2" fillId="0" borderId="29" xfId="0" applyFont="1" applyFill="1" applyBorder="1" applyAlignment="1">
      <alignment horizontal="right" vertical="center"/>
    </xf>
    <xf numFmtId="172" fontId="0" fillId="0" borderId="2" xfId="0" applyNumberFormat="1" applyFill="1" applyBorder="1"/>
    <xf numFmtId="172" fontId="0" fillId="0" borderId="3" xfId="0" applyNumberFormat="1" applyFill="1" applyBorder="1"/>
    <xf numFmtId="172" fontId="0" fillId="0" borderId="4" xfId="0" applyNumberFormat="1" applyFill="1" applyBorder="1"/>
    <xf numFmtId="172" fontId="2" fillId="0" borderId="6" xfId="0" applyNumberFormat="1" applyFont="1" applyFill="1" applyBorder="1"/>
    <xf numFmtId="166" fontId="0" fillId="0" borderId="0" xfId="5" applyFont="1" applyFill="1" applyBorder="1" applyAlignment="1">
      <alignment horizontal="right"/>
    </xf>
    <xf numFmtId="172" fontId="2" fillId="0" borderId="0" xfId="0" applyNumberFormat="1" applyFont="1" applyFill="1" applyBorder="1"/>
    <xf numFmtId="172" fontId="2" fillId="0" borderId="0" xfId="0" applyNumberFormat="1" applyFont="1" applyFill="1"/>
    <xf numFmtId="166" fontId="0" fillId="0" borderId="2" xfId="5" applyFont="1" applyFill="1" applyBorder="1"/>
    <xf numFmtId="166" fontId="0" fillId="0" borderId="3" xfId="5" applyFont="1" applyFill="1" applyBorder="1"/>
    <xf numFmtId="166" fontId="0" fillId="0" borderId="4" xfId="5" applyFont="1" applyFill="1" applyBorder="1"/>
    <xf numFmtId="166" fontId="0" fillId="0" borderId="0" xfId="0" applyNumberFormat="1" applyFill="1" applyBorder="1"/>
    <xf numFmtId="166" fontId="0" fillId="0" borderId="0" xfId="5" applyFont="1" applyFill="1" applyBorder="1"/>
    <xf numFmtId="172" fontId="0" fillId="0" borderId="33" xfId="0" applyNumberFormat="1" applyFill="1" applyBorder="1"/>
    <xf numFmtId="0" fontId="0" fillId="0" borderId="33" xfId="0" applyFill="1" applyBorder="1"/>
    <xf numFmtId="0" fontId="54" fillId="0" borderId="0" xfId="0" applyFont="1" applyBorder="1" applyAlignment="1">
      <alignment horizontal="left" vertical="top" wrapText="1"/>
    </xf>
    <xf numFmtId="0" fontId="0" fillId="46" borderId="0" xfId="0" applyFill="1"/>
    <xf numFmtId="0" fontId="54" fillId="0" borderId="27" xfId="0" applyFont="1" applyBorder="1" applyAlignment="1">
      <alignment horizontal="left" vertical="top" wrapText="1"/>
    </xf>
    <xf numFmtId="0" fontId="0" fillId="0" borderId="7" xfId="0" applyFill="1" applyBorder="1"/>
    <xf numFmtId="0" fontId="0" fillId="39" borderId="1" xfId="0" applyFill="1" applyBorder="1" applyAlignment="1">
      <alignment horizontal="right" vertical="center" wrapText="1"/>
    </xf>
    <xf numFmtId="172" fontId="0" fillId="39" borderId="0" xfId="0" applyNumberFormat="1" applyFill="1" applyBorder="1" applyAlignment="1">
      <alignment horizontal="center" vertical="center"/>
    </xf>
    <xf numFmtId="172" fontId="0" fillId="39" borderId="9" xfId="0" applyNumberFormat="1" applyFill="1" applyBorder="1" applyAlignment="1">
      <alignment horizontal="center" vertical="center"/>
    </xf>
    <xf numFmtId="172" fontId="0" fillId="39" borderId="8" xfId="0" applyNumberFormat="1" applyFill="1" applyBorder="1" applyAlignment="1">
      <alignment horizontal="center" vertical="center"/>
    </xf>
    <xf numFmtId="172" fontId="0" fillId="39" borderId="29" xfId="0" applyNumberFormat="1" applyFill="1" applyBorder="1" applyAlignment="1">
      <alignment horizontal="center" vertical="center"/>
    </xf>
    <xf numFmtId="165" fontId="42" fillId="0" borderId="0" xfId="0" applyNumberFormat="1" applyFont="1" applyFill="1" applyBorder="1" applyAlignment="1" applyProtection="1">
      <alignment horizontal="center" vertical="center"/>
      <protection locked="0"/>
    </xf>
    <xf numFmtId="0" fontId="0" fillId="11" borderId="1" xfId="0" applyFill="1" applyBorder="1" applyAlignment="1">
      <alignment horizontal="center" vertical="center"/>
    </xf>
    <xf numFmtId="9" fontId="42" fillId="11" borderId="1" xfId="2" applyFont="1" applyFill="1" applyBorder="1" applyAlignment="1">
      <alignment horizontal="center" vertical="center"/>
    </xf>
    <xf numFmtId="165" fontId="42" fillId="11" borderId="1" xfId="0" applyNumberFormat="1" applyFont="1" applyFill="1" applyBorder="1" applyAlignment="1">
      <alignment horizontal="center" vertical="center"/>
    </xf>
    <xf numFmtId="0" fontId="16" fillId="0" borderId="29" xfId="0" applyFont="1" applyBorder="1"/>
    <xf numFmtId="0" fontId="16" fillId="0" borderId="33" xfId="0" applyFont="1" applyBorder="1"/>
    <xf numFmtId="0" fontId="23" fillId="0" borderId="29" xfId="0" applyFont="1" applyFill="1" applyBorder="1" applyAlignment="1" applyProtection="1">
      <alignment horizontal="center" vertical="center"/>
      <protection locked="0"/>
    </xf>
    <xf numFmtId="0" fontId="0" fillId="39" borderId="27" xfId="0" applyFill="1" applyBorder="1" applyAlignment="1">
      <alignment horizontal="left"/>
    </xf>
    <xf numFmtId="0" fontId="0" fillId="39" borderId="32" xfId="0" applyFill="1" applyBorder="1" applyAlignment="1">
      <alignment horizontal="left"/>
    </xf>
    <xf numFmtId="172" fontId="0" fillId="39" borderId="33" xfId="0" applyNumberFormat="1" applyFill="1" applyBorder="1" applyAlignment="1">
      <alignment horizontal="center" vertical="center"/>
    </xf>
    <xf numFmtId="172" fontId="0" fillId="39" borderId="10" xfId="0" applyNumberFormat="1" applyFill="1" applyBorder="1" applyAlignment="1">
      <alignment horizontal="center" vertical="center"/>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11" fontId="0" fillId="29" borderId="0" xfId="0" quotePrefix="1" applyNumberFormat="1" applyFill="1" applyBorder="1" applyAlignment="1">
      <alignment horizontal="center"/>
    </xf>
    <xf numFmtId="0" fontId="0" fillId="29" borderId="0" xfId="0" quotePrefix="1" applyFill="1" applyBorder="1" applyAlignment="1">
      <alignment horizontal="center"/>
    </xf>
    <xf numFmtId="0" fontId="2" fillId="34" borderId="27" xfId="0" applyFont="1" applyFill="1" applyBorder="1" applyAlignment="1">
      <alignment horizontal="left"/>
    </xf>
    <xf numFmtId="165" fontId="42" fillId="34" borderId="0" xfId="0" applyNumberFormat="1" applyFont="1" applyFill="1" applyBorder="1" applyAlignment="1" applyProtection="1">
      <alignment horizontal="center" vertical="center"/>
      <protection locked="0"/>
    </xf>
    <xf numFmtId="0" fontId="0" fillId="34" borderId="0" xfId="0" applyFill="1" applyBorder="1" applyAlignment="1">
      <alignment horizontal="left"/>
    </xf>
    <xf numFmtId="0" fontId="0" fillId="34" borderId="27" xfId="0" applyFill="1" applyBorder="1" applyAlignment="1">
      <alignment horizontal="left"/>
    </xf>
    <xf numFmtId="165" fontId="56" fillId="34" borderId="0" xfId="0" applyNumberFormat="1" applyFont="1" applyFill="1" applyBorder="1" applyAlignment="1" applyProtection="1">
      <alignment horizontal="center" vertical="center"/>
      <protection locked="0"/>
    </xf>
    <xf numFmtId="0" fontId="0" fillId="34" borderId="0" xfId="0" applyFill="1"/>
    <xf numFmtId="0" fontId="2" fillId="0" borderId="1" xfId="0" applyFont="1" applyFill="1" applyBorder="1" applyAlignment="1">
      <alignment horizontal="right" wrapText="1"/>
    </xf>
    <xf numFmtId="0" fontId="0" fillId="0" borderId="27" xfId="0" applyFill="1" applyBorder="1"/>
    <xf numFmtId="0" fontId="0" fillId="0" borderId="27" xfId="0" applyFill="1" applyBorder="1" applyAlignment="1">
      <alignment horizontal="left"/>
    </xf>
    <xf numFmtId="0" fontId="2" fillId="0" borderId="0" xfId="0" quotePrefix="1" applyFont="1" applyFill="1" applyBorder="1"/>
    <xf numFmtId="0" fontId="2" fillId="0" borderId="27" xfId="0" applyFont="1" applyFill="1" applyBorder="1"/>
    <xf numFmtId="172" fontId="0" fillId="0" borderId="27" xfId="0" applyNumberFormat="1" applyBorder="1"/>
    <xf numFmtId="0" fontId="6" fillId="47" borderId="2" xfId="0" applyFont="1" applyFill="1" applyBorder="1" applyAlignment="1" applyProtection="1">
      <alignment horizontal="center" wrapText="1"/>
    </xf>
    <xf numFmtId="0" fontId="6" fillId="47" borderId="4" xfId="0" applyFont="1" applyFill="1" applyBorder="1" applyAlignment="1" applyProtection="1">
      <alignment horizontal="center" wrapText="1"/>
    </xf>
    <xf numFmtId="0" fontId="6" fillId="47" borderId="1" xfId="0" applyFont="1" applyFill="1" applyBorder="1" applyAlignment="1" applyProtection="1">
      <alignment horizontal="center" vertical="center"/>
    </xf>
    <xf numFmtId="9" fontId="57" fillId="47" borderId="1" xfId="2" applyFont="1" applyFill="1" applyBorder="1" applyAlignment="1" applyProtection="1">
      <alignment horizontal="center" vertical="center"/>
    </xf>
    <xf numFmtId="165" fontId="57" fillId="47" borderId="1" xfId="0" applyNumberFormat="1" applyFont="1" applyFill="1" applyBorder="1" applyAlignment="1" applyProtection="1">
      <alignment horizontal="center" vertical="center"/>
    </xf>
    <xf numFmtId="0" fontId="0" fillId="0" borderId="32" xfId="0" applyBorder="1" applyAlignment="1">
      <alignment horizontal="left"/>
    </xf>
    <xf numFmtId="165" fontId="42" fillId="0" borderId="33" xfId="0" applyNumberFormat="1" applyFont="1" applyFill="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29" xfId="0" applyBorder="1" applyAlignment="1">
      <alignment horizontal="left"/>
    </xf>
    <xf numFmtId="0" fontId="2" fillId="11" borderId="1" xfId="0" applyFont="1" applyFill="1" applyBorder="1" applyAlignment="1">
      <alignment horizontal="center"/>
    </xf>
    <xf numFmtId="0" fontId="2" fillId="0" borderId="28" xfId="0" applyFont="1" applyFill="1" applyBorder="1" applyAlignment="1">
      <alignment horizontal="left"/>
    </xf>
    <xf numFmtId="0" fontId="0" fillId="0" borderId="27" xfId="0" applyFont="1" applyFill="1" applyBorder="1"/>
    <xf numFmtId="0" fontId="15" fillId="0" borderId="0" xfId="0" applyFont="1" applyBorder="1" applyAlignment="1">
      <alignment horizontal="center" vertical="center"/>
    </xf>
    <xf numFmtId="0" fontId="2" fillId="0" borderId="27" xfId="0" applyFont="1" applyFill="1" applyBorder="1" applyAlignment="1">
      <alignment vertical="top"/>
    </xf>
    <xf numFmtId="0" fontId="16" fillId="0" borderId="27" xfId="0" applyFont="1" applyBorder="1" applyAlignment="1">
      <alignment horizontal="left"/>
    </xf>
    <xf numFmtId="0" fontId="0" fillId="0" borderId="28" xfId="0" applyFill="1" applyBorder="1"/>
    <xf numFmtId="0" fontId="0" fillId="0" borderId="29" xfId="0" applyFill="1" applyBorder="1"/>
    <xf numFmtId="0" fontId="0" fillId="0" borderId="9" xfId="0" applyFill="1" applyBorder="1"/>
    <xf numFmtId="0" fontId="0" fillId="0" borderId="8" xfId="0" applyFill="1" applyBorder="1"/>
    <xf numFmtId="0" fontId="0" fillId="0" borderId="27" xfId="0" applyFill="1" applyBorder="1" applyAlignment="1">
      <alignment horizontal="left" indent="2"/>
    </xf>
    <xf numFmtId="0" fontId="0" fillId="0" borderId="32" xfId="0" applyFill="1" applyBorder="1"/>
    <xf numFmtId="9" fontId="2" fillId="0" borderId="0" xfId="2" applyFont="1" applyFill="1"/>
    <xf numFmtId="0" fontId="0" fillId="0" borderId="10" xfId="0" applyFill="1" applyBorder="1"/>
    <xf numFmtId="0" fontId="0" fillId="0" borderId="0" xfId="0" applyFont="1" applyFill="1" applyAlignment="1">
      <alignment horizontal="left"/>
    </xf>
    <xf numFmtId="0" fontId="2" fillId="0" borderId="27" xfId="0" applyFont="1" applyFill="1" applyBorder="1" applyAlignment="1">
      <alignment horizontal="left" indent="2"/>
    </xf>
    <xf numFmtId="166" fontId="2" fillId="0" borderId="0" xfId="5" applyFont="1" applyFill="1"/>
    <xf numFmtId="166" fontId="2" fillId="0" borderId="0" xfId="0" applyNumberFormat="1" applyFont="1" applyFill="1" applyBorder="1"/>
    <xf numFmtId="166" fontId="2" fillId="0" borderId="0" xfId="5" applyFont="1" applyFill="1" applyBorder="1" applyAlignment="1">
      <alignment horizontal="right"/>
    </xf>
    <xf numFmtId="165" fontId="56" fillId="0" borderId="0" xfId="0" applyNumberFormat="1" applyFont="1" applyFill="1" applyBorder="1" applyAlignment="1" applyProtection="1">
      <alignment horizontal="right" vertical="center"/>
    </xf>
    <xf numFmtId="0" fontId="2" fillId="11" borderId="1" xfId="0" applyFont="1" applyFill="1" applyBorder="1" applyAlignment="1" applyProtection="1">
      <alignment horizontal="center"/>
    </xf>
    <xf numFmtId="165" fontId="56" fillId="0" borderId="8" xfId="0" applyNumberFormat="1" applyFont="1" applyFill="1" applyBorder="1" applyAlignment="1" applyProtection="1">
      <alignment horizontal="right" vertical="center"/>
    </xf>
    <xf numFmtId="172" fontId="0" fillId="0" borderId="0" xfId="0" applyNumberFormat="1" applyFill="1" applyBorder="1" applyProtection="1"/>
    <xf numFmtId="172" fontId="0" fillId="0" borderId="9" xfId="0" applyNumberFormat="1" applyFill="1" applyBorder="1" applyProtection="1"/>
    <xf numFmtId="172" fontId="0" fillId="0" borderId="8" xfId="0" applyNumberFormat="1" applyFill="1" applyBorder="1" applyProtection="1"/>
    <xf numFmtId="172" fontId="0" fillId="0" borderId="29" xfId="0" applyNumberFormat="1" applyFill="1" applyBorder="1" applyProtection="1"/>
    <xf numFmtId="172" fontId="2" fillId="0" borderId="29" xfId="0" applyNumberFormat="1" applyFont="1" applyFill="1" applyBorder="1" applyProtection="1"/>
    <xf numFmtId="172" fontId="2" fillId="0" borderId="9" xfId="0" applyNumberFormat="1" applyFont="1" applyFill="1" applyBorder="1" applyProtection="1"/>
    <xf numFmtId="172" fontId="0" fillId="0" borderId="0" xfId="0" applyNumberFormat="1" applyFont="1" applyFill="1" applyBorder="1" applyProtection="1"/>
    <xf numFmtId="172" fontId="0" fillId="0" borderId="8" xfId="0" applyNumberFormat="1" applyFont="1" applyFill="1" applyBorder="1" applyProtection="1"/>
    <xf numFmtId="0" fontId="0" fillId="0" borderId="0" xfId="0" applyFill="1" applyBorder="1" applyAlignment="1">
      <alignment horizontal="right"/>
    </xf>
    <xf numFmtId="166" fontId="0" fillId="0" borderId="0" xfId="0" applyNumberFormat="1" applyFill="1" applyBorder="1" applyProtection="1"/>
    <xf numFmtId="166" fontId="0" fillId="0" borderId="8" xfId="0" applyNumberFormat="1" applyFill="1" applyBorder="1" applyProtection="1"/>
    <xf numFmtId="172" fontId="2" fillId="0" borderId="0" xfId="0" applyNumberFormat="1" applyFont="1" applyFill="1" applyBorder="1" applyAlignment="1">
      <alignment wrapText="1"/>
    </xf>
    <xf numFmtId="172" fontId="2" fillId="0" borderId="8" xfId="0" applyNumberFormat="1" applyFont="1" applyFill="1" applyBorder="1" applyAlignment="1">
      <alignment wrapText="1"/>
    </xf>
    <xf numFmtId="0" fontId="0" fillId="12" borderId="0" xfId="0" applyFill="1" applyAlignment="1">
      <alignment horizontal="center"/>
    </xf>
    <xf numFmtId="0" fontId="23" fillId="11" borderId="1" xfId="0" applyFont="1" applyFill="1" applyBorder="1" applyAlignment="1" applyProtection="1">
      <alignment horizontal="center" vertical="center"/>
    </xf>
    <xf numFmtId="0" fontId="0" fillId="11" borderId="1" xfId="0" applyFill="1" applyBorder="1" applyAlignment="1" applyProtection="1">
      <alignment horizontal="center" vertical="center"/>
    </xf>
    <xf numFmtId="9" fontId="42" fillId="11" borderId="1" xfId="2" applyFont="1" applyFill="1" applyBorder="1" applyAlignment="1" applyProtection="1">
      <alignment horizontal="center" vertical="center"/>
    </xf>
    <xf numFmtId="165" fontId="42" fillId="11" borderId="1" xfId="0" applyNumberFormat="1" applyFont="1" applyFill="1" applyBorder="1" applyAlignment="1" applyProtection="1">
      <alignment horizontal="center" vertical="center"/>
    </xf>
    <xf numFmtId="0" fontId="2" fillId="0" borderId="1"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49" fontId="42" fillId="0" borderId="1" xfId="2" applyNumberFormat="1" applyFont="1" applyFill="1" applyBorder="1" applyAlignment="1" applyProtection="1">
      <alignment horizontal="center"/>
    </xf>
    <xf numFmtId="49" fontId="42" fillId="0" borderId="1" xfId="0" applyNumberFormat="1" applyFont="1" applyFill="1" applyBorder="1" applyAlignment="1">
      <alignment horizontal="right"/>
    </xf>
    <xf numFmtId="0" fontId="2" fillId="0" borderId="27" xfId="0" applyFont="1" applyFill="1" applyBorder="1" applyAlignment="1">
      <alignment horizontal="left"/>
    </xf>
    <xf numFmtId="0" fontId="0" fillId="0" borderId="0" xfId="0" applyProtection="1">
      <protection locked="0"/>
    </xf>
    <xf numFmtId="0" fontId="2" fillId="11" borderId="1" xfId="0" applyFont="1" applyFill="1" applyBorder="1" applyAlignment="1" applyProtection="1">
      <alignment horizontal="center"/>
      <protection locked="0"/>
    </xf>
    <xf numFmtId="165" fontId="2" fillId="0" borderId="0" xfId="0" applyNumberFormat="1" applyFont="1" applyFill="1" applyBorder="1"/>
    <xf numFmtId="165" fontId="2" fillId="0" borderId="8" xfId="0" applyNumberFormat="1" applyFont="1" applyFill="1" applyBorder="1"/>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9" xfId="0" applyBorder="1" applyAlignment="1">
      <alignment horizontal="left" vertical="top" wrapText="1"/>
    </xf>
    <xf numFmtId="0" fontId="0" fillId="0" borderId="27"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xf>
    <xf numFmtId="0" fontId="0" fillId="0" borderId="0" xfId="0" applyBorder="1" applyAlignment="1">
      <alignment vertical="top" wrapText="1"/>
    </xf>
    <xf numFmtId="0" fontId="54" fillId="0" borderId="28" xfId="0" applyFont="1" applyBorder="1" applyAlignment="1">
      <alignment horizontal="left" vertical="top" wrapText="1"/>
    </xf>
    <xf numFmtId="0" fontId="0" fillId="0" borderId="0" xfId="0" applyAlignment="1">
      <alignment horizontal="left" vertical="top" wrapText="1"/>
    </xf>
    <xf numFmtId="0" fontId="2" fillId="11" borderId="25" xfId="0" applyFont="1" applyFill="1" applyBorder="1" applyAlignment="1">
      <alignment horizontal="center" vertical="center" wrapText="1"/>
    </xf>
    <xf numFmtId="0" fontId="2" fillId="11" borderId="2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0" fillId="0" borderId="27" xfId="0" applyFill="1" applyBorder="1" applyAlignment="1">
      <alignment vertical="center"/>
    </xf>
    <xf numFmtId="0" fontId="0" fillId="0" borderId="0" xfId="0" applyFill="1" applyBorder="1" applyAlignment="1">
      <alignment vertical="center"/>
    </xf>
    <xf numFmtId="0" fontId="0" fillId="0" borderId="8" xfId="0" applyFill="1" applyBorder="1" applyAlignment="1">
      <alignment vertical="center"/>
    </xf>
    <xf numFmtId="0" fontId="2" fillId="0" borderId="25" xfId="0" applyFont="1" applyBorder="1" applyAlignment="1">
      <alignment horizontal="center" vertical="center" wrapText="1"/>
    </xf>
    <xf numFmtId="0" fontId="2" fillId="0" borderId="7" xfId="0" applyFont="1" applyBorder="1" applyAlignment="1">
      <alignment horizontal="center" vertical="center" wrapText="1"/>
    </xf>
    <xf numFmtId="0" fontId="0" fillId="31" borderId="0" xfId="0" applyFill="1" applyBorder="1" applyAlignment="1">
      <alignment horizontal="left" vertical="center"/>
    </xf>
    <xf numFmtId="0" fontId="5" fillId="0" borderId="1" xfId="0" applyFont="1" applyBorder="1" applyAlignment="1">
      <alignment horizontal="center"/>
    </xf>
    <xf numFmtId="0" fontId="5" fillId="3" borderId="1" xfId="0" applyFont="1" applyFill="1" applyBorder="1" applyAlignment="1">
      <alignment horizontal="center"/>
    </xf>
    <xf numFmtId="0" fontId="0" fillId="31" borderId="8" xfId="0" applyFill="1" applyBorder="1" applyAlignment="1">
      <alignment horizontal="left" vertical="center"/>
    </xf>
    <xf numFmtId="0" fontId="2" fillId="0" borderId="26" xfId="0" applyFont="1" applyBorder="1" applyAlignment="1">
      <alignment horizontal="center" vertical="center" wrapText="1"/>
    </xf>
    <xf numFmtId="0" fontId="2" fillId="4" borderId="1" xfId="0" applyFont="1" applyFill="1" applyBorder="1" applyAlignment="1">
      <alignment horizontal="center" vertical="center"/>
    </xf>
    <xf numFmtId="0" fontId="2" fillId="16" borderId="1" xfId="0" applyFont="1" applyFill="1" applyBorder="1" applyAlignment="1">
      <alignment horizontal="center" vertical="center" wrapText="1"/>
    </xf>
    <xf numFmtId="0" fontId="2" fillId="16" borderId="25" xfId="0" applyFont="1" applyFill="1" applyBorder="1" applyAlignment="1">
      <alignment horizontal="center" vertical="center" wrapText="1"/>
    </xf>
    <xf numFmtId="0" fontId="2" fillId="16" borderId="26"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7"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3" borderId="1" xfId="0" applyFont="1" applyFill="1" applyBorder="1" applyAlignment="1">
      <alignment horizontal="center"/>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6" fillId="0" borderId="1" xfId="0" applyFont="1" applyBorder="1" applyAlignment="1">
      <alignment horizontal="center"/>
    </xf>
    <xf numFmtId="0" fontId="26" fillId="0" borderId="1" xfId="0" applyFont="1" applyBorder="1" applyAlignment="1">
      <alignment horizontal="center" vertical="center" wrapText="1"/>
    </xf>
    <xf numFmtId="0" fontId="26" fillId="3" borderId="1" xfId="0" applyFont="1" applyFill="1" applyBorder="1" applyAlignment="1">
      <alignment horizontal="center"/>
    </xf>
    <xf numFmtId="0" fontId="4" fillId="0" borderId="2"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7"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2" fillId="0" borderId="2" xfId="0" applyFont="1" applyBorder="1" applyAlignment="1">
      <alignment horizontal="center" vertical="center" textRotation="90" wrapText="1"/>
    </xf>
    <xf numFmtId="0" fontId="12" fillId="0" borderId="3" xfId="0" applyFont="1" applyBorder="1" applyAlignment="1">
      <alignment horizontal="center" vertical="center" textRotation="90" wrapText="1"/>
    </xf>
    <xf numFmtId="0" fontId="12" fillId="0" borderId="4" xfId="0" applyFont="1" applyBorder="1" applyAlignment="1">
      <alignment horizontal="center" vertical="center" textRotation="90" wrapText="1"/>
    </xf>
    <xf numFmtId="0" fontId="4" fillId="0" borderId="2" xfId="0" applyFont="1" applyFill="1" applyBorder="1" applyAlignment="1">
      <alignment horizontal="center" vertical="center" textRotation="90" wrapText="1"/>
    </xf>
    <xf numFmtId="0" fontId="4" fillId="0" borderId="3" xfId="0" applyFont="1" applyFill="1" applyBorder="1" applyAlignment="1">
      <alignment horizontal="center" vertical="center" textRotation="90" wrapText="1"/>
    </xf>
    <xf numFmtId="0" fontId="4" fillId="0" borderId="4" xfId="0" applyFont="1" applyFill="1" applyBorder="1" applyAlignment="1">
      <alignment horizontal="center" vertical="center" textRotation="90" wrapText="1"/>
    </xf>
    <xf numFmtId="0" fontId="4" fillId="12" borderId="1" xfId="0" applyFont="1" applyFill="1" applyBorder="1" applyAlignment="1">
      <alignment horizontal="center" vertical="center" textRotation="90"/>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4" fillId="15" borderId="1" xfId="0" applyFont="1" applyFill="1" applyBorder="1" applyAlignment="1">
      <alignment horizontal="center" vertical="center" textRotation="90" wrapText="1"/>
    </xf>
    <xf numFmtId="0" fontId="4" fillId="16" borderId="2" xfId="0" applyFont="1" applyFill="1" applyBorder="1" applyAlignment="1">
      <alignment horizontal="center" vertical="center" textRotation="90" wrapText="1"/>
    </xf>
    <xf numFmtId="0" fontId="4" fillId="16" borderId="3" xfId="0" applyFont="1" applyFill="1" applyBorder="1" applyAlignment="1">
      <alignment horizontal="center" vertical="center" textRotation="90" wrapText="1"/>
    </xf>
    <xf numFmtId="0" fontId="4" fillId="16" borderId="4" xfId="0" applyFont="1" applyFill="1" applyBorder="1" applyAlignment="1">
      <alignment horizontal="center" vertical="center" textRotation="90" wrapText="1"/>
    </xf>
    <xf numFmtId="0" fontId="4" fillId="5" borderId="2" xfId="0" applyFont="1" applyFill="1" applyBorder="1" applyAlignment="1">
      <alignment horizontal="center" vertical="center" textRotation="90" wrapText="1"/>
    </xf>
    <xf numFmtId="0" fontId="4" fillId="5" borderId="3" xfId="0" applyFont="1" applyFill="1" applyBorder="1" applyAlignment="1">
      <alignment horizontal="center" vertical="center" textRotation="90" wrapText="1"/>
    </xf>
    <xf numFmtId="0" fontId="4" fillId="5" borderId="4" xfId="0" applyFont="1" applyFill="1" applyBorder="1" applyAlignment="1">
      <alignment horizontal="center" vertical="center" textRotation="90" wrapText="1"/>
    </xf>
    <xf numFmtId="0" fontId="4" fillId="18" borderId="1" xfId="0" applyFont="1" applyFill="1" applyBorder="1" applyAlignment="1">
      <alignment horizontal="center" vertical="center" textRotation="90"/>
    </xf>
    <xf numFmtId="0" fontId="4" fillId="10" borderId="1" xfId="0" applyFont="1" applyFill="1" applyBorder="1" applyAlignment="1">
      <alignment horizontal="center" vertical="center" textRotation="90"/>
    </xf>
    <xf numFmtId="0" fontId="4" fillId="7" borderId="1" xfId="0" applyFont="1" applyFill="1" applyBorder="1" applyAlignment="1">
      <alignment horizontal="center" vertical="center" textRotation="90"/>
    </xf>
    <xf numFmtId="0" fontId="2" fillId="0" borderId="1" xfId="0" applyFont="1" applyBorder="1" applyAlignment="1">
      <alignment horizontal="center"/>
    </xf>
    <xf numFmtId="0" fontId="29" fillId="29" borderId="54" xfId="0" applyFont="1" applyFill="1" applyBorder="1" applyAlignment="1">
      <alignment horizontal="center" vertical="center" wrapText="1"/>
    </xf>
    <xf numFmtId="0" fontId="29" fillId="29" borderId="3" xfId="0" applyFont="1" applyFill="1" applyBorder="1" applyAlignment="1">
      <alignment horizontal="center" vertical="center" wrapText="1"/>
    </xf>
    <xf numFmtId="0" fontId="29" fillId="29" borderId="60" xfId="0" applyFont="1" applyFill="1" applyBorder="1" applyAlignment="1">
      <alignment horizontal="center" vertical="center" wrapText="1"/>
    </xf>
    <xf numFmtId="0" fontId="29" fillId="12" borderId="55" xfId="0" applyFont="1" applyFill="1" applyBorder="1" applyAlignment="1">
      <alignment horizontal="center" vertical="center" wrapText="1"/>
    </xf>
    <xf numFmtId="0" fontId="29" fillId="12" borderId="57" xfId="0" applyFont="1" applyFill="1" applyBorder="1" applyAlignment="1">
      <alignment horizontal="center" vertical="center" wrapText="1"/>
    </xf>
    <xf numFmtId="0" fontId="29" fillId="12" borderId="64" xfId="0" applyFont="1" applyFill="1" applyBorder="1" applyAlignment="1">
      <alignment horizontal="center" vertical="center" wrapText="1"/>
    </xf>
    <xf numFmtId="0" fontId="29" fillId="27" borderId="37" xfId="0" applyFont="1" applyFill="1" applyBorder="1" applyAlignment="1">
      <alignment horizontal="center" vertical="center" textRotation="180"/>
    </xf>
    <xf numFmtId="0" fontId="29" fillId="27" borderId="38" xfId="0" applyFont="1" applyFill="1" applyBorder="1" applyAlignment="1">
      <alignment horizontal="center" vertical="center" textRotation="180"/>
    </xf>
    <xf numFmtId="0" fontId="29" fillId="27" borderId="48" xfId="0" applyFont="1" applyFill="1" applyBorder="1" applyAlignment="1">
      <alignment horizontal="center" vertical="center" textRotation="180"/>
    </xf>
    <xf numFmtId="0" fontId="35" fillId="28" borderId="54" xfId="0" applyFont="1" applyFill="1" applyBorder="1" applyAlignment="1">
      <alignment horizontal="left" vertical="top" wrapText="1"/>
    </xf>
    <xf numFmtId="0" fontId="35" fillId="28" borderId="3" xfId="0" applyFont="1" applyFill="1" applyBorder="1" applyAlignment="1">
      <alignment horizontal="left" vertical="top" wrapText="1"/>
    </xf>
    <xf numFmtId="0" fontId="35" fillId="28" borderId="4" xfId="0" applyFont="1" applyFill="1" applyBorder="1" applyAlignment="1">
      <alignment horizontal="left" vertical="top" wrapText="1"/>
    </xf>
    <xf numFmtId="0" fontId="34" fillId="28" borderId="2" xfId="0" applyFont="1" applyFill="1" applyBorder="1" applyAlignment="1">
      <alignment horizontal="left" vertical="top"/>
    </xf>
    <xf numFmtId="0" fontId="34" fillId="28" borderId="3" xfId="0" applyFont="1" applyFill="1" applyBorder="1" applyAlignment="1">
      <alignment horizontal="left" vertical="top"/>
    </xf>
    <xf numFmtId="0" fontId="34" fillId="28" borderId="4" xfId="0" applyFont="1" applyFill="1" applyBorder="1" applyAlignment="1">
      <alignment horizontal="left" vertical="top"/>
    </xf>
    <xf numFmtId="0" fontId="29" fillId="28" borderId="2" xfId="0" applyFont="1" applyFill="1" applyBorder="1" applyAlignment="1">
      <alignment horizontal="left" vertical="top" wrapText="1"/>
    </xf>
    <xf numFmtId="0" fontId="29" fillId="28" borderId="3" xfId="0" applyFont="1" applyFill="1" applyBorder="1" applyAlignment="1">
      <alignment horizontal="left" vertical="top" wrapText="1"/>
    </xf>
    <xf numFmtId="0" fontId="29" fillId="28" borderId="4" xfId="0" applyFont="1" applyFill="1" applyBorder="1" applyAlignment="1">
      <alignment horizontal="left" vertical="top" wrapText="1"/>
    </xf>
    <xf numFmtId="0" fontId="34" fillId="28" borderId="2" xfId="0" applyFont="1" applyFill="1" applyBorder="1" applyAlignment="1">
      <alignment horizontal="left" vertical="top" wrapText="1"/>
    </xf>
    <xf numFmtId="0" fontId="34" fillId="28" borderId="3" xfId="0" applyFont="1" applyFill="1" applyBorder="1" applyAlignment="1">
      <alignment horizontal="left" vertical="top" wrapText="1"/>
    </xf>
    <xf numFmtId="0" fontId="34" fillId="28" borderId="4" xfId="0" applyFont="1" applyFill="1" applyBorder="1" applyAlignment="1">
      <alignment horizontal="left" vertical="top" wrapText="1"/>
    </xf>
    <xf numFmtId="0" fontId="35" fillId="28" borderId="2" xfId="0" applyFont="1" applyFill="1" applyBorder="1" applyAlignment="1">
      <alignment horizontal="left" vertical="top" wrapText="1"/>
    </xf>
    <xf numFmtId="0" fontId="35" fillId="28" borderId="60" xfId="0" applyFont="1" applyFill="1" applyBorder="1" applyAlignment="1">
      <alignment horizontal="left" vertical="top" wrapText="1"/>
    </xf>
    <xf numFmtId="0" fontId="31" fillId="28" borderId="52" xfId="0" applyFont="1" applyFill="1" applyBorder="1" applyAlignment="1">
      <alignment horizontal="center" vertical="center" wrapText="1"/>
    </xf>
    <xf numFmtId="0" fontId="31" fillId="28" borderId="56" xfId="0" applyFont="1" applyFill="1" applyBorder="1" applyAlignment="1">
      <alignment horizontal="center" vertical="center" wrapText="1"/>
    </xf>
    <xf numFmtId="0" fontId="31" fillId="28" borderId="59" xfId="0" applyFont="1" applyFill="1" applyBorder="1" applyAlignment="1">
      <alignment horizontal="center" vertical="center" wrapText="1"/>
    </xf>
    <xf numFmtId="0" fontId="29" fillId="18" borderId="54" xfId="0" applyFont="1" applyFill="1" applyBorder="1" applyAlignment="1">
      <alignment horizontal="center" vertical="center" wrapText="1"/>
    </xf>
    <xf numFmtId="0" fontId="29" fillId="18" borderId="3" xfId="0" applyFont="1" applyFill="1" applyBorder="1" applyAlignment="1">
      <alignment horizontal="center" vertical="center" wrapText="1"/>
    </xf>
    <xf numFmtId="0" fontId="29" fillId="18" borderId="60" xfId="0" applyFont="1" applyFill="1" applyBorder="1" applyAlignment="1">
      <alignment horizontal="center" vertical="center" wrapText="1"/>
    </xf>
    <xf numFmtId="0" fontId="35" fillId="30" borderId="2" xfId="0" applyFont="1" applyFill="1" applyBorder="1" applyAlignment="1">
      <alignment horizontal="left" vertical="top" wrapText="1"/>
    </xf>
    <xf numFmtId="0" fontId="35" fillId="30" borderId="3" xfId="0" applyFont="1" applyFill="1" applyBorder="1" applyAlignment="1">
      <alignment horizontal="left" vertical="top" wrapText="1"/>
    </xf>
    <xf numFmtId="0" fontId="35" fillId="30" borderId="4" xfId="0" applyFont="1" applyFill="1" applyBorder="1" applyAlignment="1">
      <alignment horizontal="left" vertical="top" wrapText="1"/>
    </xf>
    <xf numFmtId="0" fontId="38" fillId="30" borderId="2" xfId="0" applyFont="1" applyFill="1" applyBorder="1" applyAlignment="1">
      <alignment horizontal="left" vertical="top" wrapText="1"/>
    </xf>
    <xf numFmtId="0" fontId="38" fillId="30" borderId="3" xfId="0" applyFont="1" applyFill="1" applyBorder="1" applyAlignment="1">
      <alignment horizontal="left" vertical="top" wrapText="1"/>
    </xf>
    <xf numFmtId="0" fontId="38" fillId="30" borderId="4" xfId="0" applyFont="1" applyFill="1" applyBorder="1" applyAlignment="1">
      <alignment horizontal="left" vertical="top" wrapText="1"/>
    </xf>
    <xf numFmtId="0" fontId="29" fillId="30" borderId="2" xfId="0" applyFont="1" applyFill="1" applyBorder="1" applyAlignment="1">
      <alignment horizontal="left" vertical="top" wrapText="1"/>
    </xf>
    <xf numFmtId="0" fontId="29" fillId="30" borderId="3" xfId="0" applyFont="1" applyFill="1" applyBorder="1" applyAlignment="1">
      <alignment horizontal="left" vertical="top" wrapText="1"/>
    </xf>
    <xf numFmtId="0" fontId="29" fillId="30" borderId="4" xfId="0" applyFont="1" applyFill="1" applyBorder="1" applyAlignment="1">
      <alignment horizontal="left" vertical="top" wrapText="1"/>
    </xf>
    <xf numFmtId="0" fontId="34" fillId="30" borderId="2" xfId="0" applyFont="1" applyFill="1" applyBorder="1" applyAlignment="1">
      <alignment horizontal="left" vertical="top" wrapText="1"/>
    </xf>
    <xf numFmtId="0" fontId="34" fillId="30" borderId="3" xfId="0" applyFont="1" applyFill="1" applyBorder="1" applyAlignment="1">
      <alignment horizontal="left" vertical="top" wrapText="1"/>
    </xf>
    <xf numFmtId="0" fontId="34" fillId="30" borderId="60" xfId="0" applyFont="1" applyFill="1" applyBorder="1" applyAlignment="1">
      <alignment horizontal="left" vertical="top" wrapText="1"/>
    </xf>
    <xf numFmtId="0" fontId="37" fillId="30" borderId="2" xfId="0" applyFont="1" applyFill="1" applyBorder="1" applyAlignment="1">
      <alignment horizontal="left" vertical="top" wrapText="1"/>
    </xf>
    <xf numFmtId="0" fontId="37" fillId="30" borderId="3" xfId="0" applyFont="1" applyFill="1" applyBorder="1" applyAlignment="1">
      <alignment horizontal="left" vertical="top" wrapText="1"/>
    </xf>
    <xf numFmtId="0" fontId="31" fillId="30" borderId="52" xfId="0" applyFont="1" applyFill="1" applyBorder="1" applyAlignment="1">
      <alignment horizontal="center" vertical="center"/>
    </xf>
    <xf numFmtId="0" fontId="31" fillId="30" borderId="56" xfId="0" applyFont="1" applyFill="1" applyBorder="1" applyAlignment="1">
      <alignment horizontal="center" vertical="center"/>
    </xf>
    <xf numFmtId="0" fontId="31" fillId="30" borderId="59" xfId="0" applyFont="1" applyFill="1" applyBorder="1" applyAlignment="1">
      <alignment horizontal="center" vertical="center"/>
    </xf>
    <xf numFmtId="0" fontId="35" fillId="30" borderId="54" xfId="0" applyFont="1" applyFill="1" applyBorder="1" applyAlignment="1">
      <alignment horizontal="left" vertical="top" wrapText="1"/>
    </xf>
    <xf numFmtId="0" fontId="34" fillId="30" borderId="54" xfId="0" applyFont="1" applyFill="1" applyBorder="1" applyAlignment="1">
      <alignment horizontal="left" vertical="top" wrapText="1"/>
    </xf>
    <xf numFmtId="0" fontId="34" fillId="30" borderId="4" xfId="0" applyFont="1" applyFill="1" applyBorder="1" applyAlignment="1">
      <alignment horizontal="left" vertical="top" wrapText="1"/>
    </xf>
    <xf numFmtId="0" fontId="29" fillId="27" borderId="38" xfId="0" applyFont="1" applyFill="1" applyBorder="1" applyAlignment="1">
      <alignment horizontal="center" vertical="center" textRotation="180" wrapText="1"/>
    </xf>
    <xf numFmtId="0" fontId="29" fillId="27" borderId="48" xfId="0" applyFont="1" applyFill="1" applyBorder="1" applyAlignment="1">
      <alignment horizontal="center" vertical="center" textRotation="180" wrapText="1"/>
    </xf>
    <xf numFmtId="0" fontId="35" fillId="31" borderId="3" xfId="0" applyFont="1" applyFill="1" applyBorder="1" applyAlignment="1">
      <alignment horizontal="left" vertical="top" wrapText="1"/>
    </xf>
    <xf numFmtId="0" fontId="34" fillId="31" borderId="3" xfId="0" applyFont="1" applyFill="1" applyBorder="1" applyAlignment="1">
      <alignment horizontal="left" vertical="top" wrapText="1"/>
    </xf>
    <xf numFmtId="0" fontId="29" fillId="27" borderId="20" xfId="0" applyFont="1" applyFill="1" applyBorder="1" applyAlignment="1">
      <alignment horizontal="center" vertical="center" textRotation="180"/>
    </xf>
    <xf numFmtId="0" fontId="31" fillId="31" borderId="61" xfId="0" applyFont="1" applyFill="1" applyBorder="1" applyAlignment="1">
      <alignment horizontal="center" vertical="center"/>
    </xf>
    <xf numFmtId="0" fontId="31" fillId="31" borderId="62" xfId="0" applyFont="1" applyFill="1" applyBorder="1" applyAlignment="1">
      <alignment horizontal="center" vertical="center"/>
    </xf>
    <xf numFmtId="0" fontId="31" fillId="31" borderId="63" xfId="0" applyFont="1" applyFill="1" applyBorder="1" applyAlignment="1">
      <alignment horizontal="center" vertical="center"/>
    </xf>
    <xf numFmtId="0" fontId="35" fillId="31" borderId="2" xfId="0" applyFont="1" applyFill="1" applyBorder="1" applyAlignment="1">
      <alignment vertical="top"/>
    </xf>
    <xf numFmtId="0" fontId="35" fillId="31" borderId="3" xfId="0" applyFont="1" applyFill="1" applyBorder="1" applyAlignment="1">
      <alignment vertical="top"/>
    </xf>
    <xf numFmtId="0" fontId="29" fillId="31" borderId="1" xfId="0" applyFont="1" applyFill="1" applyBorder="1" applyAlignment="1">
      <alignment vertical="top" wrapText="1"/>
    </xf>
    <xf numFmtId="0" fontId="39" fillId="31" borderId="2" xfId="0" applyFont="1" applyFill="1" applyBorder="1" applyAlignment="1">
      <alignment vertical="top"/>
    </xf>
    <xf numFmtId="0" fontId="39" fillId="31" borderId="3" xfId="0" applyFont="1" applyFill="1" applyBorder="1" applyAlignment="1">
      <alignment vertical="top"/>
    </xf>
    <xf numFmtId="0" fontId="34" fillId="31" borderId="2" xfId="0" applyFont="1" applyFill="1" applyBorder="1" applyAlignment="1">
      <alignment horizontal="left" vertical="top" wrapText="1"/>
    </xf>
    <xf numFmtId="0" fontId="34" fillId="31" borderId="4" xfId="0" applyFont="1" applyFill="1" applyBorder="1" applyAlignment="1">
      <alignment horizontal="left" vertical="top" wrapText="1"/>
    </xf>
    <xf numFmtId="0" fontId="41" fillId="32" borderId="14" xfId="0" applyFont="1" applyFill="1" applyBorder="1" applyAlignment="1">
      <alignment horizontal="left"/>
    </xf>
    <xf numFmtId="0" fontId="41" fillId="32" borderId="0" xfId="0" applyFont="1" applyFill="1" applyBorder="1" applyAlignment="1">
      <alignment horizontal="left"/>
    </xf>
    <xf numFmtId="0" fontId="41" fillId="32" borderId="15" xfId="0" applyFont="1" applyFill="1" applyBorder="1" applyAlignment="1">
      <alignment horizontal="left"/>
    </xf>
    <xf numFmtId="0" fontId="41" fillId="33" borderId="0" xfId="0" applyFont="1" applyFill="1" applyBorder="1" applyAlignment="1">
      <alignment horizontal="left"/>
    </xf>
    <xf numFmtId="0" fontId="40" fillId="32" borderId="65" xfId="0" applyFont="1" applyFill="1" applyBorder="1" applyAlignment="1">
      <alignment horizontal="left" vertical="top"/>
    </xf>
    <xf numFmtId="0" fontId="40" fillId="32" borderId="36" xfId="0" applyFont="1" applyFill="1" applyBorder="1" applyAlignment="1">
      <alignment horizontal="left" vertical="top"/>
    </xf>
    <xf numFmtId="0" fontId="40" fillId="32" borderId="19" xfId="0" applyFont="1" applyFill="1" applyBorder="1" applyAlignment="1">
      <alignment horizontal="left" vertical="top"/>
    </xf>
    <xf numFmtId="0" fontId="40" fillId="33" borderId="36" xfId="0" applyFont="1" applyFill="1" applyBorder="1" applyAlignment="1">
      <alignment horizontal="left"/>
    </xf>
    <xf numFmtId="0" fontId="40" fillId="33" borderId="19" xfId="0" applyFont="1" applyFill="1" applyBorder="1" applyAlignment="1">
      <alignment horizontal="left"/>
    </xf>
    <xf numFmtId="0" fontId="41" fillId="33" borderId="15" xfId="0" applyFont="1" applyFill="1" applyBorder="1" applyAlignment="1">
      <alignment horizontal="left"/>
    </xf>
    <xf numFmtId="0" fontId="2" fillId="23" borderId="25"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7" xfId="0" applyFont="1" applyFill="1" applyBorder="1" applyAlignment="1">
      <alignment horizontal="center" vertical="center" wrapText="1"/>
    </xf>
    <xf numFmtId="0" fontId="35" fillId="31" borderId="2" xfId="0" applyFont="1" applyFill="1" applyBorder="1" applyAlignment="1">
      <alignment vertical="top" wrapText="1"/>
    </xf>
    <xf numFmtId="0" fontId="35" fillId="31" borderId="3" xfId="0" applyFont="1" applyFill="1" applyBorder="1" applyAlignment="1">
      <alignment vertical="top" wrapText="1"/>
    </xf>
    <xf numFmtId="0" fontId="29" fillId="31" borderId="2" xfId="0" applyFont="1" applyFill="1" applyBorder="1" applyAlignment="1">
      <alignment vertical="top" wrapText="1"/>
    </xf>
    <xf numFmtId="0" fontId="29" fillId="31" borderId="3" xfId="0" applyFont="1" applyFill="1" applyBorder="1" applyAlignment="1">
      <alignment vertical="top" wrapText="1"/>
    </xf>
    <xf numFmtId="0" fontId="29" fillId="31" borderId="4" xfId="0" applyFont="1" applyFill="1" applyBorder="1" applyAlignment="1">
      <alignment vertical="top" wrapText="1"/>
    </xf>
    <xf numFmtId="0" fontId="38" fillId="31" borderId="2" xfId="0" applyFont="1" applyFill="1" applyBorder="1" applyAlignment="1">
      <alignment vertical="top"/>
    </xf>
    <xf numFmtId="0" fontId="38" fillId="31" borderId="3" xfId="0" applyFont="1" applyFill="1" applyBorder="1" applyAlignment="1">
      <alignment vertical="top"/>
    </xf>
    <xf numFmtId="0" fontId="38" fillId="31" borderId="4" xfId="0" applyFont="1" applyFill="1" applyBorder="1" applyAlignment="1">
      <alignment vertical="top"/>
    </xf>
    <xf numFmtId="0" fontId="38" fillId="31" borderId="2" xfId="0" applyFont="1" applyFill="1" applyBorder="1" applyAlignment="1">
      <alignment horizontal="left" vertical="top" wrapText="1"/>
    </xf>
    <xf numFmtId="0" fontId="38" fillId="31" borderId="3" xfId="0" applyFont="1" applyFill="1" applyBorder="1" applyAlignment="1">
      <alignment horizontal="left" vertical="top" wrapText="1"/>
    </xf>
    <xf numFmtId="0" fontId="38" fillId="31" borderId="4" xfId="0" applyFont="1" applyFill="1" applyBorder="1" applyAlignment="1">
      <alignment horizontal="left" vertical="top" wrapText="1"/>
    </xf>
    <xf numFmtId="0" fontId="38" fillId="31" borderId="1" xfId="0" applyFont="1" applyFill="1" applyBorder="1" applyAlignment="1">
      <alignment vertical="top"/>
    </xf>
    <xf numFmtId="0" fontId="29" fillId="30" borderId="2" xfId="0" applyFont="1" applyFill="1" applyBorder="1" applyAlignment="1">
      <alignment horizontal="left" vertical="top"/>
    </xf>
    <xf numFmtId="0" fontId="29" fillId="30" borderId="4" xfId="0" applyFont="1" applyFill="1" applyBorder="1" applyAlignment="1">
      <alignment horizontal="left" vertical="top"/>
    </xf>
    <xf numFmtId="0" fontId="0" fillId="32" borderId="16" xfId="0" applyFill="1" applyBorder="1" applyAlignment="1">
      <alignment horizontal="left"/>
    </xf>
    <xf numFmtId="0" fontId="0" fillId="32" borderId="66" xfId="0" applyFill="1" applyBorder="1" applyAlignment="1">
      <alignment horizontal="left"/>
    </xf>
    <xf numFmtId="0" fontId="0" fillId="32" borderId="17" xfId="0" applyFill="1" applyBorder="1" applyAlignment="1">
      <alignment horizontal="left"/>
    </xf>
    <xf numFmtId="0" fontId="41" fillId="33" borderId="66" xfId="0" applyFont="1" applyFill="1" applyBorder="1" applyAlignment="1">
      <alignment horizontal="left"/>
    </xf>
    <xf numFmtId="0" fontId="41" fillId="33" borderId="17" xfId="0" applyFont="1" applyFill="1" applyBorder="1" applyAlignment="1">
      <alignment horizontal="left"/>
    </xf>
    <xf numFmtId="0" fontId="40" fillId="0" borderId="65" xfId="0" applyFont="1" applyBorder="1" applyAlignment="1">
      <alignment horizontal="left"/>
    </xf>
    <xf numFmtId="0" fontId="40" fillId="0" borderId="19" xfId="0" applyFont="1" applyBorder="1" applyAlignment="1">
      <alignment horizontal="left"/>
    </xf>
    <xf numFmtId="0" fontId="40" fillId="20" borderId="37" xfId="0" applyFont="1" applyFill="1" applyBorder="1" applyAlignment="1">
      <alignment horizontal="left" vertical="center"/>
    </xf>
    <xf numFmtId="0" fontId="40" fillId="20" borderId="48" xfId="0" applyFont="1" applyFill="1" applyBorder="1" applyAlignment="1">
      <alignment horizontal="left" vertical="center"/>
    </xf>
    <xf numFmtId="0" fontId="40" fillId="34" borderId="37" xfId="0" applyFont="1" applyFill="1" applyBorder="1" applyAlignment="1">
      <alignment horizontal="left" vertical="center"/>
    </xf>
    <xf numFmtId="0" fontId="40" fillId="34" borderId="38" xfId="0" applyFont="1" applyFill="1" applyBorder="1" applyAlignment="1">
      <alignment horizontal="left" vertical="center"/>
    </xf>
    <xf numFmtId="0" fontId="2" fillId="0" borderId="25" xfId="0" applyFont="1" applyBorder="1" applyAlignment="1">
      <alignment horizontal="center"/>
    </xf>
    <xf numFmtId="0" fontId="2" fillId="0" borderId="7" xfId="0" applyFont="1" applyBorder="1" applyAlignment="1">
      <alignment horizontal="center"/>
    </xf>
    <xf numFmtId="0" fontId="2" fillId="14" borderId="25" xfId="0" applyFont="1" applyFill="1" applyBorder="1" applyAlignment="1">
      <alignment horizontal="center" vertical="center" wrapText="1"/>
    </xf>
    <xf numFmtId="0" fontId="2" fillId="14" borderId="7" xfId="0" applyFont="1" applyFill="1" applyBorder="1" applyAlignment="1">
      <alignment horizontal="center" vertical="center" wrapText="1"/>
    </xf>
  </cellXfs>
  <cellStyles count="7">
    <cellStyle name="Comma" xfId="1" builtinId="3"/>
    <cellStyle name="Comma [0]" xfId="5" builtinId="6"/>
    <cellStyle name="Currency" xfId="6" builtinId="4"/>
    <cellStyle name="Hyperlink" xfId="4" builtinId="8"/>
    <cellStyle name="Normal" xfId="0" builtinId="0"/>
    <cellStyle name="Normal 3" xfId="3" xr:uid="{5AA7F8D7-4F88-4EE6-ADF5-43CE4CD6F53D}"/>
    <cellStyle name="Percent" xfId="2" builtinId="5"/>
  </cellStyles>
  <dxfs count="51">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
      <font>
        <b/>
        <i val="0"/>
        <strike val="0"/>
      </font>
      <fill>
        <patternFill>
          <bgColor rgb="FF92D050"/>
        </patternFill>
      </fill>
    </dxf>
    <dxf>
      <font>
        <b/>
        <i val="0"/>
      </font>
      <fill>
        <patternFill>
          <bgColor rgb="FFFFC000"/>
        </patternFill>
      </fill>
    </dxf>
    <dxf>
      <font>
        <b/>
        <i val="0"/>
        <color theme="0"/>
      </font>
      <fill>
        <patternFill>
          <bgColor rgb="FFFF0000"/>
        </patternFill>
      </fill>
    </dxf>
  </dxfs>
  <tableStyles count="0" defaultTableStyle="TableStyleMedium2" defaultPivotStyle="PivotStyleLight16"/>
  <colors>
    <mruColors>
      <color rgb="FFCCFFFF"/>
      <color rgb="FF99FF66"/>
      <color rgb="FF00FFFF"/>
      <color rgb="FFCCCC00"/>
      <color rgb="FFFF9900"/>
      <color rgb="FF99FF33"/>
      <color rgb="FFFFFF00"/>
      <color rgb="FFFFFF99"/>
      <color rgb="FFFFCC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Live'!$AB$3</c:f>
              <c:strCache>
                <c:ptCount val="1"/>
                <c:pt idx="0">
                  <c:v>Net Deficit funded by HSDG Top Slice</c:v>
                </c:pt>
              </c:strCache>
            </c:strRef>
          </c:tx>
          <c:spPr>
            <a:solidFill>
              <a:srgbClr val="00B050"/>
            </a:solidFill>
            <a:ln w="25400">
              <a:noFill/>
            </a:ln>
            <a:effectLst/>
          </c:spPr>
          <c:cat>
            <c:strRef>
              <c:f>'5. Dashboard Live'!$AC$2:$AZ$2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Live'!$AC$3:$AZ$3</c:f>
              <c:numCache>
                <c:formatCode>"R"#,##0;\-"R"#,##0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0</c:v>
                </c:pt>
                <c:pt idx="23">
                  <c:v>0</c:v>
                </c:pt>
              </c:numCache>
            </c:numRef>
          </c:val>
          <c:extLst>
            <c:ext xmlns:c16="http://schemas.microsoft.com/office/drawing/2014/chart" uri="{C3380CC4-5D6E-409C-BE32-E72D297353CC}">
              <c16:uniqueId val="{00000000-1C3E-4FE2-936B-466F91491340}"/>
            </c:ext>
          </c:extLst>
        </c:ser>
        <c:ser>
          <c:idx val="1"/>
          <c:order val="1"/>
          <c:tx>
            <c:strRef>
              <c:f>'5. Dashboard Live'!$AB$4</c:f>
              <c:strCache>
                <c:ptCount val="1"/>
                <c:pt idx="0">
                  <c:v>EEDBS utilised to settle Existing Sales Debtors Balances Owing</c:v>
                </c:pt>
              </c:strCache>
            </c:strRef>
          </c:tx>
          <c:spPr>
            <a:solidFill>
              <a:srgbClr val="002060"/>
            </a:solidFill>
            <a:ln w="25400">
              <a:noFill/>
            </a:ln>
            <a:effectLst/>
          </c:spPr>
          <c:cat>
            <c:strRef>
              <c:f>'5. Dashboard Live'!$AC$2:$AZ$2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Live'!$AC$4:$AZ$4</c:f>
              <c:numCache>
                <c:formatCode>"R"#,##0;\-"R"#,##0</c:formatCode>
                <c:ptCount val="24"/>
                <c:pt idx="0">
                  <c:v>-5576064</c:v>
                </c:pt>
                <c:pt idx="1">
                  <c:v>-1243913</c:v>
                </c:pt>
                <c:pt idx="2">
                  <c:v>-313420</c:v>
                </c:pt>
                <c:pt idx="3">
                  <c:v>-210409.8845669291</c:v>
                </c:pt>
                <c:pt idx="4">
                  <c:v>-210409.8845669291</c:v>
                </c:pt>
                <c:pt idx="5">
                  <c:v>-210409.8845669291</c:v>
                </c:pt>
                <c:pt idx="6">
                  <c:v>-23378.876062992123</c:v>
                </c:pt>
                <c:pt idx="7">
                  <c:v>-23378.876062992123</c:v>
                </c:pt>
                <c:pt idx="8">
                  <c:v>-23378.876062992123</c:v>
                </c:pt>
                <c:pt idx="9">
                  <c:v>-23378.876062992123</c:v>
                </c:pt>
                <c:pt idx="10">
                  <c:v>-23378.876062992123</c:v>
                </c:pt>
                <c:pt idx="11">
                  <c:v>-23378.876062992123</c:v>
                </c:pt>
                <c:pt idx="12">
                  <c:v>-23378.876062992123</c:v>
                </c:pt>
                <c:pt idx="13">
                  <c:v>-23378.876062992123</c:v>
                </c:pt>
                <c:pt idx="14">
                  <c:v>-23378.876062992123</c:v>
                </c:pt>
                <c:pt idx="15">
                  <c:v>-23378.876062992123</c:v>
                </c:pt>
                <c:pt idx="16">
                  <c:v>-23378.876062992123</c:v>
                </c:pt>
                <c:pt idx="17">
                  <c:v>-23378.876062992123</c:v>
                </c:pt>
                <c:pt idx="18">
                  <c:v>-23378.876062992123</c:v>
                </c:pt>
                <c:pt idx="19">
                  <c:v>-23378.876062992123</c:v>
                </c:pt>
                <c:pt idx="20">
                  <c:v>-23378.876062992123</c:v>
                </c:pt>
                <c:pt idx="21">
                  <c:v>-23378.876062992123</c:v>
                </c:pt>
                <c:pt idx="22">
                  <c:v>-15759591.013178613</c:v>
                </c:pt>
                <c:pt idx="23">
                  <c:v>0</c:v>
                </c:pt>
              </c:numCache>
            </c:numRef>
          </c:val>
          <c:extLst>
            <c:ext xmlns:c16="http://schemas.microsoft.com/office/drawing/2014/chart" uri="{C3380CC4-5D6E-409C-BE32-E72D297353CC}">
              <c16:uniqueId val="{00000001-1C3E-4FE2-936B-466F91491340}"/>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Total Check'!$AB$136</c:f>
              <c:strCache>
                <c:ptCount val="1"/>
                <c:pt idx="0">
                  <c:v>Total Income</c:v>
                </c:pt>
              </c:strCache>
            </c:strRef>
          </c:tx>
          <c:spPr>
            <a:solidFill>
              <a:srgbClr val="7030A0"/>
            </a:solidFill>
            <a:ln>
              <a:noFill/>
            </a:ln>
            <a:effectLst/>
          </c:spPr>
          <c:cat>
            <c:strRef>
              <c:f>'5. Dashboard Total Check'!$AC$135:$AZ$135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 Check'!$AC$136:$AZ$136</c:f>
              <c:numCache>
                <c:formatCode>"R"#,##0</c:formatCode>
                <c:ptCount val="24"/>
                <c:pt idx="0">
                  <c:v>986752.92000000016</c:v>
                </c:pt>
                <c:pt idx="1">
                  <c:v>897187.48</c:v>
                </c:pt>
                <c:pt idx="2">
                  <c:v>774350.93</c:v>
                </c:pt>
                <c:pt idx="3">
                  <c:v>650954.76724420744</c:v>
                </c:pt>
                <c:pt idx="4">
                  <c:v>606996.28724420746</c:v>
                </c:pt>
                <c:pt idx="5">
                  <c:v>563037.80724420748</c:v>
                </c:pt>
                <c:pt idx="6">
                  <c:v>135823.88969380083</c:v>
                </c:pt>
                <c:pt idx="7">
                  <c:v>130939.61413824529</c:v>
                </c:pt>
                <c:pt idx="8">
                  <c:v>126055.33858268973</c:v>
                </c:pt>
                <c:pt idx="9">
                  <c:v>121171.06302713418</c:v>
                </c:pt>
                <c:pt idx="10">
                  <c:v>116286.78747157862</c:v>
                </c:pt>
                <c:pt idx="11">
                  <c:v>111402.51191602307</c:v>
                </c:pt>
                <c:pt idx="12">
                  <c:v>106518.2363604675</c:v>
                </c:pt>
                <c:pt idx="13">
                  <c:v>101633.96080491194</c:v>
                </c:pt>
                <c:pt idx="14">
                  <c:v>96749.685249356393</c:v>
                </c:pt>
                <c:pt idx="15">
                  <c:v>91865.409693800844</c:v>
                </c:pt>
                <c:pt idx="16">
                  <c:v>86981.134138245281</c:v>
                </c:pt>
                <c:pt idx="17">
                  <c:v>82096.858582689732</c:v>
                </c:pt>
                <c:pt idx="18">
                  <c:v>77212.583027134169</c:v>
                </c:pt>
                <c:pt idx="19">
                  <c:v>72328.307471578621</c:v>
                </c:pt>
                <c:pt idx="20">
                  <c:v>67444.031916023057</c:v>
                </c:pt>
                <c:pt idx="21">
                  <c:v>62559.756360467509</c:v>
                </c:pt>
                <c:pt idx="22">
                  <c:v>105582.41049871279</c:v>
                </c:pt>
                <c:pt idx="23">
                  <c:v>0</c:v>
                </c:pt>
              </c:numCache>
            </c:numRef>
          </c:val>
          <c:extLst>
            <c:ext xmlns:c16="http://schemas.microsoft.com/office/drawing/2014/chart" uri="{C3380CC4-5D6E-409C-BE32-E72D297353CC}">
              <c16:uniqueId val="{00000000-9ECC-4F57-BDAD-5EC9F0250438}"/>
            </c:ext>
          </c:extLst>
        </c:ser>
        <c:ser>
          <c:idx val="1"/>
          <c:order val="1"/>
          <c:tx>
            <c:strRef>
              <c:f>'5. Dashboard Total Check'!$AB$137</c:f>
              <c:strCache>
                <c:ptCount val="1"/>
                <c:pt idx="0">
                  <c:v>Total Expenditure</c:v>
                </c:pt>
              </c:strCache>
            </c:strRef>
          </c:tx>
          <c:spPr>
            <a:solidFill>
              <a:srgbClr val="00B050"/>
            </a:solidFill>
            <a:ln>
              <a:noFill/>
            </a:ln>
            <a:effectLst/>
          </c:spPr>
          <c:cat>
            <c:strRef>
              <c:f>'5. Dashboard Total Check'!$AC$135:$AZ$135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 Check'!$AC$137:$AZ$137</c:f>
              <c:numCache>
                <c:formatCode>"R"#,##0</c:formatCode>
                <c:ptCount val="24"/>
                <c:pt idx="0">
                  <c:v>-10341549.390000001</c:v>
                </c:pt>
                <c:pt idx="1">
                  <c:v>-11126424.74</c:v>
                </c:pt>
                <c:pt idx="2">
                  <c:v>-11189539.09</c:v>
                </c:pt>
                <c:pt idx="3">
                  <c:v>-9701626.2512849998</c:v>
                </c:pt>
                <c:pt idx="4">
                  <c:v>-7883264.6445640996</c:v>
                </c:pt>
                <c:pt idx="5">
                  <c:v>-5835535.8416937636</c:v>
                </c:pt>
                <c:pt idx="6">
                  <c:v>-5697948.2137706475</c:v>
                </c:pt>
                <c:pt idx="7">
                  <c:v>-5666321.8117248667</c:v>
                </c:pt>
                <c:pt idx="8">
                  <c:v>-5613980.2121073939</c:v>
                </c:pt>
                <c:pt idx="9">
                  <c:v>-5538740.4130515298</c:v>
                </c:pt>
                <c:pt idx="10">
                  <c:v>-5438241.9459578963</c:v>
                </c:pt>
                <c:pt idx="11">
                  <c:v>-5309933.9577344833</c:v>
                </c:pt>
                <c:pt idx="12">
                  <c:v>-5151061.4089199724</c:v>
                </c:pt>
                <c:pt idx="13">
                  <c:v>-4958650.3295137174</c:v>
                </c:pt>
                <c:pt idx="14">
                  <c:v>-4729492.0706107933</c:v>
                </c:pt>
                <c:pt idx="15">
                  <c:v>-4460126.4859817661</c:v>
                </c:pt>
                <c:pt idx="16">
                  <c:v>-4146823.9735299493</c:v>
                </c:pt>
                <c:pt idx="17">
                  <c:v>-3785566.3020883375</c:v>
                </c:pt>
                <c:pt idx="18">
                  <c:v>-3372026.1442682222</c:v>
                </c:pt>
                <c:pt idx="19">
                  <c:v>-2901545.2310240753</c:v>
                </c:pt>
                <c:pt idx="20">
                  <c:v>-2369111.0382366609</c:v>
                </c:pt>
                <c:pt idx="21">
                  <c:v>-1769331.9099187839</c:v>
                </c:pt>
                <c:pt idx="22">
                  <c:v>-77438.113494705685</c:v>
                </c:pt>
                <c:pt idx="23">
                  <c:v>0</c:v>
                </c:pt>
              </c:numCache>
            </c:numRef>
          </c:val>
          <c:extLst>
            <c:ext xmlns:c16="http://schemas.microsoft.com/office/drawing/2014/chart" uri="{C3380CC4-5D6E-409C-BE32-E72D297353CC}">
              <c16:uniqueId val="{00000001-9ECC-4F57-BDAD-5EC9F0250438}"/>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Total Check'!$AB$139</c:f>
              <c:strCache>
                <c:ptCount val="1"/>
                <c:pt idx="0">
                  <c:v>Cumulative Surplus/(Deficit)</c:v>
                </c:pt>
              </c:strCache>
            </c:strRef>
          </c:tx>
          <c:spPr>
            <a:ln w="28575" cap="rnd">
              <a:solidFill>
                <a:srgbClr val="002060"/>
              </a:solidFill>
              <a:round/>
            </a:ln>
            <a:effectLst/>
          </c:spPr>
          <c:marker>
            <c:symbol val="none"/>
          </c:marker>
          <c:cat>
            <c:strRef>
              <c:f>'5. Dashboard Total Check'!$AC$135:$AZ$135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 Check'!$AC$139:$AZ$139</c:f>
              <c:numCache>
                <c:formatCode>"R"#,##0</c:formatCode>
                <c:ptCount val="24"/>
                <c:pt idx="0">
                  <c:v>-9354796.4700000007</c:v>
                </c:pt>
                <c:pt idx="1">
                  <c:v>-19584033.73</c:v>
                </c:pt>
                <c:pt idx="2">
                  <c:v>-29999221.890000001</c:v>
                </c:pt>
                <c:pt idx="3">
                  <c:v>-39049893.374040797</c:v>
                </c:pt>
                <c:pt idx="4">
                  <c:v>-46326161.731360689</c:v>
                </c:pt>
                <c:pt idx="5">
                  <c:v>-51598659.765810244</c:v>
                </c:pt>
                <c:pt idx="6">
                  <c:v>-57160784.08988709</c:v>
                </c:pt>
                <c:pt idx="7">
                  <c:v>-62696166.287473708</c:v>
                </c:pt>
                <c:pt idx="8">
                  <c:v>-68184091.160998419</c:v>
                </c:pt>
                <c:pt idx="9">
                  <c:v>-73601660.511022821</c:v>
                </c:pt>
                <c:pt idx="10">
                  <c:v>-78923615.669509143</c:v>
                </c:pt>
                <c:pt idx="11">
                  <c:v>-84122147.115327597</c:v>
                </c:pt>
                <c:pt idx="12">
                  <c:v>-89166690.287887096</c:v>
                </c:pt>
                <c:pt idx="13">
                  <c:v>-94023706.656595901</c:v>
                </c:pt>
                <c:pt idx="14">
                  <c:v>-98656449.041957334</c:v>
                </c:pt>
                <c:pt idx="15">
                  <c:v>-103024710.1182453</c:v>
                </c:pt>
                <c:pt idx="16">
                  <c:v>-107084552.95763701</c:v>
                </c:pt>
                <c:pt idx="17">
                  <c:v>-110788022.40114266</c:v>
                </c:pt>
                <c:pt idx="18">
                  <c:v>-114082835.96238375</c:v>
                </c:pt>
                <c:pt idx="19">
                  <c:v>-116912052.88593625</c:v>
                </c:pt>
                <c:pt idx="20">
                  <c:v>-119213719.89225689</c:v>
                </c:pt>
                <c:pt idx="21">
                  <c:v>-120920492.0458152</c:v>
                </c:pt>
                <c:pt idx="22">
                  <c:v>-120892347.74881119</c:v>
                </c:pt>
                <c:pt idx="23">
                  <c:v>-120892347.74881119</c:v>
                </c:pt>
              </c:numCache>
            </c:numRef>
          </c:val>
          <c:smooth val="0"/>
          <c:extLst>
            <c:ext xmlns:c16="http://schemas.microsoft.com/office/drawing/2014/chart" uri="{C3380CC4-5D6E-409C-BE32-E72D297353CC}">
              <c16:uniqueId val="{00000002-9ECC-4F57-BDAD-5EC9F0250438}"/>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Total Check'!$AB$138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Total Check'!$AC$135:$AZ$135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Total Check'!$AC$138:$AZ$138</c15:sqref>
                        </c15:formulaRef>
                      </c:ext>
                    </c:extLst>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28144.297004007109</c:v>
                      </c:pt>
                      <c:pt idx="23">
                        <c:v>0</c:v>
                      </c:pt>
                    </c:numCache>
                  </c:numRef>
                </c:val>
                <c:smooth val="0"/>
                <c:extLst>
                  <c:ext xmlns:c16="http://schemas.microsoft.com/office/drawing/2014/chart" uri="{C3380CC4-5D6E-409C-BE32-E72D297353CC}">
                    <c16:uniqueId val="{00000003-9ECC-4F57-BDAD-5EC9F0250438}"/>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EC'!$E$388</c:f>
              <c:strCache>
                <c:ptCount val="1"/>
                <c:pt idx="0">
                  <c:v>Net Surplus/Deficit p.u.p.m.</c:v>
                </c:pt>
              </c:strCache>
            </c:strRef>
          </c:tx>
          <c:spPr>
            <a:ln w="28575" cap="rnd">
              <a:solidFill>
                <a:schemeClr val="accent1"/>
              </a:solidFill>
              <a:round/>
            </a:ln>
            <a:effectLst/>
          </c:spPr>
          <c:marker>
            <c:symbol val="none"/>
          </c:marker>
          <c:cat>
            <c:strRef>
              <c:f>'9b. Forecast Results - EC'!$N$387:$AK$387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EC'!$N$388:$AK$388</c:f>
              <c:numCache>
                <c:formatCode>"R"#,##0_);[Red]\("R"#,##0\)</c:formatCode>
                <c:ptCount val="24"/>
                <c:pt idx="0">
                  <c:v>0</c:v>
                </c:pt>
                <c:pt idx="1">
                  <c:v>0</c:v>
                </c:pt>
                <c:pt idx="2">
                  <c:v>-9353.4889722222215</c:v>
                </c:pt>
                <c:pt idx="3">
                  <c:v>-10475.314217639807</c:v>
                </c:pt>
                <c:pt idx="4">
                  <c:v>-11228.809193394896</c:v>
                </c:pt>
                <c:pt idx="5">
                  <c:v>-12204.856561225824</c:v>
                </c:pt>
                <c:pt idx="6">
                  <c:v>-13632.657657051093</c:v>
                </c:pt>
                <c:pt idx="7">
                  <c:v>-14415.05780621516</c:v>
                </c:pt>
                <c:pt idx="8">
                  <c:v>-15244.235759790843</c:v>
                </c:pt>
                <c:pt idx="9">
                  <c:v>-16123.718303644035</c:v>
                </c:pt>
                <c:pt idx="10">
                  <c:v>-17057.548584892043</c:v>
                </c:pt>
                <c:pt idx="11">
                  <c:v>-18050.456409091876</c:v>
                </c:pt>
                <c:pt idx="12">
                  <c:v>-19108.118077876916</c:v>
                </c:pt>
                <c:pt idx="13">
                  <c:v>-20237.568202953353</c:v>
                </c:pt>
                <c:pt idx="14">
                  <c:v>-21447.881413710355</c:v>
                </c:pt>
                <c:pt idx="15">
                  <c:v>-22751.359772333151</c:v>
                </c:pt>
                <c:pt idx="16">
                  <c:v>-24165.731186855381</c:v>
                </c:pt>
                <c:pt idx="17">
                  <c:v>-25718.537802122552</c:v>
                </c:pt>
                <c:pt idx="18">
                  <c:v>-27456.779677009064</c:v>
                </c:pt>
                <c:pt idx="19">
                  <c:v>-29471.009620338507</c:v>
                </c:pt>
                <c:pt idx="20">
                  <c:v>-31967.597310008856</c:v>
                </c:pt>
                <c:pt idx="21">
                  <c:v>-35557.753199131592</c:v>
                </c:pt>
                <c:pt idx="22">
                  <c:v>0</c:v>
                </c:pt>
                <c:pt idx="23">
                  <c:v>0</c:v>
                </c:pt>
              </c:numCache>
            </c:numRef>
          </c:val>
          <c:smooth val="0"/>
          <c:extLst>
            <c:ext xmlns:c16="http://schemas.microsoft.com/office/drawing/2014/chart" uri="{C3380CC4-5D6E-409C-BE32-E72D297353CC}">
              <c16:uniqueId val="{00000000-9D48-45AA-B3A3-63A460C745D1}"/>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EC'!$E$171</c:f>
              <c:strCache>
                <c:ptCount val="1"/>
                <c:pt idx="0">
                  <c:v>Net Surplus / (Deficit)</c:v>
                </c:pt>
              </c:strCache>
            </c:strRef>
          </c:tx>
          <c:spPr>
            <a:ln w="28575" cap="rnd">
              <a:solidFill>
                <a:schemeClr val="accent1"/>
              </a:solidFill>
              <a:round/>
            </a:ln>
            <a:effectLst/>
          </c:spPr>
          <c:marker>
            <c:symbol val="none"/>
          </c:marker>
          <c:cat>
            <c:strRef>
              <c:f>'9b. Forecast Results - EC'!$N$170:$AK$170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EC'!$N$171:$AK$171</c:f>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28144.297004007109</c:v>
                </c:pt>
                <c:pt idx="23">
                  <c:v>0</c:v>
                </c:pt>
              </c:numCache>
            </c:numRef>
          </c:val>
          <c:smooth val="0"/>
          <c:extLst>
            <c:ext xmlns:c16="http://schemas.microsoft.com/office/drawing/2014/chart" uri="{C3380CC4-5D6E-409C-BE32-E72D297353CC}">
              <c16:uniqueId val="{00000000-E254-48C5-854F-C4B593723DD5}"/>
            </c:ext>
          </c:extLst>
        </c:ser>
        <c:ser>
          <c:idx val="1"/>
          <c:order val="1"/>
          <c:tx>
            <c:strRef>
              <c:f>'9b. Forecast Results - EC'!$E$172</c:f>
              <c:strCache>
                <c:ptCount val="1"/>
                <c:pt idx="0">
                  <c:v>Total Expenditure</c:v>
                </c:pt>
              </c:strCache>
            </c:strRef>
          </c:tx>
          <c:spPr>
            <a:ln w="28575" cap="rnd">
              <a:solidFill>
                <a:srgbClr val="00B050"/>
              </a:solidFill>
              <a:round/>
            </a:ln>
            <a:effectLst/>
          </c:spPr>
          <c:marker>
            <c:symbol val="none"/>
          </c:marker>
          <c:cat>
            <c:strRef>
              <c:f>'9b. Forecast Results - EC'!$N$170:$AK$170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EC'!$N$172:$AK$172</c:f>
              <c:numCache>
                <c:formatCode>"R"#,##0</c:formatCode>
                <c:ptCount val="24"/>
                <c:pt idx="0">
                  <c:v>10341549.390000001</c:v>
                </c:pt>
                <c:pt idx="1">
                  <c:v>11126424.74</c:v>
                </c:pt>
                <c:pt idx="2">
                  <c:v>11189539.09</c:v>
                </c:pt>
                <c:pt idx="3">
                  <c:v>9701626.2512849998</c:v>
                </c:pt>
                <c:pt idx="4">
                  <c:v>7883264.6445640996</c:v>
                </c:pt>
                <c:pt idx="5">
                  <c:v>5835535.8416937636</c:v>
                </c:pt>
                <c:pt idx="6">
                  <c:v>5697948.2137706475</c:v>
                </c:pt>
                <c:pt idx="7">
                  <c:v>5666321.8117248667</c:v>
                </c:pt>
                <c:pt idx="8">
                  <c:v>5613980.2121073939</c:v>
                </c:pt>
                <c:pt idx="9">
                  <c:v>5538740.4130515298</c:v>
                </c:pt>
                <c:pt idx="10">
                  <c:v>5438241.9459578963</c:v>
                </c:pt>
                <c:pt idx="11">
                  <c:v>5309933.9577344833</c:v>
                </c:pt>
                <c:pt idx="12">
                  <c:v>5151061.4089199724</c:v>
                </c:pt>
                <c:pt idx="13">
                  <c:v>4958650.3295137174</c:v>
                </c:pt>
                <c:pt idx="14">
                  <c:v>4729492.0706107933</c:v>
                </c:pt>
                <c:pt idx="15">
                  <c:v>4460126.4859817661</c:v>
                </c:pt>
                <c:pt idx="16">
                  <c:v>4146823.9735299493</c:v>
                </c:pt>
                <c:pt idx="17">
                  <c:v>3785566.3020883375</c:v>
                </c:pt>
                <c:pt idx="18">
                  <c:v>3372026.1442682222</c:v>
                </c:pt>
                <c:pt idx="19">
                  <c:v>2901545.2310240753</c:v>
                </c:pt>
                <c:pt idx="20">
                  <c:v>2369111.0382366609</c:v>
                </c:pt>
                <c:pt idx="21">
                  <c:v>1769331.9099187839</c:v>
                </c:pt>
                <c:pt idx="22">
                  <c:v>77438.113494705685</c:v>
                </c:pt>
                <c:pt idx="23">
                  <c:v>0</c:v>
                </c:pt>
              </c:numCache>
            </c:numRef>
          </c:val>
          <c:smooth val="0"/>
          <c:extLst>
            <c:ext xmlns:c16="http://schemas.microsoft.com/office/drawing/2014/chart" uri="{C3380CC4-5D6E-409C-BE32-E72D297353CC}">
              <c16:uniqueId val="{00000001-E254-48C5-854F-C4B593723DD5}"/>
            </c:ext>
          </c:extLst>
        </c:ser>
        <c:ser>
          <c:idx val="2"/>
          <c:order val="2"/>
          <c:tx>
            <c:strRef>
              <c:f>'9b. Forecast Results - EC'!$E$173</c:f>
              <c:strCache>
                <c:ptCount val="1"/>
                <c:pt idx="0">
                  <c:v>Total Income</c:v>
                </c:pt>
              </c:strCache>
            </c:strRef>
          </c:tx>
          <c:spPr>
            <a:ln w="28575" cap="rnd">
              <a:solidFill>
                <a:schemeClr val="accent3"/>
              </a:solidFill>
              <a:round/>
            </a:ln>
            <a:effectLst/>
          </c:spPr>
          <c:marker>
            <c:symbol val="none"/>
          </c:marker>
          <c:cat>
            <c:strRef>
              <c:f>'9b. Forecast Results - EC'!$N$170:$AK$170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EC'!$N$173:$AK$173</c:f>
              <c:numCache>
                <c:formatCode>"R"#,##0</c:formatCode>
                <c:ptCount val="24"/>
                <c:pt idx="0">
                  <c:v>986752.92000000016</c:v>
                </c:pt>
                <c:pt idx="1">
                  <c:v>897187.48</c:v>
                </c:pt>
                <c:pt idx="2">
                  <c:v>774350.93</c:v>
                </c:pt>
                <c:pt idx="3">
                  <c:v>650954.76724420744</c:v>
                </c:pt>
                <c:pt idx="4">
                  <c:v>606996.28724420746</c:v>
                </c:pt>
                <c:pt idx="5">
                  <c:v>563037.80724420748</c:v>
                </c:pt>
                <c:pt idx="6">
                  <c:v>135823.88969380083</c:v>
                </c:pt>
                <c:pt idx="7">
                  <c:v>130939.61413824529</c:v>
                </c:pt>
                <c:pt idx="8">
                  <c:v>126055.33858268973</c:v>
                </c:pt>
                <c:pt idx="9">
                  <c:v>121171.06302713418</c:v>
                </c:pt>
                <c:pt idx="10">
                  <c:v>116286.78747157862</c:v>
                </c:pt>
                <c:pt idx="11">
                  <c:v>111402.51191602307</c:v>
                </c:pt>
                <c:pt idx="12">
                  <c:v>106518.2363604675</c:v>
                </c:pt>
                <c:pt idx="13">
                  <c:v>101633.96080491194</c:v>
                </c:pt>
                <c:pt idx="14">
                  <c:v>96749.685249356393</c:v>
                </c:pt>
                <c:pt idx="15">
                  <c:v>91865.409693800844</c:v>
                </c:pt>
                <c:pt idx="16">
                  <c:v>86981.134138245281</c:v>
                </c:pt>
                <c:pt idx="17">
                  <c:v>82096.858582689732</c:v>
                </c:pt>
                <c:pt idx="18">
                  <c:v>77212.583027134169</c:v>
                </c:pt>
                <c:pt idx="19">
                  <c:v>72328.307471578621</c:v>
                </c:pt>
                <c:pt idx="20">
                  <c:v>67444.031916023057</c:v>
                </c:pt>
                <c:pt idx="21">
                  <c:v>62559.756360467509</c:v>
                </c:pt>
                <c:pt idx="22">
                  <c:v>105582.41049871279</c:v>
                </c:pt>
                <c:pt idx="23">
                  <c:v>0</c:v>
                </c:pt>
              </c:numCache>
            </c:numRef>
          </c:val>
          <c:smooth val="0"/>
          <c:extLst>
            <c:ext xmlns:c16="http://schemas.microsoft.com/office/drawing/2014/chart" uri="{C3380CC4-5D6E-409C-BE32-E72D297353CC}">
              <c16:uniqueId val="{00000002-E254-48C5-854F-C4B593723DD5}"/>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'9b. Forecast Results - EC'!$E$147</c:f>
              <c:strCache>
                <c:ptCount val="1"/>
                <c:pt idx="0">
                  <c:v>No. of Rental Units</c:v>
                </c:pt>
              </c:strCache>
            </c:strRef>
          </c:tx>
          <c:spPr>
            <a:solidFill>
              <a:srgbClr val="00B050"/>
            </a:solidFill>
            <a:ln>
              <a:noFill/>
            </a:ln>
            <a:effectLst/>
          </c:spPr>
          <c:invertIfNegative val="0"/>
          <c:cat>
            <c:strRef>
              <c:f>'9b. Forecast Results - EC'!$N$146:$AK$146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EC'!$N$147:$AK$147</c:f>
              <c:numCache>
                <c:formatCode>_-* #,##0_-;\-* #,##0_-;_-* "-"_-;_-@_-</c:formatCode>
                <c:ptCount val="24"/>
                <c:pt idx="0">
                  <c:v>0</c:v>
                </c:pt>
                <c:pt idx="1">
                  <c:v>0</c:v>
                </c:pt>
                <c:pt idx="2">
                  <c:v>90</c:v>
                </c:pt>
                <c:pt idx="3">
                  <c:v>72</c:v>
                </c:pt>
                <c:pt idx="4">
                  <c:v>54</c:v>
                </c:pt>
                <c:pt idx="5">
                  <c:v>36</c:v>
                </c:pt>
                <c:pt idx="6">
                  <c:v>34</c:v>
                </c:pt>
                <c:pt idx="7">
                  <c:v>32</c:v>
                </c:pt>
                <c:pt idx="8">
                  <c:v>30</c:v>
                </c:pt>
                <c:pt idx="9">
                  <c:v>28</c:v>
                </c:pt>
                <c:pt idx="10">
                  <c:v>26</c:v>
                </c:pt>
                <c:pt idx="11">
                  <c:v>24</c:v>
                </c:pt>
                <c:pt idx="12">
                  <c:v>22</c:v>
                </c:pt>
                <c:pt idx="13">
                  <c:v>20</c:v>
                </c:pt>
                <c:pt idx="14">
                  <c:v>18</c:v>
                </c:pt>
                <c:pt idx="15">
                  <c:v>16</c:v>
                </c:pt>
                <c:pt idx="16">
                  <c:v>14</c:v>
                </c:pt>
                <c:pt idx="17">
                  <c:v>12</c:v>
                </c:pt>
                <c:pt idx="18">
                  <c:v>10</c:v>
                </c:pt>
                <c:pt idx="19">
                  <c:v>8</c:v>
                </c:pt>
                <c:pt idx="20">
                  <c:v>6</c:v>
                </c:pt>
                <c:pt idx="21">
                  <c:v>4</c:v>
                </c:pt>
                <c:pt idx="22">
                  <c:v>0</c:v>
                </c:pt>
                <c:pt idx="23">
                  <c:v>0</c:v>
                </c:pt>
              </c:numCache>
            </c:numRef>
          </c:val>
          <c:extLst>
            <c:ext xmlns:c16="http://schemas.microsoft.com/office/drawing/2014/chart" uri="{C3380CC4-5D6E-409C-BE32-E72D297353CC}">
              <c16:uniqueId val="{00000000-01D9-482B-8125-ADA386D3C720}"/>
            </c:ext>
          </c:extLst>
        </c:ser>
        <c:ser>
          <c:idx val="1"/>
          <c:order val="1"/>
          <c:tx>
            <c:strRef>
              <c:f>'9b. Forecast Results - EC'!$E$148</c:f>
              <c:strCache>
                <c:ptCount val="1"/>
                <c:pt idx="0">
                  <c:v>No. of Sales Accounts</c:v>
                </c:pt>
              </c:strCache>
            </c:strRef>
          </c:tx>
          <c:spPr>
            <a:solidFill>
              <a:srgbClr val="002060"/>
            </a:solidFill>
            <a:ln>
              <a:noFill/>
            </a:ln>
            <a:effectLst/>
          </c:spPr>
          <c:invertIfNegative val="0"/>
          <c:cat>
            <c:strRef>
              <c:f>'9b. Forecast Results - EC'!$N$146:$AK$146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EC'!$N$148:$AK$148</c:f>
              <c:numCache>
                <c:formatCode>_-* #,##0_-;\-* #,##0_-;_-* "-"_-;_-@_-</c:formatCode>
                <c:ptCount val="24"/>
                <c:pt idx="0">
                  <c:v>0</c:v>
                </c:pt>
                <c:pt idx="1">
                  <c:v>0</c:v>
                </c:pt>
                <c:pt idx="2">
                  <c:v>114</c:v>
                </c:pt>
                <c:pt idx="3">
                  <c:v>132</c:v>
                </c:pt>
                <c:pt idx="4">
                  <c:v>150</c:v>
                </c:pt>
                <c:pt idx="5">
                  <c:v>168</c:v>
                </c:pt>
                <c:pt idx="6">
                  <c:v>170</c:v>
                </c:pt>
                <c:pt idx="7">
                  <c:v>172</c:v>
                </c:pt>
                <c:pt idx="8">
                  <c:v>174</c:v>
                </c:pt>
                <c:pt idx="9">
                  <c:v>176</c:v>
                </c:pt>
                <c:pt idx="10">
                  <c:v>178</c:v>
                </c:pt>
                <c:pt idx="11">
                  <c:v>180</c:v>
                </c:pt>
                <c:pt idx="12">
                  <c:v>182</c:v>
                </c:pt>
                <c:pt idx="13">
                  <c:v>184</c:v>
                </c:pt>
                <c:pt idx="14">
                  <c:v>186</c:v>
                </c:pt>
                <c:pt idx="15">
                  <c:v>188</c:v>
                </c:pt>
                <c:pt idx="16">
                  <c:v>190</c:v>
                </c:pt>
                <c:pt idx="17">
                  <c:v>192</c:v>
                </c:pt>
                <c:pt idx="18">
                  <c:v>194</c:v>
                </c:pt>
                <c:pt idx="19">
                  <c:v>196</c:v>
                </c:pt>
                <c:pt idx="20">
                  <c:v>198</c:v>
                </c:pt>
                <c:pt idx="21">
                  <c:v>200</c:v>
                </c:pt>
                <c:pt idx="22">
                  <c:v>204</c:v>
                </c:pt>
                <c:pt idx="23">
                  <c:v>0</c:v>
                </c:pt>
              </c:numCache>
            </c:numRef>
          </c:val>
          <c:extLst>
            <c:ext xmlns:c16="http://schemas.microsoft.com/office/drawing/2014/chart" uri="{C3380CC4-5D6E-409C-BE32-E72D297353CC}">
              <c16:uniqueId val="{00000001-01D9-482B-8125-ADA386D3C720}"/>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'9b. Forecast Results - EC'!$AO$20</c:f>
              <c:strCache>
                <c:ptCount val="1"/>
                <c:pt idx="0">
                  <c:v>Net Deficit funded by HSDG Top Slice</c:v>
                </c:pt>
              </c:strCache>
            </c:strRef>
          </c:tx>
          <c:spPr>
            <a:solidFill>
              <a:srgbClr val="00B050"/>
            </a:solidFill>
            <a:ln>
              <a:noFill/>
            </a:ln>
            <a:effectLst/>
          </c:spPr>
          <c:cat>
            <c:strRef>
              <c:f>'9b. Forecast Results - EC'!$AP$19:$BM$19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EC'!$AP$20:$BM$20</c:f>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0</c:v>
                </c:pt>
                <c:pt idx="23">
                  <c:v>0</c:v>
                </c:pt>
              </c:numCache>
            </c:numRef>
          </c:val>
          <c:extLst>
            <c:ext xmlns:c16="http://schemas.microsoft.com/office/drawing/2014/chart" uri="{C3380CC4-5D6E-409C-BE32-E72D297353CC}">
              <c16:uniqueId val="{00000000-0994-45C9-8651-82DF3D0FD605}"/>
            </c:ext>
          </c:extLst>
        </c:ser>
        <c:ser>
          <c:idx val="1"/>
          <c:order val="1"/>
          <c:tx>
            <c:strRef>
              <c:f>'9b. Forecast Results - EC'!$AO$21</c:f>
              <c:strCache>
                <c:ptCount val="1"/>
                <c:pt idx="0">
                  <c:v>EEDBS utilised to settle Existing Sales Debtors Balances Owing</c:v>
                </c:pt>
              </c:strCache>
            </c:strRef>
          </c:tx>
          <c:spPr>
            <a:solidFill>
              <a:srgbClr val="002060"/>
            </a:solidFill>
            <a:ln w="25400">
              <a:noFill/>
            </a:ln>
            <a:effectLst/>
          </c:spPr>
          <c:val>
            <c:numRef>
              <c:f>'9b. Forecast Results - EC'!$AP$21:$BM$21</c:f>
              <c:numCache>
                <c:formatCode>"R"#,##0</c:formatCode>
                <c:ptCount val="24"/>
                <c:pt idx="0">
                  <c:v>-5576064</c:v>
                </c:pt>
                <c:pt idx="1">
                  <c:v>-1243913</c:v>
                </c:pt>
                <c:pt idx="2">
                  <c:v>-313420</c:v>
                </c:pt>
                <c:pt idx="3">
                  <c:v>-210409.8845669291</c:v>
                </c:pt>
                <c:pt idx="4">
                  <c:v>-210409.8845669291</c:v>
                </c:pt>
                <c:pt idx="5">
                  <c:v>-210409.8845669291</c:v>
                </c:pt>
                <c:pt idx="6">
                  <c:v>-23378.876062992123</c:v>
                </c:pt>
                <c:pt idx="7">
                  <c:v>-23378.876062992123</c:v>
                </c:pt>
                <c:pt idx="8">
                  <c:v>-23378.876062992123</c:v>
                </c:pt>
                <c:pt idx="9">
                  <c:v>-23378.876062992123</c:v>
                </c:pt>
                <c:pt idx="10">
                  <c:v>-23378.876062992123</c:v>
                </c:pt>
                <c:pt idx="11">
                  <c:v>-23378.876062992123</c:v>
                </c:pt>
                <c:pt idx="12">
                  <c:v>-23378.876062992123</c:v>
                </c:pt>
                <c:pt idx="13">
                  <c:v>-23378.876062992123</c:v>
                </c:pt>
                <c:pt idx="14">
                  <c:v>-23378.876062992123</c:v>
                </c:pt>
                <c:pt idx="15">
                  <c:v>-23378.876062992123</c:v>
                </c:pt>
                <c:pt idx="16">
                  <c:v>-23378.876062992123</c:v>
                </c:pt>
                <c:pt idx="17">
                  <c:v>-23378.876062992123</c:v>
                </c:pt>
                <c:pt idx="18">
                  <c:v>-23378.876062992123</c:v>
                </c:pt>
                <c:pt idx="19">
                  <c:v>-23378.876062992123</c:v>
                </c:pt>
                <c:pt idx="20">
                  <c:v>-23378.876062992123</c:v>
                </c:pt>
                <c:pt idx="21">
                  <c:v>-23378.876062992123</c:v>
                </c:pt>
                <c:pt idx="22">
                  <c:v>-15759591.013178613</c:v>
                </c:pt>
                <c:pt idx="23">
                  <c:v>0</c:v>
                </c:pt>
              </c:numCache>
            </c:numRef>
          </c:val>
          <c:extLst>
            <c:ext xmlns:c16="http://schemas.microsoft.com/office/drawing/2014/chart" uri="{C3380CC4-5D6E-409C-BE32-E72D297353CC}">
              <c16:uniqueId val="{00000001-0994-45C9-8651-82DF3D0FD605}"/>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FS'!$E$196</c:f>
              <c:strCache>
                <c:ptCount val="1"/>
                <c:pt idx="0">
                  <c:v>Sales &amp; Loans Collections/Sales &amp; Loans Raised</c:v>
                </c:pt>
              </c:strCache>
            </c:strRef>
          </c:tx>
          <c:spPr>
            <a:ln w="28575" cap="rnd">
              <a:solidFill>
                <a:schemeClr val="accent1"/>
              </a:solidFill>
              <a:round/>
            </a:ln>
            <a:effectLst/>
          </c:spPr>
          <c:marker>
            <c:symbol val="none"/>
          </c:marker>
          <c:cat>
            <c:strRef>
              <c:f>'9c. Forecast Results - FS'!$N$195:$AK$195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FS'!$N$196:$AK$196</c:f>
              <c:numCache>
                <c:formatCode>0.0%</c:formatCode>
                <c:ptCount val="24"/>
                <c:pt idx="0">
                  <c:v>0</c:v>
                </c:pt>
                <c:pt idx="1">
                  <c:v>0</c:v>
                </c:pt>
                <c:pt idx="2">
                  <c:v>0</c:v>
                </c:pt>
                <c:pt idx="3">
                  <c:v>0.15120772946859903</c:v>
                </c:pt>
                <c:pt idx="4">
                  <c:v>0.15120772946859903</c:v>
                </c:pt>
                <c:pt idx="5">
                  <c:v>0.15120772946859903</c:v>
                </c:pt>
                <c:pt idx="6">
                  <c:v>0.15120772946859903</c:v>
                </c:pt>
                <c:pt idx="7">
                  <c:v>0.15120772946859903</c:v>
                </c:pt>
                <c:pt idx="8">
                  <c:v>0.15120772946859903</c:v>
                </c:pt>
                <c:pt idx="9">
                  <c:v>0.15120772946859903</c:v>
                </c:pt>
                <c:pt idx="10">
                  <c:v>0.15120772946859903</c:v>
                </c:pt>
                <c:pt idx="11">
                  <c:v>0.15120772946859903</c:v>
                </c:pt>
                <c:pt idx="12">
                  <c:v>0.15120772946859903</c:v>
                </c:pt>
                <c:pt idx="13">
                  <c:v>0.15120772946859903</c:v>
                </c:pt>
                <c:pt idx="14">
                  <c:v>0.15120772946859903</c:v>
                </c:pt>
                <c:pt idx="15">
                  <c:v>0.15120772946859903</c:v>
                </c:pt>
                <c:pt idx="16">
                  <c:v>0.15120772946859903</c:v>
                </c:pt>
                <c:pt idx="17">
                  <c:v>0.15120772946859903</c:v>
                </c:pt>
                <c:pt idx="18">
                  <c:v>0.15120772946859903</c:v>
                </c:pt>
                <c:pt idx="19">
                  <c:v>0.15120772946859903</c:v>
                </c:pt>
                <c:pt idx="20">
                  <c:v>0.15120772946859903</c:v>
                </c:pt>
                <c:pt idx="21">
                  <c:v>0.15120772946859903</c:v>
                </c:pt>
                <c:pt idx="22">
                  <c:v>0.15120772946859903</c:v>
                </c:pt>
                <c:pt idx="23">
                  <c:v>0</c:v>
                </c:pt>
              </c:numCache>
            </c:numRef>
          </c:val>
          <c:smooth val="0"/>
          <c:extLst>
            <c:ext xmlns:c16="http://schemas.microsoft.com/office/drawing/2014/chart" uri="{C3380CC4-5D6E-409C-BE32-E72D297353CC}">
              <c16:uniqueId val="{00000000-2B81-41CE-A69B-8E09D03236C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FS'!$E$220</c:f>
              <c:strCache>
                <c:ptCount val="1"/>
                <c:pt idx="0">
                  <c:v>Rental Collections/Rentals Raised</c:v>
                </c:pt>
              </c:strCache>
            </c:strRef>
          </c:tx>
          <c:spPr>
            <a:ln w="28575" cap="rnd">
              <a:solidFill>
                <a:schemeClr val="accent1"/>
              </a:solidFill>
              <a:round/>
            </a:ln>
            <a:effectLst/>
          </c:spPr>
          <c:marker>
            <c:symbol val="none"/>
          </c:marker>
          <c:cat>
            <c:strRef>
              <c:f>'9c. Forecast Results - FS'!$N$219:$AK$219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FS'!$N$220:$AK$220</c:f>
              <c:numCache>
                <c:formatCode>0.0%</c:formatCode>
                <c:ptCount val="24"/>
                <c:pt idx="0">
                  <c:v>4.2266858310417869E-2</c:v>
                </c:pt>
                <c:pt idx="1">
                  <c:v>2.984770471210263E-2</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51E1-4902-A9F7-063C9C29B50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FS'!$E$244</c:f>
              <c:strCache>
                <c:ptCount val="1"/>
                <c:pt idx="0">
                  <c:v>Cost to Income Ratio</c:v>
                </c:pt>
              </c:strCache>
            </c:strRef>
          </c:tx>
          <c:spPr>
            <a:ln w="28575" cap="rnd">
              <a:solidFill>
                <a:schemeClr val="accent1"/>
              </a:solidFill>
              <a:round/>
            </a:ln>
            <a:effectLst/>
          </c:spPr>
          <c:marker>
            <c:symbol val="none"/>
          </c:marker>
          <c:cat>
            <c:strRef>
              <c:f>'9c. Forecast Results - FS'!$N$243:$AK$243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FS'!$N$244:$AK$244</c:f>
              <c:numCache>
                <c:formatCode>0.0%</c:formatCode>
                <c:ptCount val="24"/>
                <c:pt idx="0">
                  <c:v>6.1530126699170209</c:v>
                </c:pt>
                <c:pt idx="1">
                  <c:v>7.8233522643358695</c:v>
                </c:pt>
                <c:pt idx="2">
                  <c:v>8970.8083200000001</c:v>
                </c:pt>
                <c:pt idx="3">
                  <c:v>108.20772131193034</c:v>
                </c:pt>
                <c:pt idx="4">
                  <c:v>109.25624872522359</c:v>
                </c:pt>
                <c:pt idx="5">
                  <c:v>110.09278579701049</c:v>
                </c:pt>
                <c:pt idx="6">
                  <c:v>110.69084179430016</c:v>
                </c:pt>
                <c:pt idx="7">
                  <c:v>111.02165327425571</c:v>
                </c:pt>
                <c:pt idx="8">
                  <c:v>111.05401422057862</c:v>
                </c:pt>
                <c:pt idx="9">
                  <c:v>110.75409436984245</c:v>
                </c:pt>
                <c:pt idx="10">
                  <c:v>110.08524494250806</c:v>
                </c:pt>
                <c:pt idx="11">
                  <c:v>109.00779094269812</c:v>
                </c:pt>
                <c:pt idx="12">
                  <c:v>107.47880913695796</c:v>
                </c:pt>
                <c:pt idx="13">
                  <c:v>105.45189076498474</c:v>
                </c:pt>
                <c:pt idx="14">
                  <c:v>102.8768879744552</c:v>
                </c:pt>
                <c:pt idx="15">
                  <c:v>99.699642907403287</c:v>
                </c:pt>
                <c:pt idx="16">
                  <c:v>95.861698296852978</c:v>
                </c:pt>
                <c:pt idx="17">
                  <c:v>91.299988359347211</c:v>
                </c:pt>
                <c:pt idx="18">
                  <c:v>85.946508691367839</c:v>
                </c:pt>
                <c:pt idx="19">
                  <c:v>79.727963795123713</c:v>
                </c:pt>
                <c:pt idx="20">
                  <c:v>72.565390771501342</c:v>
                </c:pt>
                <c:pt idx="21">
                  <c:v>64.373757624800263</c:v>
                </c:pt>
                <c:pt idx="22">
                  <c:v>3.6504154477342858</c:v>
                </c:pt>
                <c:pt idx="23">
                  <c:v>0</c:v>
                </c:pt>
              </c:numCache>
            </c:numRef>
          </c:val>
          <c:smooth val="0"/>
          <c:extLst>
            <c:ext xmlns:c16="http://schemas.microsoft.com/office/drawing/2014/chart" uri="{C3380CC4-5D6E-409C-BE32-E72D297353CC}">
              <c16:uniqueId val="{00000000-5463-4632-906F-C6681C9D0A93}"/>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FS'!$E$270</c:f>
              <c:strCache>
                <c:ptCount val="1"/>
                <c:pt idx="0">
                  <c:v>Maintenance as % of Expenses</c:v>
                </c:pt>
              </c:strCache>
            </c:strRef>
          </c:tx>
          <c:spPr>
            <a:ln w="28575" cap="rnd">
              <a:solidFill>
                <a:schemeClr val="accent1"/>
              </a:solidFill>
              <a:round/>
            </a:ln>
            <a:effectLst/>
          </c:spPr>
          <c:marker>
            <c:symbol val="none"/>
          </c:marker>
          <c:cat>
            <c:strRef>
              <c:f>'9c. Forecast Results - FS'!$N$269:$AK$269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FS'!$N$270:$AK$270</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B841-44D4-AC06-2C40E6337FB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FS'!$E$294</c:f>
              <c:strCache>
                <c:ptCount val="1"/>
                <c:pt idx="0">
                  <c:v>Maintenance Cost per Unit</c:v>
                </c:pt>
              </c:strCache>
            </c:strRef>
          </c:tx>
          <c:spPr>
            <a:ln w="28575" cap="rnd">
              <a:solidFill>
                <a:schemeClr val="accent1"/>
              </a:solidFill>
              <a:round/>
            </a:ln>
            <a:effectLst/>
          </c:spPr>
          <c:marker>
            <c:symbol val="none"/>
          </c:marker>
          <c:cat>
            <c:strRef>
              <c:f>'9c. Forecast Results - FS'!$N$293:$AK$293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FS'!$N$294:$AK$294</c:f>
              <c:numCache>
                <c:formatCode>"R"#,##0_);[Red]\("R"#,##0\)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E838-442D-94AD-F5824B73E6F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FS'!$E$317</c:f>
              <c:strCache>
                <c:ptCount val="1"/>
                <c:pt idx="0">
                  <c:v>Net Deficit as % of HSDG Grant -  NDoHS Calc  (excl staff costs)</c:v>
                </c:pt>
              </c:strCache>
            </c:strRef>
          </c:tx>
          <c:spPr>
            <a:ln w="28575" cap="rnd">
              <a:solidFill>
                <a:schemeClr val="accent1"/>
              </a:solidFill>
              <a:round/>
            </a:ln>
            <a:effectLst/>
          </c:spPr>
          <c:marker>
            <c:symbol val="none"/>
          </c:marker>
          <c:cat>
            <c:strRef>
              <c:f>'9c. Forecast Results - FS'!$N$316:$AK$316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FS'!$N$317:$AK$317</c:f>
              <c:numCache>
                <c:formatCode>0.0%</c:formatCode>
                <c:ptCount val="24"/>
                <c:pt idx="0">
                  <c:v>5.0872661621275913E-4</c:v>
                </c:pt>
                <c:pt idx="1">
                  <c:v>-3.7967291920177517E-6</c:v>
                </c:pt>
                <c:pt idx="2">
                  <c:v>0</c:v>
                </c:pt>
                <c:pt idx="3">
                  <c:v>1.0755160117071089E-3</c:v>
                </c:pt>
                <c:pt idx="4">
                  <c:v>1.0860349184417233E-3</c:v>
                </c:pt>
                <c:pt idx="5">
                  <c:v>1.0944271219517263E-3</c:v>
                </c:pt>
                <c:pt idx="6">
                  <c:v>1.1004268651895383E-3</c:v>
                </c:pt>
                <c:pt idx="7">
                  <c:v>1.1037455911096007E-3</c:v>
                </c:pt>
                <c:pt idx="8">
                  <c:v>1.1040702385836667E-3</c:v>
                </c:pt>
                <c:pt idx="9">
                  <c:v>1.1010614198367686E-3</c:v>
                </c:pt>
                <c:pt idx="10">
                  <c:v>1.0943514715259913E-3</c:v>
                </c:pt>
                <c:pt idx="11">
                  <c:v>1.0835423710760174E-3</c:v>
                </c:pt>
                <c:pt idx="12">
                  <c:v>1.068203509345175E-3</c:v>
                </c:pt>
                <c:pt idx="13">
                  <c:v>1.0478693101214302E-3</c:v>
                </c:pt>
                <c:pt idx="14">
                  <c:v>1.0220366863372995E-3</c:v>
                </c:pt>
                <c:pt idx="15">
                  <c:v>9.9016232224379214E-4</c:v>
                </c:pt>
                <c:pt idx="16">
                  <c:v>9.5165977009382388E-4</c:v>
                </c:pt>
                <c:pt idx="17">
                  <c:v>9.0589634915256645E-4</c:v>
                </c:pt>
                <c:pt idx="18">
                  <c:v>8.5218983407323197E-4</c:v>
                </c:pt>
                <c:pt idx="19">
                  <c:v>7.898049188489794E-4</c:v>
                </c:pt>
                <c:pt idx="20">
                  <c:v>7.1794944167198236E-4</c:v>
                </c:pt>
                <c:pt idx="21">
                  <c:v>6.3577035509599267E-4</c:v>
                </c:pt>
                <c:pt idx="22">
                  <c:v>1.3294584647593257E-4</c:v>
                </c:pt>
                <c:pt idx="23">
                  <c:v>0</c:v>
                </c:pt>
              </c:numCache>
            </c:numRef>
          </c:val>
          <c:smooth val="0"/>
          <c:extLst>
            <c:ext xmlns:c16="http://schemas.microsoft.com/office/drawing/2014/chart" uri="{C3380CC4-5D6E-409C-BE32-E72D297353CC}">
              <c16:uniqueId val="{00000000-0C41-440E-BA11-1F5B9A462E91}"/>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69D-438C-837A-BE96725140B2}"/>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F69D-438C-837A-BE96725140B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69D-438C-837A-BE96725140B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69D-438C-837A-BE96725140B2}"/>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F69D-438C-837A-BE96725140B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69D-438C-837A-BE96725140B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Total Check'!$B$138:$B$143</c:f>
              <c:strCache>
                <c:ptCount val="6"/>
                <c:pt idx="0">
                  <c:v>Rates &amp; Taxes</c:v>
                </c:pt>
                <c:pt idx="1">
                  <c:v>Municipal Charges</c:v>
                </c:pt>
                <c:pt idx="2">
                  <c:v>Maintenance</c:v>
                </c:pt>
                <c:pt idx="3">
                  <c:v>Total Disposal Costs</c:v>
                </c:pt>
                <c:pt idx="4">
                  <c:v>Staff</c:v>
                </c:pt>
                <c:pt idx="5">
                  <c:v>Other </c:v>
                </c:pt>
              </c:strCache>
            </c:strRef>
          </c:cat>
          <c:val>
            <c:numRef>
              <c:f>'5. Dashboard Total Check'!$E$138:$E$143</c:f>
              <c:numCache>
                <c:formatCode>"R"#,##0</c:formatCode>
                <c:ptCount val="6"/>
                <c:pt idx="0">
                  <c:v>252001.66593494211</c:v>
                </c:pt>
                <c:pt idx="1">
                  <c:v>2508823.1927166809</c:v>
                </c:pt>
                <c:pt idx="2">
                  <c:v>0</c:v>
                </c:pt>
                <c:pt idx="3">
                  <c:v>211625.31374314771</c:v>
                </c:pt>
                <c:pt idx="4">
                  <c:v>4066125.1737566851</c:v>
                </c:pt>
                <c:pt idx="5">
                  <c:v>21313951.146196745</c:v>
                </c:pt>
              </c:numCache>
            </c:numRef>
          </c:val>
          <c:extLst>
            <c:ext xmlns:c16="http://schemas.microsoft.com/office/drawing/2014/chart" uri="{C3380CC4-5D6E-409C-BE32-E72D297353CC}">
              <c16:uniqueId val="{0000000C-F69D-438C-837A-BE96725140B2}"/>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F69D-438C-837A-BE96725140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F69D-438C-837A-BE96725140B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F69D-438C-837A-BE96725140B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F69D-438C-837A-BE96725140B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F69D-438C-837A-BE96725140B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F69D-438C-837A-BE96725140B2}"/>
                    </c:ext>
                  </c:extLst>
                </c:dPt>
                <c:cat>
                  <c:strRef>
                    <c:extLst>
                      <c:ext uri="{02D57815-91ED-43cb-92C2-25804820EDAC}">
                        <c15:formulaRef>
                          <c15:sqref>'5. Dashboard Total Check'!$B$138:$B$143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Total Check'!$C$138:$C$143</c15:sqref>
                        </c15:formulaRef>
                      </c:ext>
                    </c:extLst>
                    <c:numCache>
                      <c:formatCode>General</c:formatCode>
                      <c:ptCount val="6"/>
                    </c:numCache>
                  </c:numRef>
                </c:val>
                <c:extLst>
                  <c:ext xmlns:c16="http://schemas.microsoft.com/office/drawing/2014/chart" uri="{C3380CC4-5D6E-409C-BE32-E72D297353CC}">
                    <c16:uniqueId val="{00000019-F69D-438C-837A-BE96725140B2}"/>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FS'!$E$340</c:f>
              <c:strCache>
                <c:ptCount val="1"/>
                <c:pt idx="0">
                  <c:v>EEDBS as % of HSDG</c:v>
                </c:pt>
              </c:strCache>
            </c:strRef>
          </c:tx>
          <c:spPr>
            <a:ln w="28575" cap="rnd">
              <a:solidFill>
                <a:schemeClr val="accent1"/>
              </a:solidFill>
              <a:round/>
            </a:ln>
            <a:effectLst/>
          </c:spPr>
          <c:marker>
            <c:symbol val="none"/>
          </c:marker>
          <c:cat>
            <c:strRef>
              <c:f>'9c. Forecast Results - FS'!$N$339:$AK$339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FS'!$N$340:$AK$340</c:f>
              <c:numCache>
                <c:formatCode>0.0%</c:formatCode>
                <c:ptCount val="24"/>
                <c:pt idx="0">
                  <c:v>1.165858338218835E-4</c:v>
                </c:pt>
                <c:pt idx="1">
                  <c:v>1.2714785694641707E-4</c:v>
                </c:pt>
                <c:pt idx="2">
                  <c:v>0</c:v>
                </c:pt>
                <c:pt idx="3">
                  <c:v>3.7292723620143686E-5</c:v>
                </c:pt>
                <c:pt idx="4">
                  <c:v>3.7292723620143686E-5</c:v>
                </c:pt>
                <c:pt idx="5">
                  <c:v>3.7292723620143686E-5</c:v>
                </c:pt>
                <c:pt idx="6">
                  <c:v>3.7292723620143686E-5</c:v>
                </c:pt>
                <c:pt idx="7">
                  <c:v>3.7292723620143686E-5</c:v>
                </c:pt>
                <c:pt idx="8">
                  <c:v>3.7292723620143686E-5</c:v>
                </c:pt>
                <c:pt idx="9">
                  <c:v>3.7292723620143686E-5</c:v>
                </c:pt>
                <c:pt idx="10">
                  <c:v>3.7292723620143686E-5</c:v>
                </c:pt>
                <c:pt idx="11">
                  <c:v>3.7292723620143686E-5</c:v>
                </c:pt>
                <c:pt idx="12">
                  <c:v>3.7292723620143686E-5</c:v>
                </c:pt>
                <c:pt idx="13">
                  <c:v>3.7292723620143686E-5</c:v>
                </c:pt>
                <c:pt idx="14">
                  <c:v>3.7292723620143686E-5</c:v>
                </c:pt>
                <c:pt idx="15">
                  <c:v>3.7292723620143686E-5</c:v>
                </c:pt>
                <c:pt idx="16">
                  <c:v>3.7292723620143686E-5</c:v>
                </c:pt>
                <c:pt idx="17">
                  <c:v>3.7292723620143686E-5</c:v>
                </c:pt>
                <c:pt idx="18">
                  <c:v>3.7292723620143686E-5</c:v>
                </c:pt>
                <c:pt idx="19">
                  <c:v>3.7292723620143686E-5</c:v>
                </c:pt>
                <c:pt idx="20">
                  <c:v>3.7292723620143686E-5</c:v>
                </c:pt>
                <c:pt idx="21">
                  <c:v>3.7292723620143686E-5</c:v>
                </c:pt>
                <c:pt idx="22">
                  <c:v>1.8119483979706493E-3</c:v>
                </c:pt>
                <c:pt idx="23">
                  <c:v>0</c:v>
                </c:pt>
              </c:numCache>
            </c:numRef>
          </c:val>
          <c:smooth val="0"/>
          <c:extLst>
            <c:ext xmlns:c16="http://schemas.microsoft.com/office/drawing/2014/chart" uri="{C3380CC4-5D6E-409C-BE32-E72D297353CC}">
              <c16:uniqueId val="{00000000-1E92-4A3E-9B27-7B52023DFB6E}"/>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FS'!$E$364</c:f>
              <c:strCache>
                <c:ptCount val="1"/>
                <c:pt idx="0">
                  <c:v>Average Expenditure per unit per month</c:v>
                </c:pt>
              </c:strCache>
            </c:strRef>
          </c:tx>
          <c:spPr>
            <a:ln w="28575" cap="rnd">
              <a:solidFill>
                <a:schemeClr val="accent1"/>
              </a:solidFill>
              <a:round/>
            </a:ln>
            <a:effectLst/>
          </c:spPr>
          <c:marker>
            <c:symbol val="none"/>
          </c:marker>
          <c:cat>
            <c:strRef>
              <c:f>'9c. Forecast Results - FS'!$N$363:$AK$363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FS'!$N$364:$AK$364</c:f>
              <c:numCache>
                <c:formatCode>"R"#,##0_);[Red]\("R"#,##0\)</c:formatCode>
                <c:ptCount val="24"/>
                <c:pt idx="0">
                  <c:v>0</c:v>
                </c:pt>
                <c:pt idx="1">
                  <c:v>0</c:v>
                </c:pt>
                <c:pt idx="2">
                  <c:v>1946.79</c:v>
                </c:pt>
                <c:pt idx="3">
                  <c:v>2079.2257688405793</c:v>
                </c:pt>
                <c:pt idx="4">
                  <c:v>2194.7994245984846</c:v>
                </c:pt>
                <c:pt idx="5">
                  <c:v>2316.918727547361</c:v>
                </c:pt>
                <c:pt idx="6">
                  <c:v>2445.9801483610768</c:v>
                </c:pt>
                <c:pt idx="7">
                  <c:v>2582.4107610284736</c:v>
                </c:pt>
                <c:pt idx="8">
                  <c:v>2726.6725731688757</c:v>
                </c:pt>
                <c:pt idx="9">
                  <c:v>2879.2680776690172</c:v>
                </c:pt>
                <c:pt idx="10">
                  <c:v>3040.747538279029</c:v>
                </c:pt>
                <c:pt idx="11">
                  <c:v>3211.7187937194358</c:v>
                </c:pt>
                <c:pt idx="12">
                  <c:v>3392.8608114665626</c:v>
                </c:pt>
                <c:pt idx="13">
                  <c:v>3584.9429780791256</c:v>
                </c:pt>
                <c:pt idx="14">
                  <c:v>3788.8534352628699</c:v>
                </c:pt>
                <c:pt idx="15">
                  <c:v>4005.6421749601</c:v>
                </c:pt>
                <c:pt idx="16">
                  <c:v>4236.5891743422471</c:v>
                </c:pt>
                <c:pt idx="17">
                  <c:v>4483.3169865540867</c:v>
                </c:pt>
                <c:pt idx="18">
                  <c:v>4747.9866146174163</c:v>
                </c:pt>
                <c:pt idx="19">
                  <c:v>5033.6598648725303</c:v>
                </c:pt>
                <c:pt idx="20">
                  <c:v>5345.0222983818121</c:v>
                </c:pt>
                <c:pt idx="21">
                  <c:v>5689.9714799631029</c:v>
                </c:pt>
                <c:pt idx="22">
                  <c:v>0</c:v>
                </c:pt>
                <c:pt idx="23">
                  <c:v>0</c:v>
                </c:pt>
              </c:numCache>
            </c:numRef>
          </c:val>
          <c:smooth val="0"/>
          <c:extLst>
            <c:ext xmlns:c16="http://schemas.microsoft.com/office/drawing/2014/chart" uri="{C3380CC4-5D6E-409C-BE32-E72D297353CC}">
              <c16:uniqueId val="{00000000-C0D2-4297-89A3-12E2CA77EA1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FS'!$E$388</c:f>
              <c:strCache>
                <c:ptCount val="1"/>
                <c:pt idx="0">
                  <c:v>Net Surplus/Deficit p.u.p.m.</c:v>
                </c:pt>
              </c:strCache>
            </c:strRef>
          </c:tx>
          <c:spPr>
            <a:ln w="28575" cap="rnd">
              <a:solidFill>
                <a:schemeClr val="accent1"/>
              </a:solidFill>
              <a:round/>
            </a:ln>
            <a:effectLst/>
          </c:spPr>
          <c:marker>
            <c:symbol val="none"/>
          </c:marker>
          <c:cat>
            <c:strRef>
              <c:f>'9c. Forecast Results - FS'!$N$387:$AK$387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FS'!$N$388:$AK$388</c:f>
              <c:numCache>
                <c:formatCode>"R"#,##0_);[Red]\("R"#,##0\)</c:formatCode>
                <c:ptCount val="24"/>
                <c:pt idx="0">
                  <c:v>0</c:v>
                </c:pt>
                <c:pt idx="1">
                  <c:v>0</c:v>
                </c:pt>
                <c:pt idx="2">
                  <c:v>-1946.5729861111113</c:v>
                </c:pt>
                <c:pt idx="3">
                  <c:v>-2060.0106357277878</c:v>
                </c:pt>
                <c:pt idx="4">
                  <c:v>-2174.7108763442025</c:v>
                </c:pt>
                <c:pt idx="5">
                  <c:v>-2295.8735817571605</c:v>
                </c:pt>
                <c:pt idx="6">
                  <c:v>-2423.8827452813662</c:v>
                </c:pt>
                <c:pt idx="7">
                  <c:v>-2559.1503367340415</c:v>
                </c:pt>
                <c:pt idx="8">
                  <c:v>-2702.1199030803086</c:v>
                </c:pt>
                <c:pt idx="9">
                  <c:v>-2853.2711328693581</c:v>
                </c:pt>
                <c:pt idx="10">
                  <c:v>-3013.1257844293909</c:v>
                </c:pt>
                <c:pt idx="11">
                  <c:v>-3182.2555896131557</c:v>
                </c:pt>
                <c:pt idx="12">
                  <c:v>-3361.2930927812617</c:v>
                </c:pt>
                <c:pt idx="13">
                  <c:v>-3550.9469733411097</c:v>
                </c:pt>
                <c:pt idx="14">
                  <c:v>-3752.024430130019</c:v>
                </c:pt>
                <c:pt idx="15">
                  <c:v>-3965.4650784515361</c:v>
                </c:pt>
                <c:pt idx="16">
                  <c:v>-4192.3943681828268</c:v>
                </c:pt>
                <c:pt idx="17">
                  <c:v>-4434.2116463769535</c:v>
                </c:pt>
                <c:pt idx="18">
                  <c:v>-4692.7431069181412</c:v>
                </c:pt>
                <c:pt idx="19">
                  <c:v>-4970.5244275019304</c:v>
                </c:pt>
                <c:pt idx="20">
                  <c:v>-5271.3642881161122</c:v>
                </c:pt>
                <c:pt idx="21">
                  <c:v>-5601.5818676442623</c:v>
                </c:pt>
                <c:pt idx="22">
                  <c:v>0</c:v>
                </c:pt>
                <c:pt idx="23">
                  <c:v>0</c:v>
                </c:pt>
              </c:numCache>
            </c:numRef>
          </c:val>
          <c:smooth val="0"/>
          <c:extLst>
            <c:ext xmlns:c16="http://schemas.microsoft.com/office/drawing/2014/chart" uri="{C3380CC4-5D6E-409C-BE32-E72D297353CC}">
              <c16:uniqueId val="{00000000-DC66-4041-A3BF-087512DA9CAA}"/>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'9c. Forecast Results - FS'!$E$171</c:f>
              <c:strCache>
                <c:ptCount val="1"/>
                <c:pt idx="0">
                  <c:v>Net Surplus / (Deficit)</c:v>
                </c:pt>
              </c:strCache>
            </c:strRef>
          </c:tx>
          <c:spPr>
            <a:ln w="28575" cap="rnd">
              <a:solidFill>
                <a:schemeClr val="accent1"/>
              </a:solidFill>
              <a:round/>
            </a:ln>
            <a:effectLst/>
          </c:spPr>
          <c:marker>
            <c:symbol val="none"/>
          </c:marker>
          <c:cat>
            <c:strRef>
              <c:f>'9c. Forecast Results - FS'!$N$170:$AK$170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FS'!$N$171:$AK$171</c:f>
              <c:numCache>
                <c:formatCode>"R"#,##0</c:formatCode>
                <c:ptCount val="24"/>
                <c:pt idx="0">
                  <c:v>-1045602.6333333334</c:v>
                </c:pt>
                <c:pt idx="1">
                  <c:v>-1083676.8533333333</c:v>
                </c:pt>
                <c:pt idx="2">
                  <c:v>-1121225.8400000001</c:v>
                </c:pt>
                <c:pt idx="3">
                  <c:v>-1137125.8709217389</c:v>
                </c:pt>
                <c:pt idx="4">
                  <c:v>-1148247.342709739</c:v>
                </c:pt>
                <c:pt idx="5">
                  <c:v>-1157120.2852056089</c:v>
                </c:pt>
                <c:pt idx="6">
                  <c:v>-1163463.7177350558</c:v>
                </c:pt>
                <c:pt idx="7">
                  <c:v>-1166972.553550723</c:v>
                </c:pt>
                <c:pt idx="8">
                  <c:v>-1167315.7981306934</c:v>
                </c:pt>
                <c:pt idx="9">
                  <c:v>-1164134.622210698</c:v>
                </c:pt>
                <c:pt idx="10">
                  <c:v>-1157040.3012208862</c:v>
                </c:pt>
                <c:pt idx="11">
                  <c:v>-1145612.012260736</c:v>
                </c:pt>
                <c:pt idx="12">
                  <c:v>-1129394.4791745041</c:v>
                </c:pt>
                <c:pt idx="13">
                  <c:v>-1107895.4556824262</c:v>
                </c:pt>
                <c:pt idx="14">
                  <c:v>-1080583.0358774455</c:v>
                </c:pt>
                <c:pt idx="15">
                  <c:v>-1046882.7807112056</c:v>
                </c:pt>
                <c:pt idx="16">
                  <c:v>-1006174.6483638785</c:v>
                </c:pt>
                <c:pt idx="17">
                  <c:v>-957789.71561742201</c:v>
                </c:pt>
                <c:pt idx="18">
                  <c:v>-901006.67652828305</c:v>
                </c:pt>
                <c:pt idx="19">
                  <c:v>-835048.10382032429</c:v>
                </c:pt>
                <c:pt idx="20">
                  <c:v>-759076.45748872019</c:v>
                </c:pt>
                <c:pt idx="21">
                  <c:v>-672189.82411731151</c:v>
                </c:pt>
                <c:pt idx="22">
                  <c:v>-140561.51634545988</c:v>
                </c:pt>
                <c:pt idx="23">
                  <c:v>0</c:v>
                </c:pt>
              </c:numCache>
            </c:numRef>
          </c:val>
          <c:smooth val="0"/>
          <c:extLst>
            <c:ext xmlns:c16="http://schemas.microsoft.com/office/drawing/2014/chart" uri="{C3380CC4-5D6E-409C-BE32-E72D297353CC}">
              <c16:uniqueId val="{00000000-B0F6-4790-92FC-9DCB2AFB0957}"/>
            </c:ext>
          </c:extLst>
        </c:ser>
        <c:ser>
          <c:idx val="1"/>
          <c:order val="1"/>
          <c:tx>
            <c:strRef>
              <c:f>'9c. Forecast Results - FS'!$E$172</c:f>
              <c:strCache>
                <c:ptCount val="1"/>
                <c:pt idx="0">
                  <c:v>Total Expenditure</c:v>
                </c:pt>
              </c:strCache>
            </c:strRef>
          </c:tx>
          <c:spPr>
            <a:ln w="28575" cap="rnd">
              <a:solidFill>
                <a:srgbClr val="00B050"/>
              </a:solidFill>
              <a:round/>
            </a:ln>
            <a:effectLst/>
          </c:spPr>
          <c:marker>
            <c:symbol val="none"/>
          </c:marker>
          <c:cat>
            <c:strRef>
              <c:f>'9c. Forecast Results - FS'!$N$170:$AK$170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FS'!$N$172:$AK$172</c:f>
              <c:numCache>
                <c:formatCode>"R"#,##0</c:formatCode>
                <c:ptCount val="24"/>
                <c:pt idx="0">
                  <c:v>1053659.7333333334</c:v>
                </c:pt>
                <c:pt idx="1">
                  <c:v>1087690.0533333332</c:v>
                </c:pt>
                <c:pt idx="2">
                  <c:v>1121351.04</c:v>
                </c:pt>
                <c:pt idx="3">
                  <c:v>1147732.6243999999</c:v>
                </c:pt>
                <c:pt idx="4">
                  <c:v>1158854.0961879999</c:v>
                </c:pt>
                <c:pt idx="5">
                  <c:v>1167727.0386838699</c:v>
                </c:pt>
                <c:pt idx="6">
                  <c:v>1174070.4712133168</c:v>
                </c:pt>
                <c:pt idx="7">
                  <c:v>1177579.307028984</c:v>
                </c:pt>
                <c:pt idx="8">
                  <c:v>1177922.5516089543</c:v>
                </c:pt>
                <c:pt idx="9">
                  <c:v>1174741.3756889589</c:v>
                </c:pt>
                <c:pt idx="10">
                  <c:v>1167647.0546991471</c:v>
                </c:pt>
                <c:pt idx="11">
                  <c:v>1156218.7657389969</c:v>
                </c:pt>
                <c:pt idx="12">
                  <c:v>1140001.232652765</c:v>
                </c:pt>
                <c:pt idx="13">
                  <c:v>1118502.2091606872</c:v>
                </c:pt>
                <c:pt idx="14">
                  <c:v>1091189.7893557064</c:v>
                </c:pt>
                <c:pt idx="15">
                  <c:v>1057489.5341894664</c:v>
                </c:pt>
                <c:pt idx="16">
                  <c:v>1016781.4018421393</c:v>
                </c:pt>
                <c:pt idx="17">
                  <c:v>968396.46909568284</c:v>
                </c:pt>
                <c:pt idx="18">
                  <c:v>911613.43000654387</c:v>
                </c:pt>
                <c:pt idx="19">
                  <c:v>845654.85729858512</c:v>
                </c:pt>
                <c:pt idx="20">
                  <c:v>769683.21096698102</c:v>
                </c:pt>
                <c:pt idx="21">
                  <c:v>682796.57759557234</c:v>
                </c:pt>
                <c:pt idx="22">
                  <c:v>193595.28373676422</c:v>
                </c:pt>
                <c:pt idx="23">
                  <c:v>0</c:v>
                </c:pt>
              </c:numCache>
            </c:numRef>
          </c:val>
          <c:smooth val="0"/>
          <c:extLst>
            <c:ext xmlns:c16="http://schemas.microsoft.com/office/drawing/2014/chart" uri="{C3380CC4-5D6E-409C-BE32-E72D297353CC}">
              <c16:uniqueId val="{00000001-B0F6-4790-92FC-9DCB2AFB0957}"/>
            </c:ext>
          </c:extLst>
        </c:ser>
        <c:ser>
          <c:idx val="2"/>
          <c:order val="2"/>
          <c:tx>
            <c:strRef>
              <c:f>'9c. Forecast Results - FS'!$E$173</c:f>
              <c:strCache>
                <c:ptCount val="1"/>
                <c:pt idx="0">
                  <c:v>Total Income</c:v>
                </c:pt>
              </c:strCache>
            </c:strRef>
          </c:tx>
          <c:spPr>
            <a:ln w="28575" cap="rnd">
              <a:solidFill>
                <a:schemeClr val="accent3"/>
              </a:solidFill>
              <a:round/>
            </a:ln>
            <a:effectLst/>
          </c:spPr>
          <c:marker>
            <c:symbol val="none"/>
          </c:marker>
          <c:cat>
            <c:strRef>
              <c:f>'9c. Forecast Results - FS'!$N$170:$AK$170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FS'!$N$173:$AK$173</c:f>
              <c:numCache>
                <c:formatCode>"R"#,##0</c:formatCode>
                <c:ptCount val="24"/>
                <c:pt idx="0">
                  <c:v>8057.1</c:v>
                </c:pt>
                <c:pt idx="1">
                  <c:v>4013.2</c:v>
                </c:pt>
                <c:pt idx="2">
                  <c:v>125.2</c:v>
                </c:pt>
                <c:pt idx="3">
                  <c:v>10606.753478260869</c:v>
                </c:pt>
                <c:pt idx="4">
                  <c:v>10606.753478260869</c:v>
                </c:pt>
                <c:pt idx="5">
                  <c:v>10606.753478260869</c:v>
                </c:pt>
                <c:pt idx="6">
                  <c:v>10606.753478260869</c:v>
                </c:pt>
                <c:pt idx="7">
                  <c:v>10606.753478260869</c:v>
                </c:pt>
                <c:pt idx="8">
                  <c:v>10606.753478260869</c:v>
                </c:pt>
                <c:pt idx="9">
                  <c:v>10606.753478260869</c:v>
                </c:pt>
                <c:pt idx="10">
                  <c:v>10606.753478260869</c:v>
                </c:pt>
                <c:pt idx="11">
                  <c:v>10606.753478260869</c:v>
                </c:pt>
                <c:pt idx="12">
                  <c:v>10606.753478260869</c:v>
                </c:pt>
                <c:pt idx="13">
                  <c:v>10606.753478260869</c:v>
                </c:pt>
                <c:pt idx="14">
                  <c:v>10606.753478260869</c:v>
                </c:pt>
                <c:pt idx="15">
                  <c:v>10606.753478260869</c:v>
                </c:pt>
                <c:pt idx="16">
                  <c:v>10606.753478260869</c:v>
                </c:pt>
                <c:pt idx="17">
                  <c:v>10606.753478260869</c:v>
                </c:pt>
                <c:pt idx="18">
                  <c:v>10606.753478260869</c:v>
                </c:pt>
                <c:pt idx="19">
                  <c:v>10606.753478260869</c:v>
                </c:pt>
                <c:pt idx="20">
                  <c:v>10606.753478260869</c:v>
                </c:pt>
                <c:pt idx="21">
                  <c:v>10606.753478260869</c:v>
                </c:pt>
                <c:pt idx="22">
                  <c:v>53033.767391304347</c:v>
                </c:pt>
                <c:pt idx="23">
                  <c:v>0</c:v>
                </c:pt>
              </c:numCache>
            </c:numRef>
          </c:val>
          <c:smooth val="0"/>
          <c:extLst>
            <c:ext xmlns:c16="http://schemas.microsoft.com/office/drawing/2014/chart" uri="{C3380CC4-5D6E-409C-BE32-E72D297353CC}">
              <c16:uniqueId val="{00000002-B0F6-4790-92FC-9DCB2AFB095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'9c. Forecast Results - FS'!$E$147</c:f>
              <c:strCache>
                <c:ptCount val="1"/>
                <c:pt idx="0">
                  <c:v>No. of Rental Units</c:v>
                </c:pt>
              </c:strCache>
            </c:strRef>
          </c:tx>
          <c:spPr>
            <a:solidFill>
              <a:srgbClr val="00B050"/>
            </a:solidFill>
            <a:ln>
              <a:noFill/>
            </a:ln>
            <a:effectLst/>
          </c:spPr>
          <c:invertIfNegative val="0"/>
          <c:cat>
            <c:strRef>
              <c:f>'9c. Forecast Results - FS'!$N$146:$AK$146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FS'!$N$147:$AK$147</c:f>
              <c:numCache>
                <c:formatCode>_-* #,##0_-;\-* #,##0_-;_-* "-"_-;_-@_-</c:formatCode>
                <c:ptCount val="24"/>
                <c:pt idx="0">
                  <c:v>0</c:v>
                </c:pt>
                <c:pt idx="1">
                  <c:v>0</c:v>
                </c:pt>
                <c:pt idx="2">
                  <c:v>48</c:v>
                </c:pt>
                <c:pt idx="3">
                  <c:v>46</c:v>
                </c:pt>
                <c:pt idx="4">
                  <c:v>44</c:v>
                </c:pt>
                <c:pt idx="5">
                  <c:v>42</c:v>
                </c:pt>
                <c:pt idx="6">
                  <c:v>40</c:v>
                </c:pt>
                <c:pt idx="7">
                  <c:v>38</c:v>
                </c:pt>
                <c:pt idx="8">
                  <c:v>36</c:v>
                </c:pt>
                <c:pt idx="9">
                  <c:v>34</c:v>
                </c:pt>
                <c:pt idx="10">
                  <c:v>32</c:v>
                </c:pt>
                <c:pt idx="11">
                  <c:v>30</c:v>
                </c:pt>
                <c:pt idx="12">
                  <c:v>28</c:v>
                </c:pt>
                <c:pt idx="13">
                  <c:v>26</c:v>
                </c:pt>
                <c:pt idx="14">
                  <c:v>24</c:v>
                </c:pt>
                <c:pt idx="15">
                  <c:v>22</c:v>
                </c:pt>
                <c:pt idx="16">
                  <c:v>20</c:v>
                </c:pt>
                <c:pt idx="17">
                  <c:v>18</c:v>
                </c:pt>
                <c:pt idx="18">
                  <c:v>16</c:v>
                </c:pt>
                <c:pt idx="19">
                  <c:v>14</c:v>
                </c:pt>
                <c:pt idx="20">
                  <c:v>12</c:v>
                </c:pt>
                <c:pt idx="21">
                  <c:v>10</c:v>
                </c:pt>
                <c:pt idx="22">
                  <c:v>0</c:v>
                </c:pt>
                <c:pt idx="23">
                  <c:v>0</c:v>
                </c:pt>
              </c:numCache>
            </c:numRef>
          </c:val>
          <c:extLst>
            <c:ext xmlns:c16="http://schemas.microsoft.com/office/drawing/2014/chart" uri="{C3380CC4-5D6E-409C-BE32-E72D297353CC}">
              <c16:uniqueId val="{00000000-CD95-43F9-9B40-D2ED8A1E197C}"/>
            </c:ext>
          </c:extLst>
        </c:ser>
        <c:ser>
          <c:idx val="1"/>
          <c:order val="1"/>
          <c:tx>
            <c:strRef>
              <c:f>'9c. Forecast Results - FS'!$E$148</c:f>
              <c:strCache>
                <c:ptCount val="1"/>
                <c:pt idx="0">
                  <c:v>No. of Sales Accounts</c:v>
                </c:pt>
              </c:strCache>
            </c:strRef>
          </c:tx>
          <c:spPr>
            <a:solidFill>
              <a:srgbClr val="002060"/>
            </a:solidFill>
            <a:ln>
              <a:noFill/>
            </a:ln>
            <a:effectLst/>
          </c:spPr>
          <c:invertIfNegative val="0"/>
          <c:cat>
            <c:strRef>
              <c:f>'9c. Forecast Results - FS'!$N$146:$AK$146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FS'!$N$148:$AK$148</c:f>
              <c:numCache>
                <c:formatCode>_-* #,##0_-;\-* #,##0_-;_-* "-"_-;_-@_-</c:formatCode>
                <c:ptCount val="24"/>
                <c:pt idx="0">
                  <c:v>0</c:v>
                </c:pt>
                <c:pt idx="1">
                  <c:v>0</c:v>
                </c:pt>
                <c:pt idx="2">
                  <c:v>1</c:v>
                </c:pt>
                <c:pt idx="3">
                  <c:v>3</c:v>
                </c:pt>
                <c:pt idx="4">
                  <c:v>5</c:v>
                </c:pt>
                <c:pt idx="5">
                  <c:v>7</c:v>
                </c:pt>
                <c:pt idx="6">
                  <c:v>9</c:v>
                </c:pt>
                <c:pt idx="7">
                  <c:v>11</c:v>
                </c:pt>
                <c:pt idx="8">
                  <c:v>13</c:v>
                </c:pt>
                <c:pt idx="9">
                  <c:v>15</c:v>
                </c:pt>
                <c:pt idx="10">
                  <c:v>17</c:v>
                </c:pt>
                <c:pt idx="11">
                  <c:v>19</c:v>
                </c:pt>
                <c:pt idx="12">
                  <c:v>21</c:v>
                </c:pt>
                <c:pt idx="13">
                  <c:v>23</c:v>
                </c:pt>
                <c:pt idx="14">
                  <c:v>25</c:v>
                </c:pt>
                <c:pt idx="15">
                  <c:v>27</c:v>
                </c:pt>
                <c:pt idx="16">
                  <c:v>29</c:v>
                </c:pt>
                <c:pt idx="17">
                  <c:v>31</c:v>
                </c:pt>
                <c:pt idx="18">
                  <c:v>33</c:v>
                </c:pt>
                <c:pt idx="19">
                  <c:v>35</c:v>
                </c:pt>
                <c:pt idx="20">
                  <c:v>37</c:v>
                </c:pt>
                <c:pt idx="21">
                  <c:v>39</c:v>
                </c:pt>
                <c:pt idx="22">
                  <c:v>49</c:v>
                </c:pt>
                <c:pt idx="23">
                  <c:v>0</c:v>
                </c:pt>
              </c:numCache>
            </c:numRef>
          </c:val>
          <c:extLst>
            <c:ext xmlns:c16="http://schemas.microsoft.com/office/drawing/2014/chart" uri="{C3380CC4-5D6E-409C-BE32-E72D297353CC}">
              <c16:uniqueId val="{00000001-CD95-43F9-9B40-D2ED8A1E197C}"/>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'9c. Forecast Results - FS'!$AO$20</c:f>
              <c:strCache>
                <c:ptCount val="1"/>
                <c:pt idx="0">
                  <c:v>Net Deficit funded by HSDG Top Slice</c:v>
                </c:pt>
              </c:strCache>
            </c:strRef>
          </c:tx>
          <c:spPr>
            <a:solidFill>
              <a:srgbClr val="00B050"/>
            </a:solidFill>
            <a:ln>
              <a:noFill/>
            </a:ln>
            <a:effectLst/>
          </c:spPr>
          <c:cat>
            <c:strRef>
              <c:f>'9c. Forecast Results - FS'!$AP$19:$BM$19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'9c. Forecast Results - FS'!$AP$20:$BM$20</c:f>
              <c:numCache>
                <c:formatCode>"R"#,##0</c:formatCode>
                <c:ptCount val="24"/>
                <c:pt idx="0">
                  <c:v>-1045602.6333333334</c:v>
                </c:pt>
                <c:pt idx="1">
                  <c:v>-1083676.8533333333</c:v>
                </c:pt>
                <c:pt idx="2">
                  <c:v>-1121225.8400000001</c:v>
                </c:pt>
                <c:pt idx="3">
                  <c:v>-1137125.8709217389</c:v>
                </c:pt>
                <c:pt idx="4">
                  <c:v>-1148247.342709739</c:v>
                </c:pt>
                <c:pt idx="5">
                  <c:v>-1157120.2852056089</c:v>
                </c:pt>
                <c:pt idx="6">
                  <c:v>-1163463.7177350558</c:v>
                </c:pt>
                <c:pt idx="7">
                  <c:v>-1166972.553550723</c:v>
                </c:pt>
                <c:pt idx="8">
                  <c:v>-1167315.7981306934</c:v>
                </c:pt>
                <c:pt idx="9">
                  <c:v>-1164134.622210698</c:v>
                </c:pt>
                <c:pt idx="10">
                  <c:v>-1157040.3012208862</c:v>
                </c:pt>
                <c:pt idx="11">
                  <c:v>-1145612.012260736</c:v>
                </c:pt>
                <c:pt idx="12">
                  <c:v>-1129394.4791745041</c:v>
                </c:pt>
                <c:pt idx="13">
                  <c:v>-1107895.4556824262</c:v>
                </c:pt>
                <c:pt idx="14">
                  <c:v>-1080583.0358774455</c:v>
                </c:pt>
                <c:pt idx="15">
                  <c:v>-1046882.7807112056</c:v>
                </c:pt>
                <c:pt idx="16">
                  <c:v>-1006174.6483638785</c:v>
                </c:pt>
                <c:pt idx="17">
                  <c:v>-957789.71561742201</c:v>
                </c:pt>
                <c:pt idx="18">
                  <c:v>-901006.67652828305</c:v>
                </c:pt>
                <c:pt idx="19">
                  <c:v>-835048.10382032429</c:v>
                </c:pt>
                <c:pt idx="20">
                  <c:v>-759076.45748872019</c:v>
                </c:pt>
                <c:pt idx="21">
                  <c:v>-672189.82411731151</c:v>
                </c:pt>
                <c:pt idx="22">
                  <c:v>-140561.51634545988</c:v>
                </c:pt>
                <c:pt idx="23">
                  <c:v>0</c:v>
                </c:pt>
              </c:numCache>
            </c:numRef>
          </c:val>
          <c:extLst>
            <c:ext xmlns:c16="http://schemas.microsoft.com/office/drawing/2014/chart" uri="{C3380CC4-5D6E-409C-BE32-E72D297353CC}">
              <c16:uniqueId val="{00000000-4FBB-4D7C-8343-7CF107E03998}"/>
            </c:ext>
          </c:extLst>
        </c:ser>
        <c:ser>
          <c:idx val="1"/>
          <c:order val="1"/>
          <c:tx>
            <c:strRef>
              <c:f>'9c. Forecast Results - FS'!$AO$21</c:f>
              <c:strCache>
                <c:ptCount val="1"/>
                <c:pt idx="0">
                  <c:v>EEDBS utilised to settle Existing Sales Debtors Balances Owing</c:v>
                </c:pt>
              </c:strCache>
            </c:strRef>
          </c:tx>
          <c:spPr>
            <a:solidFill>
              <a:srgbClr val="002060"/>
            </a:solidFill>
            <a:ln w="25400">
              <a:noFill/>
            </a:ln>
            <a:effectLst/>
          </c:spPr>
          <c:val>
            <c:numRef>
              <c:f>'9c. Forecast Results - FS'!$AP$21:$BM$21</c:f>
              <c:numCache>
                <c:formatCode>"R"#,##0</c:formatCode>
                <c:ptCount val="24"/>
                <c:pt idx="0">
                  <c:v>-157500</c:v>
                </c:pt>
                <c:pt idx="1">
                  <c:v>-135000</c:v>
                </c:pt>
                <c:pt idx="2">
                  <c:v>0</c:v>
                </c:pt>
                <c:pt idx="3">
                  <c:v>-39429</c:v>
                </c:pt>
                <c:pt idx="4">
                  <c:v>-39429</c:v>
                </c:pt>
                <c:pt idx="5">
                  <c:v>-39429</c:v>
                </c:pt>
                <c:pt idx="6">
                  <c:v>-39429</c:v>
                </c:pt>
                <c:pt idx="7">
                  <c:v>-39429</c:v>
                </c:pt>
                <c:pt idx="8">
                  <c:v>-39429</c:v>
                </c:pt>
                <c:pt idx="9">
                  <c:v>-39429</c:v>
                </c:pt>
                <c:pt idx="10">
                  <c:v>-39429</c:v>
                </c:pt>
                <c:pt idx="11">
                  <c:v>-39429</c:v>
                </c:pt>
                <c:pt idx="12">
                  <c:v>-39429</c:v>
                </c:pt>
                <c:pt idx="13">
                  <c:v>-39429</c:v>
                </c:pt>
                <c:pt idx="14">
                  <c:v>-39429</c:v>
                </c:pt>
                <c:pt idx="15">
                  <c:v>-39429</c:v>
                </c:pt>
                <c:pt idx="16">
                  <c:v>-39429</c:v>
                </c:pt>
                <c:pt idx="17">
                  <c:v>-39429</c:v>
                </c:pt>
                <c:pt idx="18">
                  <c:v>-39429</c:v>
                </c:pt>
                <c:pt idx="19">
                  <c:v>-39429</c:v>
                </c:pt>
                <c:pt idx="20">
                  <c:v>-39429</c:v>
                </c:pt>
                <c:pt idx="21">
                  <c:v>-39429</c:v>
                </c:pt>
                <c:pt idx="22">
                  <c:v>-1915744.05</c:v>
                </c:pt>
                <c:pt idx="23">
                  <c:v>0</c:v>
                </c:pt>
              </c:numCache>
            </c:numRef>
          </c:val>
          <c:extLst>
            <c:ext xmlns:c16="http://schemas.microsoft.com/office/drawing/2014/chart" uri="{C3380CC4-5D6E-409C-BE32-E72D297353CC}">
              <c16:uniqueId val="{00000001-4FBB-4D7C-8343-7CF107E03998}"/>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Gau'!$E$196</c:f>
              <c:strCache>
                <c:ptCount val="1"/>
                <c:pt idx="0">
                  <c:v>Sales &amp; Loans Collections/Sales &amp; Loans Raised</c:v>
                </c:pt>
              </c:strCache>
            </c:strRef>
          </c:tx>
          <c:spPr>
            <a:ln w="28575" cap="rnd">
              <a:solidFill>
                <a:schemeClr val="accent1"/>
              </a:solidFill>
              <a:round/>
            </a:ln>
            <a:effectLst/>
          </c:spPr>
          <c:marker>
            <c:symbol val="none"/>
          </c:marker>
          <c:cat>
            <c:strRef>
              <c:f>'9d. Forecast Results - Gau'!$N$195:$AK$195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Gau'!$N$196:$AK$196</c:f>
              <c:numCache>
                <c:formatCode>0.0%</c:formatCode>
                <c:ptCount val="24"/>
                <c:pt idx="0">
                  <c:v>1.4473657586976172E-2</c:v>
                </c:pt>
                <c:pt idx="1">
                  <c:v>5.4457768087850366E-3</c:v>
                </c:pt>
                <c:pt idx="2">
                  <c:v>8.6890375017410773E-2</c:v>
                </c:pt>
                <c:pt idx="3">
                  <c:v>3.0922742629526503E-2</c:v>
                </c:pt>
                <c:pt idx="4">
                  <c:v>3.0922742629526503E-2</c:v>
                </c:pt>
                <c:pt idx="5">
                  <c:v>3.0922742629526503E-2</c:v>
                </c:pt>
                <c:pt idx="6">
                  <c:v>3.0922742629526503E-2</c:v>
                </c:pt>
                <c:pt idx="7">
                  <c:v>3.0922742629526503E-2</c:v>
                </c:pt>
                <c:pt idx="8">
                  <c:v>3.0922742629526503E-2</c:v>
                </c:pt>
                <c:pt idx="9">
                  <c:v>3.0922742629526503E-2</c:v>
                </c:pt>
                <c:pt idx="10">
                  <c:v>3.0922742629526503E-2</c:v>
                </c:pt>
                <c:pt idx="11">
                  <c:v>3.0922742629526503E-2</c:v>
                </c:pt>
                <c:pt idx="12">
                  <c:v>3.0922742629526503E-2</c:v>
                </c:pt>
                <c:pt idx="13">
                  <c:v>3.0922742629526503E-2</c:v>
                </c:pt>
                <c:pt idx="14">
                  <c:v>3.0922742629526503E-2</c:v>
                </c:pt>
                <c:pt idx="15">
                  <c:v>3.0922742629526503E-2</c:v>
                </c:pt>
                <c:pt idx="16">
                  <c:v>3.0922742629526503E-2</c:v>
                </c:pt>
                <c:pt idx="17">
                  <c:v>3.0922742629526503E-2</c:v>
                </c:pt>
                <c:pt idx="18">
                  <c:v>3.0922742629526503E-2</c:v>
                </c:pt>
                <c:pt idx="19">
                  <c:v>3.0922742629526503E-2</c:v>
                </c:pt>
                <c:pt idx="20">
                  <c:v>3.0922742629526503E-2</c:v>
                </c:pt>
                <c:pt idx="21">
                  <c:v>3.0922742629526503E-2</c:v>
                </c:pt>
                <c:pt idx="22">
                  <c:v>3.0922742629526507E-2</c:v>
                </c:pt>
                <c:pt idx="23">
                  <c:v>0</c:v>
                </c:pt>
              </c:numCache>
            </c:numRef>
          </c:val>
          <c:smooth val="0"/>
          <c:extLst>
            <c:ext xmlns:c16="http://schemas.microsoft.com/office/drawing/2014/chart" uri="{C3380CC4-5D6E-409C-BE32-E72D297353CC}">
              <c16:uniqueId val="{00000000-D3A1-4E1A-842B-5B751704D952}"/>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Gau'!$E$220</c:f>
              <c:strCache>
                <c:ptCount val="1"/>
                <c:pt idx="0">
                  <c:v>Rental Collections/Rentals Raised</c:v>
                </c:pt>
              </c:strCache>
            </c:strRef>
          </c:tx>
          <c:spPr>
            <a:ln w="28575" cap="rnd">
              <a:solidFill>
                <a:schemeClr val="accent1"/>
              </a:solidFill>
              <a:round/>
            </a:ln>
            <a:effectLst/>
          </c:spPr>
          <c:marker>
            <c:symbol val="none"/>
          </c:marker>
          <c:cat>
            <c:strRef>
              <c:f>'9d. Forecast Results - Gau'!$N$219:$AK$219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Gau'!$N$220:$AK$220</c:f>
              <c:numCache>
                <c:formatCode>0.0%</c:formatCode>
                <c:ptCount val="24"/>
                <c:pt idx="0">
                  <c:v>0.12024850296859706</c:v>
                </c:pt>
                <c:pt idx="1">
                  <c:v>4.127869112613522E-2</c:v>
                </c:pt>
                <c:pt idx="2">
                  <c:v>3.7905623003453709E-2</c:v>
                </c:pt>
                <c:pt idx="3">
                  <c:v>3.7905623003453709E-2</c:v>
                </c:pt>
                <c:pt idx="4">
                  <c:v>3.7905623003453709E-2</c:v>
                </c:pt>
                <c:pt idx="5">
                  <c:v>3.7905623003453709E-2</c:v>
                </c:pt>
                <c:pt idx="6">
                  <c:v>3.7905623003453709E-2</c:v>
                </c:pt>
                <c:pt idx="7">
                  <c:v>3.7905623003453709E-2</c:v>
                </c:pt>
                <c:pt idx="8">
                  <c:v>3.7905623003453709E-2</c:v>
                </c:pt>
                <c:pt idx="9">
                  <c:v>3.7905623003453709E-2</c:v>
                </c:pt>
                <c:pt idx="10">
                  <c:v>3.7905623003453709E-2</c:v>
                </c:pt>
                <c:pt idx="11">
                  <c:v>3.7905623003453709E-2</c:v>
                </c:pt>
                <c:pt idx="12">
                  <c:v>3.7905623003453709E-2</c:v>
                </c:pt>
                <c:pt idx="13">
                  <c:v>3.7905623003453709E-2</c:v>
                </c:pt>
                <c:pt idx="14">
                  <c:v>3.7905623003453709E-2</c:v>
                </c:pt>
                <c:pt idx="15">
                  <c:v>3.7905623003453709E-2</c:v>
                </c:pt>
                <c:pt idx="16">
                  <c:v>3.7905623003453709E-2</c:v>
                </c:pt>
                <c:pt idx="17">
                  <c:v>3.7905623003453709E-2</c:v>
                </c:pt>
                <c:pt idx="18">
                  <c:v>3.7905623003453709E-2</c:v>
                </c:pt>
                <c:pt idx="19">
                  <c:v>3.7905623003453709E-2</c:v>
                </c:pt>
                <c:pt idx="20">
                  <c:v>3.7905623003453702E-2</c:v>
                </c:pt>
                <c:pt idx="21">
                  <c:v>3.7905623003453709E-2</c:v>
                </c:pt>
                <c:pt idx="22">
                  <c:v>0</c:v>
                </c:pt>
                <c:pt idx="23">
                  <c:v>0</c:v>
                </c:pt>
              </c:numCache>
            </c:numRef>
          </c:val>
          <c:smooth val="0"/>
          <c:extLst>
            <c:ext xmlns:c16="http://schemas.microsoft.com/office/drawing/2014/chart" uri="{C3380CC4-5D6E-409C-BE32-E72D297353CC}">
              <c16:uniqueId val="{00000000-4BB4-4322-AD10-9FB153DCFBF3}"/>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Gau'!$E$244</c:f>
              <c:strCache>
                <c:ptCount val="1"/>
                <c:pt idx="0">
                  <c:v>Cost to Income Ratio</c:v>
                </c:pt>
              </c:strCache>
            </c:strRef>
          </c:tx>
          <c:spPr>
            <a:ln w="28575" cap="rnd">
              <a:solidFill>
                <a:schemeClr val="accent1"/>
              </a:solidFill>
              <a:round/>
            </a:ln>
            <a:effectLst/>
          </c:spPr>
          <c:marker>
            <c:symbol val="none"/>
          </c:marker>
          <c:cat>
            <c:strRef>
              <c:f>'9d. Forecast Results - Gau'!$N$243:$AK$243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Gau'!$N$244:$AK$244</c:f>
              <c:numCache>
                <c:formatCode>0.0%</c:formatCode>
                <c:ptCount val="24"/>
                <c:pt idx="0">
                  <c:v>27.965580545306178</c:v>
                </c:pt>
                <c:pt idx="1">
                  <c:v>20.064060344894862</c:v>
                </c:pt>
                <c:pt idx="2">
                  <c:v>22.177921983057889</c:v>
                </c:pt>
                <c:pt idx="3">
                  <c:v>114.96204596181175</c:v>
                </c:pt>
                <c:pt idx="4">
                  <c:v>116.12703628317945</c:v>
                </c:pt>
                <c:pt idx="5">
                  <c:v>116.99052565265278</c:v>
                </c:pt>
                <c:pt idx="6">
                  <c:v>112.71469159700422</c:v>
                </c:pt>
                <c:pt idx="7">
                  <c:v>112.58245069547088</c:v>
                </c:pt>
                <c:pt idx="8">
                  <c:v>111.99125111406745</c:v>
                </c:pt>
                <c:pt idx="9">
                  <c:v>110.88276249039912</c:v>
                </c:pt>
                <c:pt idx="10">
                  <c:v>109.19294765552901</c:v>
                </c:pt>
                <c:pt idx="11">
                  <c:v>106.85155339445267</c:v>
                </c:pt>
                <c:pt idx="12">
                  <c:v>103.7815573072308</c:v>
                </c:pt>
                <c:pt idx="13">
                  <c:v>99.898567004932062</c:v>
                </c:pt>
                <c:pt idx="14">
                  <c:v>95.110167546674049</c:v>
                </c:pt>
                <c:pt idx="15">
                  <c:v>89.315212666767394</c:v>
                </c:pt>
                <c:pt idx="16">
                  <c:v>82.403054951509603</c:v>
                </c:pt>
                <c:pt idx="17">
                  <c:v>74.252709700513478</c:v>
                </c:pt>
                <c:pt idx="18">
                  <c:v>64.731946744257954</c:v>
                </c:pt>
                <c:pt idx="19">
                  <c:v>53.696303984157716</c:v>
                </c:pt>
                <c:pt idx="20">
                  <c:v>40.988015869826143</c:v>
                </c:pt>
                <c:pt idx="21">
                  <c:v>26.434849425918316</c:v>
                </c:pt>
                <c:pt idx="22">
                  <c:v>4.105832890135872</c:v>
                </c:pt>
                <c:pt idx="23">
                  <c:v>0</c:v>
                </c:pt>
              </c:numCache>
            </c:numRef>
          </c:val>
          <c:smooth val="0"/>
          <c:extLst>
            <c:ext xmlns:c16="http://schemas.microsoft.com/office/drawing/2014/chart" uri="{C3380CC4-5D6E-409C-BE32-E72D297353CC}">
              <c16:uniqueId val="{00000000-8D62-453C-A338-89E352292874}"/>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Gau'!$E$270</c:f>
              <c:strCache>
                <c:ptCount val="1"/>
                <c:pt idx="0">
                  <c:v>Maintenance as % of Expenses</c:v>
                </c:pt>
              </c:strCache>
            </c:strRef>
          </c:tx>
          <c:spPr>
            <a:ln w="28575" cap="rnd">
              <a:solidFill>
                <a:schemeClr val="accent1"/>
              </a:solidFill>
              <a:round/>
            </a:ln>
            <a:effectLst/>
          </c:spPr>
          <c:marker>
            <c:symbol val="none"/>
          </c:marker>
          <c:cat>
            <c:strRef>
              <c:f>'9d. Forecast Results - Gau'!$N$269:$AK$269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Gau'!$N$270:$AK$270</c:f>
              <c:numCache>
                <c:formatCode>0.0%</c:formatCode>
                <c:ptCount val="24"/>
                <c:pt idx="0">
                  <c:v>0.53741164043210865</c:v>
                </c:pt>
                <c:pt idx="1">
                  <c:v>0.37691642525906238</c:v>
                </c:pt>
                <c:pt idx="2">
                  <c:v>0.51294643719195587</c:v>
                </c:pt>
                <c:pt idx="3">
                  <c:v>0.50597713590360449</c:v>
                </c:pt>
                <c:pt idx="4">
                  <c:v>0.5042718990526841</c:v>
                </c:pt>
                <c:pt idx="5">
                  <c:v>0.5023787694569315</c:v>
                </c:pt>
                <c:pt idx="6">
                  <c:v>0.49951489966931317</c:v>
                </c:pt>
                <c:pt idx="7">
                  <c:v>0.49661110804351477</c:v>
                </c:pt>
                <c:pt idx="8">
                  <c:v>0.49330785994660964</c:v>
                </c:pt>
                <c:pt idx="9">
                  <c:v>0.48951664110436643</c:v>
                </c:pt>
                <c:pt idx="10">
                  <c:v>0.4851207001277561</c:v>
                </c:pt>
                <c:pt idx="11">
                  <c:v>0.47996281269722907</c:v>
                </c:pt>
                <c:pt idx="12">
                  <c:v>0.47382607953681199</c:v>
                </c:pt>
                <c:pt idx="13">
                  <c:v>0.46640264601374593</c:v>
                </c:pt>
                <c:pt idx="14">
                  <c:v>0.45724044156526222</c:v>
                </c:pt>
                <c:pt idx="15">
                  <c:v>0.44564752947456343</c:v>
                </c:pt>
                <c:pt idx="16">
                  <c:v>0.43050868688438948</c:v>
                </c:pt>
                <c:pt idx="17">
                  <c:v>0.40990328887017385</c:v>
                </c:pt>
                <c:pt idx="18">
                  <c:v>0.38021805036618678</c:v>
                </c:pt>
                <c:pt idx="19">
                  <c:v>0.33375539419762251</c:v>
                </c:pt>
                <c:pt idx="20">
                  <c:v>0.25068943221526718</c:v>
                </c:pt>
                <c:pt idx="21">
                  <c:v>5.9655413097127422E-2</c:v>
                </c:pt>
                <c:pt idx="22">
                  <c:v>0</c:v>
                </c:pt>
                <c:pt idx="23">
                  <c:v>0</c:v>
                </c:pt>
              </c:numCache>
            </c:numRef>
          </c:val>
          <c:smooth val="0"/>
          <c:extLst>
            <c:ext xmlns:c16="http://schemas.microsoft.com/office/drawing/2014/chart" uri="{C3380CC4-5D6E-409C-BE32-E72D297353CC}">
              <c16:uniqueId val="{00000000-B2D3-4A3B-9608-171AEFC51CA4}"/>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D79-49CC-80F6-FA56C85701D2}"/>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AD79-49CC-80F6-FA56C85701D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D79-49CC-80F6-FA56C85701D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D79-49CC-80F6-FA56C85701D2}"/>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AD79-49CC-80F6-FA56C85701D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D79-49CC-80F6-FA56C85701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Total Check'!$B$138:$B$143</c:f>
              <c:strCache>
                <c:ptCount val="6"/>
                <c:pt idx="0">
                  <c:v>Rates &amp; Taxes</c:v>
                </c:pt>
                <c:pt idx="1">
                  <c:v>Municipal Charges</c:v>
                </c:pt>
                <c:pt idx="2">
                  <c:v>Maintenance</c:v>
                </c:pt>
                <c:pt idx="3">
                  <c:v>Total Disposal Costs</c:v>
                </c:pt>
                <c:pt idx="4">
                  <c:v>Staff</c:v>
                </c:pt>
                <c:pt idx="5">
                  <c:v>Other </c:v>
                </c:pt>
              </c:strCache>
            </c:strRef>
          </c:cat>
          <c:val>
            <c:numRef>
              <c:f>'5. Dashboard Total Check'!$F$138:$F$143</c:f>
              <c:numCache>
                <c:formatCode>"R"#,##0</c:formatCode>
                <c:ptCount val="6"/>
                <c:pt idx="0">
                  <c:v>834362.49358135683</c:v>
                </c:pt>
                <c:pt idx="1">
                  <c:v>8306564.0350577645</c:v>
                </c:pt>
                <c:pt idx="2">
                  <c:v>0</c:v>
                </c:pt>
                <c:pt idx="3">
                  <c:v>881694.30890112126</c:v>
                </c:pt>
                <c:pt idx="4">
                  <c:v>13814923.78463598</c:v>
                </c:pt>
                <c:pt idx="5">
                  <c:v>70569221.677300453</c:v>
                </c:pt>
              </c:numCache>
            </c:numRef>
          </c:val>
          <c:extLst>
            <c:ext xmlns:c16="http://schemas.microsoft.com/office/drawing/2014/chart" uri="{C3380CC4-5D6E-409C-BE32-E72D297353CC}">
              <c16:uniqueId val="{0000000C-AD79-49CC-80F6-FA56C85701D2}"/>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AD79-49CC-80F6-FA56C85701D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AD79-49CC-80F6-FA56C85701D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AD79-49CC-80F6-FA56C85701D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AD79-49CC-80F6-FA56C85701D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AD79-49CC-80F6-FA56C85701D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AD79-49CC-80F6-FA56C85701D2}"/>
                    </c:ext>
                  </c:extLst>
                </c:dPt>
                <c:cat>
                  <c:strRef>
                    <c:extLst>
                      <c:ext uri="{02D57815-91ED-43cb-92C2-25804820EDAC}">
                        <c15:formulaRef>
                          <c15:sqref>'5. Dashboard Total Check'!$B$138:$B$143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Total Check'!$C$138:$C$143</c15:sqref>
                        </c15:formulaRef>
                      </c:ext>
                    </c:extLst>
                    <c:numCache>
                      <c:formatCode>General</c:formatCode>
                      <c:ptCount val="6"/>
                    </c:numCache>
                  </c:numRef>
                </c:val>
                <c:extLst>
                  <c:ext xmlns:c16="http://schemas.microsoft.com/office/drawing/2014/chart" uri="{C3380CC4-5D6E-409C-BE32-E72D297353CC}">
                    <c16:uniqueId val="{00000019-AD79-49CC-80F6-FA56C85701D2}"/>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AD79-49CC-80F6-FA56C85701D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AD79-49CC-80F6-FA56C85701D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AD79-49CC-80F6-FA56C85701D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AD79-49CC-80F6-FA56C85701D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AD79-49CC-80F6-FA56C85701D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AD79-49CC-80F6-FA56C85701D2}"/>
                    </c:ext>
                  </c:extLst>
                </c:dPt>
                <c:cat>
                  <c:strRef>
                    <c:extLst xmlns:c15="http://schemas.microsoft.com/office/drawing/2012/chart">
                      <c:ext xmlns:c15="http://schemas.microsoft.com/office/drawing/2012/chart" uri="{02D57815-91ED-43cb-92C2-25804820EDAC}">
                        <c15:formulaRef>
                          <c15:sqref>'5. Dashboard Total Check'!$B$138:$B$143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Total Check'!$E$138:$E$143</c15:sqref>
                        </c15:formulaRef>
                      </c:ext>
                    </c:extLst>
                    <c:numCache>
                      <c:formatCode>"R"#,##0</c:formatCode>
                      <c:ptCount val="6"/>
                      <c:pt idx="0">
                        <c:v>252001.66593494211</c:v>
                      </c:pt>
                      <c:pt idx="1">
                        <c:v>2508823.1927166809</c:v>
                      </c:pt>
                      <c:pt idx="2">
                        <c:v>0</c:v>
                      </c:pt>
                      <c:pt idx="3">
                        <c:v>211625.31374314771</c:v>
                      </c:pt>
                      <c:pt idx="4">
                        <c:v>4066125.1737566851</c:v>
                      </c:pt>
                      <c:pt idx="5">
                        <c:v>21313951.146196745</c:v>
                      </c:pt>
                    </c:numCache>
                  </c:numRef>
                </c:val>
                <c:extLst xmlns:c15="http://schemas.microsoft.com/office/drawing/2012/chart">
                  <c:ext xmlns:c16="http://schemas.microsoft.com/office/drawing/2014/chart" uri="{C3380CC4-5D6E-409C-BE32-E72D297353CC}">
                    <c16:uniqueId val="{00000026-AD79-49CC-80F6-FA56C85701D2}"/>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Gau'!$E$294</c:f>
              <c:strCache>
                <c:ptCount val="1"/>
                <c:pt idx="0">
                  <c:v>Maintenance Cost per Unit</c:v>
                </c:pt>
              </c:strCache>
            </c:strRef>
          </c:tx>
          <c:spPr>
            <a:ln w="28575" cap="rnd">
              <a:solidFill>
                <a:schemeClr val="accent1"/>
              </a:solidFill>
              <a:round/>
            </a:ln>
            <a:effectLst/>
          </c:spPr>
          <c:marker>
            <c:symbol val="none"/>
          </c:marker>
          <c:cat>
            <c:strRef>
              <c:f>'9d. Forecast Results - Gau'!$N$293:$AK$293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Gau'!$N$294:$AK$294</c:f>
              <c:numCache>
                <c:formatCode>"R"#,##0_);[Red]\("R"#,##0\)</c:formatCode>
                <c:ptCount val="24"/>
                <c:pt idx="0">
                  <c:v>0</c:v>
                </c:pt>
                <c:pt idx="1">
                  <c:v>0</c:v>
                </c:pt>
                <c:pt idx="2">
                  <c:v>15975.443034238489</c:v>
                </c:pt>
                <c:pt idx="3">
                  <c:v>16854.092401121605</c:v>
                </c:pt>
                <c:pt idx="4">
                  <c:v>17781.067483183291</c:v>
                </c:pt>
                <c:pt idx="5">
                  <c:v>18759.026194758368</c:v>
                </c:pt>
                <c:pt idx="6">
                  <c:v>19790.772635470075</c:v>
                </c:pt>
                <c:pt idx="7">
                  <c:v>20879.265130420928</c:v>
                </c:pt>
                <c:pt idx="8">
                  <c:v>22027.624712594079</c:v>
                </c:pt>
                <c:pt idx="9">
                  <c:v>23239.144071786752</c:v>
                </c:pt>
                <c:pt idx="10">
                  <c:v>24517.296995735021</c:v>
                </c:pt>
                <c:pt idx="11">
                  <c:v>25865.748330500446</c:v>
                </c:pt>
                <c:pt idx="12">
                  <c:v>27288.364488677969</c:v>
                </c:pt>
                <c:pt idx="13">
                  <c:v>28789.224535555262</c:v>
                </c:pt>
                <c:pt idx="14">
                  <c:v>30372.631885010796</c:v>
                </c:pt>
                <c:pt idx="15">
                  <c:v>32043.12663868639</c:v>
                </c:pt>
                <c:pt idx="16">
                  <c:v>33805.498603814143</c:v>
                </c:pt>
                <c:pt idx="17">
                  <c:v>35664.80102702391</c:v>
                </c:pt>
                <c:pt idx="18">
                  <c:v>37626.365083510231</c:v>
                </c:pt>
                <c:pt idx="19">
                  <c:v>39695.815163103289</c:v>
                </c:pt>
                <c:pt idx="20">
                  <c:v>41879.084997073973</c:v>
                </c:pt>
                <c:pt idx="21">
                  <c:v>44182.434671913041</c:v>
                </c:pt>
                <c:pt idx="22">
                  <c:v>0</c:v>
                </c:pt>
                <c:pt idx="23">
                  <c:v>0</c:v>
                </c:pt>
              </c:numCache>
            </c:numRef>
          </c:val>
          <c:smooth val="0"/>
          <c:extLst>
            <c:ext xmlns:c16="http://schemas.microsoft.com/office/drawing/2014/chart" uri="{C3380CC4-5D6E-409C-BE32-E72D297353CC}">
              <c16:uniqueId val="{00000000-272A-41B3-AC46-AD16D2EADCAA}"/>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Gau'!$E$317</c:f>
              <c:strCache>
                <c:ptCount val="1"/>
                <c:pt idx="0">
                  <c:v>Net Deficit as % of HSDG Grant -  NDoHS Calc  (excl staff costs)</c:v>
                </c:pt>
              </c:strCache>
            </c:strRef>
          </c:tx>
          <c:spPr>
            <a:ln w="28575" cap="rnd">
              <a:solidFill>
                <a:schemeClr val="accent1"/>
              </a:solidFill>
              <a:round/>
            </a:ln>
            <a:effectLst/>
          </c:spPr>
          <c:marker>
            <c:symbol val="none"/>
          </c:marker>
          <c:cat>
            <c:strRef>
              <c:f>'9d. Forecast Results - Gau'!$N$316:$AK$316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Gau'!$N$317:$AK$317</c:f>
              <c:numCache>
                <c:formatCode>0.0%</c:formatCode>
                <c:ptCount val="24"/>
                <c:pt idx="0">
                  <c:v>1.0349453760455107E-2</c:v>
                </c:pt>
                <c:pt idx="1">
                  <c:v>9.8155461387650095E-3</c:v>
                </c:pt>
                <c:pt idx="2">
                  <c:v>0</c:v>
                </c:pt>
                <c:pt idx="3">
                  <c:v>1.3049244139181333E-2</c:v>
                </c:pt>
                <c:pt idx="4">
                  <c:v>1.3084920641080801E-2</c:v>
                </c:pt>
                <c:pt idx="5">
                  <c:v>1.3084607847467579E-2</c:v>
                </c:pt>
                <c:pt idx="6">
                  <c:v>1.3020477628794443E-2</c:v>
                </c:pt>
                <c:pt idx="7">
                  <c:v>1.2905895508639995E-2</c:v>
                </c:pt>
                <c:pt idx="8">
                  <c:v>1.273887208028229E-2</c:v>
                </c:pt>
                <c:pt idx="9">
                  <c:v>1.2513988099211646E-2</c:v>
                </c:pt>
                <c:pt idx="10">
                  <c:v>1.2225386838979628E-2</c:v>
                </c:pt>
                <c:pt idx="11">
                  <c:v>1.186674236140043E-2</c:v>
                </c:pt>
                <c:pt idx="12">
                  <c:v>1.1431225619857276E-2</c:v>
                </c:pt>
                <c:pt idx="13">
                  <c:v>1.0911468253338014E-2</c:v>
                </c:pt>
                <c:pt idx="14">
                  <c:v>1.0299523919717645E-2</c:v>
                </c:pt>
                <c:pt idx="15">
                  <c:v>9.5868270071279849E-3</c:v>
                </c:pt>
                <c:pt idx="16">
                  <c:v>8.7641485519708087E-3</c:v>
                </c:pt>
                <c:pt idx="17">
                  <c:v>7.821549181203492E-3</c:v>
                </c:pt>
                <c:pt idx="18">
                  <c:v>6.7483288849149708E-3</c:v>
                </c:pt>
                <c:pt idx="19">
                  <c:v>5.5329734128736928E-3</c:v>
                </c:pt>
                <c:pt idx="20">
                  <c:v>4.1630970756223393E-3</c:v>
                </c:pt>
                <c:pt idx="21">
                  <c:v>2.6253817167699307E-3</c:v>
                </c:pt>
                <c:pt idx="22">
                  <c:v>5.3952544098936548E-5</c:v>
                </c:pt>
                <c:pt idx="23">
                  <c:v>0</c:v>
                </c:pt>
              </c:numCache>
            </c:numRef>
          </c:val>
          <c:smooth val="0"/>
          <c:extLst>
            <c:ext xmlns:c16="http://schemas.microsoft.com/office/drawing/2014/chart" uri="{C3380CC4-5D6E-409C-BE32-E72D297353CC}">
              <c16:uniqueId val="{00000000-6CE7-4C59-A738-4A73CA90CF19}"/>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Gau'!$E$340</c:f>
              <c:strCache>
                <c:ptCount val="1"/>
                <c:pt idx="0">
                  <c:v>EEDBS as % of HSDG</c:v>
                </c:pt>
              </c:strCache>
            </c:strRef>
          </c:tx>
          <c:spPr>
            <a:ln w="28575" cap="rnd">
              <a:solidFill>
                <a:schemeClr val="accent1"/>
              </a:solidFill>
              <a:round/>
            </a:ln>
            <a:effectLst/>
          </c:spPr>
          <c:marker>
            <c:symbol val="none"/>
          </c:marker>
          <c:cat>
            <c:strRef>
              <c:f>'9d. Forecast Results - Gau'!$N$339:$AK$339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Gau'!$N$340:$AK$340</c:f>
              <c:numCache>
                <c:formatCode>0.0%</c:formatCode>
                <c:ptCount val="24"/>
                <c:pt idx="0">
                  <c:v>3.7055334693636134E-4</c:v>
                </c:pt>
                <c:pt idx="1">
                  <c:v>5.987815669041464E-4</c:v>
                </c:pt>
                <c:pt idx="2">
                  <c:v>3.6242882479460109E-4</c:v>
                </c:pt>
                <c:pt idx="3">
                  <c:v>3.7345590027117897E-4</c:v>
                </c:pt>
                <c:pt idx="4">
                  <c:v>3.7345590027117897E-4</c:v>
                </c:pt>
                <c:pt idx="5">
                  <c:v>3.7345590027117897E-4</c:v>
                </c:pt>
                <c:pt idx="6">
                  <c:v>3.9103029557805791E-4</c:v>
                </c:pt>
                <c:pt idx="7">
                  <c:v>3.9103029557805791E-4</c:v>
                </c:pt>
                <c:pt idx="8">
                  <c:v>3.9103029557805791E-4</c:v>
                </c:pt>
                <c:pt idx="9">
                  <c:v>3.9103029557805791E-4</c:v>
                </c:pt>
                <c:pt idx="10">
                  <c:v>3.9103029557805791E-4</c:v>
                </c:pt>
                <c:pt idx="11">
                  <c:v>3.9103029557805791E-4</c:v>
                </c:pt>
                <c:pt idx="12">
                  <c:v>3.9103029557805791E-4</c:v>
                </c:pt>
                <c:pt idx="13">
                  <c:v>3.9103029557805791E-4</c:v>
                </c:pt>
                <c:pt idx="14">
                  <c:v>3.9103029557805791E-4</c:v>
                </c:pt>
                <c:pt idx="15">
                  <c:v>3.9103029557805791E-4</c:v>
                </c:pt>
                <c:pt idx="16">
                  <c:v>3.9103029557805791E-4</c:v>
                </c:pt>
                <c:pt idx="17">
                  <c:v>3.9103029557805791E-4</c:v>
                </c:pt>
                <c:pt idx="18">
                  <c:v>3.9103029557805791E-4</c:v>
                </c:pt>
                <c:pt idx="19">
                  <c:v>3.9103029557805791E-4</c:v>
                </c:pt>
                <c:pt idx="20">
                  <c:v>3.9103029557805791E-4</c:v>
                </c:pt>
                <c:pt idx="21">
                  <c:v>3.9103029557805791E-4</c:v>
                </c:pt>
                <c:pt idx="22">
                  <c:v>8.0585769097918286E-2</c:v>
                </c:pt>
                <c:pt idx="23">
                  <c:v>0</c:v>
                </c:pt>
              </c:numCache>
            </c:numRef>
          </c:val>
          <c:smooth val="0"/>
          <c:extLst>
            <c:ext xmlns:c16="http://schemas.microsoft.com/office/drawing/2014/chart" uri="{C3380CC4-5D6E-409C-BE32-E72D297353CC}">
              <c16:uniqueId val="{00000000-4EB1-4620-BDF3-5F5FB9F5309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Gau'!$E$364</c:f>
              <c:strCache>
                <c:ptCount val="1"/>
                <c:pt idx="0">
                  <c:v>Average Expenditure per unit per month</c:v>
                </c:pt>
              </c:strCache>
            </c:strRef>
          </c:tx>
          <c:spPr>
            <a:ln w="28575" cap="rnd">
              <a:solidFill>
                <a:schemeClr val="accent1"/>
              </a:solidFill>
              <a:round/>
            </a:ln>
            <a:effectLst/>
          </c:spPr>
          <c:marker>
            <c:symbol val="none"/>
          </c:marker>
          <c:cat>
            <c:strRef>
              <c:f>'9d. Forecast Results - Gau'!$N$363:$AK$363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Gau'!$N$364:$AK$364</c:f>
              <c:numCache>
                <c:formatCode>"R"#,##0_);[Red]\("R"#,##0\)</c:formatCode>
                <c:ptCount val="24"/>
                <c:pt idx="0">
                  <c:v>0</c:v>
                </c:pt>
                <c:pt idx="1">
                  <c:v>0</c:v>
                </c:pt>
                <c:pt idx="2">
                  <c:v>2595.3721928702612</c:v>
                </c:pt>
                <c:pt idx="3">
                  <c:v>2775.8323458335963</c:v>
                </c:pt>
                <c:pt idx="4">
                  <c:v>2938.4060987380149</c:v>
                </c:pt>
                <c:pt idx="5">
                  <c:v>3111.7003303829842</c:v>
                </c:pt>
                <c:pt idx="6">
                  <c:v>3301.6653838507264</c:v>
                </c:pt>
                <c:pt idx="7">
                  <c:v>3503.6243303602291</c:v>
                </c:pt>
                <c:pt idx="8">
                  <c:v>3721.0746914003007</c:v>
                </c:pt>
                <c:pt idx="9">
                  <c:v>3956.1379056420574</c:v>
                </c:pt>
                <c:pt idx="10">
                  <c:v>4211.5458739234746</c:v>
                </c:pt>
                <c:pt idx="11">
                  <c:v>4490.9292355977313</c:v>
                </c:pt>
                <c:pt idx="12">
                  <c:v>4799.2933953307775</c:v>
                </c:pt>
                <c:pt idx="13">
                  <c:v>5143.8431259648087</c:v>
                </c:pt>
                <c:pt idx="14">
                  <c:v>5535.4960475931002</c:v>
                </c:pt>
                <c:pt idx="15">
                  <c:v>5991.8666134472041</c:v>
                </c:pt>
                <c:pt idx="16">
                  <c:v>6543.7120538468953</c:v>
                </c:pt>
                <c:pt idx="17">
                  <c:v>7250.6535881767886</c:v>
                </c:pt>
                <c:pt idx="18">
                  <c:v>8246.6637778138956</c:v>
                </c:pt>
                <c:pt idx="19">
                  <c:v>9911.4041433786024</c:v>
                </c:pt>
                <c:pt idx="20">
                  <c:v>13921.303817702872</c:v>
                </c:pt>
                <c:pt idx="21">
                  <c:v>61718.951639780797</c:v>
                </c:pt>
                <c:pt idx="22">
                  <c:v>0</c:v>
                </c:pt>
                <c:pt idx="23">
                  <c:v>0</c:v>
                </c:pt>
              </c:numCache>
            </c:numRef>
          </c:val>
          <c:smooth val="0"/>
          <c:extLst>
            <c:ext xmlns:c16="http://schemas.microsoft.com/office/drawing/2014/chart" uri="{C3380CC4-5D6E-409C-BE32-E72D297353CC}">
              <c16:uniqueId val="{00000000-4D89-4538-BDFF-BC1A3CC1C09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Gau'!$E$388</c:f>
              <c:strCache>
                <c:ptCount val="1"/>
                <c:pt idx="0">
                  <c:v>Net Surplus/Deficit p.u.p.m.</c:v>
                </c:pt>
              </c:strCache>
            </c:strRef>
          </c:tx>
          <c:spPr>
            <a:ln w="28575" cap="rnd">
              <a:solidFill>
                <a:schemeClr val="accent1"/>
              </a:solidFill>
              <a:round/>
            </a:ln>
            <a:effectLst/>
          </c:spPr>
          <c:marker>
            <c:symbol val="none"/>
          </c:marker>
          <c:cat>
            <c:strRef>
              <c:f>'9d. Forecast Results - Gau'!$N$387:$AK$387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Gau'!$N$388:$AK$388</c:f>
              <c:numCache>
                <c:formatCode>"R"#,##0_);[Red]\("R"#,##0\)</c:formatCode>
                <c:ptCount val="24"/>
                <c:pt idx="0">
                  <c:v>0</c:v>
                </c:pt>
                <c:pt idx="1">
                  <c:v>0</c:v>
                </c:pt>
                <c:pt idx="2">
                  <c:v>-2478.3471535156764</c:v>
                </c:pt>
                <c:pt idx="3">
                  <c:v>-2751.6867043515745</c:v>
                </c:pt>
                <c:pt idx="4">
                  <c:v>-2913.1027224288787</c:v>
                </c:pt>
                <c:pt idx="5">
                  <c:v>-3085.1024472379709</c:v>
                </c:pt>
                <c:pt idx="6">
                  <c:v>-3272.3731475231375</c:v>
                </c:pt>
                <c:pt idx="7">
                  <c:v>-3472.5038110544515</c:v>
                </c:pt>
                <c:pt idx="8">
                  <c:v>-3687.8482147390991</c:v>
                </c:pt>
                <c:pt idx="9">
                  <c:v>-3920.4593401302664</c:v>
                </c:pt>
                <c:pt idx="10">
                  <c:v>-4172.9761131069645</c:v>
                </c:pt>
                <c:pt idx="11">
                  <c:v>-4448.8996244883911</c:v>
                </c:pt>
                <c:pt idx="12">
                  <c:v>-4753.0492116833584</c:v>
                </c:pt>
                <c:pt idx="13">
                  <c:v>-5092.3524661867677</c:v>
                </c:pt>
                <c:pt idx="14">
                  <c:v>-5477.2951612906281</c:v>
                </c:pt>
                <c:pt idx="15">
                  <c:v>-5924.7798716196658</c:v>
                </c:pt>
                <c:pt idx="16">
                  <c:v>-6464.3010167476323</c:v>
                </c:pt>
                <c:pt idx="17">
                  <c:v>-7153.0052516053538</c:v>
                </c:pt>
                <c:pt idx="18">
                  <c:v>-8119.2666548694151</c:v>
                </c:pt>
                <c:pt idx="19">
                  <c:v>-9726.8215295304908</c:v>
                </c:pt>
                <c:pt idx="20">
                  <c:v>-13581.660545827612</c:v>
                </c:pt>
                <c:pt idx="21">
                  <c:v>-59384.194567956212</c:v>
                </c:pt>
                <c:pt idx="22">
                  <c:v>0</c:v>
                </c:pt>
                <c:pt idx="23">
                  <c:v>0</c:v>
                </c:pt>
              </c:numCache>
            </c:numRef>
          </c:val>
          <c:smooth val="0"/>
          <c:extLst>
            <c:ext xmlns:c16="http://schemas.microsoft.com/office/drawing/2014/chart" uri="{C3380CC4-5D6E-409C-BE32-E72D297353CC}">
              <c16:uniqueId val="{00000000-C75F-436B-A87F-EAAF11428F2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'9d. Forecast Results - Gau'!$E$171</c:f>
              <c:strCache>
                <c:ptCount val="1"/>
                <c:pt idx="0">
                  <c:v>Net Surplus / (Deficit)</c:v>
                </c:pt>
              </c:strCache>
            </c:strRef>
          </c:tx>
          <c:spPr>
            <a:ln w="28575" cap="rnd">
              <a:solidFill>
                <a:schemeClr val="accent1"/>
              </a:solidFill>
              <a:round/>
            </a:ln>
            <a:effectLst/>
          </c:spPr>
          <c:marker>
            <c:symbol val="none"/>
          </c:marker>
          <c:cat>
            <c:strRef>
              <c:f>'9d. Forecast Results - Gau'!$N$170:$AK$170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Gau'!$N$171:$AK$171</c:f>
              <c:numCache>
                <c:formatCode>"R"#,##0</c:formatCode>
                <c:ptCount val="24"/>
                <c:pt idx="0">
                  <c:v>-55014202.235555552</c:v>
                </c:pt>
                <c:pt idx="1">
                  <c:v>-57063143.525555551</c:v>
                </c:pt>
                <c:pt idx="2">
                  <c:v>-51881797.88666667</c:v>
                </c:pt>
                <c:pt idx="3">
                  <c:v>-53129566.887620203</c:v>
                </c:pt>
                <c:pt idx="4">
                  <c:v>-53274822.587779328</c:v>
                </c:pt>
                <c:pt idx="5">
                  <c:v>-53273549.058905281</c:v>
                </c:pt>
                <c:pt idx="6">
                  <c:v>-53012444.989874825</c:v>
                </c:pt>
                <c:pt idx="7">
                  <c:v>-52545927.668875955</c:v>
                </c:pt>
                <c:pt idx="8">
                  <c:v>-51865897.292090692</c:v>
                </c:pt>
                <c:pt idx="9">
                  <c:v>-50950289.584332943</c:v>
                </c:pt>
                <c:pt idx="10">
                  <c:v>-49775259.077139869</c:v>
                </c:pt>
                <c:pt idx="11">
                  <c:v>-48315049.921943925</c:v>
                </c:pt>
                <c:pt idx="12">
                  <c:v>-46541857.880803443</c:v>
                </c:pt>
                <c:pt idx="13">
                  <c:v>-44425682.915013365</c:v>
                </c:pt>
                <c:pt idx="14">
                  <c:v>-41934171.754841045</c:v>
                </c:pt>
                <c:pt idx="15">
                  <c:v>-39032449.794230357</c:v>
                </c:pt>
                <c:pt idx="16">
                  <c:v>-35682941.612446934</c:v>
                </c:pt>
                <c:pt idx="17">
                  <c:v>-31845179.380147036</c:v>
                </c:pt>
                <c:pt idx="18">
                  <c:v>-27475598.3600781</c:v>
                </c:pt>
                <c:pt idx="19">
                  <c:v>-22527318.662392616</c:v>
                </c:pt>
                <c:pt idx="20">
                  <c:v>-16949912.36119286</c:v>
                </c:pt>
                <c:pt idx="21">
                  <c:v>-10689155.022232119</c:v>
                </c:pt>
                <c:pt idx="22">
                  <c:v>-219666.00286486489</c:v>
                </c:pt>
                <c:pt idx="23">
                  <c:v>0</c:v>
                </c:pt>
              </c:numCache>
            </c:numRef>
          </c:val>
          <c:smooth val="0"/>
          <c:extLst>
            <c:ext xmlns:c16="http://schemas.microsoft.com/office/drawing/2014/chart" uri="{C3380CC4-5D6E-409C-BE32-E72D297353CC}">
              <c16:uniqueId val="{00000000-7F1B-4626-8E9E-34703199956F}"/>
            </c:ext>
          </c:extLst>
        </c:ser>
        <c:ser>
          <c:idx val="1"/>
          <c:order val="1"/>
          <c:tx>
            <c:strRef>
              <c:f>'9d. Forecast Results - Gau'!$E$172</c:f>
              <c:strCache>
                <c:ptCount val="1"/>
                <c:pt idx="0">
                  <c:v>Total Expenditure</c:v>
                </c:pt>
              </c:strCache>
            </c:strRef>
          </c:tx>
          <c:spPr>
            <a:ln w="28575" cap="rnd">
              <a:solidFill>
                <a:srgbClr val="00B050"/>
              </a:solidFill>
              <a:round/>
            </a:ln>
            <a:effectLst/>
          </c:spPr>
          <c:marker>
            <c:symbol val="none"/>
          </c:marker>
          <c:cat>
            <c:strRef>
              <c:f>'9d. Forecast Results - Gau'!$N$170:$AK$170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Gau'!$N$172:$AK$172</c:f>
              <c:numCache>
                <c:formatCode>"R"#,##0</c:formatCode>
                <c:ptCount val="24"/>
                <c:pt idx="0">
                  <c:v>55425160.545555554</c:v>
                </c:pt>
                <c:pt idx="1">
                  <c:v>57214905.015555553</c:v>
                </c:pt>
                <c:pt idx="2">
                  <c:v>52758725.936666667</c:v>
                </c:pt>
                <c:pt idx="3">
                  <c:v>53595770.933355078</c:v>
                </c:pt>
                <c:pt idx="4">
                  <c:v>53737570.733720817</c:v>
                </c:pt>
                <c:pt idx="5">
                  <c:v>53732841.305053376</c:v>
                </c:pt>
                <c:pt idx="6">
                  <c:v>53486979.218381763</c:v>
                </c:pt>
                <c:pt idx="7">
                  <c:v>53016843.367010988</c:v>
                </c:pt>
                <c:pt idx="8">
                  <c:v>52333194.459853828</c:v>
                </c:pt>
                <c:pt idx="9">
                  <c:v>51413968.221724175</c:v>
                </c:pt>
                <c:pt idx="10">
                  <c:v>50235319.184159204</c:v>
                </c:pt>
                <c:pt idx="11">
                  <c:v>48771491.498591356</c:v>
                </c:pt>
                <c:pt idx="12">
                  <c:v>46994680.927078977</c:v>
                </c:pt>
                <c:pt idx="13">
                  <c:v>44874887.430916995</c:v>
                </c:pt>
                <c:pt idx="14">
                  <c:v>42379757.740372777</c:v>
                </c:pt>
                <c:pt idx="15">
                  <c:v>39474417.249390185</c:v>
                </c:pt>
                <c:pt idx="16">
                  <c:v>36121290.537234865</c:v>
                </c:pt>
                <c:pt idx="17">
                  <c:v>32279909.774563063</c:v>
                </c:pt>
                <c:pt idx="18">
                  <c:v>27906710.224122226</c:v>
                </c:pt>
                <c:pt idx="19">
                  <c:v>22954811.996064842</c:v>
                </c:pt>
                <c:pt idx="20">
                  <c:v>17373787.164493185</c:v>
                </c:pt>
                <c:pt idx="21">
                  <c:v>11109411.295160543</c:v>
                </c:pt>
                <c:pt idx="22">
                  <c:v>290392.92560514633</c:v>
                </c:pt>
                <c:pt idx="23">
                  <c:v>0</c:v>
                </c:pt>
              </c:numCache>
            </c:numRef>
          </c:val>
          <c:smooth val="0"/>
          <c:extLst>
            <c:ext xmlns:c16="http://schemas.microsoft.com/office/drawing/2014/chart" uri="{C3380CC4-5D6E-409C-BE32-E72D297353CC}">
              <c16:uniqueId val="{00000001-7F1B-4626-8E9E-34703199956F}"/>
            </c:ext>
          </c:extLst>
        </c:ser>
        <c:ser>
          <c:idx val="2"/>
          <c:order val="2"/>
          <c:tx>
            <c:strRef>
              <c:f>'9d. Forecast Results - Gau'!$E$173</c:f>
              <c:strCache>
                <c:ptCount val="1"/>
                <c:pt idx="0">
                  <c:v>Total Income</c:v>
                </c:pt>
              </c:strCache>
            </c:strRef>
          </c:tx>
          <c:spPr>
            <a:ln w="28575" cap="rnd">
              <a:solidFill>
                <a:schemeClr val="accent3"/>
              </a:solidFill>
              <a:round/>
            </a:ln>
            <a:effectLst/>
          </c:spPr>
          <c:marker>
            <c:symbol val="none"/>
          </c:marker>
          <c:cat>
            <c:strRef>
              <c:f>'9d. Forecast Results - Gau'!$N$170:$AK$170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Gau'!$N$173:$AK$173</c:f>
              <c:numCache>
                <c:formatCode>"R"#,##0</c:formatCode>
                <c:ptCount val="24"/>
                <c:pt idx="0">
                  <c:v>410958.31</c:v>
                </c:pt>
                <c:pt idx="1">
                  <c:v>151761.49</c:v>
                </c:pt>
                <c:pt idx="2">
                  <c:v>876928.05</c:v>
                </c:pt>
                <c:pt idx="3">
                  <c:v>466204.04573487316</c:v>
                </c:pt>
                <c:pt idx="4">
                  <c:v>462748.14594148472</c:v>
                </c:pt>
                <c:pt idx="5">
                  <c:v>459292.24614809634</c:v>
                </c:pt>
                <c:pt idx="6">
                  <c:v>474534.22850693727</c:v>
                </c:pt>
                <c:pt idx="7">
                  <c:v>470915.69813503645</c:v>
                </c:pt>
                <c:pt idx="8">
                  <c:v>467297.16776313563</c:v>
                </c:pt>
                <c:pt idx="9">
                  <c:v>463678.63739123475</c:v>
                </c:pt>
                <c:pt idx="10">
                  <c:v>460060.10701933393</c:v>
                </c:pt>
                <c:pt idx="11">
                  <c:v>456441.5766474331</c:v>
                </c:pt>
                <c:pt idx="12">
                  <c:v>452823.04627553228</c:v>
                </c:pt>
                <c:pt idx="13">
                  <c:v>449204.51590363146</c:v>
                </c:pt>
                <c:pt idx="14">
                  <c:v>445585.98553173064</c:v>
                </c:pt>
                <c:pt idx="15">
                  <c:v>441967.45515982981</c:v>
                </c:pt>
                <c:pt idx="16">
                  <c:v>438348.92478792899</c:v>
                </c:pt>
                <c:pt idx="17">
                  <c:v>434730.39441602817</c:v>
                </c:pt>
                <c:pt idx="18">
                  <c:v>431111.86404412735</c:v>
                </c:pt>
                <c:pt idx="19">
                  <c:v>427493.33367222652</c:v>
                </c:pt>
                <c:pt idx="20">
                  <c:v>423874.8033003257</c:v>
                </c:pt>
                <c:pt idx="21">
                  <c:v>420256.27292842488</c:v>
                </c:pt>
                <c:pt idx="22">
                  <c:v>70726.922740281458</c:v>
                </c:pt>
                <c:pt idx="23">
                  <c:v>0</c:v>
                </c:pt>
              </c:numCache>
            </c:numRef>
          </c:val>
          <c:smooth val="0"/>
          <c:extLst>
            <c:ext xmlns:c16="http://schemas.microsoft.com/office/drawing/2014/chart" uri="{C3380CC4-5D6E-409C-BE32-E72D297353CC}">
              <c16:uniqueId val="{00000002-7F1B-4626-8E9E-34703199956F}"/>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'9d. Forecast Results - Gau'!$E$147</c:f>
              <c:strCache>
                <c:ptCount val="1"/>
                <c:pt idx="0">
                  <c:v>No. of Rental Units</c:v>
                </c:pt>
              </c:strCache>
            </c:strRef>
          </c:tx>
          <c:spPr>
            <a:solidFill>
              <a:srgbClr val="00B050"/>
            </a:solidFill>
            <a:ln>
              <a:noFill/>
            </a:ln>
            <a:effectLst/>
          </c:spPr>
          <c:invertIfNegative val="0"/>
          <c:cat>
            <c:strRef>
              <c:f>'9d. Forecast Results - Gau'!$N$146:$AK$146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Gau'!$N$147:$AK$147</c:f>
              <c:numCache>
                <c:formatCode>_-* #,##0_-;\-* #,##0_-;_-* "-"_-;_-@_-</c:formatCode>
                <c:ptCount val="24"/>
                <c:pt idx="0">
                  <c:v>0</c:v>
                </c:pt>
                <c:pt idx="1">
                  <c:v>0</c:v>
                </c:pt>
                <c:pt idx="2">
                  <c:v>1694</c:v>
                </c:pt>
                <c:pt idx="3">
                  <c:v>1609</c:v>
                </c:pt>
                <c:pt idx="4">
                  <c:v>1524</c:v>
                </c:pt>
                <c:pt idx="5">
                  <c:v>1439</c:v>
                </c:pt>
                <c:pt idx="6">
                  <c:v>1350</c:v>
                </c:pt>
                <c:pt idx="7">
                  <c:v>1261</c:v>
                </c:pt>
                <c:pt idx="8">
                  <c:v>1172</c:v>
                </c:pt>
                <c:pt idx="9">
                  <c:v>1083</c:v>
                </c:pt>
                <c:pt idx="10">
                  <c:v>994</c:v>
                </c:pt>
                <c:pt idx="11">
                  <c:v>905</c:v>
                </c:pt>
                <c:pt idx="12">
                  <c:v>816</c:v>
                </c:pt>
                <c:pt idx="13">
                  <c:v>727</c:v>
                </c:pt>
                <c:pt idx="14">
                  <c:v>638</c:v>
                </c:pt>
                <c:pt idx="15">
                  <c:v>549</c:v>
                </c:pt>
                <c:pt idx="16">
                  <c:v>460</c:v>
                </c:pt>
                <c:pt idx="17">
                  <c:v>371</c:v>
                </c:pt>
                <c:pt idx="18">
                  <c:v>282</c:v>
                </c:pt>
                <c:pt idx="19">
                  <c:v>193</c:v>
                </c:pt>
                <c:pt idx="20">
                  <c:v>104</c:v>
                </c:pt>
                <c:pt idx="21">
                  <c:v>15</c:v>
                </c:pt>
                <c:pt idx="22">
                  <c:v>0</c:v>
                </c:pt>
                <c:pt idx="23">
                  <c:v>0</c:v>
                </c:pt>
              </c:numCache>
            </c:numRef>
          </c:val>
          <c:extLst>
            <c:ext xmlns:c16="http://schemas.microsoft.com/office/drawing/2014/chart" uri="{C3380CC4-5D6E-409C-BE32-E72D297353CC}">
              <c16:uniqueId val="{00000000-13A0-4A2B-82FF-3A77AC676A46}"/>
            </c:ext>
          </c:extLst>
        </c:ser>
        <c:ser>
          <c:idx val="1"/>
          <c:order val="1"/>
          <c:tx>
            <c:strRef>
              <c:f>'9d. Forecast Results - Gau'!$E$148</c:f>
              <c:strCache>
                <c:ptCount val="1"/>
                <c:pt idx="0">
                  <c:v>No. of Sales Accounts</c:v>
                </c:pt>
              </c:strCache>
            </c:strRef>
          </c:tx>
          <c:spPr>
            <a:solidFill>
              <a:srgbClr val="002060"/>
            </a:solidFill>
            <a:ln>
              <a:noFill/>
            </a:ln>
            <a:effectLst/>
          </c:spPr>
          <c:invertIfNegative val="0"/>
          <c:cat>
            <c:strRef>
              <c:f>'9d. Forecast Results - Gau'!$N$146:$AK$146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Gau'!$N$148:$AK$148</c:f>
              <c:numCache>
                <c:formatCode>_-* #,##0_-;\-* #,##0_-;_-* "-"_-;_-@_-</c:formatCode>
                <c:ptCount val="24"/>
                <c:pt idx="0">
                  <c:v>0</c:v>
                </c:pt>
                <c:pt idx="1">
                  <c:v>0</c:v>
                </c:pt>
                <c:pt idx="2">
                  <c:v>456</c:v>
                </c:pt>
                <c:pt idx="3">
                  <c:v>541</c:v>
                </c:pt>
                <c:pt idx="4">
                  <c:v>626</c:v>
                </c:pt>
                <c:pt idx="5">
                  <c:v>711</c:v>
                </c:pt>
                <c:pt idx="6">
                  <c:v>800</c:v>
                </c:pt>
                <c:pt idx="7">
                  <c:v>889</c:v>
                </c:pt>
                <c:pt idx="8">
                  <c:v>978</c:v>
                </c:pt>
                <c:pt idx="9">
                  <c:v>1067</c:v>
                </c:pt>
                <c:pt idx="10">
                  <c:v>1156</c:v>
                </c:pt>
                <c:pt idx="11">
                  <c:v>1245</c:v>
                </c:pt>
                <c:pt idx="12">
                  <c:v>1334</c:v>
                </c:pt>
                <c:pt idx="13">
                  <c:v>1423</c:v>
                </c:pt>
                <c:pt idx="14">
                  <c:v>1512</c:v>
                </c:pt>
                <c:pt idx="15">
                  <c:v>1601</c:v>
                </c:pt>
                <c:pt idx="16">
                  <c:v>1690</c:v>
                </c:pt>
                <c:pt idx="17">
                  <c:v>1779</c:v>
                </c:pt>
                <c:pt idx="18">
                  <c:v>1868</c:v>
                </c:pt>
                <c:pt idx="19">
                  <c:v>1957</c:v>
                </c:pt>
                <c:pt idx="20">
                  <c:v>2046</c:v>
                </c:pt>
                <c:pt idx="21">
                  <c:v>2135</c:v>
                </c:pt>
                <c:pt idx="22">
                  <c:v>2150</c:v>
                </c:pt>
                <c:pt idx="23">
                  <c:v>0</c:v>
                </c:pt>
              </c:numCache>
            </c:numRef>
          </c:val>
          <c:extLst>
            <c:ext xmlns:c16="http://schemas.microsoft.com/office/drawing/2014/chart" uri="{C3380CC4-5D6E-409C-BE32-E72D297353CC}">
              <c16:uniqueId val="{00000001-13A0-4A2B-82FF-3A77AC676A46}"/>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'9d. Forecast Results - Gau'!$AO$20</c:f>
              <c:strCache>
                <c:ptCount val="1"/>
                <c:pt idx="0">
                  <c:v>Net Deficit funded by HSDG Top Slice</c:v>
                </c:pt>
              </c:strCache>
            </c:strRef>
          </c:tx>
          <c:spPr>
            <a:solidFill>
              <a:srgbClr val="00B050"/>
            </a:solidFill>
            <a:ln>
              <a:noFill/>
            </a:ln>
            <a:effectLst/>
          </c:spPr>
          <c:cat>
            <c:strRef>
              <c:f>'9d. Forecast Results - Gau'!$AP$19:$BM$19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'9d. Forecast Results - Gau'!$AP$20:$BM$20</c:f>
              <c:numCache>
                <c:formatCode>"R"#,##0</c:formatCode>
                <c:ptCount val="24"/>
                <c:pt idx="0">
                  <c:v>-55014202.235555552</c:v>
                </c:pt>
                <c:pt idx="1">
                  <c:v>-57063143.525555551</c:v>
                </c:pt>
                <c:pt idx="2">
                  <c:v>-51881797.88666667</c:v>
                </c:pt>
                <c:pt idx="3">
                  <c:v>-53129566.887620203</c:v>
                </c:pt>
                <c:pt idx="4">
                  <c:v>-53274822.587779328</c:v>
                </c:pt>
                <c:pt idx="5">
                  <c:v>-53273549.058905281</c:v>
                </c:pt>
                <c:pt idx="6">
                  <c:v>-53012444.989874825</c:v>
                </c:pt>
                <c:pt idx="7">
                  <c:v>-52545927.668875955</c:v>
                </c:pt>
                <c:pt idx="8">
                  <c:v>-51865897.292090692</c:v>
                </c:pt>
                <c:pt idx="9">
                  <c:v>-50950289.584332943</c:v>
                </c:pt>
                <c:pt idx="10">
                  <c:v>-49775259.077139869</c:v>
                </c:pt>
                <c:pt idx="11">
                  <c:v>-48315049.921943925</c:v>
                </c:pt>
                <c:pt idx="12">
                  <c:v>-46541857.880803443</c:v>
                </c:pt>
                <c:pt idx="13">
                  <c:v>-44425682.915013365</c:v>
                </c:pt>
                <c:pt idx="14">
                  <c:v>-41934171.754841045</c:v>
                </c:pt>
                <c:pt idx="15">
                  <c:v>-39032449.794230357</c:v>
                </c:pt>
                <c:pt idx="16">
                  <c:v>-35682941.612446934</c:v>
                </c:pt>
                <c:pt idx="17">
                  <c:v>-31845179.380147036</c:v>
                </c:pt>
                <c:pt idx="18">
                  <c:v>-27475598.3600781</c:v>
                </c:pt>
                <c:pt idx="19">
                  <c:v>-22527318.662392616</c:v>
                </c:pt>
                <c:pt idx="20">
                  <c:v>-16949912.36119286</c:v>
                </c:pt>
                <c:pt idx="21">
                  <c:v>-10689155.022232119</c:v>
                </c:pt>
                <c:pt idx="22">
                  <c:v>-219666.00286486489</c:v>
                </c:pt>
                <c:pt idx="23">
                  <c:v>0</c:v>
                </c:pt>
              </c:numCache>
            </c:numRef>
          </c:val>
          <c:extLst>
            <c:ext xmlns:c16="http://schemas.microsoft.com/office/drawing/2014/chart" uri="{C3380CC4-5D6E-409C-BE32-E72D297353CC}">
              <c16:uniqueId val="{00000000-549B-46D4-B7EF-BCA3004AE37B}"/>
            </c:ext>
          </c:extLst>
        </c:ser>
        <c:ser>
          <c:idx val="1"/>
          <c:order val="1"/>
          <c:tx>
            <c:strRef>
              <c:f>'9d. Forecast Results - Gau'!$AO$21</c:f>
              <c:strCache>
                <c:ptCount val="1"/>
                <c:pt idx="0">
                  <c:v>EEDBS utilised to settle Existing Sales Debtors Balances Owing</c:v>
                </c:pt>
              </c:strCache>
            </c:strRef>
          </c:tx>
          <c:spPr>
            <a:solidFill>
              <a:srgbClr val="002060"/>
            </a:solidFill>
            <a:ln w="25400">
              <a:noFill/>
            </a:ln>
            <a:effectLst/>
          </c:spPr>
          <c:val>
            <c:numRef>
              <c:f>'9d. Forecast Results - Gau'!$AP$21:$BM$21</c:f>
              <c:numCache>
                <c:formatCode>"R"#,##0</c:formatCode>
                <c:ptCount val="24"/>
                <c:pt idx="0">
                  <c:v>-1522381</c:v>
                </c:pt>
                <c:pt idx="1">
                  <c:v>-2645202</c:v>
                </c:pt>
                <c:pt idx="2">
                  <c:v>-1475617</c:v>
                </c:pt>
                <c:pt idx="3">
                  <c:v>-1520513.3739093961</c:v>
                </c:pt>
                <c:pt idx="4">
                  <c:v>-1520513.3739093961</c:v>
                </c:pt>
                <c:pt idx="5">
                  <c:v>-1520513.3739093961</c:v>
                </c:pt>
                <c:pt idx="6">
                  <c:v>-1592066.9444463088</c:v>
                </c:pt>
                <c:pt idx="7">
                  <c:v>-1592066.9444463088</c:v>
                </c:pt>
                <c:pt idx="8">
                  <c:v>-1592066.9444463088</c:v>
                </c:pt>
                <c:pt idx="9">
                  <c:v>-1592066.9444463088</c:v>
                </c:pt>
                <c:pt idx="10">
                  <c:v>-1592066.9444463088</c:v>
                </c:pt>
                <c:pt idx="11">
                  <c:v>-1592066.9444463088</c:v>
                </c:pt>
                <c:pt idx="12">
                  <c:v>-1592066.9444463088</c:v>
                </c:pt>
                <c:pt idx="13">
                  <c:v>-1592066.9444463088</c:v>
                </c:pt>
                <c:pt idx="14">
                  <c:v>-1592066.9444463088</c:v>
                </c:pt>
                <c:pt idx="15">
                  <c:v>-1592066.9444463088</c:v>
                </c:pt>
                <c:pt idx="16">
                  <c:v>-1592066.9444463088</c:v>
                </c:pt>
                <c:pt idx="17">
                  <c:v>-1592066.9444463088</c:v>
                </c:pt>
                <c:pt idx="18">
                  <c:v>-1592066.9444463088</c:v>
                </c:pt>
                <c:pt idx="19">
                  <c:v>-1592066.9444463088</c:v>
                </c:pt>
                <c:pt idx="20">
                  <c:v>-1592066.9444463088</c:v>
                </c:pt>
                <c:pt idx="21">
                  <c:v>-1592066.9444463088</c:v>
                </c:pt>
                <c:pt idx="22">
                  <c:v>-328102299.55179405</c:v>
                </c:pt>
                <c:pt idx="23">
                  <c:v>0</c:v>
                </c:pt>
              </c:numCache>
            </c:numRef>
          </c:val>
          <c:extLst>
            <c:ext xmlns:c16="http://schemas.microsoft.com/office/drawing/2014/chart" uri="{C3380CC4-5D6E-409C-BE32-E72D297353CC}">
              <c16:uniqueId val="{00000001-549B-46D4-B7EF-BCA3004AE37B}"/>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KZN'!$E$196</c:f>
              <c:strCache>
                <c:ptCount val="1"/>
                <c:pt idx="0">
                  <c:v>Sales &amp; Loans Collections/Sales &amp; Loans Raised</c:v>
                </c:pt>
              </c:strCache>
            </c:strRef>
          </c:tx>
          <c:spPr>
            <a:ln w="28575" cap="rnd">
              <a:solidFill>
                <a:schemeClr val="accent1"/>
              </a:solidFill>
              <a:round/>
            </a:ln>
            <a:effectLst/>
          </c:spPr>
          <c:marker>
            <c:symbol val="none"/>
          </c:marker>
          <c:cat>
            <c:strRef>
              <c:f>'9e. Forecast Results - KZN'!$N$195:$AK$195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KZN'!$N$196:$AK$196</c:f>
              <c:numCache>
                <c:formatCode>0.0%</c:formatCode>
                <c:ptCount val="24"/>
                <c:pt idx="0">
                  <c:v>3.5148162681969602E-2</c:v>
                </c:pt>
                <c:pt idx="1">
                  <c:v>7.2026885887480532E-2</c:v>
                </c:pt>
                <c:pt idx="2">
                  <c:v>5.9197853837512041E-2</c:v>
                </c:pt>
                <c:pt idx="3">
                  <c:v>5.3213104553193342E-2</c:v>
                </c:pt>
                <c:pt idx="4">
                  <c:v>5.3213104553193342E-2</c:v>
                </c:pt>
                <c:pt idx="5">
                  <c:v>5.3213104553193342E-2</c:v>
                </c:pt>
                <c:pt idx="6">
                  <c:v>5.3213104553193342E-2</c:v>
                </c:pt>
                <c:pt idx="7">
                  <c:v>5.3213104553193342E-2</c:v>
                </c:pt>
                <c:pt idx="8">
                  <c:v>5.3213104553193342E-2</c:v>
                </c:pt>
                <c:pt idx="9">
                  <c:v>5.3213104553193342E-2</c:v>
                </c:pt>
                <c:pt idx="10">
                  <c:v>5.3213104553193342E-2</c:v>
                </c:pt>
                <c:pt idx="11">
                  <c:v>5.3213104553193342E-2</c:v>
                </c:pt>
                <c:pt idx="12">
                  <c:v>5.3213104553193342E-2</c:v>
                </c:pt>
                <c:pt idx="13">
                  <c:v>5.3213104553193342E-2</c:v>
                </c:pt>
                <c:pt idx="14">
                  <c:v>5.3213104553193342E-2</c:v>
                </c:pt>
                <c:pt idx="15">
                  <c:v>5.3213104553193342E-2</c:v>
                </c:pt>
                <c:pt idx="16">
                  <c:v>5.3213104553193342E-2</c:v>
                </c:pt>
                <c:pt idx="17">
                  <c:v>5.3213104553193342E-2</c:v>
                </c:pt>
                <c:pt idx="18">
                  <c:v>5.3213104553193342E-2</c:v>
                </c:pt>
                <c:pt idx="19">
                  <c:v>5.3213104553193342E-2</c:v>
                </c:pt>
                <c:pt idx="20">
                  <c:v>5.3213104553193342E-2</c:v>
                </c:pt>
                <c:pt idx="21">
                  <c:v>5.3213104553193342E-2</c:v>
                </c:pt>
                <c:pt idx="22">
                  <c:v>5.3213104553193342E-2</c:v>
                </c:pt>
                <c:pt idx="23">
                  <c:v>0</c:v>
                </c:pt>
              </c:numCache>
            </c:numRef>
          </c:val>
          <c:smooth val="0"/>
          <c:extLst>
            <c:ext xmlns:c16="http://schemas.microsoft.com/office/drawing/2014/chart" uri="{C3380CC4-5D6E-409C-BE32-E72D297353CC}">
              <c16:uniqueId val="{00000000-C4AB-45A1-9DA6-65ED37974AEF}"/>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KZN'!$E$220</c:f>
              <c:strCache>
                <c:ptCount val="1"/>
                <c:pt idx="0">
                  <c:v>Rental Collections/Rentals Raised</c:v>
                </c:pt>
              </c:strCache>
            </c:strRef>
          </c:tx>
          <c:spPr>
            <a:ln w="28575" cap="rnd">
              <a:solidFill>
                <a:schemeClr val="accent1"/>
              </a:solidFill>
              <a:round/>
            </a:ln>
            <a:effectLst/>
          </c:spPr>
          <c:marker>
            <c:symbol val="none"/>
          </c:marker>
          <c:cat>
            <c:strRef>
              <c:f>'9e. Forecast Results - KZN'!$N$219:$AK$219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KZN'!$N$220:$AK$220</c:f>
              <c:numCache>
                <c:formatCode>0.0%</c:formatCode>
                <c:ptCount val="24"/>
                <c:pt idx="0">
                  <c:v>0.2139386935825236</c:v>
                </c:pt>
                <c:pt idx="1">
                  <c:v>0.23776450641986749</c:v>
                </c:pt>
                <c:pt idx="2">
                  <c:v>0.2765409995924219</c:v>
                </c:pt>
                <c:pt idx="3">
                  <c:v>0.2765409995924219</c:v>
                </c:pt>
                <c:pt idx="4">
                  <c:v>0.2765409995924219</c:v>
                </c:pt>
                <c:pt idx="5">
                  <c:v>0.2765409995924219</c:v>
                </c:pt>
                <c:pt idx="6">
                  <c:v>0.2765409995924219</c:v>
                </c:pt>
                <c:pt idx="7">
                  <c:v>0.2765409995924219</c:v>
                </c:pt>
                <c:pt idx="8">
                  <c:v>0.2765409995924219</c:v>
                </c:pt>
                <c:pt idx="9">
                  <c:v>0.2765409995924219</c:v>
                </c:pt>
                <c:pt idx="10">
                  <c:v>0.2765409995924219</c:v>
                </c:pt>
                <c:pt idx="11">
                  <c:v>0.2765409995924219</c:v>
                </c:pt>
                <c:pt idx="12">
                  <c:v>0.2765409995924219</c:v>
                </c:pt>
                <c:pt idx="13">
                  <c:v>0.2765409995924219</c:v>
                </c:pt>
                <c:pt idx="14">
                  <c:v>0.2765409995924219</c:v>
                </c:pt>
                <c:pt idx="15">
                  <c:v>0.2765409995924219</c:v>
                </c:pt>
                <c:pt idx="16">
                  <c:v>0.2765409995924219</c:v>
                </c:pt>
                <c:pt idx="17">
                  <c:v>0.2765409995924219</c:v>
                </c:pt>
                <c:pt idx="18">
                  <c:v>0.2765409995924219</c:v>
                </c:pt>
                <c:pt idx="19">
                  <c:v>0.2765409995924219</c:v>
                </c:pt>
                <c:pt idx="20">
                  <c:v>0.2765409995924219</c:v>
                </c:pt>
                <c:pt idx="21">
                  <c:v>0.2765409995924219</c:v>
                </c:pt>
                <c:pt idx="22">
                  <c:v>0</c:v>
                </c:pt>
                <c:pt idx="23">
                  <c:v>0</c:v>
                </c:pt>
              </c:numCache>
            </c:numRef>
          </c:val>
          <c:smooth val="0"/>
          <c:extLst>
            <c:ext xmlns:c16="http://schemas.microsoft.com/office/drawing/2014/chart" uri="{C3380CC4-5D6E-409C-BE32-E72D297353CC}">
              <c16:uniqueId val="{00000000-213F-4D3F-B9B9-A4024781A5E2}"/>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EC'!$AB$3</c:f>
              <c:strCache>
                <c:ptCount val="1"/>
                <c:pt idx="0">
                  <c:v>Net Deficit funded by HSDG Top Slice</c:v>
                </c:pt>
              </c:strCache>
            </c:strRef>
          </c:tx>
          <c:spPr>
            <a:solidFill>
              <a:srgbClr val="00B050"/>
            </a:solidFill>
            <a:ln w="25400">
              <a:noFill/>
            </a:ln>
            <a:effectLst/>
          </c:spPr>
          <c:cat>
            <c:strRef>
              <c:f>'5. Dashboard EC'!$AC$2:$AZ$2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EC'!$AC$3:$AZ$3</c:f>
              <c:numCache>
                <c:formatCode>"R"#,##0;\-"R"#,##0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0</c:v>
                </c:pt>
                <c:pt idx="23">
                  <c:v>0</c:v>
                </c:pt>
              </c:numCache>
            </c:numRef>
          </c:val>
          <c:extLst>
            <c:ext xmlns:c16="http://schemas.microsoft.com/office/drawing/2014/chart" uri="{C3380CC4-5D6E-409C-BE32-E72D297353CC}">
              <c16:uniqueId val="{00000000-57B6-4444-BC70-E7B635A2C123}"/>
            </c:ext>
          </c:extLst>
        </c:ser>
        <c:ser>
          <c:idx val="1"/>
          <c:order val="1"/>
          <c:tx>
            <c:strRef>
              <c:f>'5. Dashboard EC'!$AB$4</c:f>
              <c:strCache>
                <c:ptCount val="1"/>
                <c:pt idx="0">
                  <c:v>EEDBS utilised to settle Existing Sales Debtors Balances Owing</c:v>
                </c:pt>
              </c:strCache>
            </c:strRef>
          </c:tx>
          <c:spPr>
            <a:solidFill>
              <a:srgbClr val="002060"/>
            </a:solidFill>
            <a:ln w="25400">
              <a:noFill/>
            </a:ln>
            <a:effectLst/>
          </c:spPr>
          <c:cat>
            <c:strRef>
              <c:f>'5. Dashboard EC'!$AC$2:$AZ$2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EC'!$AC$4:$AZ$4</c:f>
              <c:numCache>
                <c:formatCode>"R"#,##0;\-"R"#,##0</c:formatCode>
                <c:ptCount val="24"/>
                <c:pt idx="0">
                  <c:v>-5576064</c:v>
                </c:pt>
                <c:pt idx="1">
                  <c:v>-1243913</c:v>
                </c:pt>
                <c:pt idx="2">
                  <c:v>-313420</c:v>
                </c:pt>
                <c:pt idx="3">
                  <c:v>-210409.8845669291</c:v>
                </c:pt>
                <c:pt idx="4">
                  <c:v>-210409.8845669291</c:v>
                </c:pt>
                <c:pt idx="5">
                  <c:v>-210409.8845669291</c:v>
                </c:pt>
                <c:pt idx="6">
                  <c:v>-23378.876062992123</c:v>
                </c:pt>
                <c:pt idx="7">
                  <c:v>-23378.876062992123</c:v>
                </c:pt>
                <c:pt idx="8">
                  <c:v>-23378.876062992123</c:v>
                </c:pt>
                <c:pt idx="9">
                  <c:v>-23378.876062992123</c:v>
                </c:pt>
                <c:pt idx="10">
                  <c:v>-23378.876062992123</c:v>
                </c:pt>
                <c:pt idx="11">
                  <c:v>-23378.876062992123</c:v>
                </c:pt>
                <c:pt idx="12">
                  <c:v>-23378.876062992123</c:v>
                </c:pt>
                <c:pt idx="13">
                  <c:v>-23378.876062992123</c:v>
                </c:pt>
                <c:pt idx="14">
                  <c:v>-23378.876062992123</c:v>
                </c:pt>
                <c:pt idx="15">
                  <c:v>-23378.876062992123</c:v>
                </c:pt>
                <c:pt idx="16">
                  <c:v>-23378.876062992123</c:v>
                </c:pt>
                <c:pt idx="17">
                  <c:v>-23378.876062992123</c:v>
                </c:pt>
                <c:pt idx="18">
                  <c:v>-23378.876062992123</c:v>
                </c:pt>
                <c:pt idx="19">
                  <c:v>-23378.876062992123</c:v>
                </c:pt>
                <c:pt idx="20">
                  <c:v>-23378.876062992123</c:v>
                </c:pt>
                <c:pt idx="21">
                  <c:v>-23378.876062992123</c:v>
                </c:pt>
                <c:pt idx="22">
                  <c:v>-15759591.013178613</c:v>
                </c:pt>
                <c:pt idx="23">
                  <c:v>0</c:v>
                </c:pt>
              </c:numCache>
            </c:numRef>
          </c:val>
          <c:extLst>
            <c:ext xmlns:c16="http://schemas.microsoft.com/office/drawing/2014/chart" uri="{C3380CC4-5D6E-409C-BE32-E72D297353CC}">
              <c16:uniqueId val="{00000001-57B6-4444-BC70-E7B635A2C123}"/>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KZN'!$E$244</c:f>
              <c:strCache>
                <c:ptCount val="1"/>
                <c:pt idx="0">
                  <c:v>Cost to Income Ratio</c:v>
                </c:pt>
              </c:strCache>
            </c:strRef>
          </c:tx>
          <c:spPr>
            <a:ln w="28575" cap="rnd">
              <a:solidFill>
                <a:schemeClr val="accent1"/>
              </a:solidFill>
              <a:round/>
            </a:ln>
            <a:effectLst/>
          </c:spPr>
          <c:marker>
            <c:symbol val="none"/>
          </c:marker>
          <c:cat>
            <c:strRef>
              <c:f>'9e. Forecast Results - KZN'!$N$243:$AK$243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KZN'!$N$244:$AK$244</c:f>
              <c:numCache>
                <c:formatCode>0.0%</c:formatCode>
                <c:ptCount val="24"/>
                <c:pt idx="0">
                  <c:v>4.3859747647309115</c:v>
                </c:pt>
                <c:pt idx="1">
                  <c:v>3.7877355450022678</c:v>
                </c:pt>
                <c:pt idx="2">
                  <c:v>6.4840547126770431</c:v>
                </c:pt>
                <c:pt idx="3">
                  <c:v>31.950414081001497</c:v>
                </c:pt>
                <c:pt idx="4">
                  <c:v>32.357250449005463</c:v>
                </c:pt>
                <c:pt idx="5">
                  <c:v>32.559812710565957</c:v>
                </c:pt>
                <c:pt idx="6">
                  <c:v>50.974301944440441</c:v>
                </c:pt>
                <c:pt idx="7">
                  <c:v>52.542197640950519</c:v>
                </c:pt>
                <c:pt idx="8">
                  <c:v>54.022869585708094</c:v>
                </c:pt>
                <c:pt idx="9">
                  <c:v>55.382098700065747</c:v>
                </c:pt>
                <c:pt idx="10">
                  <c:v>56.577682138205709</c:v>
                </c:pt>
                <c:pt idx="11">
                  <c:v>57.557446280481493</c:v>
                </c:pt>
                <c:pt idx="12">
                  <c:v>58.256673547652575</c:v>
                </c:pt>
                <c:pt idx="13">
                  <c:v>58.594734171660328</c:v>
                </c:pt>
                <c:pt idx="14">
                  <c:v>58.470624726824056</c:v>
                </c:pt>
                <c:pt idx="15">
                  <c:v>57.756980505776227</c:v>
                </c:pt>
                <c:pt idx="16">
                  <c:v>56.2919215629341</c:v>
                </c:pt>
                <c:pt idx="17">
                  <c:v>53.867766283574099</c:v>
                </c:pt>
                <c:pt idx="18">
                  <c:v>50.2151210001119</c:v>
                </c:pt>
                <c:pt idx="19">
                  <c:v>44.979984100885083</c:v>
                </c:pt>
                <c:pt idx="20">
                  <c:v>37.690017131466753</c:v>
                </c:pt>
                <c:pt idx="21">
                  <c:v>27.703507863524301</c:v>
                </c:pt>
                <c:pt idx="22">
                  <c:v>3.9754512955645809</c:v>
                </c:pt>
                <c:pt idx="23">
                  <c:v>0</c:v>
                </c:pt>
              </c:numCache>
            </c:numRef>
          </c:val>
          <c:smooth val="0"/>
          <c:extLst>
            <c:ext xmlns:c16="http://schemas.microsoft.com/office/drawing/2014/chart" uri="{C3380CC4-5D6E-409C-BE32-E72D297353CC}">
              <c16:uniqueId val="{00000000-7622-4600-B1E5-3483AB469358}"/>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KZN'!$E$270</c:f>
              <c:strCache>
                <c:ptCount val="1"/>
                <c:pt idx="0">
                  <c:v>Maintenance as % of Expenses</c:v>
                </c:pt>
              </c:strCache>
            </c:strRef>
          </c:tx>
          <c:spPr>
            <a:ln w="28575" cap="rnd">
              <a:solidFill>
                <a:schemeClr val="accent1"/>
              </a:solidFill>
              <a:round/>
            </a:ln>
            <a:effectLst/>
          </c:spPr>
          <c:marker>
            <c:symbol val="none"/>
          </c:marker>
          <c:cat>
            <c:strRef>
              <c:f>'9e. Forecast Results - KZN'!$N$269:$AK$269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KZN'!$N$270:$AK$270</c:f>
              <c:numCache>
                <c:formatCode>0.0%</c:formatCode>
                <c:ptCount val="24"/>
                <c:pt idx="0">
                  <c:v>0.40601093351103773</c:v>
                </c:pt>
                <c:pt idx="1">
                  <c:v>0.36961297624928435</c:v>
                </c:pt>
                <c:pt idx="2">
                  <c:v>0.42371686963485639</c:v>
                </c:pt>
                <c:pt idx="3">
                  <c:v>0.40467270541111561</c:v>
                </c:pt>
                <c:pt idx="4">
                  <c:v>0.39380708423471228</c:v>
                </c:pt>
                <c:pt idx="5">
                  <c:v>0.38067048374673801</c:v>
                </c:pt>
                <c:pt idx="6">
                  <c:v>0.38482090420310539</c:v>
                </c:pt>
                <c:pt idx="7">
                  <c:v>0.38195737195409757</c:v>
                </c:pt>
                <c:pt idx="8">
                  <c:v>0.37870668448066641</c:v>
                </c:pt>
                <c:pt idx="9">
                  <c:v>0.37498463295446738</c:v>
                </c:pt>
                <c:pt idx="10">
                  <c:v>0.37068067823677731</c:v>
                </c:pt>
                <c:pt idx="11">
                  <c:v>0.36564678704477233</c:v>
                </c:pt>
                <c:pt idx="12">
                  <c:v>0.35968006178315676</c:v>
                </c:pt>
                <c:pt idx="13">
                  <c:v>0.35249472763258488</c:v>
                </c:pt>
                <c:pt idx="14">
                  <c:v>0.34367500403140322</c:v>
                </c:pt>
                <c:pt idx="15">
                  <c:v>0.33259168941117534</c:v>
                </c:pt>
                <c:pt idx="16">
                  <c:v>0.31824506494510874</c:v>
                </c:pt>
                <c:pt idx="17">
                  <c:v>0.29894507965417055</c:v>
                </c:pt>
                <c:pt idx="18">
                  <c:v>0.2715911565663236</c:v>
                </c:pt>
                <c:pt idx="19">
                  <c:v>0.22981265686639565</c:v>
                </c:pt>
                <c:pt idx="20">
                  <c:v>0.15811418412615832</c:v>
                </c:pt>
                <c:pt idx="21">
                  <c:v>6.4255807981744989E-3</c:v>
                </c:pt>
                <c:pt idx="22">
                  <c:v>0</c:v>
                </c:pt>
                <c:pt idx="23">
                  <c:v>0</c:v>
                </c:pt>
              </c:numCache>
            </c:numRef>
          </c:val>
          <c:smooth val="0"/>
          <c:extLst>
            <c:ext xmlns:c16="http://schemas.microsoft.com/office/drawing/2014/chart" uri="{C3380CC4-5D6E-409C-BE32-E72D297353CC}">
              <c16:uniqueId val="{00000000-9C66-4C7B-81E8-57A3096351C4}"/>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KZN'!$E$294</c:f>
              <c:strCache>
                <c:ptCount val="1"/>
                <c:pt idx="0">
                  <c:v>Maintenance Cost per Unit</c:v>
                </c:pt>
              </c:strCache>
            </c:strRef>
          </c:tx>
          <c:spPr>
            <a:ln w="28575" cap="rnd">
              <a:solidFill>
                <a:schemeClr val="accent1"/>
              </a:solidFill>
              <a:round/>
            </a:ln>
            <a:effectLst/>
          </c:spPr>
          <c:marker>
            <c:symbol val="none"/>
          </c:marker>
          <c:cat>
            <c:strRef>
              <c:f>'9e. Forecast Results - KZN'!$N$293:$AK$293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KZN'!$N$294:$AK$294</c:f>
              <c:numCache>
                <c:formatCode>"R"#,##0_);[Red]\("R"#,##0\)</c:formatCode>
                <c:ptCount val="24"/>
                <c:pt idx="0">
                  <c:v>0</c:v>
                </c:pt>
                <c:pt idx="1">
                  <c:v>0</c:v>
                </c:pt>
                <c:pt idx="2">
                  <c:v>11728.693909481077</c:v>
                </c:pt>
                <c:pt idx="3">
                  <c:v>12373.772074502538</c:v>
                </c:pt>
                <c:pt idx="4">
                  <c:v>13054.329538600179</c:v>
                </c:pt>
                <c:pt idx="5">
                  <c:v>13772.317663223188</c:v>
                </c:pt>
                <c:pt idx="6">
                  <c:v>14529.795134700464</c:v>
                </c:pt>
                <c:pt idx="7">
                  <c:v>15328.93386710899</c:v>
                </c:pt>
                <c:pt idx="8">
                  <c:v>16172.025229799985</c:v>
                </c:pt>
                <c:pt idx="9">
                  <c:v>17061.486617438983</c:v>
                </c:pt>
                <c:pt idx="10">
                  <c:v>17999.868381398122</c:v>
                </c:pt>
                <c:pt idx="11">
                  <c:v>18989.861142375015</c:v>
                </c:pt>
                <c:pt idx="12">
                  <c:v>20034.303505205644</c:v>
                </c:pt>
                <c:pt idx="13">
                  <c:v>21136.190197991949</c:v>
                </c:pt>
                <c:pt idx="14">
                  <c:v>22298.680658881512</c:v>
                </c:pt>
                <c:pt idx="15">
                  <c:v>23525.108095119991</c:v>
                </c:pt>
                <c:pt idx="16">
                  <c:v>24818.989040351586</c:v>
                </c:pt>
                <c:pt idx="17">
                  <c:v>26184.033437570921</c:v>
                </c:pt>
                <c:pt idx="18">
                  <c:v>27624.155276637321</c:v>
                </c:pt>
                <c:pt idx="19">
                  <c:v>29143.483816852375</c:v>
                </c:pt>
                <c:pt idx="20">
                  <c:v>30746.375426779254</c:v>
                </c:pt>
                <c:pt idx="21">
                  <c:v>32437.426075252111</c:v>
                </c:pt>
                <c:pt idx="22">
                  <c:v>0</c:v>
                </c:pt>
                <c:pt idx="23">
                  <c:v>0</c:v>
                </c:pt>
              </c:numCache>
            </c:numRef>
          </c:val>
          <c:smooth val="0"/>
          <c:extLst>
            <c:ext xmlns:c16="http://schemas.microsoft.com/office/drawing/2014/chart" uri="{C3380CC4-5D6E-409C-BE32-E72D297353CC}">
              <c16:uniqueId val="{00000000-2B4A-46CD-8002-730A7739FC21}"/>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KZN'!$E$317</c:f>
              <c:strCache>
                <c:ptCount val="1"/>
                <c:pt idx="0">
                  <c:v>Net Deficit as % of HSDG Grant -  NDoHS Calc  (excl staff costs)</c:v>
                </c:pt>
              </c:strCache>
            </c:strRef>
          </c:tx>
          <c:spPr>
            <a:ln w="28575" cap="rnd">
              <a:solidFill>
                <a:schemeClr val="accent1"/>
              </a:solidFill>
              <a:round/>
            </a:ln>
            <a:effectLst/>
          </c:spPr>
          <c:marker>
            <c:symbol val="none"/>
          </c:marker>
          <c:cat>
            <c:strRef>
              <c:f>'9e. Forecast Results - KZN'!$N$316:$AK$316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KZN'!$N$317:$AK$317</c:f>
              <c:numCache>
                <c:formatCode>0.0%</c:formatCode>
                <c:ptCount val="24"/>
                <c:pt idx="0">
                  <c:v>9.6244102864323916E-3</c:v>
                </c:pt>
                <c:pt idx="1">
                  <c:v>1.0521306118901294E-2</c:v>
                </c:pt>
                <c:pt idx="2">
                  <c:v>0</c:v>
                </c:pt>
                <c:pt idx="3">
                  <c:v>1.9282360142148663E-2</c:v>
                </c:pt>
                <c:pt idx="4">
                  <c:v>1.8592059282128749E-2</c:v>
                </c:pt>
                <c:pt idx="5">
                  <c:v>1.7762300904169637E-2</c:v>
                </c:pt>
                <c:pt idx="6">
                  <c:v>1.7579431411054242E-2</c:v>
                </c:pt>
                <c:pt idx="7">
                  <c:v>1.7452287587692499E-2</c:v>
                </c:pt>
                <c:pt idx="8">
                  <c:v>1.7255467636870789E-2</c:v>
                </c:pt>
                <c:pt idx="9">
                  <c:v>1.698173162630421E-2</c:v>
                </c:pt>
                <c:pt idx="10">
                  <c:v>1.6623254001442059E-2</c:v>
                </c:pt>
                <c:pt idx="11">
                  <c:v>1.6171581067813807E-2</c:v>
                </c:pt>
                <c:pt idx="12">
                  <c:v>1.5617585567940405E-2</c:v>
                </c:pt>
                <c:pt idx="13">
                  <c:v>1.4951418161829121E-2</c:v>
                </c:pt>
                <c:pt idx="14">
                  <c:v>1.4162455607850913E-2</c:v>
                </c:pt>
                <c:pt idx="15">
                  <c:v>1.3239245427813922E-2</c:v>
                </c:pt>
                <c:pt idx="16">
                  <c:v>1.2169446826247472E-2</c:v>
                </c:pt>
                <c:pt idx="17">
                  <c:v>1.0939767619247953E-2</c:v>
                </c:pt>
                <c:pt idx="18">
                  <c:v>9.5358969126574725E-3</c:v>
                </c:pt>
                <c:pt idx="19">
                  <c:v>7.9424332527922147E-3</c:v>
                </c:pt>
                <c:pt idx="20">
                  <c:v>6.1428079553493943E-3</c:v>
                </c:pt>
                <c:pt idx="21">
                  <c:v>4.1192032994365876E-3</c:v>
                </c:pt>
                <c:pt idx="22">
                  <c:v>1.2266110141170973E-5</c:v>
                </c:pt>
                <c:pt idx="23">
                  <c:v>0</c:v>
                </c:pt>
              </c:numCache>
            </c:numRef>
          </c:val>
          <c:smooth val="0"/>
          <c:extLst>
            <c:ext xmlns:c16="http://schemas.microsoft.com/office/drawing/2014/chart" uri="{C3380CC4-5D6E-409C-BE32-E72D297353CC}">
              <c16:uniqueId val="{00000000-985A-4294-8193-3583411F4DEF}"/>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KZN'!$E$340</c:f>
              <c:strCache>
                <c:ptCount val="1"/>
                <c:pt idx="0">
                  <c:v>EEDBS as % of HSDG</c:v>
                </c:pt>
              </c:strCache>
            </c:strRef>
          </c:tx>
          <c:spPr>
            <a:ln w="28575" cap="rnd">
              <a:solidFill>
                <a:schemeClr val="accent1"/>
              </a:solidFill>
              <a:round/>
            </a:ln>
            <a:effectLst/>
          </c:spPr>
          <c:marker>
            <c:symbol val="none"/>
          </c:marker>
          <c:cat>
            <c:strRef>
              <c:f>'9e. Forecast Results - KZN'!$N$339:$AK$339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KZN'!$N$340:$AK$340</c:f>
              <c:numCache>
                <c:formatCode>0.0%</c:formatCode>
                <c:ptCount val="24"/>
                <c:pt idx="0">
                  <c:v>3.032000393688501E-3</c:v>
                </c:pt>
                <c:pt idx="1">
                  <c:v>3.7679741924084758E-3</c:v>
                </c:pt>
                <c:pt idx="2">
                  <c:v>2.443947715649525E-3</c:v>
                </c:pt>
                <c:pt idx="3">
                  <c:v>1.4241317075318043E-3</c:v>
                </c:pt>
                <c:pt idx="4">
                  <c:v>1.4241317075318043E-3</c:v>
                </c:pt>
                <c:pt idx="5">
                  <c:v>1.4241317075318043E-3</c:v>
                </c:pt>
                <c:pt idx="6">
                  <c:v>6.230576220451644E-4</c:v>
                </c:pt>
                <c:pt idx="7">
                  <c:v>6.230576220451644E-4</c:v>
                </c:pt>
                <c:pt idx="8">
                  <c:v>6.230576220451644E-4</c:v>
                </c:pt>
                <c:pt idx="9">
                  <c:v>6.230576220451644E-4</c:v>
                </c:pt>
                <c:pt idx="10">
                  <c:v>6.230576220451644E-4</c:v>
                </c:pt>
                <c:pt idx="11">
                  <c:v>6.230576220451644E-4</c:v>
                </c:pt>
                <c:pt idx="12">
                  <c:v>6.230576220451644E-4</c:v>
                </c:pt>
                <c:pt idx="13">
                  <c:v>6.230576220451644E-4</c:v>
                </c:pt>
                <c:pt idx="14">
                  <c:v>6.230576220451644E-4</c:v>
                </c:pt>
                <c:pt idx="15">
                  <c:v>6.230576220451644E-4</c:v>
                </c:pt>
                <c:pt idx="16">
                  <c:v>6.230576220451644E-4</c:v>
                </c:pt>
                <c:pt idx="17">
                  <c:v>6.230576220451644E-4</c:v>
                </c:pt>
                <c:pt idx="18">
                  <c:v>6.230576220451644E-4</c:v>
                </c:pt>
                <c:pt idx="19">
                  <c:v>6.230576220451644E-4</c:v>
                </c:pt>
                <c:pt idx="20">
                  <c:v>6.230576220451644E-4</c:v>
                </c:pt>
                <c:pt idx="21">
                  <c:v>6.230576220451644E-4</c:v>
                </c:pt>
                <c:pt idx="22">
                  <c:v>8.6292815420337787E-2</c:v>
                </c:pt>
                <c:pt idx="23">
                  <c:v>0</c:v>
                </c:pt>
              </c:numCache>
            </c:numRef>
          </c:val>
          <c:smooth val="0"/>
          <c:extLst>
            <c:ext xmlns:c16="http://schemas.microsoft.com/office/drawing/2014/chart" uri="{C3380CC4-5D6E-409C-BE32-E72D297353CC}">
              <c16:uniqueId val="{00000000-72BA-4AA6-8CC2-4EE1CCD3F123}"/>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KZN'!$E$364</c:f>
              <c:strCache>
                <c:ptCount val="1"/>
                <c:pt idx="0">
                  <c:v>Average Expenditure per unit per month</c:v>
                </c:pt>
              </c:strCache>
            </c:strRef>
          </c:tx>
          <c:spPr>
            <a:ln w="28575" cap="rnd">
              <a:solidFill>
                <a:schemeClr val="accent1"/>
              </a:solidFill>
              <a:round/>
            </a:ln>
            <a:effectLst/>
          </c:spPr>
          <c:marker>
            <c:symbol val="none"/>
          </c:marker>
          <c:cat>
            <c:strRef>
              <c:f>'9e. Forecast Results - KZN'!$N$363:$AK$363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KZN'!$N$364:$AK$364</c:f>
              <c:numCache>
                <c:formatCode>"R"#,##0_);[Red]\("R"#,##0\)</c:formatCode>
                <c:ptCount val="24"/>
                <c:pt idx="0">
                  <c:v>0</c:v>
                </c:pt>
                <c:pt idx="1">
                  <c:v>0</c:v>
                </c:pt>
                <c:pt idx="2">
                  <c:v>2306.7081562405169</c:v>
                </c:pt>
                <c:pt idx="3">
                  <c:v>2548.1028472815992</c:v>
                </c:pt>
                <c:pt idx="4">
                  <c:v>2762.4205821421288</c:v>
                </c:pt>
                <c:pt idx="5">
                  <c:v>3014.9254738791315</c:v>
                </c:pt>
                <c:pt idx="6">
                  <c:v>3146.4409755296961</c:v>
                </c:pt>
                <c:pt idx="7">
                  <c:v>3344.3814660708554</c:v>
                </c:pt>
                <c:pt idx="8">
                  <c:v>3558.608348828338</c:v>
                </c:pt>
                <c:pt idx="9">
                  <c:v>3791.5968455856423</c:v>
                </c:pt>
                <c:pt idx="10">
                  <c:v>4046.5800346492265</c:v>
                </c:pt>
                <c:pt idx="11">
                  <c:v>4327.9155857521064</c:v>
                </c:pt>
                <c:pt idx="12">
                  <c:v>4641.6954107036117</c:v>
                </c:pt>
                <c:pt idx="13">
                  <c:v>4996.8100090333819</c:v>
                </c:pt>
                <c:pt idx="14">
                  <c:v>5406.9203941009664</c:v>
                </c:pt>
                <c:pt idx="15">
                  <c:v>5894.3916429905257</c:v>
                </c:pt>
                <c:pt idx="16">
                  <c:v>6498.9195890679393</c:v>
                </c:pt>
                <c:pt idx="17">
                  <c:v>7299.0088647334669</c:v>
                </c:pt>
                <c:pt idx="18">
                  <c:v>8476.0231843470083</c:v>
                </c:pt>
                <c:pt idx="19">
                  <c:v>10567.841147305799</c:v>
                </c:pt>
                <c:pt idx="20">
                  <c:v>16204.731829670907</c:v>
                </c:pt>
                <c:pt idx="21">
                  <c:v>420680.85742105934</c:v>
                </c:pt>
                <c:pt idx="22">
                  <c:v>0</c:v>
                </c:pt>
                <c:pt idx="23">
                  <c:v>0</c:v>
                </c:pt>
              </c:numCache>
            </c:numRef>
          </c:val>
          <c:smooth val="0"/>
          <c:extLst>
            <c:ext xmlns:c16="http://schemas.microsoft.com/office/drawing/2014/chart" uri="{C3380CC4-5D6E-409C-BE32-E72D297353CC}">
              <c16:uniqueId val="{00000000-8429-4F71-AA1D-DFAF72950B0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KZN'!$E$388</c:f>
              <c:strCache>
                <c:ptCount val="1"/>
                <c:pt idx="0">
                  <c:v>Net Surplus/Deficit p.u.p.m.</c:v>
                </c:pt>
              </c:strCache>
            </c:strRef>
          </c:tx>
          <c:spPr>
            <a:ln w="28575" cap="rnd">
              <a:solidFill>
                <a:schemeClr val="accent1"/>
              </a:solidFill>
              <a:round/>
            </a:ln>
            <a:effectLst/>
          </c:spPr>
          <c:marker>
            <c:symbol val="none"/>
          </c:marker>
          <c:cat>
            <c:strRef>
              <c:f>'9e. Forecast Results - KZN'!$N$387:$AK$387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KZN'!$N$388:$AK$388</c:f>
              <c:numCache>
                <c:formatCode>"R"#,##0_);[Red]\("R"#,##0\)</c:formatCode>
                <c:ptCount val="24"/>
                <c:pt idx="0">
                  <c:v>0</c:v>
                </c:pt>
                <c:pt idx="1">
                  <c:v>0</c:v>
                </c:pt>
                <c:pt idx="2">
                  <c:v>-1950.9572783630299</c:v>
                </c:pt>
                <c:pt idx="3">
                  <c:v>-2468.3510531163784</c:v>
                </c:pt>
                <c:pt idx="4">
                  <c:v>-2677.0480444941704</c:v>
                </c:pt>
                <c:pt idx="5">
                  <c:v>-2922.3289500391543</c:v>
                </c:pt>
                <c:pt idx="6">
                  <c:v>-3084.7149517195189</c:v>
                </c:pt>
                <c:pt idx="7">
                  <c:v>-3280.7301226511372</c:v>
                </c:pt>
                <c:pt idx="8">
                  <c:v>-3492.7360918357222</c:v>
                </c:pt>
                <c:pt idx="9">
                  <c:v>-3723.1343471505456</c:v>
                </c:pt>
                <c:pt idx="10">
                  <c:v>-3975.0574857974657</c:v>
                </c:pt>
                <c:pt idx="11">
                  <c:v>-4252.7226113337856</c:v>
                </c:pt>
                <c:pt idx="12">
                  <c:v>-4562.0187809196123</c:v>
                </c:pt>
                <c:pt idx="13">
                  <c:v>-4911.5325505779065</c:v>
                </c:pt>
                <c:pt idx="14">
                  <c:v>-5314.4479702238114</c:v>
                </c:pt>
                <c:pt idx="15">
                  <c:v>-5792.3365910924958</c:v>
                </c:pt>
                <c:pt idx="16">
                  <c:v>-6383.4692827250974</c:v>
                </c:pt>
                <c:pt idx="17">
                  <c:v>-7163.5102285674593</c:v>
                </c:pt>
                <c:pt idx="18">
                  <c:v>-8307.2289443743884</c:v>
                </c:pt>
                <c:pt idx="19">
                  <c:v>-10332.89572972621</c:v>
                </c:pt>
                <c:pt idx="20">
                  <c:v>-15774.784245058594</c:v>
                </c:pt>
                <c:pt idx="21">
                  <c:v>-405495.74586430419</c:v>
                </c:pt>
                <c:pt idx="22">
                  <c:v>0</c:v>
                </c:pt>
                <c:pt idx="23">
                  <c:v>0</c:v>
                </c:pt>
              </c:numCache>
            </c:numRef>
          </c:val>
          <c:smooth val="0"/>
          <c:extLst>
            <c:ext xmlns:c16="http://schemas.microsoft.com/office/drawing/2014/chart" uri="{C3380CC4-5D6E-409C-BE32-E72D297353CC}">
              <c16:uniqueId val="{00000000-0217-4ADC-8F5A-56D7A23F8D3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'9e. Forecast Results - KZN'!$E$171</c:f>
              <c:strCache>
                <c:ptCount val="1"/>
                <c:pt idx="0">
                  <c:v>Net Surplus / (Deficit)</c:v>
                </c:pt>
              </c:strCache>
            </c:strRef>
          </c:tx>
          <c:spPr>
            <a:ln w="28575" cap="rnd">
              <a:solidFill>
                <a:schemeClr val="accent1"/>
              </a:solidFill>
              <a:round/>
            </a:ln>
            <a:effectLst/>
          </c:spPr>
          <c:marker>
            <c:symbol val="none"/>
          </c:marker>
          <c:cat>
            <c:strRef>
              <c:f>'9e. Forecast Results - KZN'!$N$170:$AK$170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KZN'!$N$171:$AK$171</c:f>
              <c:numCache>
                <c:formatCode>"R"#,##0</c:formatCode>
                <c:ptCount val="24"/>
                <c:pt idx="0">
                  <c:v>-50871121.044444449</c:v>
                </c:pt>
                <c:pt idx="1">
                  <c:v>-57558593.629444435</c:v>
                </c:pt>
                <c:pt idx="2">
                  <c:v>-68664631.99333334</c:v>
                </c:pt>
                <c:pt idx="3">
                  <c:v>-68333830.554473817</c:v>
                </c:pt>
                <c:pt idx="4">
                  <c:v>-65887506.471090525</c:v>
                </c:pt>
                <c:pt idx="5">
                  <c:v>-62946965.58384338</c:v>
                </c:pt>
                <c:pt idx="6">
                  <c:v>-62298903.164927401</c:v>
                </c:pt>
                <c:pt idx="7">
                  <c:v>-61848324.272219233</c:v>
                </c:pt>
                <c:pt idx="8">
                  <c:v>-61150823.495859824</c:v>
                </c:pt>
                <c:pt idx="9">
                  <c:v>-60180743.58734142</c:v>
                </c:pt>
                <c:pt idx="10">
                  <c:v>-58910351.939518437</c:v>
                </c:pt>
                <c:pt idx="11">
                  <c:v>-57309689.910334095</c:v>
                </c:pt>
                <c:pt idx="12">
                  <c:v>-55346411.850116737</c:v>
                </c:pt>
                <c:pt idx="13">
                  <c:v>-52985613.155634455</c:v>
                </c:pt>
                <c:pt idx="14">
                  <c:v>-50189646.630793676</c:v>
                </c:pt>
                <c:pt idx="15">
                  <c:v>-46917926.387849219</c:v>
                </c:pt>
                <c:pt idx="16">
                  <c:v>-43126718.474090755</c:v>
                </c:pt>
                <c:pt idx="17">
                  <c:v>-38768917.357007094</c:v>
                </c:pt>
                <c:pt idx="18">
                  <c:v>-33793807.345715009</c:v>
                </c:pt>
                <c:pt idx="19">
                  <c:v>-28146807.967774194</c:v>
                </c:pt>
                <c:pt idx="20">
                  <c:v>-21769202.25818086</c:v>
                </c:pt>
                <c:pt idx="21">
                  <c:v>-14597846.851114951</c:v>
                </c:pt>
                <c:pt idx="22">
                  <c:v>-43469.278956009039</c:v>
                </c:pt>
                <c:pt idx="23">
                  <c:v>0</c:v>
                </c:pt>
              </c:numCache>
            </c:numRef>
          </c:val>
          <c:smooth val="0"/>
          <c:extLst>
            <c:ext xmlns:c16="http://schemas.microsoft.com/office/drawing/2014/chart" uri="{C3380CC4-5D6E-409C-BE32-E72D297353CC}">
              <c16:uniqueId val="{00000000-D166-4BB9-887F-8A43749E87B7}"/>
            </c:ext>
          </c:extLst>
        </c:ser>
        <c:ser>
          <c:idx val="1"/>
          <c:order val="1"/>
          <c:tx>
            <c:strRef>
              <c:f>'9e. Forecast Results - KZN'!$E$172</c:f>
              <c:strCache>
                <c:ptCount val="1"/>
                <c:pt idx="0">
                  <c:v>Total Expenditure</c:v>
                </c:pt>
              </c:strCache>
            </c:strRef>
          </c:tx>
          <c:spPr>
            <a:ln w="28575" cap="rnd">
              <a:solidFill>
                <a:srgbClr val="00B050"/>
              </a:solidFill>
              <a:round/>
            </a:ln>
            <a:effectLst/>
          </c:spPr>
          <c:marker>
            <c:symbol val="none"/>
          </c:marker>
          <c:cat>
            <c:strRef>
              <c:f>'9e. Forecast Results - KZN'!$N$170:$AK$170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KZN'!$N$172:$AK$172</c:f>
              <c:numCache>
                <c:formatCode>"R"#,##0</c:formatCode>
                <c:ptCount val="24"/>
                <c:pt idx="0">
                  <c:v>52850120.474444449</c:v>
                </c:pt>
                <c:pt idx="1">
                  <c:v>60252696.769444436</c:v>
                </c:pt>
                <c:pt idx="2">
                  <c:v>70945116.053333342</c:v>
                </c:pt>
                <c:pt idx="3">
                  <c:v>70541679.224143788</c:v>
                </c:pt>
                <c:pt idx="4">
                  <c:v>67988695.36768207</c:v>
                </c:pt>
                <c:pt idx="5">
                  <c:v>64941494.707356498</c:v>
                </c:pt>
                <c:pt idx="6">
                  <c:v>63545521.941797741</c:v>
                </c:pt>
                <c:pt idx="7">
                  <c:v>63048279.398367763</c:v>
                </c:pt>
                <c:pt idx="8">
                  <c:v>62304114.971286543</c:v>
                </c:pt>
                <c:pt idx="9">
                  <c:v>61287371.412046328</c:v>
                </c:pt>
                <c:pt idx="10">
                  <c:v>59970316.113501534</c:v>
                </c:pt>
                <c:pt idx="11">
                  <c:v>58322990.433595382</c:v>
                </c:pt>
                <c:pt idx="12">
                  <c:v>56313048.722656213</c:v>
                </c:pt>
                <c:pt idx="13">
                  <c:v>53905586.37745212</c:v>
                </c:pt>
                <c:pt idx="14">
                  <c:v>51062956.20188953</c:v>
                </c:pt>
                <c:pt idx="15">
                  <c:v>47744572.308223262</c:v>
                </c:pt>
                <c:pt idx="16">
                  <c:v>43906700.743742995</c:v>
                </c:pt>
                <c:pt idx="17">
                  <c:v>39502235.975937523</c:v>
                </c:pt>
                <c:pt idx="18">
                  <c:v>34480462.313923627</c:v>
                </c:pt>
                <c:pt idx="19">
                  <c:v>28786799.285260998</c:v>
                </c:pt>
                <c:pt idx="20">
                  <c:v>22362529.924945854</c:v>
                </c:pt>
                <c:pt idx="21">
                  <c:v>15144510.867158135</c:v>
                </c:pt>
                <c:pt idx="22">
                  <c:v>58078.58512102926</c:v>
                </c:pt>
                <c:pt idx="23">
                  <c:v>0</c:v>
                </c:pt>
              </c:numCache>
            </c:numRef>
          </c:val>
          <c:smooth val="0"/>
          <c:extLst>
            <c:ext xmlns:c16="http://schemas.microsoft.com/office/drawing/2014/chart" uri="{C3380CC4-5D6E-409C-BE32-E72D297353CC}">
              <c16:uniqueId val="{00000001-D166-4BB9-887F-8A43749E87B7}"/>
            </c:ext>
          </c:extLst>
        </c:ser>
        <c:ser>
          <c:idx val="2"/>
          <c:order val="2"/>
          <c:tx>
            <c:strRef>
              <c:f>'9e. Forecast Results - KZN'!$E$173</c:f>
              <c:strCache>
                <c:ptCount val="1"/>
                <c:pt idx="0">
                  <c:v>Total Income</c:v>
                </c:pt>
              </c:strCache>
            </c:strRef>
          </c:tx>
          <c:spPr>
            <a:ln w="28575" cap="rnd">
              <a:solidFill>
                <a:schemeClr val="accent3"/>
              </a:solidFill>
              <a:round/>
            </a:ln>
            <a:effectLst/>
          </c:spPr>
          <c:marker>
            <c:symbol val="none"/>
          </c:marker>
          <c:cat>
            <c:strRef>
              <c:f>'9e. Forecast Results - KZN'!$N$170:$AK$170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KZN'!$N$173:$AK$173</c:f>
              <c:numCache>
                <c:formatCode>"R"#,##0</c:formatCode>
                <c:ptCount val="24"/>
                <c:pt idx="0">
                  <c:v>1978999.43</c:v>
                </c:pt>
                <c:pt idx="1">
                  <c:v>2694103.1399999997</c:v>
                </c:pt>
                <c:pt idx="2">
                  <c:v>2280484.06</c:v>
                </c:pt>
                <c:pt idx="3">
                  <c:v>2207848.6696699685</c:v>
                </c:pt>
                <c:pt idx="4">
                  <c:v>2101188.8965915451</c:v>
                </c:pt>
                <c:pt idx="5">
                  <c:v>1994529.1235131212</c:v>
                </c:pt>
                <c:pt idx="6">
                  <c:v>1246618.7768703401</c:v>
                </c:pt>
                <c:pt idx="7">
                  <c:v>1199955.1261485298</c:v>
                </c:pt>
                <c:pt idx="8">
                  <c:v>1153291.4754267195</c:v>
                </c:pt>
                <c:pt idx="9">
                  <c:v>1106627.824704909</c:v>
                </c:pt>
                <c:pt idx="10">
                  <c:v>1059964.1739830987</c:v>
                </c:pt>
                <c:pt idx="11">
                  <c:v>1013300.5232612882</c:v>
                </c:pt>
                <c:pt idx="12">
                  <c:v>966636.87253947789</c:v>
                </c:pt>
                <c:pt idx="13">
                  <c:v>919973.22181766736</c:v>
                </c:pt>
                <c:pt idx="14">
                  <c:v>873309.57109585707</c:v>
                </c:pt>
                <c:pt idx="15">
                  <c:v>826645.92037404666</c:v>
                </c:pt>
                <c:pt idx="16">
                  <c:v>779982.26965223625</c:v>
                </c:pt>
                <c:pt idx="17">
                  <c:v>733318.61893042596</c:v>
                </c:pt>
                <c:pt idx="18">
                  <c:v>686654.96820861567</c:v>
                </c:pt>
                <c:pt idx="19">
                  <c:v>639991.31748680526</c:v>
                </c:pt>
                <c:pt idx="20">
                  <c:v>593327.66676499485</c:v>
                </c:pt>
                <c:pt idx="21">
                  <c:v>546664.01604318444</c:v>
                </c:pt>
                <c:pt idx="22">
                  <c:v>14609.306165020222</c:v>
                </c:pt>
                <c:pt idx="23">
                  <c:v>0</c:v>
                </c:pt>
              </c:numCache>
            </c:numRef>
          </c:val>
          <c:smooth val="0"/>
          <c:extLst>
            <c:ext xmlns:c16="http://schemas.microsoft.com/office/drawing/2014/chart" uri="{C3380CC4-5D6E-409C-BE32-E72D297353CC}">
              <c16:uniqueId val="{00000002-D166-4BB9-887F-8A43749E87B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'9e. Forecast Results - KZN'!$E$147</c:f>
              <c:strCache>
                <c:ptCount val="1"/>
                <c:pt idx="0">
                  <c:v>No. of Rental Units</c:v>
                </c:pt>
              </c:strCache>
            </c:strRef>
          </c:tx>
          <c:spPr>
            <a:solidFill>
              <a:srgbClr val="00B050"/>
            </a:solidFill>
            <a:ln>
              <a:noFill/>
            </a:ln>
            <a:effectLst/>
          </c:spPr>
          <c:invertIfNegative val="0"/>
          <c:cat>
            <c:strRef>
              <c:f>'9e. Forecast Results - KZN'!$N$146:$AK$146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KZN'!$N$147:$AK$147</c:f>
              <c:numCache>
                <c:formatCode>_-* #,##0_-;\-* #,##0_-;_-* "-"_-;_-@_-</c:formatCode>
                <c:ptCount val="24"/>
                <c:pt idx="0">
                  <c:v>0</c:v>
                </c:pt>
                <c:pt idx="1">
                  <c:v>0</c:v>
                </c:pt>
                <c:pt idx="2">
                  <c:v>2563</c:v>
                </c:pt>
                <c:pt idx="3">
                  <c:v>2307</c:v>
                </c:pt>
                <c:pt idx="4">
                  <c:v>2051</c:v>
                </c:pt>
                <c:pt idx="5">
                  <c:v>1795</c:v>
                </c:pt>
                <c:pt idx="6">
                  <c:v>1683</c:v>
                </c:pt>
                <c:pt idx="7">
                  <c:v>1571</c:v>
                </c:pt>
                <c:pt idx="8">
                  <c:v>1459</c:v>
                </c:pt>
                <c:pt idx="9">
                  <c:v>1347</c:v>
                </c:pt>
                <c:pt idx="10">
                  <c:v>1235</c:v>
                </c:pt>
                <c:pt idx="11">
                  <c:v>1123</c:v>
                </c:pt>
                <c:pt idx="12">
                  <c:v>1011</c:v>
                </c:pt>
                <c:pt idx="13">
                  <c:v>899</c:v>
                </c:pt>
                <c:pt idx="14">
                  <c:v>787</c:v>
                </c:pt>
                <c:pt idx="15">
                  <c:v>675</c:v>
                </c:pt>
                <c:pt idx="16">
                  <c:v>563</c:v>
                </c:pt>
                <c:pt idx="17">
                  <c:v>451</c:v>
                </c:pt>
                <c:pt idx="18">
                  <c:v>339</c:v>
                </c:pt>
                <c:pt idx="19">
                  <c:v>227</c:v>
                </c:pt>
                <c:pt idx="20">
                  <c:v>115</c:v>
                </c:pt>
                <c:pt idx="21">
                  <c:v>3</c:v>
                </c:pt>
                <c:pt idx="22">
                  <c:v>0</c:v>
                </c:pt>
                <c:pt idx="23">
                  <c:v>0</c:v>
                </c:pt>
              </c:numCache>
            </c:numRef>
          </c:val>
          <c:extLst>
            <c:ext xmlns:c16="http://schemas.microsoft.com/office/drawing/2014/chart" uri="{C3380CC4-5D6E-409C-BE32-E72D297353CC}">
              <c16:uniqueId val="{00000000-A217-45FA-A29C-EC3640F96A5A}"/>
            </c:ext>
          </c:extLst>
        </c:ser>
        <c:ser>
          <c:idx val="1"/>
          <c:order val="1"/>
          <c:tx>
            <c:strRef>
              <c:f>'9e. Forecast Results - KZN'!$E$148</c:f>
              <c:strCache>
                <c:ptCount val="1"/>
                <c:pt idx="0">
                  <c:v>No. of Sales Accounts</c:v>
                </c:pt>
              </c:strCache>
            </c:strRef>
          </c:tx>
          <c:spPr>
            <a:solidFill>
              <a:srgbClr val="002060"/>
            </a:solidFill>
            <a:ln>
              <a:noFill/>
            </a:ln>
            <a:effectLst/>
          </c:spPr>
          <c:invertIfNegative val="0"/>
          <c:cat>
            <c:strRef>
              <c:f>'9e. Forecast Results - KZN'!$N$146:$AK$146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KZN'!$N$148:$AK$148</c:f>
              <c:numCache>
                <c:formatCode>_-* #,##0_-;\-* #,##0_-;_-* "-"_-;_-@_-</c:formatCode>
                <c:ptCount val="24"/>
                <c:pt idx="0">
                  <c:v>0</c:v>
                </c:pt>
                <c:pt idx="1">
                  <c:v>0</c:v>
                </c:pt>
                <c:pt idx="2">
                  <c:v>778</c:v>
                </c:pt>
                <c:pt idx="3">
                  <c:v>1034</c:v>
                </c:pt>
                <c:pt idx="4">
                  <c:v>1290</c:v>
                </c:pt>
                <c:pt idx="5">
                  <c:v>1546</c:v>
                </c:pt>
                <c:pt idx="6">
                  <c:v>1658</c:v>
                </c:pt>
                <c:pt idx="7">
                  <c:v>1770</c:v>
                </c:pt>
                <c:pt idx="8">
                  <c:v>1882</c:v>
                </c:pt>
                <c:pt idx="9">
                  <c:v>1994</c:v>
                </c:pt>
                <c:pt idx="10">
                  <c:v>2106</c:v>
                </c:pt>
                <c:pt idx="11">
                  <c:v>2218</c:v>
                </c:pt>
                <c:pt idx="12">
                  <c:v>2330</c:v>
                </c:pt>
                <c:pt idx="13">
                  <c:v>2442</c:v>
                </c:pt>
                <c:pt idx="14">
                  <c:v>2554</c:v>
                </c:pt>
                <c:pt idx="15">
                  <c:v>2666</c:v>
                </c:pt>
                <c:pt idx="16">
                  <c:v>2778</c:v>
                </c:pt>
                <c:pt idx="17">
                  <c:v>2890</c:v>
                </c:pt>
                <c:pt idx="18">
                  <c:v>3002</c:v>
                </c:pt>
                <c:pt idx="19">
                  <c:v>3114</c:v>
                </c:pt>
                <c:pt idx="20">
                  <c:v>3226</c:v>
                </c:pt>
                <c:pt idx="21">
                  <c:v>3338</c:v>
                </c:pt>
                <c:pt idx="22">
                  <c:v>3341</c:v>
                </c:pt>
                <c:pt idx="23">
                  <c:v>0</c:v>
                </c:pt>
              </c:numCache>
            </c:numRef>
          </c:val>
          <c:extLst>
            <c:ext xmlns:c16="http://schemas.microsoft.com/office/drawing/2014/chart" uri="{C3380CC4-5D6E-409C-BE32-E72D297353CC}">
              <c16:uniqueId val="{00000001-A217-45FA-A29C-EC3640F96A5A}"/>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'9e. Forecast Results - KZN'!$AO$20</c:f>
              <c:strCache>
                <c:ptCount val="1"/>
                <c:pt idx="0">
                  <c:v>Net Deficit funded by HSDG Top Slice</c:v>
                </c:pt>
              </c:strCache>
            </c:strRef>
          </c:tx>
          <c:spPr>
            <a:solidFill>
              <a:srgbClr val="00B050"/>
            </a:solidFill>
            <a:ln>
              <a:noFill/>
            </a:ln>
            <a:effectLst/>
          </c:spPr>
          <c:cat>
            <c:strRef>
              <c:f>'9e. Forecast Results - KZN'!$AP$19:$BM$19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'9e. Forecast Results - KZN'!$AP$20:$BM$20</c:f>
              <c:numCache>
                <c:formatCode>"R"#,##0</c:formatCode>
                <c:ptCount val="24"/>
                <c:pt idx="0">
                  <c:v>-50871121.044444449</c:v>
                </c:pt>
                <c:pt idx="1">
                  <c:v>-57558593.629444435</c:v>
                </c:pt>
                <c:pt idx="2">
                  <c:v>-68664631.99333334</c:v>
                </c:pt>
                <c:pt idx="3">
                  <c:v>-68333830.554473817</c:v>
                </c:pt>
                <c:pt idx="4">
                  <c:v>-65887506.471090525</c:v>
                </c:pt>
                <c:pt idx="5">
                  <c:v>-62946965.58384338</c:v>
                </c:pt>
                <c:pt idx="6">
                  <c:v>-62298903.164927401</c:v>
                </c:pt>
                <c:pt idx="7">
                  <c:v>-61848324.272219233</c:v>
                </c:pt>
                <c:pt idx="8">
                  <c:v>-61150823.495859824</c:v>
                </c:pt>
                <c:pt idx="9">
                  <c:v>-60180743.58734142</c:v>
                </c:pt>
                <c:pt idx="10">
                  <c:v>-58910351.939518437</c:v>
                </c:pt>
                <c:pt idx="11">
                  <c:v>-57309689.910334095</c:v>
                </c:pt>
                <c:pt idx="12">
                  <c:v>-55346411.850116737</c:v>
                </c:pt>
                <c:pt idx="13">
                  <c:v>-52985613.155634455</c:v>
                </c:pt>
                <c:pt idx="14">
                  <c:v>-50189646.630793676</c:v>
                </c:pt>
                <c:pt idx="15">
                  <c:v>-46917926.387849219</c:v>
                </c:pt>
                <c:pt idx="16">
                  <c:v>-43126718.474090755</c:v>
                </c:pt>
                <c:pt idx="17">
                  <c:v>-38768917.357007094</c:v>
                </c:pt>
                <c:pt idx="18">
                  <c:v>-33793807.345715009</c:v>
                </c:pt>
                <c:pt idx="19">
                  <c:v>-28146807.967774194</c:v>
                </c:pt>
                <c:pt idx="20">
                  <c:v>-21769202.25818086</c:v>
                </c:pt>
                <c:pt idx="21">
                  <c:v>-14597846.851114951</c:v>
                </c:pt>
                <c:pt idx="22">
                  <c:v>-43469.278956009039</c:v>
                </c:pt>
                <c:pt idx="23">
                  <c:v>0</c:v>
                </c:pt>
              </c:numCache>
            </c:numRef>
          </c:val>
          <c:extLst>
            <c:ext xmlns:c16="http://schemas.microsoft.com/office/drawing/2014/chart" uri="{C3380CC4-5D6E-409C-BE32-E72D297353CC}">
              <c16:uniqueId val="{00000000-0897-4BA2-85BD-953E39B77EC3}"/>
            </c:ext>
          </c:extLst>
        </c:ser>
        <c:ser>
          <c:idx val="1"/>
          <c:order val="1"/>
          <c:tx>
            <c:strRef>
              <c:f>'9e. Forecast Results - KZN'!$AO$21</c:f>
              <c:strCache>
                <c:ptCount val="1"/>
                <c:pt idx="0">
                  <c:v>EEDBS utilised to settle Existing Sales Debtors Balances Owing</c:v>
                </c:pt>
              </c:strCache>
            </c:strRef>
          </c:tx>
          <c:spPr>
            <a:solidFill>
              <a:srgbClr val="002060"/>
            </a:solidFill>
            <a:ln w="25400">
              <a:noFill/>
            </a:ln>
            <a:effectLst/>
          </c:spPr>
          <c:val>
            <c:numRef>
              <c:f>'9e. Forecast Results - KZN'!$AP$21:$BM$21</c:f>
              <c:numCache>
                <c:formatCode>"R"#,##0</c:formatCode>
                <c:ptCount val="24"/>
                <c:pt idx="0">
                  <c:v>-10104396</c:v>
                </c:pt>
                <c:pt idx="1">
                  <c:v>-13221991</c:v>
                </c:pt>
                <c:pt idx="2">
                  <c:v>-8660989</c:v>
                </c:pt>
                <c:pt idx="3">
                  <c:v>-5046912</c:v>
                </c:pt>
                <c:pt idx="4">
                  <c:v>-5046912</c:v>
                </c:pt>
                <c:pt idx="5">
                  <c:v>-5046912</c:v>
                </c:pt>
                <c:pt idx="6">
                  <c:v>-2208024</c:v>
                </c:pt>
                <c:pt idx="7">
                  <c:v>-2208024</c:v>
                </c:pt>
                <c:pt idx="8">
                  <c:v>-2208024</c:v>
                </c:pt>
                <c:pt idx="9">
                  <c:v>-2208024</c:v>
                </c:pt>
                <c:pt idx="10">
                  <c:v>-2208024</c:v>
                </c:pt>
                <c:pt idx="11">
                  <c:v>-2208024</c:v>
                </c:pt>
                <c:pt idx="12">
                  <c:v>-2208024</c:v>
                </c:pt>
                <c:pt idx="13">
                  <c:v>-2208024</c:v>
                </c:pt>
                <c:pt idx="14">
                  <c:v>-2208024</c:v>
                </c:pt>
                <c:pt idx="15">
                  <c:v>-2208024</c:v>
                </c:pt>
                <c:pt idx="16">
                  <c:v>-2208024</c:v>
                </c:pt>
                <c:pt idx="17">
                  <c:v>-2208024</c:v>
                </c:pt>
                <c:pt idx="18">
                  <c:v>-2208024</c:v>
                </c:pt>
                <c:pt idx="19">
                  <c:v>-2208024</c:v>
                </c:pt>
                <c:pt idx="20">
                  <c:v>-2208024</c:v>
                </c:pt>
                <c:pt idx="21">
                  <c:v>-2208024</c:v>
                </c:pt>
                <c:pt idx="22">
                  <c:v>-305808966.51299489</c:v>
                </c:pt>
                <c:pt idx="23">
                  <c:v>0</c:v>
                </c:pt>
              </c:numCache>
            </c:numRef>
          </c:val>
          <c:extLst>
            <c:ext xmlns:c16="http://schemas.microsoft.com/office/drawing/2014/chart" uri="{C3380CC4-5D6E-409C-BE32-E72D297353CC}">
              <c16:uniqueId val="{00000001-0897-4BA2-85BD-953E39B77EC3}"/>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EC'!$AB$136</c:f>
              <c:strCache>
                <c:ptCount val="1"/>
                <c:pt idx="0">
                  <c:v>Total Income</c:v>
                </c:pt>
              </c:strCache>
            </c:strRef>
          </c:tx>
          <c:spPr>
            <a:solidFill>
              <a:srgbClr val="7030A0"/>
            </a:solidFill>
            <a:ln>
              <a:noFill/>
            </a:ln>
            <a:effectLst/>
          </c:spPr>
          <c:cat>
            <c:strRef>
              <c:f>'5. Dashboard EC'!$AC$135:$AZ$135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EC'!$AC$136:$AZ$136</c:f>
              <c:numCache>
                <c:formatCode>"R"#,##0</c:formatCode>
                <c:ptCount val="24"/>
                <c:pt idx="0">
                  <c:v>986752.92000000016</c:v>
                </c:pt>
                <c:pt idx="1">
                  <c:v>897187.48</c:v>
                </c:pt>
                <c:pt idx="2">
                  <c:v>774350.93</c:v>
                </c:pt>
                <c:pt idx="3">
                  <c:v>650954.76724420744</c:v>
                </c:pt>
                <c:pt idx="4">
                  <c:v>606996.28724420746</c:v>
                </c:pt>
                <c:pt idx="5">
                  <c:v>563037.80724420748</c:v>
                </c:pt>
                <c:pt idx="6">
                  <c:v>135823.88969380083</c:v>
                </c:pt>
                <c:pt idx="7">
                  <c:v>130939.61413824529</c:v>
                </c:pt>
                <c:pt idx="8">
                  <c:v>126055.33858268973</c:v>
                </c:pt>
                <c:pt idx="9">
                  <c:v>121171.06302713418</c:v>
                </c:pt>
                <c:pt idx="10">
                  <c:v>116286.78747157862</c:v>
                </c:pt>
                <c:pt idx="11">
                  <c:v>111402.51191602307</c:v>
                </c:pt>
                <c:pt idx="12">
                  <c:v>106518.2363604675</c:v>
                </c:pt>
                <c:pt idx="13">
                  <c:v>101633.96080491194</c:v>
                </c:pt>
                <c:pt idx="14">
                  <c:v>96749.685249356393</c:v>
                </c:pt>
                <c:pt idx="15">
                  <c:v>91865.409693800844</c:v>
                </c:pt>
                <c:pt idx="16">
                  <c:v>86981.134138245281</c:v>
                </c:pt>
                <c:pt idx="17">
                  <c:v>82096.858582689732</c:v>
                </c:pt>
                <c:pt idx="18">
                  <c:v>77212.583027134169</c:v>
                </c:pt>
                <c:pt idx="19">
                  <c:v>72328.307471578621</c:v>
                </c:pt>
                <c:pt idx="20">
                  <c:v>67444.031916023057</c:v>
                </c:pt>
                <c:pt idx="21">
                  <c:v>62559.756360467509</c:v>
                </c:pt>
                <c:pt idx="22">
                  <c:v>105582.41049871279</c:v>
                </c:pt>
                <c:pt idx="23">
                  <c:v>0</c:v>
                </c:pt>
              </c:numCache>
            </c:numRef>
          </c:val>
          <c:extLst>
            <c:ext xmlns:c16="http://schemas.microsoft.com/office/drawing/2014/chart" uri="{C3380CC4-5D6E-409C-BE32-E72D297353CC}">
              <c16:uniqueId val="{00000000-3EBC-43F6-B716-680B91FE093E}"/>
            </c:ext>
          </c:extLst>
        </c:ser>
        <c:ser>
          <c:idx val="1"/>
          <c:order val="1"/>
          <c:tx>
            <c:strRef>
              <c:f>'5. Dashboard EC'!$AB$137</c:f>
              <c:strCache>
                <c:ptCount val="1"/>
                <c:pt idx="0">
                  <c:v>Total Expenditure</c:v>
                </c:pt>
              </c:strCache>
            </c:strRef>
          </c:tx>
          <c:spPr>
            <a:solidFill>
              <a:srgbClr val="00B050"/>
            </a:solidFill>
            <a:ln>
              <a:noFill/>
            </a:ln>
            <a:effectLst/>
          </c:spPr>
          <c:cat>
            <c:strRef>
              <c:f>'5. Dashboard EC'!$AC$135:$AZ$135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EC'!$AC$137:$AZ$137</c:f>
              <c:numCache>
                <c:formatCode>"R"#,##0</c:formatCode>
                <c:ptCount val="24"/>
                <c:pt idx="0">
                  <c:v>-10341549.390000001</c:v>
                </c:pt>
                <c:pt idx="1">
                  <c:v>-11126424.74</c:v>
                </c:pt>
                <c:pt idx="2">
                  <c:v>-11189539.09</c:v>
                </c:pt>
                <c:pt idx="3">
                  <c:v>-9701626.2512849998</c:v>
                </c:pt>
                <c:pt idx="4">
                  <c:v>-7883264.6445640996</c:v>
                </c:pt>
                <c:pt idx="5">
                  <c:v>-5835535.8416937636</c:v>
                </c:pt>
                <c:pt idx="6">
                  <c:v>-5697948.2137706475</c:v>
                </c:pt>
                <c:pt idx="7">
                  <c:v>-5666321.8117248667</c:v>
                </c:pt>
                <c:pt idx="8">
                  <c:v>-5613980.2121073939</c:v>
                </c:pt>
                <c:pt idx="9">
                  <c:v>-5538740.4130515298</c:v>
                </c:pt>
                <c:pt idx="10">
                  <c:v>-5438241.9459578963</c:v>
                </c:pt>
                <c:pt idx="11">
                  <c:v>-5309933.9577344833</c:v>
                </c:pt>
                <c:pt idx="12">
                  <c:v>-5151061.4089199724</c:v>
                </c:pt>
                <c:pt idx="13">
                  <c:v>-4958650.3295137174</c:v>
                </c:pt>
                <c:pt idx="14">
                  <c:v>-4729492.0706107933</c:v>
                </c:pt>
                <c:pt idx="15">
                  <c:v>-4460126.4859817661</c:v>
                </c:pt>
                <c:pt idx="16">
                  <c:v>-4146823.9735299493</c:v>
                </c:pt>
                <c:pt idx="17">
                  <c:v>-3785566.3020883375</c:v>
                </c:pt>
                <c:pt idx="18">
                  <c:v>-3372026.1442682222</c:v>
                </c:pt>
                <c:pt idx="19">
                  <c:v>-2901545.2310240753</c:v>
                </c:pt>
                <c:pt idx="20">
                  <c:v>-2369111.0382366609</c:v>
                </c:pt>
                <c:pt idx="21">
                  <c:v>-1769331.9099187839</c:v>
                </c:pt>
                <c:pt idx="22">
                  <c:v>-77438.113494705685</c:v>
                </c:pt>
                <c:pt idx="23">
                  <c:v>0</c:v>
                </c:pt>
              </c:numCache>
            </c:numRef>
          </c:val>
          <c:extLst>
            <c:ext xmlns:c16="http://schemas.microsoft.com/office/drawing/2014/chart" uri="{C3380CC4-5D6E-409C-BE32-E72D297353CC}">
              <c16:uniqueId val="{00000001-3EBC-43F6-B716-680B91FE093E}"/>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EC'!$AB$139</c:f>
              <c:strCache>
                <c:ptCount val="1"/>
                <c:pt idx="0">
                  <c:v>Cumulative Surplus/(Deficit)</c:v>
                </c:pt>
              </c:strCache>
            </c:strRef>
          </c:tx>
          <c:spPr>
            <a:ln w="28575" cap="rnd">
              <a:solidFill>
                <a:srgbClr val="002060"/>
              </a:solidFill>
              <a:round/>
            </a:ln>
            <a:effectLst/>
          </c:spPr>
          <c:marker>
            <c:symbol val="none"/>
          </c:marker>
          <c:cat>
            <c:strRef>
              <c:f>'5. Dashboard EC'!$AC$135:$AZ$135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EC'!$AC$139:$AZ$139</c:f>
              <c:numCache>
                <c:formatCode>"R"#,##0</c:formatCode>
                <c:ptCount val="24"/>
                <c:pt idx="0">
                  <c:v>-9354796.4700000007</c:v>
                </c:pt>
                <c:pt idx="1">
                  <c:v>-19584033.73</c:v>
                </c:pt>
                <c:pt idx="2">
                  <c:v>-29999221.890000001</c:v>
                </c:pt>
                <c:pt idx="3">
                  <c:v>-39049893.374040797</c:v>
                </c:pt>
                <c:pt idx="4">
                  <c:v>-46326161.731360689</c:v>
                </c:pt>
                <c:pt idx="5">
                  <c:v>-51598659.765810244</c:v>
                </c:pt>
                <c:pt idx="6">
                  <c:v>-57160784.08988709</c:v>
                </c:pt>
                <c:pt idx="7">
                  <c:v>-62696166.287473708</c:v>
                </c:pt>
                <c:pt idx="8">
                  <c:v>-68184091.160998419</c:v>
                </c:pt>
                <c:pt idx="9">
                  <c:v>-73601660.511022821</c:v>
                </c:pt>
                <c:pt idx="10">
                  <c:v>-78923615.669509143</c:v>
                </c:pt>
                <c:pt idx="11">
                  <c:v>-84122147.115327597</c:v>
                </c:pt>
                <c:pt idx="12">
                  <c:v>-89166690.287887096</c:v>
                </c:pt>
                <c:pt idx="13">
                  <c:v>-94023706.656595901</c:v>
                </c:pt>
                <c:pt idx="14">
                  <c:v>-98656449.041957334</c:v>
                </c:pt>
                <c:pt idx="15">
                  <c:v>-103024710.1182453</c:v>
                </c:pt>
                <c:pt idx="16">
                  <c:v>-107084552.95763701</c:v>
                </c:pt>
                <c:pt idx="17">
                  <c:v>-110788022.40114266</c:v>
                </c:pt>
                <c:pt idx="18">
                  <c:v>-114082835.96238375</c:v>
                </c:pt>
                <c:pt idx="19">
                  <c:v>-116912052.88593625</c:v>
                </c:pt>
                <c:pt idx="20">
                  <c:v>-119213719.89225689</c:v>
                </c:pt>
                <c:pt idx="21">
                  <c:v>-120920492.0458152</c:v>
                </c:pt>
                <c:pt idx="22">
                  <c:v>-120892347.74881119</c:v>
                </c:pt>
                <c:pt idx="23">
                  <c:v>-120892347.74881119</c:v>
                </c:pt>
              </c:numCache>
            </c:numRef>
          </c:val>
          <c:smooth val="0"/>
          <c:extLst>
            <c:ext xmlns:c16="http://schemas.microsoft.com/office/drawing/2014/chart" uri="{C3380CC4-5D6E-409C-BE32-E72D297353CC}">
              <c16:uniqueId val="{00000002-3EBC-43F6-B716-680B91FE093E}"/>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EC'!$AB$138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EC'!$AC$135:$AZ$135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EC'!$AC$138:$AZ$138</c15:sqref>
                        </c15:formulaRef>
                      </c:ext>
                    </c:extLst>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28144.297004007109</c:v>
                      </c:pt>
                      <c:pt idx="23">
                        <c:v>0</c:v>
                      </c:pt>
                    </c:numCache>
                  </c:numRef>
                </c:val>
                <c:smooth val="0"/>
                <c:extLst>
                  <c:ext xmlns:c16="http://schemas.microsoft.com/office/drawing/2014/chart" uri="{C3380CC4-5D6E-409C-BE32-E72D297353CC}">
                    <c16:uniqueId val="{00000003-3EBC-43F6-B716-680B91FE093E}"/>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WC'!$E$196</c:f>
              <c:strCache>
                <c:ptCount val="1"/>
                <c:pt idx="0">
                  <c:v>Sales &amp; Loans Collections/Sales &amp; Loans Raised</c:v>
                </c:pt>
              </c:strCache>
            </c:strRef>
          </c:tx>
          <c:spPr>
            <a:ln w="28575" cap="rnd">
              <a:solidFill>
                <a:schemeClr val="accent1"/>
              </a:solidFill>
              <a:round/>
            </a:ln>
            <a:effectLst/>
          </c:spPr>
          <c:marker>
            <c:symbol val="none"/>
          </c:marker>
          <c:cat>
            <c:strRef>
              <c:f>'9f. Forecast Results - WC'!$N$195:$AK$195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WC'!$N$196:$AK$196</c:f>
              <c:numCache>
                <c:formatCode>0.0%</c:formatCode>
                <c:ptCount val="24"/>
                <c:pt idx="0">
                  <c:v>0.35548862450798441</c:v>
                </c:pt>
                <c:pt idx="1">
                  <c:v>0.71374387922892613</c:v>
                </c:pt>
                <c:pt idx="2">
                  <c:v>0.89195679373474301</c:v>
                </c:pt>
                <c:pt idx="3">
                  <c:v>0.57241715694381878</c:v>
                </c:pt>
                <c:pt idx="4">
                  <c:v>0.57241715694381878</c:v>
                </c:pt>
                <c:pt idx="5">
                  <c:v>0.57241715694381878</c:v>
                </c:pt>
                <c:pt idx="6">
                  <c:v>0.57241715694381878</c:v>
                </c:pt>
                <c:pt idx="7">
                  <c:v>0.57241715694381878</c:v>
                </c:pt>
                <c:pt idx="8">
                  <c:v>0.57241715694381878</c:v>
                </c:pt>
                <c:pt idx="9">
                  <c:v>0.57241715694381878</c:v>
                </c:pt>
                <c:pt idx="10">
                  <c:v>0.57241715694381878</c:v>
                </c:pt>
                <c:pt idx="11">
                  <c:v>0.57241715694381878</c:v>
                </c:pt>
                <c:pt idx="12">
                  <c:v>0.57241715694381878</c:v>
                </c:pt>
                <c:pt idx="13">
                  <c:v>0.57241715694381878</c:v>
                </c:pt>
                <c:pt idx="14">
                  <c:v>0.57241715694381878</c:v>
                </c:pt>
                <c:pt idx="15">
                  <c:v>0.57241715694381878</c:v>
                </c:pt>
                <c:pt idx="16">
                  <c:v>0.57241715694381878</c:v>
                </c:pt>
                <c:pt idx="17">
                  <c:v>0.57241715694381878</c:v>
                </c:pt>
                <c:pt idx="18">
                  <c:v>0.57241715694381878</c:v>
                </c:pt>
                <c:pt idx="19">
                  <c:v>0.57241715694381878</c:v>
                </c:pt>
                <c:pt idx="20">
                  <c:v>0.57241715694381878</c:v>
                </c:pt>
                <c:pt idx="21">
                  <c:v>0.57241715694381878</c:v>
                </c:pt>
                <c:pt idx="22">
                  <c:v>0.57241715694381878</c:v>
                </c:pt>
                <c:pt idx="23">
                  <c:v>0</c:v>
                </c:pt>
              </c:numCache>
            </c:numRef>
          </c:val>
          <c:smooth val="0"/>
          <c:extLst>
            <c:ext xmlns:c16="http://schemas.microsoft.com/office/drawing/2014/chart" uri="{C3380CC4-5D6E-409C-BE32-E72D297353CC}">
              <c16:uniqueId val="{00000000-A3C4-4A41-84F2-700A1275146F}"/>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WC'!$E$220</c:f>
              <c:strCache>
                <c:ptCount val="1"/>
                <c:pt idx="0">
                  <c:v>Rental Collections/Rentals Raised</c:v>
                </c:pt>
              </c:strCache>
            </c:strRef>
          </c:tx>
          <c:spPr>
            <a:ln w="28575" cap="rnd">
              <a:solidFill>
                <a:schemeClr val="accent1"/>
              </a:solidFill>
              <a:round/>
            </a:ln>
            <a:effectLst/>
          </c:spPr>
          <c:marker>
            <c:symbol val="none"/>
          </c:marker>
          <c:cat>
            <c:strRef>
              <c:f>'9f. Forecast Results - WC'!$N$219:$AK$219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WC'!$N$220:$AK$220</c:f>
              <c:numCache>
                <c:formatCode>0.0%</c:formatCode>
                <c:ptCount val="24"/>
                <c:pt idx="0">
                  <c:v>0.69096967354330041</c:v>
                </c:pt>
                <c:pt idx="1">
                  <c:v>0.69845383818231777</c:v>
                </c:pt>
                <c:pt idx="2">
                  <c:v>0.76546080658513083</c:v>
                </c:pt>
                <c:pt idx="3">
                  <c:v>0.76546080658513083</c:v>
                </c:pt>
                <c:pt idx="4">
                  <c:v>0.76546080658513083</c:v>
                </c:pt>
                <c:pt idx="5">
                  <c:v>0.76546080658513083</c:v>
                </c:pt>
                <c:pt idx="6">
                  <c:v>0.76546080658513083</c:v>
                </c:pt>
                <c:pt idx="7">
                  <c:v>0.76546080658513083</c:v>
                </c:pt>
                <c:pt idx="8">
                  <c:v>0.76546080658513083</c:v>
                </c:pt>
                <c:pt idx="9">
                  <c:v>0.76546080658513083</c:v>
                </c:pt>
                <c:pt idx="10">
                  <c:v>0.76546080658513072</c:v>
                </c:pt>
                <c:pt idx="11">
                  <c:v>0.76546080658513083</c:v>
                </c:pt>
                <c:pt idx="12">
                  <c:v>0.76546080658513083</c:v>
                </c:pt>
                <c:pt idx="13">
                  <c:v>0.76546080658513083</c:v>
                </c:pt>
                <c:pt idx="14">
                  <c:v>0.76546080658513083</c:v>
                </c:pt>
                <c:pt idx="15">
                  <c:v>0.76546080658513083</c:v>
                </c:pt>
                <c:pt idx="16">
                  <c:v>0.76546080658513083</c:v>
                </c:pt>
                <c:pt idx="17">
                  <c:v>0.76546080658513083</c:v>
                </c:pt>
                <c:pt idx="18">
                  <c:v>0.76546080658513083</c:v>
                </c:pt>
                <c:pt idx="19">
                  <c:v>0.76546080658513083</c:v>
                </c:pt>
                <c:pt idx="20">
                  <c:v>0.76546080658513083</c:v>
                </c:pt>
                <c:pt idx="21">
                  <c:v>0.76546080658513083</c:v>
                </c:pt>
                <c:pt idx="22">
                  <c:v>0</c:v>
                </c:pt>
                <c:pt idx="23">
                  <c:v>0</c:v>
                </c:pt>
              </c:numCache>
            </c:numRef>
          </c:val>
          <c:smooth val="0"/>
          <c:extLst>
            <c:ext xmlns:c16="http://schemas.microsoft.com/office/drawing/2014/chart" uri="{C3380CC4-5D6E-409C-BE32-E72D297353CC}">
              <c16:uniqueId val="{00000000-F1B0-4A09-9BB9-10D61AA1CA19}"/>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WC'!$E$244</c:f>
              <c:strCache>
                <c:ptCount val="1"/>
                <c:pt idx="0">
                  <c:v>Cost to Income Ratio</c:v>
                </c:pt>
              </c:strCache>
            </c:strRef>
          </c:tx>
          <c:spPr>
            <a:ln w="28575" cap="rnd">
              <a:solidFill>
                <a:schemeClr val="accent1"/>
              </a:solidFill>
              <a:round/>
            </a:ln>
            <a:effectLst/>
          </c:spPr>
          <c:marker>
            <c:symbol val="none"/>
          </c:marker>
          <c:cat>
            <c:strRef>
              <c:f>'9f. Forecast Results - WC'!$N$243:$AK$243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WC'!$N$244:$AK$244</c:f>
              <c:numCache>
                <c:formatCode>0.0%</c:formatCode>
                <c:ptCount val="24"/>
                <c:pt idx="0">
                  <c:v>0.61708094423988302</c:v>
                </c:pt>
                <c:pt idx="1">
                  <c:v>0.52103972271287047</c:v>
                </c:pt>
                <c:pt idx="2">
                  <c:v>0.63914181482022636</c:v>
                </c:pt>
                <c:pt idx="3">
                  <c:v>1.0372626890149164</c:v>
                </c:pt>
                <c:pt idx="4">
                  <c:v>1.1665992846978894</c:v>
                </c:pt>
                <c:pt idx="5">
                  <c:v>1.505829434141837</c:v>
                </c:pt>
                <c:pt idx="6">
                  <c:v>3.0241694680683815</c:v>
                </c:pt>
                <c:pt idx="7">
                  <c:v>3.1870143203041965</c:v>
                </c:pt>
                <c:pt idx="8">
                  <c:v>3.3582307152062043</c:v>
                </c:pt>
                <c:pt idx="9">
                  <c:v>3.5381549419563281</c:v>
                </c:pt>
                <c:pt idx="10">
                  <c:v>3.7271082487580482</c:v>
                </c:pt>
                <c:pt idx="11">
                  <c:v>3.9253845570256845</c:v>
                </c:pt>
                <c:pt idx="12">
                  <c:v>4.1332326073074679</c:v>
                </c:pt>
                <c:pt idx="13">
                  <c:v>4.3508296515895939</c:v>
                </c:pt>
                <c:pt idx="14">
                  <c:v>4.5782419856128298</c:v>
                </c:pt>
                <c:pt idx="15">
                  <c:v>4.815364392217873</c:v>
                </c:pt>
                <c:pt idx="16">
                  <c:v>5.0618246319547033</c:v>
                </c:pt>
                <c:pt idx="17">
                  <c:v>5.3168276726587909</c:v>
                </c:pt>
                <c:pt idx="18">
                  <c:v>5.5788910584990168</c:v>
                </c:pt>
                <c:pt idx="19">
                  <c:v>5.845372285271802</c:v>
                </c:pt>
                <c:pt idx="20">
                  <c:v>6.1115705798366111</c:v>
                </c:pt>
                <c:pt idx="21">
                  <c:v>6.3688797824581691</c:v>
                </c:pt>
                <c:pt idx="22">
                  <c:v>0.65140854249837499</c:v>
                </c:pt>
                <c:pt idx="23">
                  <c:v>0</c:v>
                </c:pt>
              </c:numCache>
            </c:numRef>
          </c:val>
          <c:smooth val="0"/>
          <c:extLst>
            <c:ext xmlns:c16="http://schemas.microsoft.com/office/drawing/2014/chart" uri="{C3380CC4-5D6E-409C-BE32-E72D297353CC}">
              <c16:uniqueId val="{00000000-8C3B-47B8-A6E8-7D67D262AC0C}"/>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WC'!$E$270</c:f>
              <c:strCache>
                <c:ptCount val="1"/>
                <c:pt idx="0">
                  <c:v>Maintenance as % of Expenses</c:v>
                </c:pt>
              </c:strCache>
            </c:strRef>
          </c:tx>
          <c:spPr>
            <a:ln w="28575" cap="rnd">
              <a:solidFill>
                <a:schemeClr val="accent1"/>
              </a:solidFill>
              <a:round/>
            </a:ln>
            <a:effectLst/>
          </c:spPr>
          <c:marker>
            <c:symbol val="none"/>
          </c:marker>
          <c:cat>
            <c:strRef>
              <c:f>'9f. Forecast Results - WC'!$N$269:$AK$269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WC'!$N$270:$AK$270</c:f>
              <c:numCache>
                <c:formatCode>0.0%</c:formatCode>
                <c:ptCount val="24"/>
                <c:pt idx="0">
                  <c:v>0.12611252644152768</c:v>
                </c:pt>
                <c:pt idx="1">
                  <c:v>9.0960069116270068E-2</c:v>
                </c:pt>
                <c:pt idx="2">
                  <c:v>4.1777325494959751E-2</c:v>
                </c:pt>
                <c:pt idx="3">
                  <c:v>3.0709709940832889E-2</c:v>
                </c:pt>
                <c:pt idx="4">
                  <c:v>2.4203826417355224E-2</c:v>
                </c:pt>
                <c:pt idx="5">
                  <c:v>1.974586856814034E-2</c:v>
                </c:pt>
                <c:pt idx="6">
                  <c:v>2.1404480464413768E-2</c:v>
                </c:pt>
                <c:pt idx="7">
                  <c:v>2.1052003301728964E-2</c:v>
                </c:pt>
                <c:pt idx="8">
                  <c:v>2.0660917456151583E-2</c:v>
                </c:pt>
                <c:pt idx="9">
                  <c:v>2.022451185928251E-2</c:v>
                </c:pt>
                <c:pt idx="10">
                  <c:v>1.9734424397597879E-2</c:v>
                </c:pt>
                <c:pt idx="11">
                  <c:v>1.9180100903977839E-2</c:v>
                </c:pt>
                <c:pt idx="12">
                  <c:v>1.8548026499305235E-2</c:v>
                </c:pt>
                <c:pt idx="13">
                  <c:v>1.7820609097503291E-2</c:v>
                </c:pt>
                <c:pt idx="14">
                  <c:v>1.6974516455508362E-2</c:v>
                </c:pt>
                <c:pt idx="15">
                  <c:v>1.5978127022226105E-2</c:v>
                </c:pt>
                <c:pt idx="16">
                  <c:v>1.4787489904492373E-2</c:v>
                </c:pt>
                <c:pt idx="17">
                  <c:v>1.3339666805840558E-2</c:v>
                </c:pt>
                <c:pt idx="18">
                  <c:v>1.1541236991083503E-2</c:v>
                </c:pt>
                <c:pt idx="19">
                  <c:v>9.2473008581291285E-3</c:v>
                </c:pt>
                <c:pt idx="20">
                  <c:v>6.220355787900575E-3</c:v>
                </c:pt>
                <c:pt idx="21">
                  <c:v>2.0422530241506628E-3</c:v>
                </c:pt>
                <c:pt idx="22">
                  <c:v>0</c:v>
                </c:pt>
                <c:pt idx="23">
                  <c:v>0</c:v>
                </c:pt>
              </c:numCache>
            </c:numRef>
          </c:val>
          <c:smooth val="0"/>
          <c:extLst>
            <c:ext xmlns:c16="http://schemas.microsoft.com/office/drawing/2014/chart" uri="{C3380CC4-5D6E-409C-BE32-E72D297353CC}">
              <c16:uniqueId val="{00000000-6769-4523-8E77-F80810ACD609}"/>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WC'!$E$294</c:f>
              <c:strCache>
                <c:ptCount val="1"/>
                <c:pt idx="0">
                  <c:v>Maintenance Cost per Unit</c:v>
                </c:pt>
              </c:strCache>
            </c:strRef>
          </c:tx>
          <c:spPr>
            <a:ln w="28575" cap="rnd">
              <a:solidFill>
                <a:schemeClr val="accent1"/>
              </a:solidFill>
              <a:round/>
            </a:ln>
            <a:effectLst/>
          </c:spPr>
          <c:marker>
            <c:symbol val="none"/>
          </c:marker>
          <c:cat>
            <c:strRef>
              <c:f>'9f. Forecast Results - WC'!$N$293:$AK$293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WC'!$N$294:$AK$294</c:f>
              <c:numCache>
                <c:formatCode>"R"#,##0_);[Red]\("R"#,##0\)</c:formatCode>
                <c:ptCount val="24"/>
                <c:pt idx="0">
                  <c:v>0</c:v>
                </c:pt>
                <c:pt idx="1">
                  <c:v>0</c:v>
                </c:pt>
                <c:pt idx="2">
                  <c:v>393.2025620915033</c:v>
                </c:pt>
                <c:pt idx="3">
                  <c:v>414.82870300653599</c:v>
                </c:pt>
                <c:pt idx="4">
                  <c:v>437.64428167189538</c:v>
                </c:pt>
                <c:pt idx="5">
                  <c:v>461.71471716384963</c:v>
                </c:pt>
                <c:pt idx="6">
                  <c:v>487.10902660786127</c:v>
                </c:pt>
                <c:pt idx="7">
                  <c:v>513.90002307129362</c:v>
                </c:pt>
                <c:pt idx="8">
                  <c:v>542.16452434021471</c:v>
                </c:pt>
                <c:pt idx="9">
                  <c:v>571.98357317892646</c:v>
                </c:pt>
                <c:pt idx="10">
                  <c:v>603.44266970376736</c:v>
                </c:pt>
                <c:pt idx="11">
                  <c:v>636.63201653747456</c:v>
                </c:pt>
                <c:pt idx="12">
                  <c:v>671.64677744703567</c:v>
                </c:pt>
                <c:pt idx="13">
                  <c:v>708.58735020662255</c:v>
                </c:pt>
                <c:pt idx="14">
                  <c:v>747.55965446798677</c:v>
                </c:pt>
                <c:pt idx="15">
                  <c:v>788.6754354637261</c:v>
                </c:pt>
                <c:pt idx="16">
                  <c:v>832.05258441423098</c:v>
                </c:pt>
                <c:pt idx="17">
                  <c:v>877.81547655701365</c:v>
                </c:pt>
                <c:pt idx="18">
                  <c:v>926.09532776764945</c:v>
                </c:pt>
                <c:pt idx="19">
                  <c:v>977.03057079487019</c:v>
                </c:pt>
                <c:pt idx="20">
                  <c:v>1030.7672521885879</c:v>
                </c:pt>
                <c:pt idx="21">
                  <c:v>1087.4594510589602</c:v>
                </c:pt>
                <c:pt idx="22">
                  <c:v>0</c:v>
                </c:pt>
                <c:pt idx="23">
                  <c:v>0</c:v>
                </c:pt>
              </c:numCache>
            </c:numRef>
          </c:val>
          <c:smooth val="0"/>
          <c:extLst>
            <c:ext xmlns:c16="http://schemas.microsoft.com/office/drawing/2014/chart" uri="{C3380CC4-5D6E-409C-BE32-E72D297353CC}">
              <c16:uniqueId val="{00000000-48A0-4E98-AA3C-F647B2DBD422}"/>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WC'!$E$317</c:f>
              <c:strCache>
                <c:ptCount val="1"/>
                <c:pt idx="0">
                  <c:v>Net Deficit as % of HSDG Grant -  NDoHS Calc  (excl staff costs)</c:v>
                </c:pt>
              </c:strCache>
            </c:strRef>
          </c:tx>
          <c:spPr>
            <a:ln w="28575" cap="rnd">
              <a:solidFill>
                <a:schemeClr val="accent1"/>
              </a:solidFill>
              <a:round/>
            </a:ln>
            <a:effectLst/>
          </c:spPr>
          <c:marker>
            <c:symbol val="none"/>
          </c:marker>
          <c:cat>
            <c:strRef>
              <c:f>'9f. Forecast Results - WC'!$N$316:$AK$316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WC'!$N$317:$AK$317</c:f>
              <c:numCache>
                <c:formatCode>0.0%</c:formatCode>
                <c:ptCount val="24"/>
                <c:pt idx="0">
                  <c:v>-4.7403497637090357E-3</c:v>
                </c:pt>
                <c:pt idx="1">
                  <c:v>-6.2941309428322179E-3</c:v>
                </c:pt>
                <c:pt idx="2">
                  <c:v>0</c:v>
                </c:pt>
                <c:pt idx="3">
                  <c:v>1.5036128049372385E-4</c:v>
                </c:pt>
                <c:pt idx="4">
                  <c:v>6.0007759839622544E-4</c:v>
                </c:pt>
                <c:pt idx="5">
                  <c:v>1.3680132614153043E-3</c:v>
                </c:pt>
                <c:pt idx="6">
                  <c:v>2.4909833680134309E-3</c:v>
                </c:pt>
                <c:pt idx="7">
                  <c:v>2.561331768210484E-3</c:v>
                </c:pt>
                <c:pt idx="8">
                  <c:v>2.6216194460488992E-3</c:v>
                </c:pt>
                <c:pt idx="9">
                  <c:v>2.6707068010564943E-3</c:v>
                </c:pt>
                <c:pt idx="10">
                  <c:v>2.7073593103942801E-3</c:v>
                </c:pt>
                <c:pt idx="11">
                  <c:v>2.7302405346875396E-3</c:v>
                </c:pt>
                <c:pt idx="12">
                  <c:v>2.7379046416384925E-3</c:v>
                </c:pt>
                <c:pt idx="13">
                  <c:v>2.728788415533858E-3</c:v>
                </c:pt>
                <c:pt idx="14">
                  <c:v>2.7012027187118572E-3</c:v>
                </c:pt>
                <c:pt idx="15">
                  <c:v>2.6533233688754102E-3</c:v>
                </c:pt>
                <c:pt idx="16">
                  <c:v>2.583181393823675E-3</c:v>
                </c:pt>
                <c:pt idx="17">
                  <c:v>2.4886526227140865E-3</c:v>
                </c:pt>
                <c:pt idx="18">
                  <c:v>2.3674465703526766E-3</c:v>
                </c:pt>
                <c:pt idx="19">
                  <c:v>2.2170945682322115E-3</c:v>
                </c:pt>
                <c:pt idx="20">
                  <c:v>2.0349370930854527E-3</c:v>
                </c:pt>
                <c:pt idx="21">
                  <c:v>1.818110240583782E-3</c:v>
                </c:pt>
                <c:pt idx="22">
                  <c:v>-4.1961801425677327E-5</c:v>
                </c:pt>
                <c:pt idx="23">
                  <c:v>0</c:v>
                </c:pt>
              </c:numCache>
            </c:numRef>
          </c:val>
          <c:smooth val="0"/>
          <c:extLst>
            <c:ext xmlns:c16="http://schemas.microsoft.com/office/drawing/2014/chart" uri="{C3380CC4-5D6E-409C-BE32-E72D297353CC}">
              <c16:uniqueId val="{00000000-9279-4BF6-A8CC-1D0477596F5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WC'!$E$340</c:f>
              <c:strCache>
                <c:ptCount val="1"/>
                <c:pt idx="0">
                  <c:v>EEDBS as % of HSDG</c:v>
                </c:pt>
              </c:strCache>
            </c:strRef>
          </c:tx>
          <c:spPr>
            <a:ln w="28575" cap="rnd">
              <a:solidFill>
                <a:schemeClr val="accent1"/>
              </a:solidFill>
              <a:round/>
            </a:ln>
            <a:effectLst/>
          </c:spPr>
          <c:marker>
            <c:symbol val="none"/>
          </c:marker>
          <c:cat>
            <c:strRef>
              <c:f>'9f. Forecast Results - WC'!$N$339:$AK$339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WC'!$N$340:$AK$340</c:f>
              <c:numCache>
                <c:formatCode>0.0%</c:formatCode>
                <c:ptCount val="24"/>
                <c:pt idx="0">
                  <c:v>2.8727662860593178E-4</c:v>
                </c:pt>
                <c:pt idx="1">
                  <c:v>1.8524592027850017E-4</c:v>
                </c:pt>
                <c:pt idx="2">
                  <c:v>1.356665562937378E-4</c:v>
                </c:pt>
                <c:pt idx="3">
                  <c:v>1.4234227595844836E-3</c:v>
                </c:pt>
                <c:pt idx="4">
                  <c:v>1.4234227595844836E-3</c:v>
                </c:pt>
                <c:pt idx="5">
                  <c:v>1.0698929238706903E-3</c:v>
                </c:pt>
                <c:pt idx="6">
                  <c:v>1.9537175131551732E-4</c:v>
                </c:pt>
                <c:pt idx="7">
                  <c:v>1.9537175131551732E-4</c:v>
                </c:pt>
                <c:pt idx="8">
                  <c:v>1.9537175131551732E-4</c:v>
                </c:pt>
                <c:pt idx="9">
                  <c:v>1.9537175131551732E-4</c:v>
                </c:pt>
                <c:pt idx="10">
                  <c:v>1.9537175131551732E-4</c:v>
                </c:pt>
                <c:pt idx="11">
                  <c:v>1.9537175131551732E-4</c:v>
                </c:pt>
                <c:pt idx="12">
                  <c:v>1.9537175131551732E-4</c:v>
                </c:pt>
                <c:pt idx="13">
                  <c:v>1.9537175131551732E-4</c:v>
                </c:pt>
                <c:pt idx="14">
                  <c:v>1.9537175131551732E-4</c:v>
                </c:pt>
                <c:pt idx="15">
                  <c:v>1.9537175131551732E-4</c:v>
                </c:pt>
                <c:pt idx="16">
                  <c:v>1.9537175131551732E-4</c:v>
                </c:pt>
                <c:pt idx="17">
                  <c:v>1.9537175131551732E-4</c:v>
                </c:pt>
                <c:pt idx="18">
                  <c:v>1.9537175131551732E-4</c:v>
                </c:pt>
                <c:pt idx="19">
                  <c:v>1.9537175131551732E-4</c:v>
                </c:pt>
                <c:pt idx="20">
                  <c:v>1.9537175131551732E-4</c:v>
                </c:pt>
                <c:pt idx="21">
                  <c:v>1.9537175131551732E-4</c:v>
                </c:pt>
                <c:pt idx="22">
                  <c:v>4.3578784209431377E-2</c:v>
                </c:pt>
                <c:pt idx="23">
                  <c:v>0</c:v>
                </c:pt>
              </c:numCache>
            </c:numRef>
          </c:val>
          <c:smooth val="0"/>
          <c:extLst>
            <c:ext xmlns:c16="http://schemas.microsoft.com/office/drawing/2014/chart" uri="{C3380CC4-5D6E-409C-BE32-E72D297353CC}">
              <c16:uniqueId val="{00000000-6E82-467F-8154-BA9B400B8170}"/>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WC'!$E$364</c:f>
              <c:strCache>
                <c:ptCount val="1"/>
                <c:pt idx="0">
                  <c:v>Average Expenditure per unit per month</c:v>
                </c:pt>
              </c:strCache>
            </c:strRef>
          </c:tx>
          <c:spPr>
            <a:ln w="28575" cap="rnd">
              <a:solidFill>
                <a:schemeClr val="accent1"/>
              </a:solidFill>
              <a:round/>
            </a:ln>
            <a:effectLst/>
          </c:spPr>
          <c:marker>
            <c:symbol val="none"/>
          </c:marker>
          <c:cat>
            <c:strRef>
              <c:f>'9f. Forecast Results - WC'!$N$363:$AK$363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WC'!$N$364:$AK$364</c:f>
              <c:numCache>
                <c:formatCode>"R"#,##0_);[Red]\("R"#,##0\)</c:formatCode>
                <c:ptCount val="24"/>
                <c:pt idx="0">
                  <c:v>0</c:v>
                </c:pt>
                <c:pt idx="1">
                  <c:v>0</c:v>
                </c:pt>
                <c:pt idx="2">
                  <c:v>784.32211220043564</c:v>
                </c:pt>
                <c:pt idx="3">
                  <c:v>1125.6719340716911</c:v>
                </c:pt>
                <c:pt idx="4">
                  <c:v>1506.8012874129854</c:v>
                </c:pt>
                <c:pt idx="5">
                  <c:v>1948.5709781539624</c:v>
                </c:pt>
                <c:pt idx="6">
                  <c:v>1896.4449499942675</c:v>
                </c:pt>
                <c:pt idx="7">
                  <c:v>2034.2482997373772</c:v>
                </c:pt>
                <c:pt idx="8">
                  <c:v>2186.7556038707867</c:v>
                </c:pt>
                <c:pt idx="9">
                  <c:v>2356.8083173801519</c:v>
                </c:pt>
                <c:pt idx="10">
                  <c:v>2548.1811948921932</c:v>
                </c:pt>
                <c:pt idx="11">
                  <c:v>2766.0265350213426</c:v>
                </c:pt>
                <c:pt idx="12">
                  <c:v>3017.6021578009659</c:v>
                </c:pt>
                <c:pt idx="13">
                  <c:v>3313.5200669894489</c:v>
                </c:pt>
                <c:pt idx="14">
                  <c:v>3670.0095720321092</c:v>
                </c:pt>
                <c:pt idx="15">
                  <c:v>4113.30770270431</c:v>
                </c:pt>
                <c:pt idx="16">
                  <c:v>4688.9442235080141</c:v>
                </c:pt>
                <c:pt idx="17">
                  <c:v>5483.7418938422334</c:v>
                </c:pt>
                <c:pt idx="18">
                  <c:v>6686.8578044907554</c:v>
                </c:pt>
                <c:pt idx="19">
                  <c:v>8804.6464024506949</c:v>
                </c:pt>
                <c:pt idx="20">
                  <c:v>13809.060758678364</c:v>
                </c:pt>
                <c:pt idx="21">
                  <c:v>44373.356214893087</c:v>
                </c:pt>
                <c:pt idx="22">
                  <c:v>0</c:v>
                </c:pt>
                <c:pt idx="23">
                  <c:v>0</c:v>
                </c:pt>
              </c:numCache>
            </c:numRef>
          </c:val>
          <c:smooth val="0"/>
          <c:extLst>
            <c:ext xmlns:c16="http://schemas.microsoft.com/office/drawing/2014/chart" uri="{C3380CC4-5D6E-409C-BE32-E72D297353CC}">
              <c16:uniqueId val="{00000000-F290-4755-AD2C-83BE273E9DCE}"/>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WC'!$E$388</c:f>
              <c:strCache>
                <c:ptCount val="1"/>
                <c:pt idx="0">
                  <c:v>Net Surplus/Deficit p.u.p.m.</c:v>
                </c:pt>
              </c:strCache>
            </c:strRef>
          </c:tx>
          <c:spPr>
            <a:ln w="28575" cap="rnd">
              <a:solidFill>
                <a:schemeClr val="accent1"/>
              </a:solidFill>
              <a:round/>
            </a:ln>
            <a:effectLst/>
          </c:spPr>
          <c:marker>
            <c:symbol val="none"/>
          </c:marker>
          <c:cat>
            <c:strRef>
              <c:f>'9f. Forecast Results - WC'!$N$387:$AK$387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WC'!$N$388:$AK$388</c:f>
              <c:numCache>
                <c:formatCode>"R"#,##0_);[Red]\("R"#,##0\)</c:formatCode>
                <c:ptCount val="24"/>
                <c:pt idx="0">
                  <c:v>0</c:v>
                </c:pt>
                <c:pt idx="1">
                  <c:v>0</c:v>
                </c:pt>
                <c:pt idx="2">
                  <c:v>442.82668954248373</c:v>
                </c:pt>
                <c:pt idx="3">
                  <c:v>-40.438708204156434</c:v>
                </c:pt>
                <c:pt idx="4">
                  <c:v>-215.18272808633799</c:v>
                </c:pt>
                <c:pt idx="5">
                  <c:v>-654.55258936848793</c:v>
                </c:pt>
                <c:pt idx="6">
                  <c:v>-1269.3488265731228</c:v>
                </c:pt>
                <c:pt idx="7">
                  <c:v>-1395.9554979832856</c:v>
                </c:pt>
                <c:pt idx="8">
                  <c:v>-1535.5925989083614</c:v>
                </c:pt>
                <c:pt idx="9">
                  <c:v>-1690.6960763834313</c:v>
                </c:pt>
                <c:pt idx="10">
                  <c:v>-1864.4926554618451</c:v>
                </c:pt>
                <c:pt idx="11">
                  <c:v>-2061.3754378261169</c:v>
                </c:pt>
                <c:pt idx="12">
                  <c:v>-2287.5193280889603</c:v>
                </c:pt>
                <c:pt idx="13">
                  <c:v>-2551.9365685918865</c:v>
                </c:pt>
                <c:pt idx="14">
                  <c:v>-2868.3897398858066</c:v>
                </c:pt>
                <c:pt idx="15">
                  <c:v>-3259.1028351865284</c:v>
                </c:pt>
                <c:pt idx="16">
                  <c:v>-3762.6094402151953</c:v>
                </c:pt>
                <c:pt idx="17">
                  <c:v>-4452.3483201814242</c:v>
                </c:pt>
                <c:pt idx="18">
                  <c:v>-5488.2579870048348</c:v>
                </c:pt>
                <c:pt idx="19">
                  <c:v>-7298.3870963265699</c:v>
                </c:pt>
                <c:pt idx="20">
                  <c:v>-11549.566152784842</c:v>
                </c:pt>
                <c:pt idx="21">
                  <c:v>-37406.140985440841</c:v>
                </c:pt>
                <c:pt idx="22">
                  <c:v>0</c:v>
                </c:pt>
                <c:pt idx="23">
                  <c:v>0</c:v>
                </c:pt>
              </c:numCache>
            </c:numRef>
          </c:val>
          <c:smooth val="0"/>
          <c:extLst>
            <c:ext xmlns:c16="http://schemas.microsoft.com/office/drawing/2014/chart" uri="{C3380CC4-5D6E-409C-BE32-E72D297353CC}">
              <c16:uniqueId val="{00000000-2E59-438A-96A8-08288CCE41F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'9f. Forecast Results - WC'!$E$171</c:f>
              <c:strCache>
                <c:ptCount val="1"/>
                <c:pt idx="0">
                  <c:v>Net Surplus / (Deficit)</c:v>
                </c:pt>
              </c:strCache>
            </c:strRef>
          </c:tx>
          <c:spPr>
            <a:ln w="28575" cap="rnd">
              <a:solidFill>
                <a:schemeClr val="accent1"/>
              </a:solidFill>
              <a:round/>
            </a:ln>
            <a:effectLst/>
          </c:spPr>
          <c:marker>
            <c:symbol val="none"/>
          </c:marker>
          <c:cat>
            <c:strRef>
              <c:f>'9f. Forecast Results - WC'!$N$170:$AK$170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WC'!$N$171:$AK$171</c:f>
              <c:numCache>
                <c:formatCode>"R"#,##0</c:formatCode>
                <c:ptCount val="24"/>
                <c:pt idx="0">
                  <c:v>3646579.8900000006</c:v>
                </c:pt>
                <c:pt idx="1">
                  <c:v>5914523.3750000019</c:v>
                </c:pt>
                <c:pt idx="2">
                  <c:v>3793660.5200000023</c:v>
                </c:pt>
                <c:pt idx="3">
                  <c:v>-296981.87305132486</c:v>
                </c:pt>
                <c:pt idx="4">
                  <c:v>-1185226.4662995497</c:v>
                </c:pt>
                <c:pt idx="5">
                  <c:v>-2701993.0889131185</c:v>
                </c:pt>
                <c:pt idx="6">
                  <c:v>-4919996.0517974235</c:v>
                </c:pt>
                <c:pt idx="7">
                  <c:v>-5058942.7246914273</c:v>
                </c:pt>
                <c:pt idx="8">
                  <c:v>-5178018.2435189942</c:v>
                </c:pt>
                <c:pt idx="9">
                  <c:v>-5274971.7583163055</c:v>
                </c:pt>
                <c:pt idx="10">
                  <c:v>-5347364.9358645715</c:v>
                </c:pt>
                <c:pt idx="11">
                  <c:v>-5392558.1453531226</c:v>
                </c:pt>
                <c:pt idx="12">
                  <c:v>-5407695.6916023027</c:v>
                </c:pt>
                <c:pt idx="13">
                  <c:v>-5389690.0328660645</c:v>
                </c:pt>
                <c:pt idx="14">
                  <c:v>-5335204.9161876012</c:v>
                </c:pt>
                <c:pt idx="15">
                  <c:v>-5240637.3589799376</c:v>
                </c:pt>
                <c:pt idx="16">
                  <c:v>-5102098.4009318044</c:v>
                </c:pt>
                <c:pt idx="17">
                  <c:v>-4915392.5454802923</c:v>
                </c:pt>
                <c:pt idx="18">
                  <c:v>-4675995.8049281193</c:v>
                </c:pt>
                <c:pt idx="19">
                  <c:v>-4379032.257795942</c:v>
                </c:pt>
                <c:pt idx="20">
                  <c:v>-4019249.0211691251</c:v>
                </c:pt>
                <c:pt idx="21">
                  <c:v>-3590989.5346023208</c:v>
                </c:pt>
                <c:pt idx="22">
                  <c:v>82879.677155486657</c:v>
                </c:pt>
                <c:pt idx="23">
                  <c:v>0</c:v>
                </c:pt>
              </c:numCache>
            </c:numRef>
          </c:val>
          <c:smooth val="0"/>
          <c:extLst>
            <c:ext xmlns:c16="http://schemas.microsoft.com/office/drawing/2014/chart" uri="{C3380CC4-5D6E-409C-BE32-E72D297353CC}">
              <c16:uniqueId val="{00000000-4874-4A0C-ACD3-F003312793B8}"/>
            </c:ext>
          </c:extLst>
        </c:ser>
        <c:ser>
          <c:idx val="1"/>
          <c:order val="1"/>
          <c:tx>
            <c:strRef>
              <c:f>'9f. Forecast Results - WC'!$E$172</c:f>
              <c:strCache>
                <c:ptCount val="1"/>
                <c:pt idx="0">
                  <c:v>Total Expenditure</c:v>
                </c:pt>
              </c:strCache>
            </c:strRef>
          </c:tx>
          <c:spPr>
            <a:ln w="28575" cap="rnd">
              <a:solidFill>
                <a:srgbClr val="00B050"/>
              </a:solidFill>
              <a:round/>
            </a:ln>
            <a:effectLst/>
          </c:spPr>
          <c:marker>
            <c:symbol val="none"/>
          </c:marker>
          <c:cat>
            <c:strRef>
              <c:f>'9f. Forecast Results - WC'!$N$170:$AK$170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WC'!$N$172:$AK$172</c:f>
              <c:numCache>
                <c:formatCode>"R"#,##0</c:formatCode>
                <c:ptCount val="24"/>
                <c:pt idx="0">
                  <c:v>6816394.1699999999</c:v>
                </c:pt>
                <c:pt idx="1">
                  <c:v>6934326.7449999992</c:v>
                </c:pt>
                <c:pt idx="2">
                  <c:v>7200076.9899999993</c:v>
                </c:pt>
                <c:pt idx="3">
                  <c:v>8266934.6838224996</c:v>
                </c:pt>
                <c:pt idx="4">
                  <c:v>8299461.4910707241</c:v>
                </c:pt>
                <c:pt idx="5">
                  <c:v>8043700.9978195559</c:v>
                </c:pt>
                <c:pt idx="6">
                  <c:v>7350620.6261777803</c:v>
                </c:pt>
                <c:pt idx="7">
                  <c:v>7372115.8382482547</c:v>
                </c:pt>
                <c:pt idx="8">
                  <c:v>7373739.8962522922</c:v>
                </c:pt>
                <c:pt idx="9">
                  <c:v>7353241.9502260741</c:v>
                </c:pt>
                <c:pt idx="10">
                  <c:v>7308183.6669508098</c:v>
                </c:pt>
                <c:pt idx="11">
                  <c:v>7235925.4156158324</c:v>
                </c:pt>
                <c:pt idx="12">
                  <c:v>7133611.5010414831</c:v>
                </c:pt>
                <c:pt idx="13">
                  <c:v>6998154.3814817155</c:v>
                </c:pt>
                <c:pt idx="14">
                  <c:v>6826217.8039797228</c:v>
                </c:pt>
                <c:pt idx="15">
                  <c:v>6614198.7859485298</c:v>
                </c:pt>
                <c:pt idx="16">
                  <c:v>6358208.3670768673</c:v>
                </c:pt>
                <c:pt idx="17">
                  <c:v>6054051.0508018257</c:v>
                </c:pt>
                <c:pt idx="18">
                  <c:v>5697202.8494261233</c:v>
                </c:pt>
                <c:pt idx="19">
                  <c:v>5282787.8414704166</c:v>
                </c:pt>
                <c:pt idx="20">
                  <c:v>4805553.1440200703</c:v>
                </c:pt>
                <c:pt idx="21">
                  <c:v>4259842.1966297366</c:v>
                </c:pt>
                <c:pt idx="22">
                  <c:v>154876.22698941137</c:v>
                </c:pt>
                <c:pt idx="23">
                  <c:v>0</c:v>
                </c:pt>
              </c:numCache>
            </c:numRef>
          </c:val>
          <c:smooth val="0"/>
          <c:extLst>
            <c:ext xmlns:c16="http://schemas.microsoft.com/office/drawing/2014/chart" uri="{C3380CC4-5D6E-409C-BE32-E72D297353CC}">
              <c16:uniqueId val="{00000001-4874-4A0C-ACD3-F003312793B8}"/>
            </c:ext>
          </c:extLst>
        </c:ser>
        <c:ser>
          <c:idx val="2"/>
          <c:order val="2"/>
          <c:tx>
            <c:strRef>
              <c:f>'9f. Forecast Results - WC'!$E$173</c:f>
              <c:strCache>
                <c:ptCount val="1"/>
                <c:pt idx="0">
                  <c:v>Total Income</c:v>
                </c:pt>
              </c:strCache>
            </c:strRef>
          </c:tx>
          <c:spPr>
            <a:ln w="28575" cap="rnd">
              <a:solidFill>
                <a:schemeClr val="accent3"/>
              </a:solidFill>
              <a:round/>
            </a:ln>
            <a:effectLst/>
          </c:spPr>
          <c:marker>
            <c:symbol val="none"/>
          </c:marker>
          <c:cat>
            <c:strRef>
              <c:f>'9f. Forecast Results - WC'!$N$170:$AK$170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WC'!$N$173:$AK$173</c:f>
              <c:numCache>
                <c:formatCode>"R"#,##0</c:formatCode>
                <c:ptCount val="24"/>
                <c:pt idx="0">
                  <c:v>10462974.060000001</c:v>
                </c:pt>
                <c:pt idx="1">
                  <c:v>12848850.120000001</c:v>
                </c:pt>
                <c:pt idx="2">
                  <c:v>10993737.510000002</c:v>
                </c:pt>
                <c:pt idx="3">
                  <c:v>7969952.8107711747</c:v>
                </c:pt>
                <c:pt idx="4">
                  <c:v>7114235.0247711744</c:v>
                </c:pt>
                <c:pt idx="5">
                  <c:v>5341707.9089064375</c:v>
                </c:pt>
                <c:pt idx="6">
                  <c:v>2430624.5743803568</c:v>
                </c:pt>
                <c:pt idx="7">
                  <c:v>2313173.1135568274</c:v>
                </c:pt>
                <c:pt idx="8">
                  <c:v>2195721.652733298</c:v>
                </c:pt>
                <c:pt idx="9">
                  <c:v>2078270.1919097686</c:v>
                </c:pt>
                <c:pt idx="10">
                  <c:v>1960818.7310862388</c:v>
                </c:pt>
                <c:pt idx="11">
                  <c:v>1843367.2702627098</c:v>
                </c:pt>
                <c:pt idx="12">
                  <c:v>1725915.8094391804</c:v>
                </c:pt>
                <c:pt idx="13">
                  <c:v>1608464.348615651</c:v>
                </c:pt>
                <c:pt idx="14">
                  <c:v>1491012.8877921216</c:v>
                </c:pt>
                <c:pt idx="15">
                  <c:v>1373561.4269685922</c:v>
                </c:pt>
                <c:pt idx="16">
                  <c:v>1256109.9661450628</c:v>
                </c:pt>
                <c:pt idx="17">
                  <c:v>1138658.5053215334</c:v>
                </c:pt>
                <c:pt idx="18">
                  <c:v>1021207.0444980043</c:v>
                </c:pt>
                <c:pt idx="19">
                  <c:v>903755.58367447485</c:v>
                </c:pt>
                <c:pt idx="20">
                  <c:v>786304.12285094545</c:v>
                </c:pt>
                <c:pt idx="21">
                  <c:v>668852.66202741605</c:v>
                </c:pt>
                <c:pt idx="22">
                  <c:v>237755.90414489803</c:v>
                </c:pt>
                <c:pt idx="23">
                  <c:v>0</c:v>
                </c:pt>
              </c:numCache>
            </c:numRef>
          </c:val>
          <c:smooth val="0"/>
          <c:extLst>
            <c:ext xmlns:c16="http://schemas.microsoft.com/office/drawing/2014/chart" uri="{C3380CC4-5D6E-409C-BE32-E72D297353CC}">
              <c16:uniqueId val="{00000002-4874-4A0C-ACD3-F003312793B8}"/>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13B-4326-B074-AA60AA8E5783}"/>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613B-4326-B074-AA60AA8E578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13B-4326-B074-AA60AA8E578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13B-4326-B074-AA60AA8E5783}"/>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613B-4326-B074-AA60AA8E578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13B-4326-B074-AA60AA8E57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EC'!$B$138:$B$143</c:f>
              <c:strCache>
                <c:ptCount val="6"/>
                <c:pt idx="0">
                  <c:v>Rates &amp; Taxes</c:v>
                </c:pt>
                <c:pt idx="1">
                  <c:v>Municipal Charges</c:v>
                </c:pt>
                <c:pt idx="2">
                  <c:v>Maintenance</c:v>
                </c:pt>
                <c:pt idx="3">
                  <c:v>Total Disposal Costs</c:v>
                </c:pt>
                <c:pt idx="4">
                  <c:v>Staff</c:v>
                </c:pt>
                <c:pt idx="5">
                  <c:v>Other </c:v>
                </c:pt>
              </c:strCache>
            </c:strRef>
          </c:cat>
          <c:val>
            <c:numRef>
              <c:f>'5. Dashboard EC'!$E$138:$E$143</c:f>
              <c:numCache>
                <c:formatCode>"R"#,##0</c:formatCode>
                <c:ptCount val="6"/>
                <c:pt idx="0">
                  <c:v>252001.66593494211</c:v>
                </c:pt>
                <c:pt idx="1">
                  <c:v>2508823.1927166809</c:v>
                </c:pt>
                <c:pt idx="2">
                  <c:v>0</c:v>
                </c:pt>
                <c:pt idx="3">
                  <c:v>211625.31374314771</c:v>
                </c:pt>
                <c:pt idx="4">
                  <c:v>4066125.1737566851</c:v>
                </c:pt>
                <c:pt idx="5">
                  <c:v>21313951.146196745</c:v>
                </c:pt>
              </c:numCache>
            </c:numRef>
          </c:val>
          <c:extLst>
            <c:ext xmlns:c16="http://schemas.microsoft.com/office/drawing/2014/chart" uri="{C3380CC4-5D6E-409C-BE32-E72D297353CC}">
              <c16:uniqueId val="{0000000C-613B-4326-B074-AA60AA8E578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613B-4326-B074-AA60AA8E578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613B-4326-B074-AA60AA8E578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613B-4326-B074-AA60AA8E578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613B-4326-B074-AA60AA8E578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613B-4326-B074-AA60AA8E578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613B-4326-B074-AA60AA8E5783}"/>
                    </c:ext>
                  </c:extLst>
                </c:dPt>
                <c:cat>
                  <c:strRef>
                    <c:extLst>
                      <c:ext uri="{02D57815-91ED-43cb-92C2-25804820EDAC}">
                        <c15:formulaRef>
                          <c15:sqref>'5. Dashboard EC'!$B$138:$B$143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EC'!$C$138:$C$143</c15:sqref>
                        </c15:formulaRef>
                      </c:ext>
                    </c:extLst>
                    <c:numCache>
                      <c:formatCode>General</c:formatCode>
                      <c:ptCount val="6"/>
                    </c:numCache>
                  </c:numRef>
                </c:val>
                <c:extLst>
                  <c:ext xmlns:c16="http://schemas.microsoft.com/office/drawing/2014/chart" uri="{C3380CC4-5D6E-409C-BE32-E72D297353CC}">
                    <c16:uniqueId val="{00000019-613B-4326-B074-AA60AA8E5783}"/>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'9f. Forecast Results - WC'!$E$147</c:f>
              <c:strCache>
                <c:ptCount val="1"/>
                <c:pt idx="0">
                  <c:v>No. of Rental Units</c:v>
                </c:pt>
              </c:strCache>
            </c:strRef>
          </c:tx>
          <c:spPr>
            <a:solidFill>
              <a:srgbClr val="00B050"/>
            </a:solidFill>
            <a:ln>
              <a:noFill/>
            </a:ln>
            <a:effectLst/>
          </c:spPr>
          <c:invertIfNegative val="0"/>
          <c:cat>
            <c:strRef>
              <c:f>'9f. Forecast Results - WC'!$N$146:$AK$146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WC'!$N$147:$AK$147</c:f>
              <c:numCache>
                <c:formatCode>_-* #,##0_-;\-* #,##0_-;_-* "-"_-;_-@_-</c:formatCode>
                <c:ptCount val="24"/>
                <c:pt idx="0">
                  <c:v>0</c:v>
                </c:pt>
                <c:pt idx="1">
                  <c:v>0</c:v>
                </c:pt>
                <c:pt idx="2">
                  <c:v>765</c:v>
                </c:pt>
                <c:pt idx="3">
                  <c:v>612</c:v>
                </c:pt>
                <c:pt idx="4">
                  <c:v>459</c:v>
                </c:pt>
                <c:pt idx="5">
                  <c:v>344</c:v>
                </c:pt>
                <c:pt idx="6">
                  <c:v>323</c:v>
                </c:pt>
                <c:pt idx="7">
                  <c:v>302</c:v>
                </c:pt>
                <c:pt idx="8">
                  <c:v>281</c:v>
                </c:pt>
                <c:pt idx="9">
                  <c:v>260</c:v>
                </c:pt>
                <c:pt idx="10">
                  <c:v>239</c:v>
                </c:pt>
                <c:pt idx="11">
                  <c:v>218</c:v>
                </c:pt>
                <c:pt idx="12">
                  <c:v>197</c:v>
                </c:pt>
                <c:pt idx="13">
                  <c:v>176</c:v>
                </c:pt>
                <c:pt idx="14">
                  <c:v>155</c:v>
                </c:pt>
                <c:pt idx="15">
                  <c:v>134</c:v>
                </c:pt>
                <c:pt idx="16">
                  <c:v>113</c:v>
                </c:pt>
                <c:pt idx="17">
                  <c:v>92</c:v>
                </c:pt>
                <c:pt idx="18">
                  <c:v>71</c:v>
                </c:pt>
                <c:pt idx="19">
                  <c:v>50</c:v>
                </c:pt>
                <c:pt idx="20">
                  <c:v>29</c:v>
                </c:pt>
                <c:pt idx="21">
                  <c:v>8</c:v>
                </c:pt>
                <c:pt idx="22">
                  <c:v>0</c:v>
                </c:pt>
                <c:pt idx="23">
                  <c:v>0</c:v>
                </c:pt>
              </c:numCache>
            </c:numRef>
          </c:val>
          <c:extLst>
            <c:ext xmlns:c16="http://schemas.microsoft.com/office/drawing/2014/chart" uri="{C3380CC4-5D6E-409C-BE32-E72D297353CC}">
              <c16:uniqueId val="{00000000-0DA9-4FB1-99B7-227782EEA545}"/>
            </c:ext>
          </c:extLst>
        </c:ser>
        <c:ser>
          <c:idx val="1"/>
          <c:order val="1"/>
          <c:tx>
            <c:strRef>
              <c:f>'9f. Forecast Results - WC'!$E$148</c:f>
              <c:strCache>
                <c:ptCount val="1"/>
                <c:pt idx="0">
                  <c:v>No. of Sales Accounts</c:v>
                </c:pt>
              </c:strCache>
            </c:strRef>
          </c:tx>
          <c:spPr>
            <a:solidFill>
              <a:srgbClr val="002060"/>
            </a:solidFill>
            <a:ln>
              <a:noFill/>
            </a:ln>
            <a:effectLst/>
          </c:spPr>
          <c:invertIfNegative val="0"/>
          <c:cat>
            <c:strRef>
              <c:f>'9f. Forecast Results - WC'!$N$146:$AK$146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WC'!$N$148:$AK$148</c:f>
              <c:numCache>
                <c:formatCode>_-* #,##0_-;\-* #,##0_-;_-* "-"_-;_-@_-</c:formatCode>
                <c:ptCount val="24"/>
                <c:pt idx="0">
                  <c:v>0</c:v>
                </c:pt>
                <c:pt idx="1">
                  <c:v>0</c:v>
                </c:pt>
                <c:pt idx="2">
                  <c:v>890</c:v>
                </c:pt>
                <c:pt idx="3">
                  <c:v>1043</c:v>
                </c:pt>
                <c:pt idx="4">
                  <c:v>1196</c:v>
                </c:pt>
                <c:pt idx="5">
                  <c:v>1311</c:v>
                </c:pt>
                <c:pt idx="6">
                  <c:v>1332</c:v>
                </c:pt>
                <c:pt idx="7">
                  <c:v>1353</c:v>
                </c:pt>
                <c:pt idx="8">
                  <c:v>1374</c:v>
                </c:pt>
                <c:pt idx="9">
                  <c:v>1395</c:v>
                </c:pt>
                <c:pt idx="10">
                  <c:v>1416</c:v>
                </c:pt>
                <c:pt idx="11">
                  <c:v>1437</c:v>
                </c:pt>
                <c:pt idx="12">
                  <c:v>1458</c:v>
                </c:pt>
                <c:pt idx="13">
                  <c:v>1479</c:v>
                </c:pt>
                <c:pt idx="14">
                  <c:v>1500</c:v>
                </c:pt>
                <c:pt idx="15">
                  <c:v>1521</c:v>
                </c:pt>
                <c:pt idx="16">
                  <c:v>1542</c:v>
                </c:pt>
                <c:pt idx="17">
                  <c:v>1563</c:v>
                </c:pt>
                <c:pt idx="18">
                  <c:v>1584</c:v>
                </c:pt>
                <c:pt idx="19">
                  <c:v>1605</c:v>
                </c:pt>
                <c:pt idx="20">
                  <c:v>1626</c:v>
                </c:pt>
                <c:pt idx="21">
                  <c:v>1647</c:v>
                </c:pt>
                <c:pt idx="22">
                  <c:v>1655</c:v>
                </c:pt>
                <c:pt idx="23">
                  <c:v>0</c:v>
                </c:pt>
              </c:numCache>
            </c:numRef>
          </c:val>
          <c:extLst>
            <c:ext xmlns:c16="http://schemas.microsoft.com/office/drawing/2014/chart" uri="{C3380CC4-5D6E-409C-BE32-E72D297353CC}">
              <c16:uniqueId val="{00000001-0DA9-4FB1-99B7-227782EEA545}"/>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'9f. Forecast Results - WC'!$AO$20</c:f>
              <c:strCache>
                <c:ptCount val="1"/>
                <c:pt idx="0">
                  <c:v>Net Deficit funded by HSDG Top Slice</c:v>
                </c:pt>
              </c:strCache>
            </c:strRef>
          </c:tx>
          <c:spPr>
            <a:solidFill>
              <a:srgbClr val="00B050"/>
            </a:solidFill>
            <a:ln>
              <a:noFill/>
            </a:ln>
            <a:effectLst/>
          </c:spPr>
          <c:cat>
            <c:strRef>
              <c:f>'9f. Forecast Results - WC'!$AP$19:$BM$19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'9f. Forecast Results - WC'!$AP$20:$BM$20</c:f>
              <c:numCache>
                <c:formatCode>"R"#,##0</c:formatCode>
                <c:ptCount val="24"/>
                <c:pt idx="0">
                  <c:v>0</c:v>
                </c:pt>
                <c:pt idx="1">
                  <c:v>0</c:v>
                </c:pt>
                <c:pt idx="2">
                  <c:v>0</c:v>
                </c:pt>
                <c:pt idx="3">
                  <c:v>-296981.87305132486</c:v>
                </c:pt>
                <c:pt idx="4">
                  <c:v>-1185226.4662995497</c:v>
                </c:pt>
                <c:pt idx="5">
                  <c:v>-2701993.0889131185</c:v>
                </c:pt>
                <c:pt idx="6">
                  <c:v>-4919996.0517974235</c:v>
                </c:pt>
                <c:pt idx="7">
                  <c:v>-5058942.7246914273</c:v>
                </c:pt>
                <c:pt idx="8">
                  <c:v>-5178018.2435189942</c:v>
                </c:pt>
                <c:pt idx="9">
                  <c:v>-5274971.7583163055</c:v>
                </c:pt>
                <c:pt idx="10">
                  <c:v>-5347364.9358645715</c:v>
                </c:pt>
                <c:pt idx="11">
                  <c:v>-5392558.1453531226</c:v>
                </c:pt>
                <c:pt idx="12">
                  <c:v>-5407695.6916023027</c:v>
                </c:pt>
                <c:pt idx="13">
                  <c:v>-5389690.0328660645</c:v>
                </c:pt>
                <c:pt idx="14">
                  <c:v>-5335204.9161876012</c:v>
                </c:pt>
                <c:pt idx="15">
                  <c:v>-5240637.3589799376</c:v>
                </c:pt>
                <c:pt idx="16">
                  <c:v>-5102098.4009318044</c:v>
                </c:pt>
                <c:pt idx="17">
                  <c:v>-4915392.5454802923</c:v>
                </c:pt>
                <c:pt idx="18">
                  <c:v>-4675995.8049281193</c:v>
                </c:pt>
                <c:pt idx="19">
                  <c:v>-4379032.257795942</c:v>
                </c:pt>
                <c:pt idx="20">
                  <c:v>-4019249.0211691251</c:v>
                </c:pt>
                <c:pt idx="21">
                  <c:v>-3590989.5346023208</c:v>
                </c:pt>
                <c:pt idx="22">
                  <c:v>0</c:v>
                </c:pt>
                <c:pt idx="23">
                  <c:v>0</c:v>
                </c:pt>
              </c:numCache>
            </c:numRef>
          </c:val>
          <c:extLst>
            <c:ext xmlns:c16="http://schemas.microsoft.com/office/drawing/2014/chart" uri="{C3380CC4-5D6E-409C-BE32-E72D297353CC}">
              <c16:uniqueId val="{00000000-F9FD-406B-9D34-8AB532D8F261}"/>
            </c:ext>
          </c:extLst>
        </c:ser>
        <c:ser>
          <c:idx val="1"/>
          <c:order val="1"/>
          <c:tx>
            <c:strRef>
              <c:f>'9f. Forecast Results - WC'!$AO$21</c:f>
              <c:strCache>
                <c:ptCount val="1"/>
                <c:pt idx="0">
                  <c:v>EEDBS utilised to settle Existing Sales Debtors Balances Owing</c:v>
                </c:pt>
              </c:strCache>
            </c:strRef>
          </c:tx>
          <c:spPr>
            <a:solidFill>
              <a:srgbClr val="002060"/>
            </a:solidFill>
            <a:ln w="25400">
              <a:noFill/>
            </a:ln>
            <a:effectLst/>
          </c:spPr>
          <c:val>
            <c:numRef>
              <c:f>'9f. Forecast Results - WC'!$AP$21:$BM$21</c:f>
              <c:numCache>
                <c:formatCode>"R"#,##0</c:formatCode>
                <c:ptCount val="24"/>
                <c:pt idx="0">
                  <c:v>-562843</c:v>
                </c:pt>
                <c:pt idx="1">
                  <c:v>-358439</c:v>
                </c:pt>
                <c:pt idx="2">
                  <c:v>-267958</c:v>
                </c:pt>
                <c:pt idx="3">
                  <c:v>-2811433.6077560242</c:v>
                </c:pt>
                <c:pt idx="4">
                  <c:v>-2811433.6077560242</c:v>
                </c:pt>
                <c:pt idx="5">
                  <c:v>-2113169.0515813255</c:v>
                </c:pt>
                <c:pt idx="6">
                  <c:v>-385883.04420180724</c:v>
                </c:pt>
                <c:pt idx="7">
                  <c:v>-385883.04420180724</c:v>
                </c:pt>
                <c:pt idx="8">
                  <c:v>-385883.04420180724</c:v>
                </c:pt>
                <c:pt idx="9">
                  <c:v>-385883.04420180724</c:v>
                </c:pt>
                <c:pt idx="10">
                  <c:v>-385883.04420180724</c:v>
                </c:pt>
                <c:pt idx="11">
                  <c:v>-385883.04420180724</c:v>
                </c:pt>
                <c:pt idx="12">
                  <c:v>-385883.04420180724</c:v>
                </c:pt>
                <c:pt idx="13">
                  <c:v>-385883.04420180724</c:v>
                </c:pt>
                <c:pt idx="14">
                  <c:v>-385883.04420180724</c:v>
                </c:pt>
                <c:pt idx="15">
                  <c:v>-385883.04420180724</c:v>
                </c:pt>
                <c:pt idx="16">
                  <c:v>-385883.04420180724</c:v>
                </c:pt>
                <c:pt idx="17">
                  <c:v>-385883.04420180724</c:v>
                </c:pt>
                <c:pt idx="18">
                  <c:v>-385883.04420180724</c:v>
                </c:pt>
                <c:pt idx="19">
                  <c:v>-385883.04420180724</c:v>
                </c:pt>
                <c:pt idx="20">
                  <c:v>-385883.04420180724</c:v>
                </c:pt>
                <c:pt idx="21">
                  <c:v>-385883.04420180724</c:v>
                </c:pt>
                <c:pt idx="22">
                  <c:v>-86073415.425300524</c:v>
                </c:pt>
                <c:pt idx="23">
                  <c:v>0</c:v>
                </c:pt>
              </c:numCache>
            </c:numRef>
          </c:val>
          <c:extLst>
            <c:ext xmlns:c16="http://schemas.microsoft.com/office/drawing/2014/chart" uri="{C3380CC4-5D6E-409C-BE32-E72D297353CC}">
              <c16:uniqueId val="{00000001-F9FD-406B-9D34-8AB532D8F261}"/>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a:t>Scenario Analysis - Total HSDG and EEDBS Spent </a:t>
            </a:r>
          </a:p>
        </c:rich>
      </c:tx>
      <c:layout>
        <c:manualLayout>
          <c:xMode val="edge"/>
          <c:yMode val="edge"/>
          <c:x val="0.36971591210021765"/>
          <c:y val="0"/>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6070551745802756E-2"/>
          <c:y val="9.3618677042801565E-2"/>
          <c:w val="0.92969366729130354"/>
          <c:h val="0.77603051564079784"/>
        </c:manualLayout>
      </c:layout>
      <c:barChart>
        <c:barDir val="col"/>
        <c:grouping val="clustered"/>
        <c:varyColors val="0"/>
        <c:ser>
          <c:idx val="0"/>
          <c:order val="0"/>
          <c:tx>
            <c:strRef>
              <c:f>'7. Scenario Detailed'!$D$13:$E$13</c:f>
              <c:strCache>
                <c:ptCount val="2"/>
                <c:pt idx="0">
                  <c:v>Base Case</c:v>
                </c:pt>
                <c:pt idx="1">
                  <c:v>BC</c:v>
                </c:pt>
              </c:strCache>
            </c:strRef>
          </c:tx>
          <c:spPr>
            <a:solidFill>
              <a:schemeClr val="accent1"/>
            </a:solidFill>
            <a:ln>
              <a:noFill/>
            </a:ln>
            <a:effectLst/>
          </c:spPr>
          <c:invertIfNegative val="0"/>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Detailed'!$L$13:$AI$13</c:f>
              <c:numCache>
                <c:formatCode>"R"#,##0;[Red]\-"R"#,##0</c:formatCode>
                <c:ptCount val="24"/>
                <c:pt idx="0">
                  <c:v>-130562326.49333334</c:v>
                </c:pt>
                <c:pt idx="1">
                  <c:v>-137624672.89333332</c:v>
                </c:pt>
                <c:pt idx="2">
                  <c:v>-139007167.36000001</c:v>
                </c:pt>
                <c:pt idx="3">
                  <c:v>-141576874.53634024</c:v>
                </c:pt>
                <c:pt idx="4">
                  <c:v>-138400769.09143141</c:v>
                </c:pt>
                <c:pt idx="5">
                  <c:v>-134282559.36137459</c:v>
                </c:pt>
                <c:pt idx="6">
                  <c:v>-131205714.11312266</c:v>
                </c:pt>
                <c:pt idx="7">
                  <c:v>-130404331.28163506</c:v>
                </c:pt>
                <c:pt idx="8">
                  <c:v>-129098761.56783602</c:v>
                </c:pt>
                <c:pt idx="9">
                  <c:v>-127236490.76693685</c:v>
                </c:pt>
                <c:pt idx="10">
                  <c:v>-124760753.27694118</c:v>
                </c:pt>
                <c:pt idx="11">
                  <c:v>-121610223.30042145</c:v>
                </c:pt>
                <c:pt idx="12">
                  <c:v>-117718684.9389676</c:v>
                </c:pt>
                <c:pt idx="13">
                  <c:v>-113014679.79261622</c:v>
                </c:pt>
                <c:pt idx="14">
                  <c:v>-107421130.58777231</c:v>
                </c:pt>
                <c:pt idx="15">
                  <c:v>-100854939.26276977</c:v>
                </c:pt>
                <c:pt idx="16">
                  <c:v>-93226557.839936167</c:v>
                </c:pt>
                <c:pt idx="17">
                  <c:v>-84439530.306468591</c:v>
                </c:pt>
                <c:pt idx="18">
                  <c:v>-74390003.613201723</c:v>
                </c:pt>
                <c:pt idx="19">
                  <c:v>-62966205.780046679</c:v>
                </c:pt>
                <c:pt idx="20">
                  <c:v>-50047888.969063312</c:v>
                </c:pt>
                <c:pt idx="21">
                  <c:v>-35505735.250336125</c:v>
                </c:pt>
                <c:pt idx="22">
                  <c:v>-737952689.37727487</c:v>
                </c:pt>
                <c:pt idx="23">
                  <c:v>0</c:v>
                </c:pt>
              </c:numCache>
            </c:numRef>
          </c:val>
          <c:extLst>
            <c:ext xmlns:c16="http://schemas.microsoft.com/office/drawing/2014/chart" uri="{C3380CC4-5D6E-409C-BE32-E72D297353CC}">
              <c16:uniqueId val="{00000000-9BFC-4393-93C9-7B249D8C4422}"/>
            </c:ext>
          </c:extLst>
        </c:ser>
        <c:ser>
          <c:idx val="2"/>
          <c:order val="1"/>
          <c:tx>
            <c:strRef>
              <c:f>'7. Scenario Detailed'!$D$14:$E$14</c:f>
              <c:strCache>
                <c:ptCount val="2"/>
                <c:pt idx="0">
                  <c:v>Scenario 1 - Outsource Property Management</c:v>
                </c:pt>
                <c:pt idx="1">
                  <c:v>Sc1</c:v>
                </c:pt>
              </c:strCache>
            </c:strRef>
          </c:tx>
          <c:spPr>
            <a:solidFill>
              <a:srgbClr val="FF0000"/>
            </a:solidFill>
            <a:ln>
              <a:noFill/>
            </a:ln>
            <a:effectLst/>
          </c:spPr>
          <c:invertIfNegative val="0"/>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Detailed'!$L$14:$AI$14</c:f>
              <c:numCache>
                <c:formatCode>"R"#,##0;[Red]\-"R"#,##0</c:formatCode>
                <c:ptCount val="24"/>
                <c:pt idx="0">
                  <c:v>-130562326.49333334</c:v>
                </c:pt>
                <c:pt idx="1">
                  <c:v>-137624672.89333332</c:v>
                </c:pt>
                <c:pt idx="2">
                  <c:v>-139007167.36000001</c:v>
                </c:pt>
                <c:pt idx="3">
                  <c:v>-141576874.53634024</c:v>
                </c:pt>
                <c:pt idx="4">
                  <c:v>-138400769.09143141</c:v>
                </c:pt>
                <c:pt idx="5">
                  <c:v>-153814812.48137459</c:v>
                </c:pt>
                <c:pt idx="6">
                  <c:v>-282906676.29483563</c:v>
                </c:pt>
                <c:pt idx="7">
                  <c:v>-241448392.66406965</c:v>
                </c:pt>
                <c:pt idx="8">
                  <c:v>-215770278.24525476</c:v>
                </c:pt>
                <c:pt idx="9">
                  <c:v>-186967445.83256724</c:v>
                </c:pt>
                <c:pt idx="10">
                  <c:v>-67225864.745463669</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9BFC-4393-93C9-7B249D8C4422}"/>
            </c:ext>
          </c:extLst>
        </c:ser>
        <c:ser>
          <c:idx val="3"/>
          <c:order val="2"/>
          <c:tx>
            <c:strRef>
              <c:f>'7. Scenario Detailed'!$D$15:$E$15</c:f>
              <c:strCache>
                <c:ptCount val="2"/>
                <c:pt idx="0">
                  <c:v>Scenario 2 - Accelerate Transfer Voetstoots to Existing Occupants</c:v>
                </c:pt>
                <c:pt idx="1">
                  <c:v>Sc2</c:v>
                </c:pt>
              </c:strCache>
            </c:strRef>
          </c:tx>
          <c:spPr>
            <a:solidFill>
              <a:schemeClr val="accent4"/>
            </a:solidFill>
            <a:ln>
              <a:noFill/>
            </a:ln>
            <a:effectLst/>
          </c:spPr>
          <c:invertIfNegative val="0"/>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Detailed'!$L$15:$AI$15</c:f>
              <c:numCache>
                <c:formatCode>"R"#,##0;[Red]\-"R"#,##0</c:formatCode>
                <c:ptCount val="24"/>
                <c:pt idx="0">
                  <c:v>-130562326.49333334</c:v>
                </c:pt>
                <c:pt idx="1">
                  <c:v>-137624672.89333332</c:v>
                </c:pt>
                <c:pt idx="2">
                  <c:v>-139007167.36000001</c:v>
                </c:pt>
                <c:pt idx="3">
                  <c:v>-141576874.53634024</c:v>
                </c:pt>
                <c:pt idx="4">
                  <c:v>-138400769.09143141</c:v>
                </c:pt>
                <c:pt idx="5">
                  <c:v>-134282559.36137459</c:v>
                </c:pt>
                <c:pt idx="6">
                  <c:v>-645334119.72052228</c:v>
                </c:pt>
                <c:pt idx="7">
                  <c:v>-165804827.24377292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9BFC-4393-93C9-7B249D8C4422}"/>
            </c:ext>
          </c:extLst>
        </c:ser>
        <c:ser>
          <c:idx val="4"/>
          <c:order val="3"/>
          <c:tx>
            <c:strRef>
              <c:f>'7. Scenario Detailed'!$D$16:$E$16</c:f>
              <c:strCache>
                <c:ptCount val="2"/>
                <c:pt idx="0">
                  <c:v>Scenario 3 - Devolve to Local Municipality</c:v>
                </c:pt>
                <c:pt idx="1">
                  <c:v>Sc3</c:v>
                </c:pt>
              </c:strCache>
            </c:strRef>
          </c:tx>
          <c:spPr>
            <a:solidFill>
              <a:srgbClr val="7030A0"/>
            </a:solidFill>
            <a:ln>
              <a:noFill/>
            </a:ln>
            <a:effectLst/>
          </c:spPr>
          <c:invertIfNegative val="0"/>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Detailed'!$L$16:$AI$16</c:f>
              <c:numCache>
                <c:formatCode>"R"#,##0;[Red]\-"R"#,##0</c:formatCode>
                <c:ptCount val="24"/>
                <c:pt idx="0">
                  <c:v>-130562326.49333334</c:v>
                </c:pt>
                <c:pt idx="1">
                  <c:v>-137624672.89333332</c:v>
                </c:pt>
                <c:pt idx="2">
                  <c:v>-139007167.36000001</c:v>
                </c:pt>
                <c:pt idx="3">
                  <c:v>-141576874.53634024</c:v>
                </c:pt>
                <c:pt idx="4">
                  <c:v>-138400769.09143141</c:v>
                </c:pt>
                <c:pt idx="5">
                  <c:v>-134282559.36137459</c:v>
                </c:pt>
                <c:pt idx="6">
                  <c:v>-808768919.95159531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3-9BFC-4393-93C9-7B249D8C4422}"/>
            </c:ext>
          </c:extLst>
        </c:ser>
        <c:ser>
          <c:idx val="5"/>
          <c:order val="4"/>
          <c:tx>
            <c:strRef>
              <c:f>'7. Scenario Detailed'!$D$17:$E$17</c:f>
              <c:strCache>
                <c:ptCount val="2"/>
                <c:pt idx="0">
                  <c:v>Scenario 4 - User creates own scenario</c:v>
                </c:pt>
                <c:pt idx="1">
                  <c:v>Sc4</c:v>
                </c:pt>
              </c:strCache>
            </c:strRef>
          </c:tx>
          <c:spPr>
            <a:solidFill>
              <a:schemeClr val="accent6"/>
            </a:solidFill>
            <a:ln>
              <a:noFill/>
            </a:ln>
            <a:effectLst/>
          </c:spPr>
          <c:invertIfNegative val="0"/>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Detailed'!$L$17:$AI$17</c:f>
              <c:numCache>
                <c:formatCode>"R"#,##0;[Red]\-"R"#,##0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9BFC-4393-93C9-7B249D8C4422}"/>
            </c:ext>
          </c:extLst>
        </c:ser>
        <c:dLbls>
          <c:showLegendKey val="0"/>
          <c:showVal val="0"/>
          <c:showCatName val="0"/>
          <c:showSerName val="0"/>
          <c:showPercent val="0"/>
          <c:showBubbleSize val="0"/>
        </c:dLbls>
        <c:gapWidth val="150"/>
        <c:axId val="703060496"/>
        <c:axId val="703060168"/>
      </c:barChart>
      <c:catAx>
        <c:axId val="703060496"/>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03060168"/>
        <c:crosses val="autoZero"/>
        <c:auto val="1"/>
        <c:lblAlgn val="ctr"/>
        <c:lblOffset val="100"/>
        <c:noMultiLvlLbl val="0"/>
      </c:catAx>
      <c:valAx>
        <c:axId val="70306016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Red]\-&quot;R&quot;#,##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0306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Cash Needed to Cover Losses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386246621154918"/>
          <c:y val="0.22020942408376967"/>
          <c:w val="0.85497722297953749"/>
          <c:h val="0.5821703672000047"/>
        </c:manualLayout>
      </c:layout>
      <c:lineChart>
        <c:grouping val="standard"/>
        <c:varyColors val="0"/>
        <c:ser>
          <c:idx val="0"/>
          <c:order val="0"/>
          <c:tx>
            <c:strRef>
              <c:f>'6. Scenario Summary'!$C$134</c:f>
              <c:strCache>
                <c:ptCount val="1"/>
                <c:pt idx="0">
                  <c:v>BC- Base Case</c:v>
                </c:pt>
              </c:strCache>
            </c:strRef>
          </c:tx>
          <c:spPr>
            <a:ln w="28575" cap="rnd">
              <a:solidFill>
                <a:schemeClr val="accent1"/>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Summary'!$D$134:$AA$134</c:f>
              <c:numCache>
                <c:formatCode>"R"#,##0;[Red]\-"R"#,##0</c:formatCode>
                <c:ptCount val="24"/>
                <c:pt idx="0">
                  <c:v>-130562326.49333334</c:v>
                </c:pt>
                <c:pt idx="1">
                  <c:v>-137624672.89333332</c:v>
                </c:pt>
                <c:pt idx="2">
                  <c:v>-139007167.36000001</c:v>
                </c:pt>
                <c:pt idx="3">
                  <c:v>-141576874.53634024</c:v>
                </c:pt>
                <c:pt idx="4">
                  <c:v>-138400769.09143141</c:v>
                </c:pt>
                <c:pt idx="5">
                  <c:v>-134282559.36137459</c:v>
                </c:pt>
                <c:pt idx="6">
                  <c:v>-131205714.11312266</c:v>
                </c:pt>
                <c:pt idx="7">
                  <c:v>-130404331.28163506</c:v>
                </c:pt>
                <c:pt idx="8">
                  <c:v>-129098761.56783602</c:v>
                </c:pt>
                <c:pt idx="9">
                  <c:v>-127236490.76693685</c:v>
                </c:pt>
                <c:pt idx="10">
                  <c:v>-124760753.27694118</c:v>
                </c:pt>
                <c:pt idx="11">
                  <c:v>-121610223.30042145</c:v>
                </c:pt>
                <c:pt idx="12">
                  <c:v>-117718684.9389676</c:v>
                </c:pt>
                <c:pt idx="13">
                  <c:v>-113014679.79261622</c:v>
                </c:pt>
                <c:pt idx="14">
                  <c:v>-107421130.58777231</c:v>
                </c:pt>
                <c:pt idx="15">
                  <c:v>-100854939.26276977</c:v>
                </c:pt>
                <c:pt idx="16">
                  <c:v>-93226557.839936167</c:v>
                </c:pt>
                <c:pt idx="17">
                  <c:v>-84439530.306468591</c:v>
                </c:pt>
                <c:pt idx="18">
                  <c:v>-74390003.613201723</c:v>
                </c:pt>
                <c:pt idx="19">
                  <c:v>-62966205.780046679</c:v>
                </c:pt>
                <c:pt idx="20">
                  <c:v>-50047888.969063312</c:v>
                </c:pt>
                <c:pt idx="21">
                  <c:v>-35505735.250336125</c:v>
                </c:pt>
                <c:pt idx="22">
                  <c:v>-737952689.37727487</c:v>
                </c:pt>
                <c:pt idx="23">
                  <c:v>0</c:v>
                </c:pt>
              </c:numCache>
            </c:numRef>
          </c:val>
          <c:smooth val="0"/>
          <c:extLst>
            <c:ext xmlns:c16="http://schemas.microsoft.com/office/drawing/2014/chart" uri="{C3380CC4-5D6E-409C-BE32-E72D297353CC}">
              <c16:uniqueId val="{00000000-FDD9-46D3-B234-539DB88E09E2}"/>
            </c:ext>
          </c:extLst>
        </c:ser>
        <c:ser>
          <c:idx val="2"/>
          <c:order val="1"/>
          <c:tx>
            <c:strRef>
              <c:f>'6. Scenario Summary'!$C$135</c:f>
              <c:strCache>
                <c:ptCount val="1"/>
                <c:pt idx="0">
                  <c:v>Sc1- Scenario 1 - Outsource Property Management</c:v>
                </c:pt>
              </c:strCache>
            </c:strRef>
          </c:tx>
          <c:spPr>
            <a:ln w="28575" cap="rnd">
              <a:solidFill>
                <a:srgbClr val="FF0000"/>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Summary'!$D$135:$AA$135</c:f>
              <c:numCache>
                <c:formatCode>"R"#,##0;[Red]\-"R"#,##0</c:formatCode>
                <c:ptCount val="24"/>
                <c:pt idx="0">
                  <c:v>-130562326.49333334</c:v>
                </c:pt>
                <c:pt idx="1">
                  <c:v>-137624672.89333332</c:v>
                </c:pt>
                <c:pt idx="2">
                  <c:v>-139007167.36000001</c:v>
                </c:pt>
                <c:pt idx="3">
                  <c:v>-141576874.53634024</c:v>
                </c:pt>
                <c:pt idx="4">
                  <c:v>-138400769.09143141</c:v>
                </c:pt>
                <c:pt idx="5">
                  <c:v>-153814812.48137459</c:v>
                </c:pt>
                <c:pt idx="6">
                  <c:v>-282906676.29483563</c:v>
                </c:pt>
                <c:pt idx="7">
                  <c:v>-241448392.66406965</c:v>
                </c:pt>
                <c:pt idx="8">
                  <c:v>-215770278.24525476</c:v>
                </c:pt>
                <c:pt idx="9">
                  <c:v>-186967445.83256724</c:v>
                </c:pt>
                <c:pt idx="10">
                  <c:v>-67225864.745463669</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FDD9-46D3-B234-539DB88E09E2}"/>
            </c:ext>
          </c:extLst>
        </c:ser>
        <c:ser>
          <c:idx val="3"/>
          <c:order val="2"/>
          <c:tx>
            <c:strRef>
              <c:f>'6. Scenario Summary'!$C$136</c:f>
              <c:strCache>
                <c:ptCount val="1"/>
                <c:pt idx="0">
                  <c:v>Sc2- Scenario 2 - Accelerate Transfer Voetstoots to Existing Occupants</c:v>
                </c:pt>
              </c:strCache>
            </c:strRef>
          </c:tx>
          <c:spPr>
            <a:ln w="28575" cap="rnd">
              <a:solidFill>
                <a:schemeClr val="accent4"/>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Summary'!$D$136:$AA$136</c:f>
              <c:numCache>
                <c:formatCode>"R"#,##0;[Red]\-"R"#,##0</c:formatCode>
                <c:ptCount val="24"/>
                <c:pt idx="0">
                  <c:v>-130562326.49333334</c:v>
                </c:pt>
                <c:pt idx="1">
                  <c:v>-137624672.89333332</c:v>
                </c:pt>
                <c:pt idx="2">
                  <c:v>-139007167.36000001</c:v>
                </c:pt>
                <c:pt idx="3">
                  <c:v>-141576874.53634024</c:v>
                </c:pt>
                <c:pt idx="4">
                  <c:v>-138400769.09143141</c:v>
                </c:pt>
                <c:pt idx="5">
                  <c:v>-134282559.36137459</c:v>
                </c:pt>
                <c:pt idx="6">
                  <c:v>-645334119.72052228</c:v>
                </c:pt>
                <c:pt idx="7">
                  <c:v>-165804827.24377292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2-FDD9-46D3-B234-539DB88E09E2}"/>
            </c:ext>
          </c:extLst>
        </c:ser>
        <c:ser>
          <c:idx val="4"/>
          <c:order val="3"/>
          <c:tx>
            <c:strRef>
              <c:f>'6. Scenario Summary'!$C$137</c:f>
              <c:strCache>
                <c:ptCount val="1"/>
                <c:pt idx="0">
                  <c:v>Sc3- Scenario 3 - Devolve to Local Municipality</c:v>
                </c:pt>
              </c:strCache>
            </c:strRef>
          </c:tx>
          <c:spPr>
            <a:ln w="28575" cap="rnd">
              <a:solidFill>
                <a:srgbClr val="7030A0"/>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Summary'!$D$137:$AA$137</c:f>
              <c:numCache>
                <c:formatCode>"R"#,##0;[Red]\-"R"#,##0</c:formatCode>
                <c:ptCount val="24"/>
                <c:pt idx="0">
                  <c:v>-130562326.49333334</c:v>
                </c:pt>
                <c:pt idx="1">
                  <c:v>-137624672.89333332</c:v>
                </c:pt>
                <c:pt idx="2">
                  <c:v>-139007167.36000001</c:v>
                </c:pt>
                <c:pt idx="3">
                  <c:v>-141576874.53634024</c:v>
                </c:pt>
                <c:pt idx="4">
                  <c:v>-138400769.09143141</c:v>
                </c:pt>
                <c:pt idx="5">
                  <c:v>-134282559.36137459</c:v>
                </c:pt>
                <c:pt idx="6">
                  <c:v>-808768919.95159531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3-FDD9-46D3-B234-539DB88E09E2}"/>
            </c:ext>
          </c:extLst>
        </c:ser>
        <c:ser>
          <c:idx val="5"/>
          <c:order val="4"/>
          <c:tx>
            <c:strRef>
              <c:f>'6. Scenario Summary'!$C$138</c:f>
              <c:strCache>
                <c:ptCount val="1"/>
                <c:pt idx="0">
                  <c:v>Sc4- Scenario 4 - User creates own scenario</c:v>
                </c:pt>
              </c:strCache>
            </c:strRef>
          </c:tx>
          <c:spPr>
            <a:ln w="28575" cap="rnd">
              <a:solidFill>
                <a:schemeClr val="accent6"/>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Summary'!$D$138:$AA$138</c:f>
              <c:numCache>
                <c:formatCode>"R"#,##0;[Red]\-"R"#,##0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4-FDD9-46D3-B234-539DB88E09E2}"/>
            </c:ext>
          </c:extLst>
        </c:ser>
        <c:dLbls>
          <c:showLegendKey val="0"/>
          <c:showVal val="0"/>
          <c:showCatName val="0"/>
          <c:showSerName val="0"/>
          <c:showPercent val="0"/>
          <c:showBubbleSize val="0"/>
        </c:dLbls>
        <c:smooth val="0"/>
        <c:axId val="471077008"/>
        <c:axId val="471073728"/>
      </c:line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Red]\-&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between"/>
      </c:valAx>
      <c:spPr>
        <a:noFill/>
        <a:ln>
          <a:noFill/>
        </a:ln>
        <a:effectLst/>
      </c:spPr>
    </c:plotArea>
    <c:legend>
      <c:legendPos val="b"/>
      <c:layout>
        <c:manualLayout>
          <c:xMode val="edge"/>
          <c:yMode val="edge"/>
          <c:x val="9.717610989889422E-2"/>
          <c:y val="0.82786774603994173"/>
          <c:w val="0.86019044403798273"/>
          <c:h val="0.153396890962400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Cash Needed to Cover Losses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386246621154918"/>
          <c:y val="0.22020942408376967"/>
          <c:w val="0.85497722297953749"/>
          <c:h val="0.5821703672000047"/>
        </c:manualLayout>
      </c:layout>
      <c:lineChart>
        <c:grouping val="standard"/>
        <c:varyColors val="0"/>
        <c:ser>
          <c:idx val="0"/>
          <c:order val="0"/>
          <c:tx>
            <c:strRef>
              <c:f>'6. Scenario Summary'!$C$134</c:f>
              <c:strCache>
                <c:ptCount val="1"/>
                <c:pt idx="0">
                  <c:v>BC- Base Case</c:v>
                </c:pt>
              </c:strCache>
            </c:strRef>
          </c:tx>
          <c:spPr>
            <a:ln w="28575" cap="rnd">
              <a:solidFill>
                <a:schemeClr val="accent1"/>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Summary'!$D$134:$AA$134</c:f>
              <c:numCache>
                <c:formatCode>"R"#,##0;[Red]\-"R"#,##0</c:formatCode>
                <c:ptCount val="24"/>
                <c:pt idx="0">
                  <c:v>-130562326.49333334</c:v>
                </c:pt>
                <c:pt idx="1">
                  <c:v>-137624672.89333332</c:v>
                </c:pt>
                <c:pt idx="2">
                  <c:v>-139007167.36000001</c:v>
                </c:pt>
                <c:pt idx="3">
                  <c:v>-141576874.53634024</c:v>
                </c:pt>
                <c:pt idx="4">
                  <c:v>-138400769.09143141</c:v>
                </c:pt>
                <c:pt idx="5">
                  <c:v>-134282559.36137459</c:v>
                </c:pt>
                <c:pt idx="6">
                  <c:v>-131205714.11312266</c:v>
                </c:pt>
                <c:pt idx="7">
                  <c:v>-130404331.28163506</c:v>
                </c:pt>
                <c:pt idx="8">
                  <c:v>-129098761.56783602</c:v>
                </c:pt>
                <c:pt idx="9">
                  <c:v>-127236490.76693685</c:v>
                </c:pt>
                <c:pt idx="10">
                  <c:v>-124760753.27694118</c:v>
                </c:pt>
                <c:pt idx="11">
                  <c:v>-121610223.30042145</c:v>
                </c:pt>
                <c:pt idx="12">
                  <c:v>-117718684.9389676</c:v>
                </c:pt>
                <c:pt idx="13">
                  <c:v>-113014679.79261622</c:v>
                </c:pt>
                <c:pt idx="14">
                  <c:v>-107421130.58777231</c:v>
                </c:pt>
                <c:pt idx="15">
                  <c:v>-100854939.26276977</c:v>
                </c:pt>
                <c:pt idx="16">
                  <c:v>-93226557.839936167</c:v>
                </c:pt>
                <c:pt idx="17">
                  <c:v>-84439530.306468591</c:v>
                </c:pt>
                <c:pt idx="18">
                  <c:v>-74390003.613201723</c:v>
                </c:pt>
                <c:pt idx="19">
                  <c:v>-62966205.780046679</c:v>
                </c:pt>
                <c:pt idx="20">
                  <c:v>-50047888.969063312</c:v>
                </c:pt>
                <c:pt idx="21">
                  <c:v>-35505735.250336125</c:v>
                </c:pt>
                <c:pt idx="22">
                  <c:v>-737952689.37727487</c:v>
                </c:pt>
                <c:pt idx="23">
                  <c:v>0</c:v>
                </c:pt>
              </c:numCache>
            </c:numRef>
          </c:val>
          <c:smooth val="0"/>
          <c:extLst>
            <c:ext xmlns:c16="http://schemas.microsoft.com/office/drawing/2014/chart" uri="{C3380CC4-5D6E-409C-BE32-E72D297353CC}">
              <c16:uniqueId val="{00000000-D009-442C-A2A0-A645DE84C658}"/>
            </c:ext>
          </c:extLst>
        </c:ser>
        <c:ser>
          <c:idx val="2"/>
          <c:order val="1"/>
          <c:tx>
            <c:strRef>
              <c:f>'6. Scenario Summary'!$C$135</c:f>
              <c:strCache>
                <c:ptCount val="1"/>
                <c:pt idx="0">
                  <c:v>Sc1- Scenario 1 - Outsource Property Management</c:v>
                </c:pt>
              </c:strCache>
            </c:strRef>
          </c:tx>
          <c:spPr>
            <a:ln w="28575" cap="rnd">
              <a:solidFill>
                <a:srgbClr val="FF0000"/>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Summary'!$D$135:$AA$135</c:f>
              <c:numCache>
                <c:formatCode>"R"#,##0;[Red]\-"R"#,##0</c:formatCode>
                <c:ptCount val="24"/>
                <c:pt idx="0">
                  <c:v>-130562326.49333334</c:v>
                </c:pt>
                <c:pt idx="1">
                  <c:v>-137624672.89333332</c:v>
                </c:pt>
                <c:pt idx="2">
                  <c:v>-139007167.36000001</c:v>
                </c:pt>
                <c:pt idx="3">
                  <c:v>-141576874.53634024</c:v>
                </c:pt>
                <c:pt idx="4">
                  <c:v>-138400769.09143141</c:v>
                </c:pt>
                <c:pt idx="5">
                  <c:v>-153814812.48137459</c:v>
                </c:pt>
                <c:pt idx="6">
                  <c:v>-282906676.29483563</c:v>
                </c:pt>
                <c:pt idx="7">
                  <c:v>-241448392.66406965</c:v>
                </c:pt>
                <c:pt idx="8">
                  <c:v>-215770278.24525476</c:v>
                </c:pt>
                <c:pt idx="9">
                  <c:v>-186967445.83256724</c:v>
                </c:pt>
                <c:pt idx="10">
                  <c:v>-67225864.745463669</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D009-442C-A2A0-A645DE84C658}"/>
            </c:ext>
          </c:extLst>
        </c:ser>
        <c:ser>
          <c:idx val="3"/>
          <c:order val="2"/>
          <c:tx>
            <c:strRef>
              <c:f>'6. Scenario Summary'!$C$136</c:f>
              <c:strCache>
                <c:ptCount val="1"/>
                <c:pt idx="0">
                  <c:v>Sc2- Scenario 2 - Accelerate Transfer Voetstoots to Existing Occupants</c:v>
                </c:pt>
              </c:strCache>
            </c:strRef>
          </c:tx>
          <c:spPr>
            <a:ln w="28575" cap="rnd">
              <a:solidFill>
                <a:schemeClr val="accent4"/>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Summary'!$D$136:$AA$136</c:f>
              <c:numCache>
                <c:formatCode>"R"#,##0;[Red]\-"R"#,##0</c:formatCode>
                <c:ptCount val="24"/>
                <c:pt idx="0">
                  <c:v>-130562326.49333334</c:v>
                </c:pt>
                <c:pt idx="1">
                  <c:v>-137624672.89333332</c:v>
                </c:pt>
                <c:pt idx="2">
                  <c:v>-139007167.36000001</c:v>
                </c:pt>
                <c:pt idx="3">
                  <c:v>-141576874.53634024</c:v>
                </c:pt>
                <c:pt idx="4">
                  <c:v>-138400769.09143141</c:v>
                </c:pt>
                <c:pt idx="5">
                  <c:v>-134282559.36137459</c:v>
                </c:pt>
                <c:pt idx="6">
                  <c:v>-645334119.72052228</c:v>
                </c:pt>
                <c:pt idx="7">
                  <c:v>-165804827.24377292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2-D009-442C-A2A0-A645DE84C658}"/>
            </c:ext>
          </c:extLst>
        </c:ser>
        <c:ser>
          <c:idx val="4"/>
          <c:order val="3"/>
          <c:tx>
            <c:strRef>
              <c:f>'6. Scenario Summary'!$C$137</c:f>
              <c:strCache>
                <c:ptCount val="1"/>
                <c:pt idx="0">
                  <c:v>Sc3- Scenario 3 - Devolve to Local Municipality</c:v>
                </c:pt>
              </c:strCache>
            </c:strRef>
          </c:tx>
          <c:spPr>
            <a:ln w="28575" cap="rnd">
              <a:solidFill>
                <a:srgbClr val="7030A0"/>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Summary'!$D$137:$AA$137</c:f>
              <c:numCache>
                <c:formatCode>"R"#,##0;[Red]\-"R"#,##0</c:formatCode>
                <c:ptCount val="24"/>
                <c:pt idx="0">
                  <c:v>-130562326.49333334</c:v>
                </c:pt>
                <c:pt idx="1">
                  <c:v>-137624672.89333332</c:v>
                </c:pt>
                <c:pt idx="2">
                  <c:v>-139007167.36000001</c:v>
                </c:pt>
                <c:pt idx="3">
                  <c:v>-141576874.53634024</c:v>
                </c:pt>
                <c:pt idx="4">
                  <c:v>-138400769.09143141</c:v>
                </c:pt>
                <c:pt idx="5">
                  <c:v>-134282559.36137459</c:v>
                </c:pt>
                <c:pt idx="6">
                  <c:v>-808768919.95159531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3-D009-442C-A2A0-A645DE84C658}"/>
            </c:ext>
          </c:extLst>
        </c:ser>
        <c:ser>
          <c:idx val="5"/>
          <c:order val="4"/>
          <c:tx>
            <c:strRef>
              <c:f>'6. Scenario Summary'!$C$138</c:f>
              <c:strCache>
                <c:ptCount val="1"/>
                <c:pt idx="0">
                  <c:v>Sc4- Scenario 4 - User creates own scenario</c:v>
                </c:pt>
              </c:strCache>
            </c:strRef>
          </c:tx>
          <c:spPr>
            <a:ln w="28575" cap="rnd">
              <a:solidFill>
                <a:schemeClr val="accent6"/>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Summary'!$D$138:$AA$138</c:f>
              <c:numCache>
                <c:formatCode>"R"#,##0;[Red]\-"R"#,##0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4-D009-442C-A2A0-A645DE84C658}"/>
            </c:ext>
          </c:extLst>
        </c:ser>
        <c:dLbls>
          <c:showLegendKey val="0"/>
          <c:showVal val="0"/>
          <c:showCatName val="0"/>
          <c:showSerName val="0"/>
          <c:showPercent val="0"/>
          <c:showBubbleSize val="0"/>
        </c:dLbls>
        <c:smooth val="0"/>
        <c:axId val="471077008"/>
        <c:axId val="471073728"/>
      </c:line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Red]\-&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between"/>
      </c:valAx>
      <c:spPr>
        <a:noFill/>
        <a:ln>
          <a:noFill/>
        </a:ln>
        <a:effectLst/>
      </c:spPr>
    </c:plotArea>
    <c:legend>
      <c:legendPos val="b"/>
      <c:layout>
        <c:manualLayout>
          <c:xMode val="edge"/>
          <c:yMode val="edge"/>
          <c:x val="9.717610989889422E-2"/>
          <c:y val="0.82786774603994173"/>
          <c:w val="0.86019044403798273"/>
          <c:h val="0.153396890962400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088374784873361"/>
          <c:y val="0.22296806363683164"/>
          <c:w val="0.85497722297953749"/>
          <c:h val="0.5821703672000047"/>
        </c:manualLayout>
      </c:layout>
      <c:lineChart>
        <c:grouping val="standard"/>
        <c:varyColors val="0"/>
        <c:ser>
          <c:idx val="0"/>
          <c:order val="0"/>
          <c:tx>
            <c:strRef>
              <c:f>'9. Forecast Results'!$AO$20</c:f>
              <c:strCache>
                <c:ptCount val="1"/>
                <c:pt idx="0">
                  <c:v>Net Deficit funded by HSDG Top Slice</c:v>
                </c:pt>
              </c:strCache>
            </c:strRef>
          </c:tx>
          <c:spPr>
            <a:ln w="28575" cap="rnd">
              <a:solidFill>
                <a:schemeClr val="accent1"/>
              </a:solidFill>
              <a:round/>
            </a:ln>
            <a:effectLst/>
          </c:spPr>
          <c:marker>
            <c:symbol val="none"/>
          </c:marker>
          <c:cat>
            <c:strRef>
              <c:f>'9. Forecast Results'!$AP$19:$BM$19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Results'!$AP$20:$BM$20</c:f>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0</c:v>
                </c:pt>
                <c:pt idx="23">
                  <c:v>0</c:v>
                </c:pt>
              </c:numCache>
            </c:numRef>
          </c:val>
          <c:smooth val="0"/>
          <c:extLst>
            <c:ext xmlns:c16="http://schemas.microsoft.com/office/drawing/2014/chart" uri="{C3380CC4-5D6E-409C-BE32-E72D297353CC}">
              <c16:uniqueId val="{00000000-88A7-43BA-A182-11F45B890EC2}"/>
            </c:ext>
          </c:extLst>
        </c:ser>
        <c:dLbls>
          <c:showLegendKey val="0"/>
          <c:showVal val="0"/>
          <c:showCatName val="0"/>
          <c:showSerName val="0"/>
          <c:showPercent val="0"/>
          <c:showBubbleSize val="0"/>
        </c:dLbls>
        <c:smooth val="0"/>
        <c:axId val="471077008"/>
        <c:axId val="471073728"/>
      </c:line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between"/>
      </c:valAx>
      <c:spPr>
        <a:noFill/>
        <a:ln>
          <a:noFill/>
        </a:ln>
        <a:effectLst/>
      </c:spPr>
    </c:plotArea>
    <c:legend>
      <c:legendPos val="b"/>
      <c:layout>
        <c:manualLayout>
          <c:xMode val="edge"/>
          <c:yMode val="edge"/>
          <c:x val="9.717610989889422E-2"/>
          <c:y val="0.82786774603994173"/>
          <c:w val="0.86019044403798273"/>
          <c:h val="0.153396890962400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70A-426D-A08B-AFAF05FDDB93}"/>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370A-426D-A08B-AFAF05FDDB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70A-426D-A08B-AFAF05FDDB9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70A-426D-A08B-AFAF05FDDB93}"/>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370A-426D-A08B-AFAF05FDDB9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70A-426D-A08B-AFAF05FDDB9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EC'!$B$138:$B$143</c:f>
              <c:strCache>
                <c:ptCount val="6"/>
                <c:pt idx="0">
                  <c:v>Rates &amp; Taxes</c:v>
                </c:pt>
                <c:pt idx="1">
                  <c:v>Municipal Charges</c:v>
                </c:pt>
                <c:pt idx="2">
                  <c:v>Maintenance</c:v>
                </c:pt>
                <c:pt idx="3">
                  <c:v>Total Disposal Costs</c:v>
                </c:pt>
                <c:pt idx="4">
                  <c:v>Staff</c:v>
                </c:pt>
                <c:pt idx="5">
                  <c:v>Other </c:v>
                </c:pt>
              </c:strCache>
            </c:strRef>
          </c:cat>
          <c:val>
            <c:numRef>
              <c:f>'5. Dashboard EC'!$F$138:$F$143</c:f>
              <c:numCache>
                <c:formatCode>"R"#,##0</c:formatCode>
                <c:ptCount val="6"/>
                <c:pt idx="0">
                  <c:v>834362.49358135683</c:v>
                </c:pt>
                <c:pt idx="1">
                  <c:v>8306564.0350577645</c:v>
                </c:pt>
                <c:pt idx="2">
                  <c:v>0</c:v>
                </c:pt>
                <c:pt idx="3">
                  <c:v>881694.30890112126</c:v>
                </c:pt>
                <c:pt idx="4">
                  <c:v>13814923.78463598</c:v>
                </c:pt>
                <c:pt idx="5">
                  <c:v>70569221.677300453</c:v>
                </c:pt>
              </c:numCache>
            </c:numRef>
          </c:val>
          <c:extLst>
            <c:ext xmlns:c16="http://schemas.microsoft.com/office/drawing/2014/chart" uri="{C3380CC4-5D6E-409C-BE32-E72D297353CC}">
              <c16:uniqueId val="{0000000C-370A-426D-A08B-AFAF05FDDB9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370A-426D-A08B-AFAF05FDDB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370A-426D-A08B-AFAF05FDDB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370A-426D-A08B-AFAF05FDDB9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370A-426D-A08B-AFAF05FDDB9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370A-426D-A08B-AFAF05FDDB9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370A-426D-A08B-AFAF05FDDB93}"/>
                    </c:ext>
                  </c:extLst>
                </c:dPt>
                <c:cat>
                  <c:strRef>
                    <c:extLst>
                      <c:ext uri="{02D57815-91ED-43cb-92C2-25804820EDAC}">
                        <c15:formulaRef>
                          <c15:sqref>'5. Dashboard EC'!$B$138:$B$143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EC'!$C$138:$C$143</c15:sqref>
                        </c15:formulaRef>
                      </c:ext>
                    </c:extLst>
                    <c:numCache>
                      <c:formatCode>General</c:formatCode>
                      <c:ptCount val="6"/>
                    </c:numCache>
                  </c:numRef>
                </c:val>
                <c:extLst>
                  <c:ext xmlns:c16="http://schemas.microsoft.com/office/drawing/2014/chart" uri="{C3380CC4-5D6E-409C-BE32-E72D297353CC}">
                    <c16:uniqueId val="{00000019-370A-426D-A08B-AFAF05FDDB93}"/>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370A-426D-A08B-AFAF05FDDB9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370A-426D-A08B-AFAF05FDDB9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370A-426D-A08B-AFAF05FDDB9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370A-426D-A08B-AFAF05FDDB9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370A-426D-A08B-AFAF05FDDB9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370A-426D-A08B-AFAF05FDDB93}"/>
                    </c:ext>
                  </c:extLst>
                </c:dPt>
                <c:cat>
                  <c:strRef>
                    <c:extLst xmlns:c15="http://schemas.microsoft.com/office/drawing/2012/chart">
                      <c:ext xmlns:c15="http://schemas.microsoft.com/office/drawing/2012/chart" uri="{02D57815-91ED-43cb-92C2-25804820EDAC}">
                        <c15:formulaRef>
                          <c15:sqref>'5. Dashboard EC'!$B$138:$B$143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EC'!$E$138:$E$143</c15:sqref>
                        </c15:formulaRef>
                      </c:ext>
                    </c:extLst>
                    <c:numCache>
                      <c:formatCode>"R"#,##0</c:formatCode>
                      <c:ptCount val="6"/>
                      <c:pt idx="0">
                        <c:v>252001.66593494211</c:v>
                      </c:pt>
                      <c:pt idx="1">
                        <c:v>2508823.1927166809</c:v>
                      </c:pt>
                      <c:pt idx="2">
                        <c:v>0</c:v>
                      </c:pt>
                      <c:pt idx="3">
                        <c:v>211625.31374314771</c:v>
                      </c:pt>
                      <c:pt idx="4">
                        <c:v>4066125.1737566851</c:v>
                      </c:pt>
                      <c:pt idx="5">
                        <c:v>21313951.146196745</c:v>
                      </c:pt>
                    </c:numCache>
                  </c:numRef>
                </c:val>
                <c:extLst xmlns:c15="http://schemas.microsoft.com/office/drawing/2012/chart">
                  <c:ext xmlns:c16="http://schemas.microsoft.com/office/drawing/2014/chart" uri="{C3380CC4-5D6E-409C-BE32-E72D297353CC}">
                    <c16:uniqueId val="{00000026-370A-426D-A08B-AFAF05FDDB93}"/>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FS'!$AB$3</c:f>
              <c:strCache>
                <c:ptCount val="1"/>
                <c:pt idx="0">
                  <c:v>Net Deficit funded by HSDG Top Slice</c:v>
                </c:pt>
              </c:strCache>
            </c:strRef>
          </c:tx>
          <c:spPr>
            <a:solidFill>
              <a:srgbClr val="00B050"/>
            </a:solidFill>
            <a:ln w="25400">
              <a:noFill/>
            </a:ln>
            <a:effectLst/>
          </c:spPr>
          <c:cat>
            <c:strRef>
              <c:f>'5. Dashboard FS'!$AC$2:$AZ$2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FS'!$AC$3:$AZ$3</c:f>
              <c:numCache>
                <c:formatCode>"R"#,##0;\-"R"#,##0</c:formatCode>
                <c:ptCount val="24"/>
                <c:pt idx="0">
                  <c:v>-1045602.6333333334</c:v>
                </c:pt>
                <c:pt idx="1">
                  <c:v>-1083676.8533333333</c:v>
                </c:pt>
                <c:pt idx="2">
                  <c:v>-1121225.8400000001</c:v>
                </c:pt>
                <c:pt idx="3">
                  <c:v>-1137125.8709217389</c:v>
                </c:pt>
                <c:pt idx="4">
                  <c:v>-1148247.342709739</c:v>
                </c:pt>
                <c:pt idx="5">
                  <c:v>-1157120.2852056089</c:v>
                </c:pt>
                <c:pt idx="6">
                  <c:v>-1163463.7177350558</c:v>
                </c:pt>
                <c:pt idx="7">
                  <c:v>-1166972.553550723</c:v>
                </c:pt>
                <c:pt idx="8">
                  <c:v>-1167315.7981306934</c:v>
                </c:pt>
                <c:pt idx="9">
                  <c:v>-1164134.622210698</c:v>
                </c:pt>
                <c:pt idx="10">
                  <c:v>-1157040.3012208862</c:v>
                </c:pt>
                <c:pt idx="11">
                  <c:v>-1145612.012260736</c:v>
                </c:pt>
                <c:pt idx="12">
                  <c:v>-1129394.4791745041</c:v>
                </c:pt>
                <c:pt idx="13">
                  <c:v>-1107895.4556824262</c:v>
                </c:pt>
                <c:pt idx="14">
                  <c:v>-1080583.0358774455</c:v>
                </c:pt>
                <c:pt idx="15">
                  <c:v>-1046882.7807112056</c:v>
                </c:pt>
                <c:pt idx="16">
                  <c:v>-1006174.6483638785</c:v>
                </c:pt>
                <c:pt idx="17">
                  <c:v>-957789.71561742201</c:v>
                </c:pt>
                <c:pt idx="18">
                  <c:v>-901006.67652828305</c:v>
                </c:pt>
                <c:pt idx="19">
                  <c:v>-835048.10382032429</c:v>
                </c:pt>
                <c:pt idx="20">
                  <c:v>-759076.45748872019</c:v>
                </c:pt>
                <c:pt idx="21">
                  <c:v>-672189.82411731151</c:v>
                </c:pt>
                <c:pt idx="22">
                  <c:v>-140561.51634545988</c:v>
                </c:pt>
                <c:pt idx="23">
                  <c:v>0</c:v>
                </c:pt>
              </c:numCache>
            </c:numRef>
          </c:val>
          <c:extLst>
            <c:ext xmlns:c16="http://schemas.microsoft.com/office/drawing/2014/chart" uri="{C3380CC4-5D6E-409C-BE32-E72D297353CC}">
              <c16:uniqueId val="{00000000-A7AA-4A75-9CE9-5B7218769C76}"/>
            </c:ext>
          </c:extLst>
        </c:ser>
        <c:ser>
          <c:idx val="1"/>
          <c:order val="1"/>
          <c:tx>
            <c:strRef>
              <c:f>'5. Dashboard FS'!$AB$4</c:f>
              <c:strCache>
                <c:ptCount val="1"/>
                <c:pt idx="0">
                  <c:v>EEDBS utilised to settle Existing Sales Debtors Balances Owing</c:v>
                </c:pt>
              </c:strCache>
            </c:strRef>
          </c:tx>
          <c:spPr>
            <a:solidFill>
              <a:srgbClr val="002060"/>
            </a:solidFill>
            <a:ln w="25400">
              <a:noFill/>
            </a:ln>
            <a:effectLst/>
          </c:spPr>
          <c:cat>
            <c:strRef>
              <c:f>'5. Dashboard FS'!$AC$2:$AZ$2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FS'!$AC$4:$AZ$4</c:f>
              <c:numCache>
                <c:formatCode>"R"#,##0;\-"R"#,##0</c:formatCode>
                <c:ptCount val="24"/>
                <c:pt idx="0">
                  <c:v>-157500</c:v>
                </c:pt>
                <c:pt idx="1">
                  <c:v>-135000</c:v>
                </c:pt>
                <c:pt idx="2">
                  <c:v>0</c:v>
                </c:pt>
                <c:pt idx="3">
                  <c:v>-39429</c:v>
                </c:pt>
                <c:pt idx="4">
                  <c:v>-39429</c:v>
                </c:pt>
                <c:pt idx="5">
                  <c:v>-39429</c:v>
                </c:pt>
                <c:pt idx="6">
                  <c:v>-39429</c:v>
                </c:pt>
                <c:pt idx="7">
                  <c:v>-39429</c:v>
                </c:pt>
                <c:pt idx="8">
                  <c:v>-39429</c:v>
                </c:pt>
                <c:pt idx="9">
                  <c:v>-39429</c:v>
                </c:pt>
                <c:pt idx="10">
                  <c:v>-39429</c:v>
                </c:pt>
                <c:pt idx="11">
                  <c:v>-39429</c:v>
                </c:pt>
                <c:pt idx="12">
                  <c:v>-39429</c:v>
                </c:pt>
                <c:pt idx="13">
                  <c:v>-39429</c:v>
                </c:pt>
                <c:pt idx="14">
                  <c:v>-39429</c:v>
                </c:pt>
                <c:pt idx="15">
                  <c:v>-39429</c:v>
                </c:pt>
                <c:pt idx="16">
                  <c:v>-39429</c:v>
                </c:pt>
                <c:pt idx="17">
                  <c:v>-39429</c:v>
                </c:pt>
                <c:pt idx="18">
                  <c:v>-39429</c:v>
                </c:pt>
                <c:pt idx="19">
                  <c:v>-39429</c:v>
                </c:pt>
                <c:pt idx="20">
                  <c:v>-39429</c:v>
                </c:pt>
                <c:pt idx="21">
                  <c:v>-39429</c:v>
                </c:pt>
                <c:pt idx="22">
                  <c:v>-1915744.05</c:v>
                </c:pt>
                <c:pt idx="23">
                  <c:v>0</c:v>
                </c:pt>
              </c:numCache>
            </c:numRef>
          </c:val>
          <c:extLst>
            <c:ext xmlns:c16="http://schemas.microsoft.com/office/drawing/2014/chart" uri="{C3380CC4-5D6E-409C-BE32-E72D297353CC}">
              <c16:uniqueId val="{00000001-A7AA-4A75-9CE9-5B7218769C76}"/>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FS'!$AB$136</c:f>
              <c:strCache>
                <c:ptCount val="1"/>
                <c:pt idx="0">
                  <c:v>Total Income</c:v>
                </c:pt>
              </c:strCache>
            </c:strRef>
          </c:tx>
          <c:spPr>
            <a:solidFill>
              <a:srgbClr val="7030A0"/>
            </a:solidFill>
            <a:ln>
              <a:noFill/>
            </a:ln>
            <a:effectLst/>
          </c:spPr>
          <c:cat>
            <c:strRef>
              <c:f>'5. Dashboard FS'!$AC$135:$AZ$135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FS'!$AC$136:$AZ$136</c:f>
              <c:numCache>
                <c:formatCode>"R"#,##0</c:formatCode>
                <c:ptCount val="24"/>
                <c:pt idx="0">
                  <c:v>8057.1</c:v>
                </c:pt>
                <c:pt idx="1">
                  <c:v>4013.2</c:v>
                </c:pt>
                <c:pt idx="2">
                  <c:v>125.2</c:v>
                </c:pt>
                <c:pt idx="3">
                  <c:v>10606.753478260869</c:v>
                </c:pt>
                <c:pt idx="4">
                  <c:v>10606.753478260869</c:v>
                </c:pt>
                <c:pt idx="5">
                  <c:v>10606.753478260869</c:v>
                </c:pt>
                <c:pt idx="6">
                  <c:v>10606.753478260869</c:v>
                </c:pt>
                <c:pt idx="7">
                  <c:v>10606.753478260869</c:v>
                </c:pt>
                <c:pt idx="8">
                  <c:v>10606.753478260869</c:v>
                </c:pt>
                <c:pt idx="9">
                  <c:v>10606.753478260869</c:v>
                </c:pt>
                <c:pt idx="10">
                  <c:v>10606.753478260869</c:v>
                </c:pt>
                <c:pt idx="11">
                  <c:v>10606.753478260869</c:v>
                </c:pt>
                <c:pt idx="12">
                  <c:v>10606.753478260869</c:v>
                </c:pt>
                <c:pt idx="13">
                  <c:v>10606.753478260869</c:v>
                </c:pt>
                <c:pt idx="14">
                  <c:v>10606.753478260869</c:v>
                </c:pt>
                <c:pt idx="15">
                  <c:v>10606.753478260869</c:v>
                </c:pt>
                <c:pt idx="16">
                  <c:v>10606.753478260869</c:v>
                </c:pt>
                <c:pt idx="17">
                  <c:v>10606.753478260869</c:v>
                </c:pt>
                <c:pt idx="18">
                  <c:v>10606.753478260869</c:v>
                </c:pt>
                <c:pt idx="19">
                  <c:v>10606.753478260869</c:v>
                </c:pt>
                <c:pt idx="20">
                  <c:v>10606.753478260869</c:v>
                </c:pt>
                <c:pt idx="21">
                  <c:v>10606.753478260869</c:v>
                </c:pt>
                <c:pt idx="22">
                  <c:v>53033.767391304347</c:v>
                </c:pt>
                <c:pt idx="23">
                  <c:v>0</c:v>
                </c:pt>
              </c:numCache>
            </c:numRef>
          </c:val>
          <c:extLst>
            <c:ext xmlns:c16="http://schemas.microsoft.com/office/drawing/2014/chart" uri="{C3380CC4-5D6E-409C-BE32-E72D297353CC}">
              <c16:uniqueId val="{00000000-4D80-4830-BC2C-F665D59E0848}"/>
            </c:ext>
          </c:extLst>
        </c:ser>
        <c:ser>
          <c:idx val="1"/>
          <c:order val="1"/>
          <c:tx>
            <c:strRef>
              <c:f>'5. Dashboard FS'!$AB$137</c:f>
              <c:strCache>
                <c:ptCount val="1"/>
                <c:pt idx="0">
                  <c:v>Total Expenditure</c:v>
                </c:pt>
              </c:strCache>
            </c:strRef>
          </c:tx>
          <c:spPr>
            <a:solidFill>
              <a:srgbClr val="00B050"/>
            </a:solidFill>
            <a:ln>
              <a:noFill/>
            </a:ln>
            <a:effectLst/>
          </c:spPr>
          <c:cat>
            <c:strRef>
              <c:f>'5. Dashboard FS'!$AC$135:$AZ$135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FS'!$AC$137:$AZ$137</c:f>
              <c:numCache>
                <c:formatCode>"R"#,##0</c:formatCode>
                <c:ptCount val="24"/>
                <c:pt idx="0">
                  <c:v>-1053659.7333333334</c:v>
                </c:pt>
                <c:pt idx="1">
                  <c:v>-1087690.0533333332</c:v>
                </c:pt>
                <c:pt idx="2">
                  <c:v>-1121351.04</c:v>
                </c:pt>
                <c:pt idx="3">
                  <c:v>-1147732.6243999999</c:v>
                </c:pt>
                <c:pt idx="4">
                  <c:v>-1158854.0961879999</c:v>
                </c:pt>
                <c:pt idx="5">
                  <c:v>-1167727.0386838699</c:v>
                </c:pt>
                <c:pt idx="6">
                  <c:v>-1174070.4712133168</c:v>
                </c:pt>
                <c:pt idx="7">
                  <c:v>-1177579.307028984</c:v>
                </c:pt>
                <c:pt idx="8">
                  <c:v>-1177922.5516089543</c:v>
                </c:pt>
                <c:pt idx="9">
                  <c:v>-1174741.3756889589</c:v>
                </c:pt>
                <c:pt idx="10">
                  <c:v>-1167647.0546991471</c:v>
                </c:pt>
                <c:pt idx="11">
                  <c:v>-1156218.7657389969</c:v>
                </c:pt>
                <c:pt idx="12">
                  <c:v>-1140001.232652765</c:v>
                </c:pt>
                <c:pt idx="13">
                  <c:v>-1118502.2091606872</c:v>
                </c:pt>
                <c:pt idx="14">
                  <c:v>-1091189.7893557064</c:v>
                </c:pt>
                <c:pt idx="15">
                  <c:v>-1057489.5341894664</c:v>
                </c:pt>
                <c:pt idx="16">
                  <c:v>-1016781.4018421393</c:v>
                </c:pt>
                <c:pt idx="17">
                  <c:v>-968396.46909568284</c:v>
                </c:pt>
                <c:pt idx="18">
                  <c:v>-911613.43000654387</c:v>
                </c:pt>
                <c:pt idx="19">
                  <c:v>-845654.85729858512</c:v>
                </c:pt>
                <c:pt idx="20">
                  <c:v>-769683.21096698102</c:v>
                </c:pt>
                <c:pt idx="21">
                  <c:v>-682796.57759557234</c:v>
                </c:pt>
                <c:pt idx="22">
                  <c:v>-193595.28373676422</c:v>
                </c:pt>
                <c:pt idx="23">
                  <c:v>0</c:v>
                </c:pt>
              </c:numCache>
            </c:numRef>
          </c:val>
          <c:extLst>
            <c:ext xmlns:c16="http://schemas.microsoft.com/office/drawing/2014/chart" uri="{C3380CC4-5D6E-409C-BE32-E72D297353CC}">
              <c16:uniqueId val="{00000001-4D80-4830-BC2C-F665D59E0848}"/>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FS'!$AB$139</c:f>
              <c:strCache>
                <c:ptCount val="1"/>
                <c:pt idx="0">
                  <c:v>Cumulative Surplus/(Deficit)</c:v>
                </c:pt>
              </c:strCache>
            </c:strRef>
          </c:tx>
          <c:spPr>
            <a:ln w="28575" cap="rnd">
              <a:solidFill>
                <a:srgbClr val="002060"/>
              </a:solidFill>
              <a:round/>
            </a:ln>
            <a:effectLst/>
          </c:spPr>
          <c:marker>
            <c:symbol val="none"/>
          </c:marker>
          <c:cat>
            <c:strRef>
              <c:f>'5. Dashboard FS'!$AC$135:$AZ$135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FS'!$AC$139:$AZ$139</c:f>
              <c:numCache>
                <c:formatCode>"R"#,##0</c:formatCode>
                <c:ptCount val="24"/>
                <c:pt idx="0">
                  <c:v>-1045602.6333333334</c:v>
                </c:pt>
                <c:pt idx="1">
                  <c:v>-2129279.4866666668</c:v>
                </c:pt>
                <c:pt idx="2">
                  <c:v>-3250505.3266666671</c:v>
                </c:pt>
                <c:pt idx="3">
                  <c:v>-4387631.1975884065</c:v>
                </c:pt>
                <c:pt idx="4">
                  <c:v>-5535878.5402981453</c:v>
                </c:pt>
                <c:pt idx="5">
                  <c:v>-6692998.8255037544</c:v>
                </c:pt>
                <c:pt idx="6">
                  <c:v>-7856462.5432388103</c:v>
                </c:pt>
                <c:pt idx="7">
                  <c:v>-9023435.0967895333</c:v>
                </c:pt>
                <c:pt idx="8">
                  <c:v>-10190750.894920226</c:v>
                </c:pt>
                <c:pt idx="9">
                  <c:v>-11354885.517130924</c:v>
                </c:pt>
                <c:pt idx="10">
                  <c:v>-12511925.818351811</c:v>
                </c:pt>
                <c:pt idx="11">
                  <c:v>-13657537.830612548</c:v>
                </c:pt>
                <c:pt idx="12">
                  <c:v>-14786932.309787052</c:v>
                </c:pt>
                <c:pt idx="13">
                  <c:v>-15894827.765469478</c:v>
                </c:pt>
                <c:pt idx="14">
                  <c:v>-16975410.801346924</c:v>
                </c:pt>
                <c:pt idx="15">
                  <c:v>-18022293.582058128</c:v>
                </c:pt>
                <c:pt idx="16">
                  <c:v>-19028468.230422005</c:v>
                </c:pt>
                <c:pt idx="17">
                  <c:v>-19986257.946039427</c:v>
                </c:pt>
                <c:pt idx="18">
                  <c:v>-20887264.62256771</c:v>
                </c:pt>
                <c:pt idx="19">
                  <c:v>-21722312.726388033</c:v>
                </c:pt>
                <c:pt idx="20">
                  <c:v>-22481389.183876753</c:v>
                </c:pt>
                <c:pt idx="21">
                  <c:v>-23153579.007994063</c:v>
                </c:pt>
                <c:pt idx="22">
                  <c:v>-23294140.524339523</c:v>
                </c:pt>
                <c:pt idx="23">
                  <c:v>-23294140.524339523</c:v>
                </c:pt>
              </c:numCache>
            </c:numRef>
          </c:val>
          <c:smooth val="0"/>
          <c:extLst>
            <c:ext xmlns:c16="http://schemas.microsoft.com/office/drawing/2014/chart" uri="{C3380CC4-5D6E-409C-BE32-E72D297353CC}">
              <c16:uniqueId val="{00000002-4D80-4830-BC2C-F665D59E0848}"/>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FS'!$AB$138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FS'!$AC$135:$AZ$135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FS'!$AC$138:$AZ$138</c15:sqref>
                        </c15:formulaRef>
                      </c:ext>
                    </c:extLst>
                    <c:numCache>
                      <c:formatCode>"R"#,##0</c:formatCode>
                      <c:ptCount val="24"/>
                      <c:pt idx="0">
                        <c:v>-1045602.6333333334</c:v>
                      </c:pt>
                      <c:pt idx="1">
                        <c:v>-1083676.8533333333</c:v>
                      </c:pt>
                      <c:pt idx="2">
                        <c:v>-1121225.8400000001</c:v>
                      </c:pt>
                      <c:pt idx="3">
                        <c:v>-1137125.8709217389</c:v>
                      </c:pt>
                      <c:pt idx="4">
                        <c:v>-1148247.342709739</c:v>
                      </c:pt>
                      <c:pt idx="5">
                        <c:v>-1157120.2852056089</c:v>
                      </c:pt>
                      <c:pt idx="6">
                        <c:v>-1163463.7177350558</c:v>
                      </c:pt>
                      <c:pt idx="7">
                        <c:v>-1166972.553550723</c:v>
                      </c:pt>
                      <c:pt idx="8">
                        <c:v>-1167315.7981306934</c:v>
                      </c:pt>
                      <c:pt idx="9">
                        <c:v>-1164134.622210698</c:v>
                      </c:pt>
                      <c:pt idx="10">
                        <c:v>-1157040.3012208862</c:v>
                      </c:pt>
                      <c:pt idx="11">
                        <c:v>-1145612.012260736</c:v>
                      </c:pt>
                      <c:pt idx="12">
                        <c:v>-1129394.4791745041</c:v>
                      </c:pt>
                      <c:pt idx="13">
                        <c:v>-1107895.4556824262</c:v>
                      </c:pt>
                      <c:pt idx="14">
                        <c:v>-1080583.0358774455</c:v>
                      </c:pt>
                      <c:pt idx="15">
                        <c:v>-1046882.7807112056</c:v>
                      </c:pt>
                      <c:pt idx="16">
                        <c:v>-1006174.6483638785</c:v>
                      </c:pt>
                      <c:pt idx="17">
                        <c:v>-957789.71561742201</c:v>
                      </c:pt>
                      <c:pt idx="18">
                        <c:v>-901006.67652828305</c:v>
                      </c:pt>
                      <c:pt idx="19">
                        <c:v>-835048.10382032429</c:v>
                      </c:pt>
                      <c:pt idx="20">
                        <c:v>-759076.45748872019</c:v>
                      </c:pt>
                      <c:pt idx="21">
                        <c:v>-672189.82411731151</c:v>
                      </c:pt>
                      <c:pt idx="22">
                        <c:v>-140561.51634545988</c:v>
                      </c:pt>
                      <c:pt idx="23">
                        <c:v>0</c:v>
                      </c:pt>
                    </c:numCache>
                  </c:numRef>
                </c:val>
                <c:smooth val="0"/>
                <c:extLst>
                  <c:ext xmlns:c16="http://schemas.microsoft.com/office/drawing/2014/chart" uri="{C3380CC4-5D6E-409C-BE32-E72D297353CC}">
                    <c16:uniqueId val="{00000003-4D80-4830-BC2C-F665D59E0848}"/>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F2C-4A59-8459-E26F1009EA03}"/>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7F2C-4A59-8459-E26F1009EA0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F2C-4A59-8459-E26F1009EA0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F2C-4A59-8459-E26F1009EA03}"/>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7F2C-4A59-8459-E26F1009EA0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F2C-4A59-8459-E26F1009EA0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FS'!$B$138:$B$143</c:f>
              <c:strCache>
                <c:ptCount val="6"/>
                <c:pt idx="0">
                  <c:v>Rates &amp; Taxes</c:v>
                </c:pt>
                <c:pt idx="1">
                  <c:v>Municipal Charges</c:v>
                </c:pt>
                <c:pt idx="2">
                  <c:v>Maintenance</c:v>
                </c:pt>
                <c:pt idx="3">
                  <c:v>Total Disposal Costs</c:v>
                </c:pt>
                <c:pt idx="4">
                  <c:v>Staff</c:v>
                </c:pt>
                <c:pt idx="5">
                  <c:v>Other </c:v>
                </c:pt>
              </c:strCache>
            </c:strRef>
          </c:cat>
          <c:val>
            <c:numRef>
              <c:f>'5. Dashboard FS'!$E$138:$E$143</c:f>
              <c:numCache>
                <c:formatCode>"R"#,##0</c:formatCode>
                <c:ptCount val="6"/>
                <c:pt idx="0">
                  <c:v>0</c:v>
                </c:pt>
                <c:pt idx="1">
                  <c:v>0</c:v>
                </c:pt>
                <c:pt idx="2">
                  <c:v>0</c:v>
                </c:pt>
                <c:pt idx="3">
                  <c:v>86966.51374314772</c:v>
                </c:pt>
                <c:pt idx="4">
                  <c:v>2168600.0926702325</c:v>
                </c:pt>
                <c:pt idx="5">
                  <c:v>3616474.1378107034</c:v>
                </c:pt>
              </c:numCache>
            </c:numRef>
          </c:val>
          <c:extLst>
            <c:ext xmlns:c16="http://schemas.microsoft.com/office/drawing/2014/chart" uri="{C3380CC4-5D6E-409C-BE32-E72D297353CC}">
              <c16:uniqueId val="{0000000C-7F2C-4A59-8459-E26F1009EA0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7F2C-4A59-8459-E26F1009EA0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7F2C-4A59-8459-E26F1009EA0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7F2C-4A59-8459-E26F1009EA0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7F2C-4A59-8459-E26F1009EA0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7F2C-4A59-8459-E26F1009EA0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7F2C-4A59-8459-E26F1009EA03}"/>
                    </c:ext>
                  </c:extLst>
                </c:dPt>
                <c:cat>
                  <c:strRef>
                    <c:extLst>
                      <c:ext uri="{02D57815-91ED-43cb-92C2-25804820EDAC}">
                        <c15:formulaRef>
                          <c15:sqref>'5. Dashboard FS'!$B$138:$B$143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FS'!$C$138:$C$143</c15:sqref>
                        </c15:formulaRef>
                      </c:ext>
                    </c:extLst>
                    <c:numCache>
                      <c:formatCode>General</c:formatCode>
                      <c:ptCount val="6"/>
                    </c:numCache>
                  </c:numRef>
                </c:val>
                <c:extLst>
                  <c:ext xmlns:c16="http://schemas.microsoft.com/office/drawing/2014/chart" uri="{C3380CC4-5D6E-409C-BE32-E72D297353CC}">
                    <c16:uniqueId val="{00000019-7F2C-4A59-8459-E26F1009EA03}"/>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Live'!$AB$136</c:f>
              <c:strCache>
                <c:ptCount val="1"/>
                <c:pt idx="0">
                  <c:v>Total Income</c:v>
                </c:pt>
              </c:strCache>
            </c:strRef>
          </c:tx>
          <c:spPr>
            <a:solidFill>
              <a:srgbClr val="7030A0"/>
            </a:solidFill>
            <a:ln>
              <a:noFill/>
            </a:ln>
            <a:effectLst/>
          </c:spPr>
          <c:cat>
            <c:strRef>
              <c:f>'5. Dashboard Live'!$AC$135:$AZ$135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Live'!$AC$136:$AZ$136</c:f>
              <c:numCache>
                <c:formatCode>"R"#,##0</c:formatCode>
                <c:ptCount val="24"/>
                <c:pt idx="0">
                  <c:v>986752.92000000016</c:v>
                </c:pt>
                <c:pt idx="1">
                  <c:v>897187.48</c:v>
                </c:pt>
                <c:pt idx="2">
                  <c:v>774350.93</c:v>
                </c:pt>
                <c:pt idx="3">
                  <c:v>650954.76724420744</c:v>
                </c:pt>
                <c:pt idx="4">
                  <c:v>606996.28724420746</c:v>
                </c:pt>
                <c:pt idx="5">
                  <c:v>563037.80724420748</c:v>
                </c:pt>
                <c:pt idx="6">
                  <c:v>135823.88969380083</c:v>
                </c:pt>
                <c:pt idx="7">
                  <c:v>130939.61413824529</c:v>
                </c:pt>
                <c:pt idx="8">
                  <c:v>126055.33858268973</c:v>
                </c:pt>
                <c:pt idx="9">
                  <c:v>121171.06302713418</c:v>
                </c:pt>
                <c:pt idx="10">
                  <c:v>116286.78747157862</c:v>
                </c:pt>
                <c:pt idx="11">
                  <c:v>111402.51191602307</c:v>
                </c:pt>
                <c:pt idx="12">
                  <c:v>106518.2363604675</c:v>
                </c:pt>
                <c:pt idx="13">
                  <c:v>101633.96080491194</c:v>
                </c:pt>
                <c:pt idx="14">
                  <c:v>96749.685249356393</c:v>
                </c:pt>
                <c:pt idx="15">
                  <c:v>91865.409693800844</c:v>
                </c:pt>
                <c:pt idx="16">
                  <c:v>86981.134138245281</c:v>
                </c:pt>
                <c:pt idx="17">
                  <c:v>82096.858582689732</c:v>
                </c:pt>
                <c:pt idx="18">
                  <c:v>77212.583027134169</c:v>
                </c:pt>
                <c:pt idx="19">
                  <c:v>72328.307471578621</c:v>
                </c:pt>
                <c:pt idx="20">
                  <c:v>67444.031916023057</c:v>
                </c:pt>
                <c:pt idx="21">
                  <c:v>62559.756360467509</c:v>
                </c:pt>
                <c:pt idx="22">
                  <c:v>105582.41049871279</c:v>
                </c:pt>
                <c:pt idx="23">
                  <c:v>0</c:v>
                </c:pt>
              </c:numCache>
            </c:numRef>
          </c:val>
          <c:extLst>
            <c:ext xmlns:c16="http://schemas.microsoft.com/office/drawing/2014/chart" uri="{C3380CC4-5D6E-409C-BE32-E72D297353CC}">
              <c16:uniqueId val="{00000000-AEC1-43B0-B85D-0F941AAE26C8}"/>
            </c:ext>
          </c:extLst>
        </c:ser>
        <c:ser>
          <c:idx val="1"/>
          <c:order val="1"/>
          <c:tx>
            <c:strRef>
              <c:f>'5. Dashboard Live'!$AB$137</c:f>
              <c:strCache>
                <c:ptCount val="1"/>
                <c:pt idx="0">
                  <c:v>Total Expenditure</c:v>
                </c:pt>
              </c:strCache>
            </c:strRef>
          </c:tx>
          <c:spPr>
            <a:solidFill>
              <a:srgbClr val="00B050"/>
            </a:solidFill>
            <a:ln>
              <a:noFill/>
            </a:ln>
            <a:effectLst/>
          </c:spPr>
          <c:cat>
            <c:strRef>
              <c:f>'5. Dashboard Live'!$AC$135:$AZ$135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Live'!$AC$137:$AZ$137</c:f>
              <c:numCache>
                <c:formatCode>"R"#,##0</c:formatCode>
                <c:ptCount val="24"/>
                <c:pt idx="0">
                  <c:v>-10341549.390000001</c:v>
                </c:pt>
                <c:pt idx="1">
                  <c:v>-11126424.74</c:v>
                </c:pt>
                <c:pt idx="2">
                  <c:v>-11189539.09</c:v>
                </c:pt>
                <c:pt idx="3">
                  <c:v>-9701626.2512849998</c:v>
                </c:pt>
                <c:pt idx="4">
                  <c:v>-7883264.6445640996</c:v>
                </c:pt>
                <c:pt idx="5">
                  <c:v>-5835535.8416937636</c:v>
                </c:pt>
                <c:pt idx="6">
                  <c:v>-5697948.2137706475</c:v>
                </c:pt>
                <c:pt idx="7">
                  <c:v>-5666321.8117248667</c:v>
                </c:pt>
                <c:pt idx="8">
                  <c:v>-5613980.2121073939</c:v>
                </c:pt>
                <c:pt idx="9">
                  <c:v>-5538740.4130515298</c:v>
                </c:pt>
                <c:pt idx="10">
                  <c:v>-5438241.9459578963</c:v>
                </c:pt>
                <c:pt idx="11">
                  <c:v>-5309933.9577344833</c:v>
                </c:pt>
                <c:pt idx="12">
                  <c:v>-5151061.4089199724</c:v>
                </c:pt>
                <c:pt idx="13">
                  <c:v>-4958650.3295137174</c:v>
                </c:pt>
                <c:pt idx="14">
                  <c:v>-4729492.0706107933</c:v>
                </c:pt>
                <c:pt idx="15">
                  <c:v>-4460126.4859817661</c:v>
                </c:pt>
                <c:pt idx="16">
                  <c:v>-4146823.9735299493</c:v>
                </c:pt>
                <c:pt idx="17">
                  <c:v>-3785566.3020883375</c:v>
                </c:pt>
                <c:pt idx="18">
                  <c:v>-3372026.1442682222</c:v>
                </c:pt>
                <c:pt idx="19">
                  <c:v>-2901545.2310240753</c:v>
                </c:pt>
                <c:pt idx="20">
                  <c:v>-2369111.0382366609</c:v>
                </c:pt>
                <c:pt idx="21">
                  <c:v>-1769331.9099187839</c:v>
                </c:pt>
                <c:pt idx="22">
                  <c:v>-77438.113494705685</c:v>
                </c:pt>
                <c:pt idx="23">
                  <c:v>0</c:v>
                </c:pt>
              </c:numCache>
            </c:numRef>
          </c:val>
          <c:extLst>
            <c:ext xmlns:c16="http://schemas.microsoft.com/office/drawing/2014/chart" uri="{C3380CC4-5D6E-409C-BE32-E72D297353CC}">
              <c16:uniqueId val="{00000001-AEC1-43B0-B85D-0F941AAE26C8}"/>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Live'!$AB$139</c:f>
              <c:strCache>
                <c:ptCount val="1"/>
                <c:pt idx="0">
                  <c:v>Cumulative Surplus/(Deficit)</c:v>
                </c:pt>
              </c:strCache>
            </c:strRef>
          </c:tx>
          <c:spPr>
            <a:ln w="28575" cap="rnd">
              <a:solidFill>
                <a:srgbClr val="002060"/>
              </a:solidFill>
              <a:round/>
            </a:ln>
            <a:effectLst/>
          </c:spPr>
          <c:marker>
            <c:symbol val="none"/>
          </c:marker>
          <c:cat>
            <c:strRef>
              <c:f>'5. Dashboard Live'!$AC$135:$AZ$135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Live'!$AC$139:$AZ$139</c:f>
              <c:numCache>
                <c:formatCode>"R"#,##0</c:formatCode>
                <c:ptCount val="24"/>
                <c:pt idx="0">
                  <c:v>-9354796.4700000007</c:v>
                </c:pt>
                <c:pt idx="1">
                  <c:v>-19584033.73</c:v>
                </c:pt>
                <c:pt idx="2">
                  <c:v>-29999221.890000001</c:v>
                </c:pt>
                <c:pt idx="3">
                  <c:v>-39049893.374040797</c:v>
                </c:pt>
                <c:pt idx="4">
                  <c:v>-46326161.731360689</c:v>
                </c:pt>
                <c:pt idx="5">
                  <c:v>-51598659.765810244</c:v>
                </c:pt>
                <c:pt idx="6">
                  <c:v>-57160784.08988709</c:v>
                </c:pt>
                <c:pt idx="7">
                  <c:v>-62696166.287473708</c:v>
                </c:pt>
                <c:pt idx="8">
                  <c:v>-68184091.160998419</c:v>
                </c:pt>
                <c:pt idx="9">
                  <c:v>-73601660.511022821</c:v>
                </c:pt>
                <c:pt idx="10">
                  <c:v>-78923615.669509143</c:v>
                </c:pt>
                <c:pt idx="11">
                  <c:v>-84122147.115327597</c:v>
                </c:pt>
                <c:pt idx="12">
                  <c:v>-89166690.287887096</c:v>
                </c:pt>
                <c:pt idx="13">
                  <c:v>-94023706.656595901</c:v>
                </c:pt>
                <c:pt idx="14">
                  <c:v>-98656449.041957334</c:v>
                </c:pt>
                <c:pt idx="15">
                  <c:v>-103024710.1182453</c:v>
                </c:pt>
                <c:pt idx="16">
                  <c:v>-107084552.95763701</c:v>
                </c:pt>
                <c:pt idx="17">
                  <c:v>-110788022.40114266</c:v>
                </c:pt>
                <c:pt idx="18">
                  <c:v>-114082835.96238375</c:v>
                </c:pt>
                <c:pt idx="19">
                  <c:v>-116912052.88593625</c:v>
                </c:pt>
                <c:pt idx="20">
                  <c:v>-119213719.89225689</c:v>
                </c:pt>
                <c:pt idx="21">
                  <c:v>-120920492.0458152</c:v>
                </c:pt>
                <c:pt idx="22">
                  <c:v>-120892347.74881119</c:v>
                </c:pt>
                <c:pt idx="23">
                  <c:v>-120892347.74881119</c:v>
                </c:pt>
              </c:numCache>
            </c:numRef>
          </c:val>
          <c:smooth val="0"/>
          <c:extLst>
            <c:ext xmlns:c16="http://schemas.microsoft.com/office/drawing/2014/chart" uri="{C3380CC4-5D6E-409C-BE32-E72D297353CC}">
              <c16:uniqueId val="{00000002-AEC1-43B0-B85D-0F941AAE26C8}"/>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Live'!$AB$138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Live'!$AC$135:$AZ$135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Live'!$AC$138:$AZ$138</c15:sqref>
                        </c15:formulaRef>
                      </c:ext>
                    </c:extLst>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28144.297004007109</c:v>
                      </c:pt>
                      <c:pt idx="23">
                        <c:v>0</c:v>
                      </c:pt>
                    </c:numCache>
                  </c:numRef>
                </c:val>
                <c:smooth val="0"/>
                <c:extLst>
                  <c:ext xmlns:c16="http://schemas.microsoft.com/office/drawing/2014/chart" uri="{C3380CC4-5D6E-409C-BE32-E72D297353CC}">
                    <c16:uniqueId val="{00000003-AEC1-43B0-B85D-0F941AAE26C8}"/>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E2E-4744-8E94-95E34B9B7C13}"/>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8E2E-4744-8E94-95E34B9B7C1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E2E-4744-8E94-95E34B9B7C1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E2E-4744-8E94-95E34B9B7C13}"/>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8E2E-4744-8E94-95E34B9B7C1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E2E-4744-8E94-95E34B9B7C1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FS'!$B$138:$B$143</c:f>
              <c:strCache>
                <c:ptCount val="6"/>
                <c:pt idx="0">
                  <c:v>Rates &amp; Taxes</c:v>
                </c:pt>
                <c:pt idx="1">
                  <c:v>Municipal Charges</c:v>
                </c:pt>
                <c:pt idx="2">
                  <c:v>Maintenance</c:v>
                </c:pt>
                <c:pt idx="3">
                  <c:v>Total Disposal Costs</c:v>
                </c:pt>
                <c:pt idx="4">
                  <c:v>Staff</c:v>
                </c:pt>
                <c:pt idx="5">
                  <c:v>Other </c:v>
                </c:pt>
              </c:strCache>
            </c:strRef>
          </c:cat>
          <c:val>
            <c:numRef>
              <c:f>'5. Dashboard FS'!$F$138:$F$143</c:f>
              <c:numCache>
                <c:formatCode>"R"#,##0</c:formatCode>
                <c:ptCount val="6"/>
                <c:pt idx="0">
                  <c:v>0</c:v>
                </c:pt>
                <c:pt idx="1">
                  <c:v>0</c:v>
                </c:pt>
                <c:pt idx="2">
                  <c:v>0</c:v>
                </c:pt>
                <c:pt idx="3">
                  <c:v>643032.67914317991</c:v>
                </c:pt>
                <c:pt idx="4">
                  <c:v>7367959.3518058602</c:v>
                </c:pt>
                <c:pt idx="5">
                  <c:v>12287205.250202082</c:v>
                </c:pt>
              </c:numCache>
            </c:numRef>
          </c:val>
          <c:extLst>
            <c:ext xmlns:c16="http://schemas.microsoft.com/office/drawing/2014/chart" uri="{C3380CC4-5D6E-409C-BE32-E72D297353CC}">
              <c16:uniqueId val="{0000000C-8E2E-4744-8E94-95E34B9B7C13}"/>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8E2E-4744-8E94-95E34B9B7C1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8E2E-4744-8E94-95E34B9B7C1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8E2E-4744-8E94-95E34B9B7C1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8E2E-4744-8E94-95E34B9B7C1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8E2E-4744-8E94-95E34B9B7C1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8E2E-4744-8E94-95E34B9B7C13}"/>
                    </c:ext>
                  </c:extLst>
                </c:dPt>
                <c:cat>
                  <c:strRef>
                    <c:extLst>
                      <c:ext uri="{02D57815-91ED-43cb-92C2-25804820EDAC}">
                        <c15:formulaRef>
                          <c15:sqref>'5. Dashboard FS'!$B$138:$B$143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FS'!$C$138:$C$143</c15:sqref>
                        </c15:formulaRef>
                      </c:ext>
                    </c:extLst>
                    <c:numCache>
                      <c:formatCode>General</c:formatCode>
                      <c:ptCount val="6"/>
                    </c:numCache>
                  </c:numRef>
                </c:val>
                <c:extLst>
                  <c:ext xmlns:c16="http://schemas.microsoft.com/office/drawing/2014/chart" uri="{C3380CC4-5D6E-409C-BE32-E72D297353CC}">
                    <c16:uniqueId val="{00000019-8E2E-4744-8E94-95E34B9B7C13}"/>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8E2E-4744-8E94-95E34B9B7C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8E2E-4744-8E94-95E34B9B7C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8E2E-4744-8E94-95E34B9B7C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8E2E-4744-8E94-95E34B9B7C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8E2E-4744-8E94-95E34B9B7C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8E2E-4744-8E94-95E34B9B7C13}"/>
                    </c:ext>
                  </c:extLst>
                </c:dPt>
                <c:cat>
                  <c:strRef>
                    <c:extLst xmlns:c15="http://schemas.microsoft.com/office/drawing/2012/chart">
                      <c:ext xmlns:c15="http://schemas.microsoft.com/office/drawing/2012/chart" uri="{02D57815-91ED-43cb-92C2-25804820EDAC}">
                        <c15:formulaRef>
                          <c15:sqref>'5. Dashboard FS'!$B$138:$B$143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FS'!$E$138:$E$143</c15:sqref>
                        </c15:formulaRef>
                      </c:ext>
                    </c:extLst>
                    <c:numCache>
                      <c:formatCode>"R"#,##0</c:formatCode>
                      <c:ptCount val="6"/>
                      <c:pt idx="0">
                        <c:v>0</c:v>
                      </c:pt>
                      <c:pt idx="1">
                        <c:v>0</c:v>
                      </c:pt>
                      <c:pt idx="2">
                        <c:v>0</c:v>
                      </c:pt>
                      <c:pt idx="3">
                        <c:v>86966.51374314772</c:v>
                      </c:pt>
                      <c:pt idx="4">
                        <c:v>2168600.0926702325</c:v>
                      </c:pt>
                      <c:pt idx="5">
                        <c:v>3616474.1378107034</c:v>
                      </c:pt>
                    </c:numCache>
                  </c:numRef>
                </c:val>
                <c:extLst xmlns:c15="http://schemas.microsoft.com/office/drawing/2012/chart">
                  <c:ext xmlns:c16="http://schemas.microsoft.com/office/drawing/2014/chart" uri="{C3380CC4-5D6E-409C-BE32-E72D297353CC}">
                    <c16:uniqueId val="{00000026-8E2E-4744-8E94-95E34B9B7C13}"/>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Gau'!$AB$3</c:f>
              <c:strCache>
                <c:ptCount val="1"/>
                <c:pt idx="0">
                  <c:v>Net Deficit funded by HSDG Top Slice</c:v>
                </c:pt>
              </c:strCache>
            </c:strRef>
          </c:tx>
          <c:spPr>
            <a:solidFill>
              <a:srgbClr val="00B050"/>
            </a:solidFill>
            <a:ln w="25400">
              <a:noFill/>
            </a:ln>
            <a:effectLst/>
          </c:spPr>
          <c:cat>
            <c:strRef>
              <c:f>'5. Dashboard Gau'!$AC$2:$AZ$2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Gau'!$AC$3:$AZ$3</c:f>
              <c:numCache>
                <c:formatCode>"R"#,##0;\-"R"#,##0</c:formatCode>
                <c:ptCount val="24"/>
                <c:pt idx="0">
                  <c:v>-55014202.235555552</c:v>
                </c:pt>
                <c:pt idx="1">
                  <c:v>-57063143.525555551</c:v>
                </c:pt>
                <c:pt idx="2">
                  <c:v>-51881797.88666667</c:v>
                </c:pt>
                <c:pt idx="3">
                  <c:v>-53129566.887620203</c:v>
                </c:pt>
                <c:pt idx="4">
                  <c:v>-53274822.587779328</c:v>
                </c:pt>
                <c:pt idx="5">
                  <c:v>-53273549.058905281</c:v>
                </c:pt>
                <c:pt idx="6">
                  <c:v>-53012444.989874825</c:v>
                </c:pt>
                <c:pt idx="7">
                  <c:v>-52545927.668875955</c:v>
                </c:pt>
                <c:pt idx="8">
                  <c:v>-51865897.292090692</c:v>
                </c:pt>
                <c:pt idx="9">
                  <c:v>-50950289.584332943</c:v>
                </c:pt>
                <c:pt idx="10">
                  <c:v>-49775259.077139869</c:v>
                </c:pt>
                <c:pt idx="11">
                  <c:v>-48315049.921943925</c:v>
                </c:pt>
                <c:pt idx="12">
                  <c:v>-46541857.880803443</c:v>
                </c:pt>
                <c:pt idx="13">
                  <c:v>-44425682.915013365</c:v>
                </c:pt>
                <c:pt idx="14">
                  <c:v>-41934171.754841045</c:v>
                </c:pt>
                <c:pt idx="15">
                  <c:v>-39032449.794230357</c:v>
                </c:pt>
                <c:pt idx="16">
                  <c:v>-35682941.612446934</c:v>
                </c:pt>
                <c:pt idx="17">
                  <c:v>-31845179.380147036</c:v>
                </c:pt>
                <c:pt idx="18">
                  <c:v>-27475598.3600781</c:v>
                </c:pt>
                <c:pt idx="19">
                  <c:v>-22527318.662392616</c:v>
                </c:pt>
                <c:pt idx="20">
                  <c:v>-16949912.36119286</c:v>
                </c:pt>
                <c:pt idx="21">
                  <c:v>-10689155.022232119</c:v>
                </c:pt>
                <c:pt idx="22">
                  <c:v>-219666.00286486489</c:v>
                </c:pt>
                <c:pt idx="23">
                  <c:v>0</c:v>
                </c:pt>
              </c:numCache>
            </c:numRef>
          </c:val>
          <c:extLst>
            <c:ext xmlns:c16="http://schemas.microsoft.com/office/drawing/2014/chart" uri="{C3380CC4-5D6E-409C-BE32-E72D297353CC}">
              <c16:uniqueId val="{00000000-96DA-4C17-926F-58886445E655}"/>
            </c:ext>
          </c:extLst>
        </c:ser>
        <c:ser>
          <c:idx val="1"/>
          <c:order val="1"/>
          <c:tx>
            <c:strRef>
              <c:f>'5. Dashboard Gau'!$AB$4</c:f>
              <c:strCache>
                <c:ptCount val="1"/>
                <c:pt idx="0">
                  <c:v>EEDBS utilised to settle Existing Sales Debtors Balances Owing</c:v>
                </c:pt>
              </c:strCache>
            </c:strRef>
          </c:tx>
          <c:spPr>
            <a:solidFill>
              <a:srgbClr val="002060"/>
            </a:solidFill>
            <a:ln w="25400">
              <a:noFill/>
            </a:ln>
            <a:effectLst/>
          </c:spPr>
          <c:cat>
            <c:strRef>
              <c:f>'5. Dashboard Gau'!$AC$2:$AZ$2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Gau'!$AC$4:$AZ$4</c:f>
              <c:numCache>
                <c:formatCode>"R"#,##0;\-"R"#,##0</c:formatCode>
                <c:ptCount val="24"/>
                <c:pt idx="0">
                  <c:v>-1522381</c:v>
                </c:pt>
                <c:pt idx="1">
                  <c:v>-2645202</c:v>
                </c:pt>
                <c:pt idx="2">
                  <c:v>-1475617</c:v>
                </c:pt>
                <c:pt idx="3">
                  <c:v>-1520513.3739093961</c:v>
                </c:pt>
                <c:pt idx="4">
                  <c:v>-1520513.3739093961</c:v>
                </c:pt>
                <c:pt idx="5">
                  <c:v>-1520513.3739093961</c:v>
                </c:pt>
                <c:pt idx="6">
                  <c:v>-1592066.9444463088</c:v>
                </c:pt>
                <c:pt idx="7">
                  <c:v>-1592066.9444463088</c:v>
                </c:pt>
                <c:pt idx="8">
                  <c:v>-1592066.9444463088</c:v>
                </c:pt>
                <c:pt idx="9">
                  <c:v>-1592066.9444463088</c:v>
                </c:pt>
                <c:pt idx="10">
                  <c:v>-1592066.9444463088</c:v>
                </c:pt>
                <c:pt idx="11">
                  <c:v>-1592066.9444463088</c:v>
                </c:pt>
                <c:pt idx="12">
                  <c:v>-1592066.9444463088</c:v>
                </c:pt>
                <c:pt idx="13">
                  <c:v>-1592066.9444463088</c:v>
                </c:pt>
                <c:pt idx="14">
                  <c:v>-1592066.9444463088</c:v>
                </c:pt>
                <c:pt idx="15">
                  <c:v>-1592066.9444463088</c:v>
                </c:pt>
                <c:pt idx="16">
                  <c:v>-1592066.9444463088</c:v>
                </c:pt>
                <c:pt idx="17">
                  <c:v>-1592066.9444463088</c:v>
                </c:pt>
                <c:pt idx="18">
                  <c:v>-1592066.9444463088</c:v>
                </c:pt>
                <c:pt idx="19">
                  <c:v>-1592066.9444463088</c:v>
                </c:pt>
                <c:pt idx="20">
                  <c:v>-1592066.9444463088</c:v>
                </c:pt>
                <c:pt idx="21">
                  <c:v>-1592066.9444463088</c:v>
                </c:pt>
                <c:pt idx="22">
                  <c:v>-328102299.55179405</c:v>
                </c:pt>
                <c:pt idx="23">
                  <c:v>0</c:v>
                </c:pt>
              </c:numCache>
            </c:numRef>
          </c:val>
          <c:extLst>
            <c:ext xmlns:c16="http://schemas.microsoft.com/office/drawing/2014/chart" uri="{C3380CC4-5D6E-409C-BE32-E72D297353CC}">
              <c16:uniqueId val="{00000001-96DA-4C17-926F-58886445E655}"/>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Gau'!$AB$136</c:f>
              <c:strCache>
                <c:ptCount val="1"/>
                <c:pt idx="0">
                  <c:v>Total Income</c:v>
                </c:pt>
              </c:strCache>
            </c:strRef>
          </c:tx>
          <c:spPr>
            <a:solidFill>
              <a:srgbClr val="7030A0"/>
            </a:solidFill>
            <a:ln>
              <a:noFill/>
            </a:ln>
            <a:effectLst/>
          </c:spPr>
          <c:cat>
            <c:strRef>
              <c:f>'5. Dashboard Gau'!$AC$135:$AZ$135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Gau'!$AC$136:$AZ$136</c:f>
              <c:numCache>
                <c:formatCode>"R"#,##0</c:formatCode>
                <c:ptCount val="24"/>
                <c:pt idx="0">
                  <c:v>410958.31</c:v>
                </c:pt>
                <c:pt idx="1">
                  <c:v>151761.49</c:v>
                </c:pt>
                <c:pt idx="2">
                  <c:v>876928.05</c:v>
                </c:pt>
                <c:pt idx="3">
                  <c:v>466204.04573487316</c:v>
                </c:pt>
                <c:pt idx="4">
                  <c:v>462748.14594148472</c:v>
                </c:pt>
                <c:pt idx="5">
                  <c:v>459292.24614809634</c:v>
                </c:pt>
                <c:pt idx="6">
                  <c:v>474534.22850693727</c:v>
                </c:pt>
                <c:pt idx="7">
                  <c:v>470915.69813503645</c:v>
                </c:pt>
                <c:pt idx="8">
                  <c:v>467297.16776313563</c:v>
                </c:pt>
                <c:pt idx="9">
                  <c:v>463678.63739123475</c:v>
                </c:pt>
                <c:pt idx="10">
                  <c:v>460060.10701933393</c:v>
                </c:pt>
                <c:pt idx="11">
                  <c:v>456441.5766474331</c:v>
                </c:pt>
                <c:pt idx="12">
                  <c:v>452823.04627553228</c:v>
                </c:pt>
                <c:pt idx="13">
                  <c:v>449204.51590363146</c:v>
                </c:pt>
                <c:pt idx="14">
                  <c:v>445585.98553173064</c:v>
                </c:pt>
                <c:pt idx="15">
                  <c:v>441967.45515982981</c:v>
                </c:pt>
                <c:pt idx="16">
                  <c:v>438348.92478792899</c:v>
                </c:pt>
                <c:pt idx="17">
                  <c:v>434730.39441602817</c:v>
                </c:pt>
                <c:pt idx="18">
                  <c:v>431111.86404412735</c:v>
                </c:pt>
                <c:pt idx="19">
                  <c:v>427493.33367222652</c:v>
                </c:pt>
                <c:pt idx="20">
                  <c:v>423874.8033003257</c:v>
                </c:pt>
                <c:pt idx="21">
                  <c:v>420256.27292842488</c:v>
                </c:pt>
                <c:pt idx="22">
                  <c:v>70726.922740281458</c:v>
                </c:pt>
                <c:pt idx="23">
                  <c:v>0</c:v>
                </c:pt>
              </c:numCache>
            </c:numRef>
          </c:val>
          <c:extLst>
            <c:ext xmlns:c16="http://schemas.microsoft.com/office/drawing/2014/chart" uri="{C3380CC4-5D6E-409C-BE32-E72D297353CC}">
              <c16:uniqueId val="{00000000-A439-4FEB-BC09-CCAB4809AEEF}"/>
            </c:ext>
          </c:extLst>
        </c:ser>
        <c:ser>
          <c:idx val="1"/>
          <c:order val="1"/>
          <c:tx>
            <c:strRef>
              <c:f>'5. Dashboard Gau'!$AB$137</c:f>
              <c:strCache>
                <c:ptCount val="1"/>
                <c:pt idx="0">
                  <c:v>Total Expenditure</c:v>
                </c:pt>
              </c:strCache>
            </c:strRef>
          </c:tx>
          <c:spPr>
            <a:solidFill>
              <a:srgbClr val="00B050"/>
            </a:solidFill>
            <a:ln>
              <a:noFill/>
            </a:ln>
            <a:effectLst/>
          </c:spPr>
          <c:cat>
            <c:strRef>
              <c:f>'5. Dashboard Gau'!$AC$135:$AZ$135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Gau'!$AC$137:$AZ$137</c:f>
              <c:numCache>
                <c:formatCode>"R"#,##0</c:formatCode>
                <c:ptCount val="24"/>
                <c:pt idx="0">
                  <c:v>-55425160.545555554</c:v>
                </c:pt>
                <c:pt idx="1">
                  <c:v>-57214905.015555553</c:v>
                </c:pt>
                <c:pt idx="2">
                  <c:v>-52758725.936666667</c:v>
                </c:pt>
                <c:pt idx="3">
                  <c:v>-53595770.933355078</c:v>
                </c:pt>
                <c:pt idx="4">
                  <c:v>-53737570.733720817</c:v>
                </c:pt>
                <c:pt idx="5">
                  <c:v>-53732841.305053376</c:v>
                </c:pt>
                <c:pt idx="6">
                  <c:v>-53486979.218381763</c:v>
                </c:pt>
                <c:pt idx="7">
                  <c:v>-53016843.367010988</c:v>
                </c:pt>
                <c:pt idx="8">
                  <c:v>-52333194.459853828</c:v>
                </c:pt>
                <c:pt idx="9">
                  <c:v>-51413968.221724175</c:v>
                </c:pt>
                <c:pt idx="10">
                  <c:v>-50235319.184159204</c:v>
                </c:pt>
                <c:pt idx="11">
                  <c:v>-48771491.498591356</c:v>
                </c:pt>
                <c:pt idx="12">
                  <c:v>-46994680.927078977</c:v>
                </c:pt>
                <c:pt idx="13">
                  <c:v>-44874887.430916995</c:v>
                </c:pt>
                <c:pt idx="14">
                  <c:v>-42379757.740372777</c:v>
                </c:pt>
                <c:pt idx="15">
                  <c:v>-39474417.249390185</c:v>
                </c:pt>
                <c:pt idx="16">
                  <c:v>-36121290.537234865</c:v>
                </c:pt>
                <c:pt idx="17">
                  <c:v>-32279909.774563063</c:v>
                </c:pt>
                <c:pt idx="18">
                  <c:v>-27906710.224122226</c:v>
                </c:pt>
                <c:pt idx="19">
                  <c:v>-22954811.996064842</c:v>
                </c:pt>
                <c:pt idx="20">
                  <c:v>-17373787.164493185</c:v>
                </c:pt>
                <c:pt idx="21">
                  <c:v>-11109411.295160543</c:v>
                </c:pt>
                <c:pt idx="22">
                  <c:v>-290392.92560514633</c:v>
                </c:pt>
                <c:pt idx="23">
                  <c:v>0</c:v>
                </c:pt>
              </c:numCache>
            </c:numRef>
          </c:val>
          <c:extLst>
            <c:ext xmlns:c16="http://schemas.microsoft.com/office/drawing/2014/chart" uri="{C3380CC4-5D6E-409C-BE32-E72D297353CC}">
              <c16:uniqueId val="{00000001-A439-4FEB-BC09-CCAB4809AEEF}"/>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Gau'!$AB$139</c:f>
              <c:strCache>
                <c:ptCount val="1"/>
                <c:pt idx="0">
                  <c:v>Cumulative Surplus/(Deficit)</c:v>
                </c:pt>
              </c:strCache>
            </c:strRef>
          </c:tx>
          <c:spPr>
            <a:ln w="28575" cap="rnd">
              <a:solidFill>
                <a:srgbClr val="002060"/>
              </a:solidFill>
              <a:round/>
            </a:ln>
            <a:effectLst/>
          </c:spPr>
          <c:marker>
            <c:symbol val="none"/>
          </c:marker>
          <c:cat>
            <c:strRef>
              <c:f>'5. Dashboard Gau'!$AC$135:$AZ$135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Gau'!$AC$139:$AZ$139</c:f>
              <c:numCache>
                <c:formatCode>"R"#,##0</c:formatCode>
                <c:ptCount val="24"/>
                <c:pt idx="0">
                  <c:v>-55014202.235555552</c:v>
                </c:pt>
                <c:pt idx="1">
                  <c:v>-112077345.76111111</c:v>
                </c:pt>
                <c:pt idx="2">
                  <c:v>-163959143.6477778</c:v>
                </c:pt>
                <c:pt idx="3">
                  <c:v>-217088710.53539801</c:v>
                </c:pt>
                <c:pt idx="4">
                  <c:v>-270363533.12317735</c:v>
                </c:pt>
                <c:pt idx="5">
                  <c:v>-323637082.18208265</c:v>
                </c:pt>
                <c:pt idx="6">
                  <c:v>-376649527.17195749</c:v>
                </c:pt>
                <c:pt idx="7">
                  <c:v>-429195454.84083343</c:v>
                </c:pt>
                <c:pt idx="8">
                  <c:v>-481061352.13292414</c:v>
                </c:pt>
                <c:pt idx="9">
                  <c:v>-532011641.71725708</c:v>
                </c:pt>
                <c:pt idx="10">
                  <c:v>-581786900.794397</c:v>
                </c:pt>
                <c:pt idx="11">
                  <c:v>-630101950.7163409</c:v>
                </c:pt>
                <c:pt idx="12">
                  <c:v>-676643808.59714437</c:v>
                </c:pt>
                <c:pt idx="13">
                  <c:v>-721069491.51215768</c:v>
                </c:pt>
                <c:pt idx="14">
                  <c:v>-763003663.26699877</c:v>
                </c:pt>
                <c:pt idx="15">
                  <c:v>-802036113.06122911</c:v>
                </c:pt>
                <c:pt idx="16">
                  <c:v>-837719054.67367601</c:v>
                </c:pt>
                <c:pt idx="17">
                  <c:v>-869564234.05382299</c:v>
                </c:pt>
                <c:pt idx="18">
                  <c:v>-897039832.41390109</c:v>
                </c:pt>
                <c:pt idx="19">
                  <c:v>-919567151.07629371</c:v>
                </c:pt>
                <c:pt idx="20">
                  <c:v>-936517063.43748653</c:v>
                </c:pt>
                <c:pt idx="21">
                  <c:v>-947206218.4597187</c:v>
                </c:pt>
                <c:pt idx="22">
                  <c:v>-947425884.46258354</c:v>
                </c:pt>
                <c:pt idx="23">
                  <c:v>-947425884.46258354</c:v>
                </c:pt>
              </c:numCache>
            </c:numRef>
          </c:val>
          <c:smooth val="0"/>
          <c:extLst>
            <c:ext xmlns:c16="http://schemas.microsoft.com/office/drawing/2014/chart" uri="{C3380CC4-5D6E-409C-BE32-E72D297353CC}">
              <c16:uniqueId val="{00000002-A439-4FEB-BC09-CCAB4809AEEF}"/>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Gau'!$AB$138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Gau'!$AC$135:$AZ$135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Gau'!$AC$138:$AZ$138</c15:sqref>
                        </c15:formulaRef>
                      </c:ext>
                    </c:extLst>
                    <c:numCache>
                      <c:formatCode>"R"#,##0</c:formatCode>
                      <c:ptCount val="24"/>
                      <c:pt idx="0">
                        <c:v>-55014202.235555552</c:v>
                      </c:pt>
                      <c:pt idx="1">
                        <c:v>-57063143.525555551</c:v>
                      </c:pt>
                      <c:pt idx="2">
                        <c:v>-51881797.88666667</c:v>
                      </c:pt>
                      <c:pt idx="3">
                        <c:v>-53129566.887620203</c:v>
                      </c:pt>
                      <c:pt idx="4">
                        <c:v>-53274822.587779328</c:v>
                      </c:pt>
                      <c:pt idx="5">
                        <c:v>-53273549.058905281</c:v>
                      </c:pt>
                      <c:pt idx="6">
                        <c:v>-53012444.989874825</c:v>
                      </c:pt>
                      <c:pt idx="7">
                        <c:v>-52545927.668875955</c:v>
                      </c:pt>
                      <c:pt idx="8">
                        <c:v>-51865897.292090692</c:v>
                      </c:pt>
                      <c:pt idx="9">
                        <c:v>-50950289.584332943</c:v>
                      </c:pt>
                      <c:pt idx="10">
                        <c:v>-49775259.077139869</c:v>
                      </c:pt>
                      <c:pt idx="11">
                        <c:v>-48315049.921943925</c:v>
                      </c:pt>
                      <c:pt idx="12">
                        <c:v>-46541857.880803443</c:v>
                      </c:pt>
                      <c:pt idx="13">
                        <c:v>-44425682.915013365</c:v>
                      </c:pt>
                      <c:pt idx="14">
                        <c:v>-41934171.754841045</c:v>
                      </c:pt>
                      <c:pt idx="15">
                        <c:v>-39032449.794230357</c:v>
                      </c:pt>
                      <c:pt idx="16">
                        <c:v>-35682941.612446934</c:v>
                      </c:pt>
                      <c:pt idx="17">
                        <c:v>-31845179.380147036</c:v>
                      </c:pt>
                      <c:pt idx="18">
                        <c:v>-27475598.3600781</c:v>
                      </c:pt>
                      <c:pt idx="19">
                        <c:v>-22527318.662392616</c:v>
                      </c:pt>
                      <c:pt idx="20">
                        <c:v>-16949912.36119286</c:v>
                      </c:pt>
                      <c:pt idx="21">
                        <c:v>-10689155.022232119</c:v>
                      </c:pt>
                      <c:pt idx="22">
                        <c:v>-219666.00286486489</c:v>
                      </c:pt>
                      <c:pt idx="23">
                        <c:v>0</c:v>
                      </c:pt>
                    </c:numCache>
                  </c:numRef>
                </c:val>
                <c:smooth val="0"/>
                <c:extLst>
                  <c:ext xmlns:c16="http://schemas.microsoft.com/office/drawing/2014/chart" uri="{C3380CC4-5D6E-409C-BE32-E72D297353CC}">
                    <c16:uniqueId val="{00000003-A439-4FEB-BC09-CCAB4809AEEF}"/>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47-43DC-9113-BF2C572E5D49}"/>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1F47-43DC-9113-BF2C572E5D4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47-43DC-9113-BF2C572E5D4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47-43DC-9113-BF2C572E5D49}"/>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1F47-43DC-9113-BF2C572E5D4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47-43DC-9113-BF2C572E5D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Gau'!$B$138:$B$143</c:f>
              <c:strCache>
                <c:ptCount val="6"/>
                <c:pt idx="0">
                  <c:v>Rates &amp; Taxes</c:v>
                </c:pt>
                <c:pt idx="1">
                  <c:v>Municipal Charges</c:v>
                </c:pt>
                <c:pt idx="2">
                  <c:v>Maintenance</c:v>
                </c:pt>
                <c:pt idx="3">
                  <c:v>Total Disposal Costs</c:v>
                </c:pt>
                <c:pt idx="4">
                  <c:v>Staff</c:v>
                </c:pt>
                <c:pt idx="5">
                  <c:v>Other </c:v>
                </c:pt>
              </c:strCache>
            </c:strRef>
          </c:cat>
          <c:val>
            <c:numRef>
              <c:f>'5. Dashboard Gau'!$E$138:$E$143</c:f>
              <c:numCache>
                <c:formatCode>"R"#,##0</c:formatCode>
                <c:ptCount val="6"/>
                <c:pt idx="0">
                  <c:v>44222329.496086225</c:v>
                </c:pt>
                <c:pt idx="1">
                  <c:v>8364236.0360395387</c:v>
                </c:pt>
                <c:pt idx="2">
                  <c:v>131024904.27450801</c:v>
                </c:pt>
                <c:pt idx="3">
                  <c:v>3838845.1615700736</c:v>
                </c:pt>
                <c:pt idx="4">
                  <c:v>76533511.603820294</c:v>
                </c:pt>
                <c:pt idx="5">
                  <c:v>0</c:v>
                </c:pt>
              </c:numCache>
            </c:numRef>
          </c:val>
          <c:extLst>
            <c:ext xmlns:c16="http://schemas.microsoft.com/office/drawing/2014/chart" uri="{C3380CC4-5D6E-409C-BE32-E72D297353CC}">
              <c16:uniqueId val="{0000000C-1F47-43DC-9113-BF2C572E5D49}"/>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1F47-43DC-9113-BF2C572E5D4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1F47-43DC-9113-BF2C572E5D4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1F47-43DC-9113-BF2C572E5D4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1F47-43DC-9113-BF2C572E5D4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1F47-43DC-9113-BF2C572E5D4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1F47-43DC-9113-BF2C572E5D49}"/>
                    </c:ext>
                  </c:extLst>
                </c:dPt>
                <c:cat>
                  <c:strRef>
                    <c:extLst>
                      <c:ext uri="{02D57815-91ED-43cb-92C2-25804820EDAC}">
                        <c15:formulaRef>
                          <c15:sqref>'5. Dashboard Gau'!$B$138:$B$143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Gau'!$C$138:$C$143</c15:sqref>
                        </c15:formulaRef>
                      </c:ext>
                    </c:extLst>
                    <c:numCache>
                      <c:formatCode>General</c:formatCode>
                      <c:ptCount val="6"/>
                    </c:numCache>
                  </c:numRef>
                </c:val>
                <c:extLst>
                  <c:ext xmlns:c16="http://schemas.microsoft.com/office/drawing/2014/chart" uri="{C3380CC4-5D6E-409C-BE32-E72D297353CC}">
                    <c16:uniqueId val="{00000019-1F47-43DC-9113-BF2C572E5D49}"/>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32C-4017-9C60-B964961E8BAA}"/>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A32C-4017-9C60-B964961E8BA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32C-4017-9C60-B964961E8BA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32C-4017-9C60-B964961E8BAA}"/>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A32C-4017-9C60-B964961E8BA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32C-4017-9C60-B964961E8BA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Gau'!$B$138:$B$143</c:f>
              <c:strCache>
                <c:ptCount val="6"/>
                <c:pt idx="0">
                  <c:v>Rates &amp; Taxes</c:v>
                </c:pt>
                <c:pt idx="1">
                  <c:v>Municipal Charges</c:v>
                </c:pt>
                <c:pt idx="2">
                  <c:v>Maintenance</c:v>
                </c:pt>
                <c:pt idx="3">
                  <c:v>Total Disposal Costs</c:v>
                </c:pt>
                <c:pt idx="4">
                  <c:v>Staff</c:v>
                </c:pt>
                <c:pt idx="5">
                  <c:v>Other </c:v>
                </c:pt>
              </c:strCache>
            </c:strRef>
          </c:cat>
          <c:val>
            <c:numRef>
              <c:f>'5. Dashboard Gau'!$F$138:$F$143</c:f>
              <c:numCache>
                <c:formatCode>"R"#,##0</c:formatCode>
                <c:ptCount val="6"/>
                <c:pt idx="0">
                  <c:v>123278858.65542018</c:v>
                </c:pt>
                <c:pt idx="1">
                  <c:v>23317032.001644053</c:v>
                </c:pt>
                <c:pt idx="2">
                  <c:v>365258927.75111675</c:v>
                </c:pt>
                <c:pt idx="3">
                  <c:v>20201652.321190648</c:v>
                </c:pt>
                <c:pt idx="4">
                  <c:v>260027565.45748174</c:v>
                </c:pt>
                <c:pt idx="5">
                  <c:v>0</c:v>
                </c:pt>
              </c:numCache>
            </c:numRef>
          </c:val>
          <c:extLst>
            <c:ext xmlns:c16="http://schemas.microsoft.com/office/drawing/2014/chart" uri="{C3380CC4-5D6E-409C-BE32-E72D297353CC}">
              <c16:uniqueId val="{0000000C-A32C-4017-9C60-B964961E8BAA}"/>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A32C-4017-9C60-B964961E8BA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A32C-4017-9C60-B964961E8BA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A32C-4017-9C60-B964961E8BA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A32C-4017-9C60-B964961E8BA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A32C-4017-9C60-B964961E8BA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A32C-4017-9C60-B964961E8BAA}"/>
                    </c:ext>
                  </c:extLst>
                </c:dPt>
                <c:cat>
                  <c:strRef>
                    <c:extLst>
                      <c:ext uri="{02D57815-91ED-43cb-92C2-25804820EDAC}">
                        <c15:formulaRef>
                          <c15:sqref>'5. Dashboard Gau'!$B$138:$B$143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Gau'!$C$138:$C$143</c15:sqref>
                        </c15:formulaRef>
                      </c:ext>
                    </c:extLst>
                    <c:numCache>
                      <c:formatCode>General</c:formatCode>
                      <c:ptCount val="6"/>
                    </c:numCache>
                  </c:numRef>
                </c:val>
                <c:extLst>
                  <c:ext xmlns:c16="http://schemas.microsoft.com/office/drawing/2014/chart" uri="{C3380CC4-5D6E-409C-BE32-E72D297353CC}">
                    <c16:uniqueId val="{00000019-A32C-4017-9C60-B964961E8BAA}"/>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A32C-4017-9C60-B964961E8BA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A32C-4017-9C60-B964961E8BA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A32C-4017-9C60-B964961E8BA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A32C-4017-9C60-B964961E8BA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A32C-4017-9C60-B964961E8BA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A32C-4017-9C60-B964961E8BAA}"/>
                    </c:ext>
                  </c:extLst>
                </c:dPt>
                <c:cat>
                  <c:strRef>
                    <c:extLst xmlns:c15="http://schemas.microsoft.com/office/drawing/2012/chart">
                      <c:ext xmlns:c15="http://schemas.microsoft.com/office/drawing/2012/chart" uri="{02D57815-91ED-43cb-92C2-25804820EDAC}">
                        <c15:formulaRef>
                          <c15:sqref>'5. Dashboard Gau'!$B$138:$B$143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Gau'!$E$138:$E$143</c15:sqref>
                        </c15:formulaRef>
                      </c:ext>
                    </c:extLst>
                    <c:numCache>
                      <c:formatCode>"R"#,##0</c:formatCode>
                      <c:ptCount val="6"/>
                      <c:pt idx="0">
                        <c:v>44222329.496086225</c:v>
                      </c:pt>
                      <c:pt idx="1">
                        <c:v>8364236.0360395387</c:v>
                      </c:pt>
                      <c:pt idx="2">
                        <c:v>131024904.27450801</c:v>
                      </c:pt>
                      <c:pt idx="3">
                        <c:v>3838845.1615700736</c:v>
                      </c:pt>
                      <c:pt idx="4">
                        <c:v>76533511.603820294</c:v>
                      </c:pt>
                      <c:pt idx="5">
                        <c:v>0</c:v>
                      </c:pt>
                    </c:numCache>
                  </c:numRef>
                </c:val>
                <c:extLst xmlns:c15="http://schemas.microsoft.com/office/drawing/2012/chart">
                  <c:ext xmlns:c16="http://schemas.microsoft.com/office/drawing/2014/chart" uri="{C3380CC4-5D6E-409C-BE32-E72D297353CC}">
                    <c16:uniqueId val="{00000026-A32C-4017-9C60-B964961E8BAA}"/>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KZN'!$AB$3</c:f>
              <c:strCache>
                <c:ptCount val="1"/>
                <c:pt idx="0">
                  <c:v>Net Deficit funded by HSDG Top Slice</c:v>
                </c:pt>
              </c:strCache>
            </c:strRef>
          </c:tx>
          <c:spPr>
            <a:solidFill>
              <a:srgbClr val="00B050"/>
            </a:solidFill>
            <a:ln w="25400">
              <a:noFill/>
            </a:ln>
            <a:effectLst/>
          </c:spPr>
          <c:cat>
            <c:strRef>
              <c:f>'5. Dashboard KZN'!$AC$2:$AZ$2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KZN'!$AC$3:$AZ$3</c:f>
              <c:numCache>
                <c:formatCode>"R"#,##0;\-"R"#,##0</c:formatCode>
                <c:ptCount val="24"/>
                <c:pt idx="0">
                  <c:v>-50871121.044444449</c:v>
                </c:pt>
                <c:pt idx="1">
                  <c:v>-57558593.629444435</c:v>
                </c:pt>
                <c:pt idx="2">
                  <c:v>-68664631.99333334</c:v>
                </c:pt>
                <c:pt idx="3">
                  <c:v>-68333830.554473817</c:v>
                </c:pt>
                <c:pt idx="4">
                  <c:v>-65887506.471090525</c:v>
                </c:pt>
                <c:pt idx="5">
                  <c:v>-62946965.58384338</c:v>
                </c:pt>
                <c:pt idx="6">
                  <c:v>-62298903.164927401</c:v>
                </c:pt>
                <c:pt idx="7">
                  <c:v>-61848324.272219233</c:v>
                </c:pt>
                <c:pt idx="8">
                  <c:v>-61150823.495859824</c:v>
                </c:pt>
                <c:pt idx="9">
                  <c:v>-60180743.58734142</c:v>
                </c:pt>
                <c:pt idx="10">
                  <c:v>-58910351.939518437</c:v>
                </c:pt>
                <c:pt idx="11">
                  <c:v>-57309689.910334095</c:v>
                </c:pt>
                <c:pt idx="12">
                  <c:v>-55346411.850116737</c:v>
                </c:pt>
                <c:pt idx="13">
                  <c:v>-52985613.155634455</c:v>
                </c:pt>
                <c:pt idx="14">
                  <c:v>-50189646.630793676</c:v>
                </c:pt>
                <c:pt idx="15">
                  <c:v>-46917926.387849219</c:v>
                </c:pt>
                <c:pt idx="16">
                  <c:v>-43126718.474090755</c:v>
                </c:pt>
                <c:pt idx="17">
                  <c:v>-38768917.357007094</c:v>
                </c:pt>
                <c:pt idx="18">
                  <c:v>-33793807.345715009</c:v>
                </c:pt>
                <c:pt idx="19">
                  <c:v>-28146807.967774194</c:v>
                </c:pt>
                <c:pt idx="20">
                  <c:v>-21769202.25818086</c:v>
                </c:pt>
                <c:pt idx="21">
                  <c:v>-14597846.851114951</c:v>
                </c:pt>
                <c:pt idx="22">
                  <c:v>-43469.278956009039</c:v>
                </c:pt>
                <c:pt idx="23">
                  <c:v>0</c:v>
                </c:pt>
              </c:numCache>
            </c:numRef>
          </c:val>
          <c:extLst>
            <c:ext xmlns:c16="http://schemas.microsoft.com/office/drawing/2014/chart" uri="{C3380CC4-5D6E-409C-BE32-E72D297353CC}">
              <c16:uniqueId val="{00000000-270E-4727-97B8-9E32C38FE1DD}"/>
            </c:ext>
          </c:extLst>
        </c:ser>
        <c:ser>
          <c:idx val="1"/>
          <c:order val="1"/>
          <c:tx>
            <c:strRef>
              <c:f>'5. Dashboard KZN'!$AB$4</c:f>
              <c:strCache>
                <c:ptCount val="1"/>
                <c:pt idx="0">
                  <c:v>EEDBS utilised to settle Existing Sales Debtors Balances Owing</c:v>
                </c:pt>
              </c:strCache>
            </c:strRef>
          </c:tx>
          <c:spPr>
            <a:solidFill>
              <a:srgbClr val="002060"/>
            </a:solidFill>
            <a:ln w="25400">
              <a:noFill/>
            </a:ln>
            <a:effectLst/>
          </c:spPr>
          <c:cat>
            <c:strRef>
              <c:f>'5. Dashboard KZN'!$AC$2:$AZ$2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KZN'!$AC$4:$AZ$4</c:f>
              <c:numCache>
                <c:formatCode>"R"#,##0;\-"R"#,##0</c:formatCode>
                <c:ptCount val="24"/>
                <c:pt idx="0">
                  <c:v>-10104396</c:v>
                </c:pt>
                <c:pt idx="1">
                  <c:v>-13221991</c:v>
                </c:pt>
                <c:pt idx="2">
                  <c:v>-8660989</c:v>
                </c:pt>
                <c:pt idx="3">
                  <c:v>-5046912</c:v>
                </c:pt>
                <c:pt idx="4">
                  <c:v>-5046912</c:v>
                </c:pt>
                <c:pt idx="5">
                  <c:v>-5046912</c:v>
                </c:pt>
                <c:pt idx="6">
                  <c:v>-2208024</c:v>
                </c:pt>
                <c:pt idx="7">
                  <c:v>-2208024</c:v>
                </c:pt>
                <c:pt idx="8">
                  <c:v>-2208024</c:v>
                </c:pt>
                <c:pt idx="9">
                  <c:v>-2208024</c:v>
                </c:pt>
                <c:pt idx="10">
                  <c:v>-2208024</c:v>
                </c:pt>
                <c:pt idx="11">
                  <c:v>-2208024</c:v>
                </c:pt>
                <c:pt idx="12">
                  <c:v>-2208024</c:v>
                </c:pt>
                <c:pt idx="13">
                  <c:v>-2208024</c:v>
                </c:pt>
                <c:pt idx="14">
                  <c:v>-2208024</c:v>
                </c:pt>
                <c:pt idx="15">
                  <c:v>-2208024</c:v>
                </c:pt>
                <c:pt idx="16">
                  <c:v>-2208024</c:v>
                </c:pt>
                <c:pt idx="17">
                  <c:v>-2208024</c:v>
                </c:pt>
                <c:pt idx="18">
                  <c:v>-2208024</c:v>
                </c:pt>
                <c:pt idx="19">
                  <c:v>-2208024</c:v>
                </c:pt>
                <c:pt idx="20">
                  <c:v>-2208024</c:v>
                </c:pt>
                <c:pt idx="21">
                  <c:v>-2208024</c:v>
                </c:pt>
                <c:pt idx="22">
                  <c:v>-305808966.51299489</c:v>
                </c:pt>
                <c:pt idx="23">
                  <c:v>0</c:v>
                </c:pt>
              </c:numCache>
            </c:numRef>
          </c:val>
          <c:extLst>
            <c:ext xmlns:c16="http://schemas.microsoft.com/office/drawing/2014/chart" uri="{C3380CC4-5D6E-409C-BE32-E72D297353CC}">
              <c16:uniqueId val="{00000001-270E-4727-97B8-9E32C38FE1DD}"/>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KZN'!$AB$136</c:f>
              <c:strCache>
                <c:ptCount val="1"/>
                <c:pt idx="0">
                  <c:v>Total Income</c:v>
                </c:pt>
              </c:strCache>
            </c:strRef>
          </c:tx>
          <c:spPr>
            <a:solidFill>
              <a:srgbClr val="7030A0"/>
            </a:solidFill>
            <a:ln>
              <a:noFill/>
            </a:ln>
            <a:effectLst/>
          </c:spPr>
          <c:cat>
            <c:strRef>
              <c:f>'5. Dashboard KZN'!$AC$135:$AZ$135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KZN'!$AC$136:$AZ$136</c:f>
              <c:numCache>
                <c:formatCode>"R"#,##0</c:formatCode>
                <c:ptCount val="24"/>
                <c:pt idx="0">
                  <c:v>1978999.43</c:v>
                </c:pt>
                <c:pt idx="1">
                  <c:v>2694103.1399999997</c:v>
                </c:pt>
                <c:pt idx="2">
                  <c:v>2280484.06</c:v>
                </c:pt>
                <c:pt idx="3">
                  <c:v>2207848.6696699685</c:v>
                </c:pt>
                <c:pt idx="4">
                  <c:v>2101188.8965915451</c:v>
                </c:pt>
                <c:pt idx="5">
                  <c:v>1994529.1235131212</c:v>
                </c:pt>
                <c:pt idx="6">
                  <c:v>1246618.7768703401</c:v>
                </c:pt>
                <c:pt idx="7">
                  <c:v>1199955.1261485298</c:v>
                </c:pt>
                <c:pt idx="8">
                  <c:v>1153291.4754267195</c:v>
                </c:pt>
                <c:pt idx="9">
                  <c:v>1106627.824704909</c:v>
                </c:pt>
                <c:pt idx="10">
                  <c:v>1059964.1739830987</c:v>
                </c:pt>
                <c:pt idx="11">
                  <c:v>1013300.5232612882</c:v>
                </c:pt>
                <c:pt idx="12">
                  <c:v>966636.87253947789</c:v>
                </c:pt>
                <c:pt idx="13">
                  <c:v>919973.22181766736</c:v>
                </c:pt>
                <c:pt idx="14">
                  <c:v>873309.57109585707</c:v>
                </c:pt>
                <c:pt idx="15">
                  <c:v>826645.92037404666</c:v>
                </c:pt>
                <c:pt idx="16">
                  <c:v>779982.26965223625</c:v>
                </c:pt>
                <c:pt idx="17">
                  <c:v>733318.61893042596</c:v>
                </c:pt>
                <c:pt idx="18">
                  <c:v>686654.96820861567</c:v>
                </c:pt>
                <c:pt idx="19">
                  <c:v>639991.31748680526</c:v>
                </c:pt>
                <c:pt idx="20">
                  <c:v>593327.66676499485</c:v>
                </c:pt>
                <c:pt idx="21">
                  <c:v>546664.01604318444</c:v>
                </c:pt>
                <c:pt idx="22">
                  <c:v>14609.306165020222</c:v>
                </c:pt>
                <c:pt idx="23">
                  <c:v>0</c:v>
                </c:pt>
              </c:numCache>
            </c:numRef>
          </c:val>
          <c:extLst>
            <c:ext xmlns:c16="http://schemas.microsoft.com/office/drawing/2014/chart" uri="{C3380CC4-5D6E-409C-BE32-E72D297353CC}">
              <c16:uniqueId val="{00000000-8D76-47FA-968B-551B2352CFD4}"/>
            </c:ext>
          </c:extLst>
        </c:ser>
        <c:ser>
          <c:idx val="1"/>
          <c:order val="1"/>
          <c:tx>
            <c:strRef>
              <c:f>'5. Dashboard KZN'!$AB$137</c:f>
              <c:strCache>
                <c:ptCount val="1"/>
                <c:pt idx="0">
                  <c:v>Total Expenditure</c:v>
                </c:pt>
              </c:strCache>
            </c:strRef>
          </c:tx>
          <c:spPr>
            <a:solidFill>
              <a:srgbClr val="00B050"/>
            </a:solidFill>
            <a:ln>
              <a:noFill/>
            </a:ln>
            <a:effectLst/>
          </c:spPr>
          <c:cat>
            <c:strRef>
              <c:f>'5. Dashboard KZN'!$AC$135:$AZ$135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KZN'!$AC$137:$AZ$137</c:f>
              <c:numCache>
                <c:formatCode>"R"#,##0</c:formatCode>
                <c:ptCount val="24"/>
                <c:pt idx="0">
                  <c:v>-52850120.474444449</c:v>
                </c:pt>
                <c:pt idx="1">
                  <c:v>-60252696.769444436</c:v>
                </c:pt>
                <c:pt idx="2">
                  <c:v>-70945116.053333342</c:v>
                </c:pt>
                <c:pt idx="3">
                  <c:v>-70541679.224143788</c:v>
                </c:pt>
                <c:pt idx="4">
                  <c:v>-67988695.36768207</c:v>
                </c:pt>
                <c:pt idx="5">
                  <c:v>-64941494.707356498</c:v>
                </c:pt>
                <c:pt idx="6">
                  <c:v>-63545521.941797741</c:v>
                </c:pt>
                <c:pt idx="7">
                  <c:v>-63048279.398367763</c:v>
                </c:pt>
                <c:pt idx="8">
                  <c:v>-62304114.971286543</c:v>
                </c:pt>
                <c:pt idx="9">
                  <c:v>-61287371.412046328</c:v>
                </c:pt>
                <c:pt idx="10">
                  <c:v>-59970316.113501534</c:v>
                </c:pt>
                <c:pt idx="11">
                  <c:v>-58322990.433595382</c:v>
                </c:pt>
                <c:pt idx="12">
                  <c:v>-56313048.722656213</c:v>
                </c:pt>
                <c:pt idx="13">
                  <c:v>-53905586.37745212</c:v>
                </c:pt>
                <c:pt idx="14">
                  <c:v>-51062956.20188953</c:v>
                </c:pt>
                <c:pt idx="15">
                  <c:v>-47744572.308223262</c:v>
                </c:pt>
                <c:pt idx="16">
                  <c:v>-43906700.743742995</c:v>
                </c:pt>
                <c:pt idx="17">
                  <c:v>-39502235.975937523</c:v>
                </c:pt>
                <c:pt idx="18">
                  <c:v>-34480462.313923627</c:v>
                </c:pt>
                <c:pt idx="19">
                  <c:v>-28786799.285260998</c:v>
                </c:pt>
                <c:pt idx="20">
                  <c:v>-22362529.924945854</c:v>
                </c:pt>
                <c:pt idx="21">
                  <c:v>-15144510.867158135</c:v>
                </c:pt>
                <c:pt idx="22">
                  <c:v>-58078.58512102926</c:v>
                </c:pt>
                <c:pt idx="23">
                  <c:v>0</c:v>
                </c:pt>
              </c:numCache>
            </c:numRef>
          </c:val>
          <c:extLst>
            <c:ext xmlns:c16="http://schemas.microsoft.com/office/drawing/2014/chart" uri="{C3380CC4-5D6E-409C-BE32-E72D297353CC}">
              <c16:uniqueId val="{00000001-8D76-47FA-968B-551B2352CFD4}"/>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KZN'!$AB$139</c:f>
              <c:strCache>
                <c:ptCount val="1"/>
                <c:pt idx="0">
                  <c:v>Cumulative Surplus/(Deficit)</c:v>
                </c:pt>
              </c:strCache>
            </c:strRef>
          </c:tx>
          <c:spPr>
            <a:ln w="28575" cap="rnd">
              <a:solidFill>
                <a:srgbClr val="002060"/>
              </a:solidFill>
              <a:round/>
            </a:ln>
            <a:effectLst/>
          </c:spPr>
          <c:marker>
            <c:symbol val="none"/>
          </c:marker>
          <c:cat>
            <c:strRef>
              <c:f>'5. Dashboard KZN'!$AC$135:$AZ$135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KZN'!$AC$139:$AZ$139</c:f>
              <c:numCache>
                <c:formatCode>"R"#,##0</c:formatCode>
                <c:ptCount val="24"/>
                <c:pt idx="0">
                  <c:v>-50871121.044444449</c:v>
                </c:pt>
                <c:pt idx="1">
                  <c:v>-108429714.67388889</c:v>
                </c:pt>
                <c:pt idx="2">
                  <c:v>-177094346.66722223</c:v>
                </c:pt>
                <c:pt idx="3">
                  <c:v>-245428177.22169605</c:v>
                </c:pt>
                <c:pt idx="4">
                  <c:v>-311315683.69278657</c:v>
                </c:pt>
                <c:pt idx="5">
                  <c:v>-374262649.27662992</c:v>
                </c:pt>
                <c:pt idx="6">
                  <c:v>-436561552.44155735</c:v>
                </c:pt>
                <c:pt idx="7">
                  <c:v>-498409876.71377659</c:v>
                </c:pt>
                <c:pt idx="8">
                  <c:v>-559560700.20963645</c:v>
                </c:pt>
                <c:pt idx="9">
                  <c:v>-619741443.79697788</c:v>
                </c:pt>
                <c:pt idx="10">
                  <c:v>-678651795.73649633</c:v>
                </c:pt>
                <c:pt idx="11">
                  <c:v>-735961485.64683044</c:v>
                </c:pt>
                <c:pt idx="12">
                  <c:v>-791307897.49694717</c:v>
                </c:pt>
                <c:pt idx="13">
                  <c:v>-844293510.65258157</c:v>
                </c:pt>
                <c:pt idx="14">
                  <c:v>-894483157.28337526</c:v>
                </c:pt>
                <c:pt idx="15">
                  <c:v>-941401083.67122447</c:v>
                </c:pt>
                <c:pt idx="16">
                  <c:v>-984527802.14531517</c:v>
                </c:pt>
                <c:pt idx="17">
                  <c:v>-1023296719.5023223</c:v>
                </c:pt>
                <c:pt idx="18">
                  <c:v>-1057090526.8480374</c:v>
                </c:pt>
                <c:pt idx="19">
                  <c:v>-1085237334.8158116</c:v>
                </c:pt>
                <c:pt idx="20">
                  <c:v>-1107006537.0739925</c:v>
                </c:pt>
                <c:pt idx="21">
                  <c:v>-1121604383.9251075</c:v>
                </c:pt>
                <c:pt idx="22">
                  <c:v>-1121647853.2040634</c:v>
                </c:pt>
                <c:pt idx="23">
                  <c:v>-1121647853.2040634</c:v>
                </c:pt>
              </c:numCache>
            </c:numRef>
          </c:val>
          <c:smooth val="0"/>
          <c:extLst>
            <c:ext xmlns:c16="http://schemas.microsoft.com/office/drawing/2014/chart" uri="{C3380CC4-5D6E-409C-BE32-E72D297353CC}">
              <c16:uniqueId val="{00000002-8D76-47FA-968B-551B2352CFD4}"/>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KZN'!$AB$138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KZN'!$AC$135:$AZ$135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KZN'!$AC$138:$AZ$138</c15:sqref>
                        </c15:formulaRef>
                      </c:ext>
                    </c:extLst>
                    <c:numCache>
                      <c:formatCode>"R"#,##0</c:formatCode>
                      <c:ptCount val="24"/>
                      <c:pt idx="0">
                        <c:v>-50871121.044444449</c:v>
                      </c:pt>
                      <c:pt idx="1">
                        <c:v>-57558593.629444435</c:v>
                      </c:pt>
                      <c:pt idx="2">
                        <c:v>-68664631.99333334</c:v>
                      </c:pt>
                      <c:pt idx="3">
                        <c:v>-68333830.554473817</c:v>
                      </c:pt>
                      <c:pt idx="4">
                        <c:v>-65887506.471090525</c:v>
                      </c:pt>
                      <c:pt idx="5">
                        <c:v>-62946965.58384338</c:v>
                      </c:pt>
                      <c:pt idx="6">
                        <c:v>-62298903.164927401</c:v>
                      </c:pt>
                      <c:pt idx="7">
                        <c:v>-61848324.272219233</c:v>
                      </c:pt>
                      <c:pt idx="8">
                        <c:v>-61150823.495859824</c:v>
                      </c:pt>
                      <c:pt idx="9">
                        <c:v>-60180743.58734142</c:v>
                      </c:pt>
                      <c:pt idx="10">
                        <c:v>-58910351.939518437</c:v>
                      </c:pt>
                      <c:pt idx="11">
                        <c:v>-57309689.910334095</c:v>
                      </c:pt>
                      <c:pt idx="12">
                        <c:v>-55346411.850116737</c:v>
                      </c:pt>
                      <c:pt idx="13">
                        <c:v>-52985613.155634455</c:v>
                      </c:pt>
                      <c:pt idx="14">
                        <c:v>-50189646.630793676</c:v>
                      </c:pt>
                      <c:pt idx="15">
                        <c:v>-46917926.387849219</c:v>
                      </c:pt>
                      <c:pt idx="16">
                        <c:v>-43126718.474090755</c:v>
                      </c:pt>
                      <c:pt idx="17">
                        <c:v>-38768917.357007094</c:v>
                      </c:pt>
                      <c:pt idx="18">
                        <c:v>-33793807.345715009</c:v>
                      </c:pt>
                      <c:pt idx="19">
                        <c:v>-28146807.967774194</c:v>
                      </c:pt>
                      <c:pt idx="20">
                        <c:v>-21769202.25818086</c:v>
                      </c:pt>
                      <c:pt idx="21">
                        <c:v>-14597846.851114951</c:v>
                      </c:pt>
                      <c:pt idx="22">
                        <c:v>-43469.278956009039</c:v>
                      </c:pt>
                      <c:pt idx="23">
                        <c:v>0</c:v>
                      </c:pt>
                    </c:numCache>
                  </c:numRef>
                </c:val>
                <c:smooth val="0"/>
                <c:extLst>
                  <c:ext xmlns:c16="http://schemas.microsoft.com/office/drawing/2014/chart" uri="{C3380CC4-5D6E-409C-BE32-E72D297353CC}">
                    <c16:uniqueId val="{00000003-8D76-47FA-968B-551B2352CFD4}"/>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5F3-42AC-AEAB-787D03D3A2EB}"/>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85F3-42AC-AEAB-787D03D3A2E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5F3-42AC-AEAB-787D03D3A2E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5F3-42AC-AEAB-787D03D3A2E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85F3-42AC-AEAB-787D03D3A2E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5F3-42AC-AEAB-787D03D3A2E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KZN'!$B$138:$B$143</c:f>
              <c:strCache>
                <c:ptCount val="6"/>
                <c:pt idx="0">
                  <c:v>Rates &amp; Taxes</c:v>
                </c:pt>
                <c:pt idx="1">
                  <c:v>Municipal Charges</c:v>
                </c:pt>
                <c:pt idx="2">
                  <c:v>Maintenance</c:v>
                </c:pt>
                <c:pt idx="3">
                  <c:v>Total Disposal Costs</c:v>
                </c:pt>
                <c:pt idx="4">
                  <c:v>Staff</c:v>
                </c:pt>
                <c:pt idx="5">
                  <c:v>Other </c:v>
                </c:pt>
              </c:strCache>
            </c:strRef>
          </c:cat>
          <c:val>
            <c:numRef>
              <c:f>'5. Dashboard KZN'!$E$138:$E$143</c:f>
              <c:numCache>
                <c:formatCode>"R"#,##0</c:formatCode>
                <c:ptCount val="6"/>
                <c:pt idx="0">
                  <c:v>50933729.088491425</c:v>
                </c:pt>
                <c:pt idx="1">
                  <c:v>22573272.451493017</c:v>
                </c:pt>
                <c:pt idx="2">
                  <c:v>119833517.80638319</c:v>
                </c:pt>
                <c:pt idx="3">
                  <c:v>5992053.9696162716</c:v>
                </c:pt>
                <c:pt idx="4">
                  <c:v>115794209.11487095</c:v>
                </c:pt>
                <c:pt idx="5">
                  <c:v>0</c:v>
                </c:pt>
              </c:numCache>
            </c:numRef>
          </c:val>
          <c:extLst>
            <c:ext xmlns:c16="http://schemas.microsoft.com/office/drawing/2014/chart" uri="{C3380CC4-5D6E-409C-BE32-E72D297353CC}">
              <c16:uniqueId val="{0000000C-85F3-42AC-AEAB-787D03D3A2EB}"/>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85F3-42AC-AEAB-787D03D3A2E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85F3-42AC-AEAB-787D03D3A2E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85F3-42AC-AEAB-787D03D3A2E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85F3-42AC-AEAB-787D03D3A2E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85F3-42AC-AEAB-787D03D3A2E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85F3-42AC-AEAB-787D03D3A2EB}"/>
                    </c:ext>
                  </c:extLst>
                </c:dPt>
                <c:cat>
                  <c:strRef>
                    <c:extLst>
                      <c:ext uri="{02D57815-91ED-43cb-92C2-25804820EDAC}">
                        <c15:formulaRef>
                          <c15:sqref>'5. Dashboard KZN'!$B$138:$B$143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KZN'!$C$138:$C$143</c15:sqref>
                        </c15:formulaRef>
                      </c:ext>
                    </c:extLst>
                    <c:numCache>
                      <c:formatCode>General</c:formatCode>
                      <c:ptCount val="6"/>
                    </c:numCache>
                  </c:numRef>
                </c:val>
                <c:extLst>
                  <c:ext xmlns:c16="http://schemas.microsoft.com/office/drawing/2014/chart" uri="{C3380CC4-5D6E-409C-BE32-E72D297353CC}">
                    <c16:uniqueId val="{00000019-85F3-42AC-AEAB-787D03D3A2EB}"/>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A9E-4FEB-9E09-A184F21C1A15}"/>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CA9E-4FEB-9E09-A184F21C1A1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A9E-4FEB-9E09-A184F21C1A1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A9E-4FEB-9E09-A184F21C1A15}"/>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CA9E-4FEB-9E09-A184F21C1A1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A9E-4FEB-9E09-A184F21C1A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KZN'!$B$138:$B$143</c:f>
              <c:strCache>
                <c:ptCount val="6"/>
                <c:pt idx="0">
                  <c:v>Rates &amp; Taxes</c:v>
                </c:pt>
                <c:pt idx="1">
                  <c:v>Municipal Charges</c:v>
                </c:pt>
                <c:pt idx="2">
                  <c:v>Maintenance</c:v>
                </c:pt>
                <c:pt idx="3">
                  <c:v>Total Disposal Costs</c:v>
                </c:pt>
                <c:pt idx="4">
                  <c:v>Staff</c:v>
                </c:pt>
                <c:pt idx="5">
                  <c:v>Other </c:v>
                </c:pt>
              </c:strCache>
            </c:strRef>
          </c:cat>
          <c:val>
            <c:numRef>
              <c:f>'5. Dashboard KZN'!$F$138:$F$143</c:f>
              <c:numCache>
                <c:formatCode>"R"#,##0</c:formatCode>
                <c:ptCount val="6"/>
                <c:pt idx="0">
                  <c:v>143148229.71577922</c:v>
                </c:pt>
                <c:pt idx="1">
                  <c:v>63441731.994709082</c:v>
                </c:pt>
                <c:pt idx="2">
                  <c:v>336789711.68192005</c:v>
                </c:pt>
                <c:pt idx="3">
                  <c:v>28419941.92788031</c:v>
                </c:pt>
                <c:pt idx="4">
                  <c:v>393418329.55580032</c:v>
                </c:pt>
                <c:pt idx="5">
                  <c:v>0</c:v>
                </c:pt>
              </c:numCache>
            </c:numRef>
          </c:val>
          <c:extLst>
            <c:ext xmlns:c16="http://schemas.microsoft.com/office/drawing/2014/chart" uri="{C3380CC4-5D6E-409C-BE32-E72D297353CC}">
              <c16:uniqueId val="{0000000C-CA9E-4FEB-9E09-A184F21C1A15}"/>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CA9E-4FEB-9E09-A184F21C1A1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CA9E-4FEB-9E09-A184F21C1A1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CA9E-4FEB-9E09-A184F21C1A1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CA9E-4FEB-9E09-A184F21C1A1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CA9E-4FEB-9E09-A184F21C1A1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CA9E-4FEB-9E09-A184F21C1A15}"/>
                    </c:ext>
                  </c:extLst>
                </c:dPt>
                <c:cat>
                  <c:strRef>
                    <c:extLst>
                      <c:ext uri="{02D57815-91ED-43cb-92C2-25804820EDAC}">
                        <c15:formulaRef>
                          <c15:sqref>'5. Dashboard KZN'!$B$138:$B$143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KZN'!$C$138:$C$143</c15:sqref>
                        </c15:formulaRef>
                      </c:ext>
                    </c:extLst>
                    <c:numCache>
                      <c:formatCode>General</c:formatCode>
                      <c:ptCount val="6"/>
                    </c:numCache>
                  </c:numRef>
                </c:val>
                <c:extLst>
                  <c:ext xmlns:c16="http://schemas.microsoft.com/office/drawing/2014/chart" uri="{C3380CC4-5D6E-409C-BE32-E72D297353CC}">
                    <c16:uniqueId val="{00000019-CA9E-4FEB-9E09-A184F21C1A15}"/>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CA9E-4FEB-9E09-A184F21C1A15}"/>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CA9E-4FEB-9E09-A184F21C1A15}"/>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CA9E-4FEB-9E09-A184F21C1A15}"/>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CA9E-4FEB-9E09-A184F21C1A15}"/>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CA9E-4FEB-9E09-A184F21C1A15}"/>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CA9E-4FEB-9E09-A184F21C1A15}"/>
                    </c:ext>
                  </c:extLst>
                </c:dPt>
                <c:cat>
                  <c:strRef>
                    <c:extLst xmlns:c15="http://schemas.microsoft.com/office/drawing/2012/chart">
                      <c:ext xmlns:c15="http://schemas.microsoft.com/office/drawing/2012/chart" uri="{02D57815-91ED-43cb-92C2-25804820EDAC}">
                        <c15:formulaRef>
                          <c15:sqref>'5. Dashboard KZN'!$B$138:$B$143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KZN'!$E$138:$E$143</c15:sqref>
                        </c15:formulaRef>
                      </c:ext>
                    </c:extLst>
                    <c:numCache>
                      <c:formatCode>"R"#,##0</c:formatCode>
                      <c:ptCount val="6"/>
                      <c:pt idx="0">
                        <c:v>50933729.088491425</c:v>
                      </c:pt>
                      <c:pt idx="1">
                        <c:v>22573272.451493017</c:v>
                      </c:pt>
                      <c:pt idx="2">
                        <c:v>119833517.80638319</c:v>
                      </c:pt>
                      <c:pt idx="3">
                        <c:v>5992053.9696162716</c:v>
                      </c:pt>
                      <c:pt idx="4">
                        <c:v>115794209.11487095</c:v>
                      </c:pt>
                      <c:pt idx="5">
                        <c:v>0</c:v>
                      </c:pt>
                    </c:numCache>
                  </c:numRef>
                </c:val>
                <c:extLst xmlns:c15="http://schemas.microsoft.com/office/drawing/2012/chart">
                  <c:ext xmlns:c16="http://schemas.microsoft.com/office/drawing/2014/chart" uri="{C3380CC4-5D6E-409C-BE32-E72D297353CC}">
                    <c16:uniqueId val="{00000026-CA9E-4FEB-9E09-A184F21C1A15}"/>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WC'!$AB$3</c:f>
              <c:strCache>
                <c:ptCount val="1"/>
                <c:pt idx="0">
                  <c:v>Net Deficit funded by HSDG Top Slice</c:v>
                </c:pt>
              </c:strCache>
            </c:strRef>
          </c:tx>
          <c:spPr>
            <a:solidFill>
              <a:srgbClr val="00B050"/>
            </a:solidFill>
            <a:ln w="25400">
              <a:noFill/>
            </a:ln>
            <a:effectLst/>
          </c:spPr>
          <c:cat>
            <c:strRef>
              <c:f>'5. Dashboard WC'!$AC$2:$AZ$2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WC'!$AC$3:$AZ$3</c:f>
              <c:numCache>
                <c:formatCode>"R"#,##0;\-"R"#,##0</c:formatCode>
                <c:ptCount val="24"/>
                <c:pt idx="0">
                  <c:v>0</c:v>
                </c:pt>
                <c:pt idx="1">
                  <c:v>0</c:v>
                </c:pt>
                <c:pt idx="2">
                  <c:v>0</c:v>
                </c:pt>
                <c:pt idx="3">
                  <c:v>-296981.87305132486</c:v>
                </c:pt>
                <c:pt idx="4">
                  <c:v>-1185226.4662995497</c:v>
                </c:pt>
                <c:pt idx="5">
                  <c:v>-2701993.0889131185</c:v>
                </c:pt>
                <c:pt idx="6">
                  <c:v>-4919996.0517974235</c:v>
                </c:pt>
                <c:pt idx="7">
                  <c:v>-5058942.7246914273</c:v>
                </c:pt>
                <c:pt idx="8">
                  <c:v>-5178018.2435189942</c:v>
                </c:pt>
                <c:pt idx="9">
                  <c:v>-5274971.7583163055</c:v>
                </c:pt>
                <c:pt idx="10">
                  <c:v>-5347364.9358645715</c:v>
                </c:pt>
                <c:pt idx="11">
                  <c:v>-5392558.1453531226</c:v>
                </c:pt>
                <c:pt idx="12">
                  <c:v>-5407695.6916023027</c:v>
                </c:pt>
                <c:pt idx="13">
                  <c:v>-5389690.0328660645</c:v>
                </c:pt>
                <c:pt idx="14">
                  <c:v>-5335204.9161876012</c:v>
                </c:pt>
                <c:pt idx="15">
                  <c:v>-5240637.3589799376</c:v>
                </c:pt>
                <c:pt idx="16">
                  <c:v>-5102098.4009318044</c:v>
                </c:pt>
                <c:pt idx="17">
                  <c:v>-4915392.5454802923</c:v>
                </c:pt>
                <c:pt idx="18">
                  <c:v>-4675995.8049281193</c:v>
                </c:pt>
                <c:pt idx="19">
                  <c:v>-4379032.257795942</c:v>
                </c:pt>
                <c:pt idx="20">
                  <c:v>-4019249.0211691251</c:v>
                </c:pt>
                <c:pt idx="21">
                  <c:v>-3590989.5346023208</c:v>
                </c:pt>
                <c:pt idx="22">
                  <c:v>0</c:v>
                </c:pt>
                <c:pt idx="23">
                  <c:v>0</c:v>
                </c:pt>
              </c:numCache>
            </c:numRef>
          </c:val>
          <c:extLst>
            <c:ext xmlns:c16="http://schemas.microsoft.com/office/drawing/2014/chart" uri="{C3380CC4-5D6E-409C-BE32-E72D297353CC}">
              <c16:uniqueId val="{00000000-B1F7-452B-BF4B-CFE2C1FFFD51}"/>
            </c:ext>
          </c:extLst>
        </c:ser>
        <c:ser>
          <c:idx val="1"/>
          <c:order val="1"/>
          <c:tx>
            <c:strRef>
              <c:f>'5. Dashboard WC'!$AB$4</c:f>
              <c:strCache>
                <c:ptCount val="1"/>
                <c:pt idx="0">
                  <c:v>EEDBS utilised to settle Existing Sales Debtors Balances Owing</c:v>
                </c:pt>
              </c:strCache>
            </c:strRef>
          </c:tx>
          <c:spPr>
            <a:solidFill>
              <a:srgbClr val="002060"/>
            </a:solidFill>
            <a:ln w="25400">
              <a:noFill/>
            </a:ln>
            <a:effectLst/>
          </c:spPr>
          <c:cat>
            <c:strRef>
              <c:f>'5. Dashboard WC'!$AC$2:$AZ$2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WC'!$AC$4:$AZ$4</c:f>
              <c:numCache>
                <c:formatCode>"R"#,##0;\-"R"#,##0</c:formatCode>
                <c:ptCount val="24"/>
                <c:pt idx="0">
                  <c:v>-562843</c:v>
                </c:pt>
                <c:pt idx="1">
                  <c:v>-358439</c:v>
                </c:pt>
                <c:pt idx="2">
                  <c:v>-267958</c:v>
                </c:pt>
                <c:pt idx="3">
                  <c:v>-2811433.6077560242</c:v>
                </c:pt>
                <c:pt idx="4">
                  <c:v>-2811433.6077560242</c:v>
                </c:pt>
                <c:pt idx="5">
                  <c:v>-2113169.0515813255</c:v>
                </c:pt>
                <c:pt idx="6">
                  <c:v>-385883.04420180724</c:v>
                </c:pt>
                <c:pt idx="7">
                  <c:v>-385883.04420180724</c:v>
                </c:pt>
                <c:pt idx="8">
                  <c:v>-385883.04420180724</c:v>
                </c:pt>
                <c:pt idx="9">
                  <c:v>-385883.04420180724</c:v>
                </c:pt>
                <c:pt idx="10">
                  <c:v>-385883.04420180724</c:v>
                </c:pt>
                <c:pt idx="11">
                  <c:v>-385883.04420180724</c:v>
                </c:pt>
                <c:pt idx="12">
                  <c:v>-385883.04420180724</c:v>
                </c:pt>
                <c:pt idx="13">
                  <c:v>-385883.04420180724</c:v>
                </c:pt>
                <c:pt idx="14">
                  <c:v>-385883.04420180724</c:v>
                </c:pt>
                <c:pt idx="15">
                  <c:v>-385883.04420180724</c:v>
                </c:pt>
                <c:pt idx="16">
                  <c:v>-385883.04420180724</c:v>
                </c:pt>
                <c:pt idx="17">
                  <c:v>-385883.04420180724</c:v>
                </c:pt>
                <c:pt idx="18">
                  <c:v>-385883.04420180724</c:v>
                </c:pt>
                <c:pt idx="19">
                  <c:v>-385883.04420180724</c:v>
                </c:pt>
                <c:pt idx="20">
                  <c:v>-385883.04420180724</c:v>
                </c:pt>
                <c:pt idx="21">
                  <c:v>-385883.04420180724</c:v>
                </c:pt>
                <c:pt idx="22">
                  <c:v>-86073415.425300524</c:v>
                </c:pt>
                <c:pt idx="23">
                  <c:v>0</c:v>
                </c:pt>
              </c:numCache>
            </c:numRef>
          </c:val>
          <c:extLst>
            <c:ext xmlns:c16="http://schemas.microsoft.com/office/drawing/2014/chart" uri="{C3380CC4-5D6E-409C-BE32-E72D297353CC}">
              <c16:uniqueId val="{00000001-B1F7-452B-BF4B-CFE2C1FFFD51}"/>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0AF-4CD0-B877-4369D98AC710}"/>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10AF-4CD0-B877-4369D98AC71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0AF-4CD0-B877-4369D98AC71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0AF-4CD0-B877-4369D98AC710}"/>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10AF-4CD0-B877-4369D98AC71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0AF-4CD0-B877-4369D98AC71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Live'!$B$138:$B$143</c:f>
              <c:strCache>
                <c:ptCount val="6"/>
                <c:pt idx="0">
                  <c:v>Rates &amp; Taxes</c:v>
                </c:pt>
                <c:pt idx="1">
                  <c:v>Municipal Charges</c:v>
                </c:pt>
                <c:pt idx="2">
                  <c:v>Maintenance</c:v>
                </c:pt>
                <c:pt idx="3">
                  <c:v>Total Disposal Costs</c:v>
                </c:pt>
                <c:pt idx="4">
                  <c:v>Staff</c:v>
                </c:pt>
                <c:pt idx="5">
                  <c:v>Other </c:v>
                </c:pt>
              </c:strCache>
            </c:strRef>
          </c:cat>
          <c:val>
            <c:numRef>
              <c:f>'5. Dashboard Live'!$E$138:$E$143</c:f>
              <c:numCache>
                <c:formatCode>"R"#,##0</c:formatCode>
                <c:ptCount val="6"/>
                <c:pt idx="0">
                  <c:v>252001.66593494211</c:v>
                </c:pt>
                <c:pt idx="1">
                  <c:v>2508823.1927166809</c:v>
                </c:pt>
                <c:pt idx="2">
                  <c:v>0</c:v>
                </c:pt>
                <c:pt idx="3">
                  <c:v>211625.31374314771</c:v>
                </c:pt>
                <c:pt idx="4">
                  <c:v>4066125.1737566851</c:v>
                </c:pt>
                <c:pt idx="5">
                  <c:v>21313951.146196745</c:v>
                </c:pt>
              </c:numCache>
            </c:numRef>
          </c:val>
          <c:extLst>
            <c:ext xmlns:c16="http://schemas.microsoft.com/office/drawing/2014/chart" uri="{C3380CC4-5D6E-409C-BE32-E72D297353CC}">
              <c16:uniqueId val="{0000000C-10AF-4CD0-B877-4369D98AC710}"/>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10AF-4CD0-B877-4369D98AC71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10AF-4CD0-B877-4369D98AC71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10AF-4CD0-B877-4369D98AC71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10AF-4CD0-B877-4369D98AC71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10AF-4CD0-B877-4369D98AC71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10AF-4CD0-B877-4369D98AC710}"/>
                    </c:ext>
                  </c:extLst>
                </c:dPt>
                <c:cat>
                  <c:strRef>
                    <c:extLst>
                      <c:ext uri="{02D57815-91ED-43cb-92C2-25804820EDAC}">
                        <c15:formulaRef>
                          <c15:sqref>'5. Dashboard Live'!$B$138:$B$143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Live'!$C$138:$C$143</c15:sqref>
                        </c15:formulaRef>
                      </c:ext>
                    </c:extLst>
                    <c:numCache>
                      <c:formatCode>General</c:formatCode>
                      <c:ptCount val="6"/>
                    </c:numCache>
                  </c:numRef>
                </c:val>
                <c:extLst>
                  <c:ext xmlns:c16="http://schemas.microsoft.com/office/drawing/2014/chart" uri="{C3380CC4-5D6E-409C-BE32-E72D297353CC}">
                    <c16:uniqueId val="{00000019-10AF-4CD0-B877-4369D98AC710}"/>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WC'!$AB$136</c:f>
              <c:strCache>
                <c:ptCount val="1"/>
                <c:pt idx="0">
                  <c:v>Total Income</c:v>
                </c:pt>
              </c:strCache>
            </c:strRef>
          </c:tx>
          <c:spPr>
            <a:solidFill>
              <a:srgbClr val="7030A0"/>
            </a:solidFill>
            <a:ln>
              <a:noFill/>
            </a:ln>
            <a:effectLst/>
          </c:spPr>
          <c:cat>
            <c:strRef>
              <c:f>'5. Dashboard WC'!$AC$135:$AZ$135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WC'!$AC$136:$AZ$136</c:f>
              <c:numCache>
                <c:formatCode>"R"#,##0</c:formatCode>
                <c:ptCount val="24"/>
                <c:pt idx="0">
                  <c:v>10462974.060000001</c:v>
                </c:pt>
                <c:pt idx="1">
                  <c:v>12848850.120000001</c:v>
                </c:pt>
                <c:pt idx="2">
                  <c:v>10993737.510000002</c:v>
                </c:pt>
                <c:pt idx="3">
                  <c:v>7969952.8107711747</c:v>
                </c:pt>
                <c:pt idx="4">
                  <c:v>7114235.0247711744</c:v>
                </c:pt>
                <c:pt idx="5">
                  <c:v>5341707.9089064375</c:v>
                </c:pt>
                <c:pt idx="6">
                  <c:v>2430624.5743803568</c:v>
                </c:pt>
                <c:pt idx="7">
                  <c:v>2313173.1135568274</c:v>
                </c:pt>
                <c:pt idx="8">
                  <c:v>2195721.652733298</c:v>
                </c:pt>
                <c:pt idx="9">
                  <c:v>2078270.1919097686</c:v>
                </c:pt>
                <c:pt idx="10">
                  <c:v>1960818.7310862388</c:v>
                </c:pt>
                <c:pt idx="11">
                  <c:v>1843367.2702627098</c:v>
                </c:pt>
                <c:pt idx="12">
                  <c:v>1725915.8094391804</c:v>
                </c:pt>
                <c:pt idx="13">
                  <c:v>1608464.348615651</c:v>
                </c:pt>
                <c:pt idx="14">
                  <c:v>1491012.8877921216</c:v>
                </c:pt>
                <c:pt idx="15">
                  <c:v>1373561.4269685922</c:v>
                </c:pt>
                <c:pt idx="16">
                  <c:v>1256109.9661450628</c:v>
                </c:pt>
                <c:pt idx="17">
                  <c:v>1138658.5053215334</c:v>
                </c:pt>
                <c:pt idx="18">
                  <c:v>1021207.0444980043</c:v>
                </c:pt>
                <c:pt idx="19">
                  <c:v>903755.58367447485</c:v>
                </c:pt>
                <c:pt idx="20">
                  <c:v>786304.12285094545</c:v>
                </c:pt>
                <c:pt idx="21">
                  <c:v>668852.66202741605</c:v>
                </c:pt>
                <c:pt idx="22">
                  <c:v>237755.90414489803</c:v>
                </c:pt>
                <c:pt idx="23">
                  <c:v>0</c:v>
                </c:pt>
              </c:numCache>
            </c:numRef>
          </c:val>
          <c:extLst>
            <c:ext xmlns:c16="http://schemas.microsoft.com/office/drawing/2014/chart" uri="{C3380CC4-5D6E-409C-BE32-E72D297353CC}">
              <c16:uniqueId val="{00000000-3191-4E70-AE27-AF00EE491D81}"/>
            </c:ext>
          </c:extLst>
        </c:ser>
        <c:ser>
          <c:idx val="1"/>
          <c:order val="1"/>
          <c:tx>
            <c:strRef>
              <c:f>'5. Dashboard WC'!$AB$137</c:f>
              <c:strCache>
                <c:ptCount val="1"/>
                <c:pt idx="0">
                  <c:v>Total Expenditure</c:v>
                </c:pt>
              </c:strCache>
            </c:strRef>
          </c:tx>
          <c:spPr>
            <a:solidFill>
              <a:srgbClr val="00B050"/>
            </a:solidFill>
            <a:ln>
              <a:noFill/>
            </a:ln>
            <a:effectLst/>
          </c:spPr>
          <c:cat>
            <c:strRef>
              <c:f>'5. Dashboard WC'!$AC$135:$AZ$135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WC'!$AC$137:$AZ$137</c:f>
              <c:numCache>
                <c:formatCode>"R"#,##0</c:formatCode>
                <c:ptCount val="24"/>
                <c:pt idx="0">
                  <c:v>-6816394.1699999999</c:v>
                </c:pt>
                <c:pt idx="1">
                  <c:v>-6934326.7449999992</c:v>
                </c:pt>
                <c:pt idx="2">
                  <c:v>-7200076.9899999993</c:v>
                </c:pt>
                <c:pt idx="3">
                  <c:v>-8266934.6838224996</c:v>
                </c:pt>
                <c:pt idx="4">
                  <c:v>-8299461.4910707241</c:v>
                </c:pt>
                <c:pt idx="5">
                  <c:v>-8043700.9978195559</c:v>
                </c:pt>
                <c:pt idx="6">
                  <c:v>-7350620.6261777803</c:v>
                </c:pt>
                <c:pt idx="7">
                  <c:v>-7372115.8382482547</c:v>
                </c:pt>
                <c:pt idx="8">
                  <c:v>-7373739.8962522922</c:v>
                </c:pt>
                <c:pt idx="9">
                  <c:v>-7353241.9502260741</c:v>
                </c:pt>
                <c:pt idx="10">
                  <c:v>-7308183.6669508098</c:v>
                </c:pt>
                <c:pt idx="11">
                  <c:v>-7235925.4156158324</c:v>
                </c:pt>
                <c:pt idx="12">
                  <c:v>-7133611.5010414831</c:v>
                </c:pt>
                <c:pt idx="13">
                  <c:v>-6998154.3814817155</c:v>
                </c:pt>
                <c:pt idx="14">
                  <c:v>-6826217.8039797228</c:v>
                </c:pt>
                <c:pt idx="15">
                  <c:v>-6614198.7859485298</c:v>
                </c:pt>
                <c:pt idx="16">
                  <c:v>-6358208.3670768673</c:v>
                </c:pt>
                <c:pt idx="17">
                  <c:v>-6054051.0508018257</c:v>
                </c:pt>
                <c:pt idx="18">
                  <c:v>-5697202.8494261233</c:v>
                </c:pt>
                <c:pt idx="19">
                  <c:v>-5282787.8414704166</c:v>
                </c:pt>
                <c:pt idx="20">
                  <c:v>-4805553.1440200703</c:v>
                </c:pt>
                <c:pt idx="21">
                  <c:v>-4259842.1966297366</c:v>
                </c:pt>
                <c:pt idx="22">
                  <c:v>-154876.22698941137</c:v>
                </c:pt>
                <c:pt idx="23">
                  <c:v>0</c:v>
                </c:pt>
              </c:numCache>
            </c:numRef>
          </c:val>
          <c:extLst>
            <c:ext xmlns:c16="http://schemas.microsoft.com/office/drawing/2014/chart" uri="{C3380CC4-5D6E-409C-BE32-E72D297353CC}">
              <c16:uniqueId val="{00000001-3191-4E70-AE27-AF00EE491D81}"/>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WC'!$AB$139</c:f>
              <c:strCache>
                <c:ptCount val="1"/>
                <c:pt idx="0">
                  <c:v>Cumulative Surplus/(Deficit)</c:v>
                </c:pt>
              </c:strCache>
            </c:strRef>
          </c:tx>
          <c:spPr>
            <a:ln w="28575" cap="rnd">
              <a:solidFill>
                <a:srgbClr val="002060"/>
              </a:solidFill>
              <a:round/>
            </a:ln>
            <a:effectLst/>
          </c:spPr>
          <c:marker>
            <c:symbol val="none"/>
          </c:marker>
          <c:cat>
            <c:strRef>
              <c:f>'5. Dashboard WC'!$AC$135:$AZ$135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WC'!$AC$139:$AZ$139</c:f>
              <c:numCache>
                <c:formatCode>"R"#,##0</c:formatCode>
                <c:ptCount val="24"/>
                <c:pt idx="0">
                  <c:v>3646579.8900000006</c:v>
                </c:pt>
                <c:pt idx="1">
                  <c:v>9561103.2650000025</c:v>
                </c:pt>
                <c:pt idx="2">
                  <c:v>13354763.785000004</c:v>
                </c:pt>
                <c:pt idx="3">
                  <c:v>13057781.911948679</c:v>
                </c:pt>
                <c:pt idx="4">
                  <c:v>11872555.445649128</c:v>
                </c:pt>
                <c:pt idx="5">
                  <c:v>9170562.3567360099</c:v>
                </c:pt>
                <c:pt idx="6">
                  <c:v>4250566.3049385864</c:v>
                </c:pt>
                <c:pt idx="7">
                  <c:v>-808376.41975284088</c:v>
                </c:pt>
                <c:pt idx="8">
                  <c:v>-5986394.6632718351</c:v>
                </c:pt>
                <c:pt idx="9">
                  <c:v>-11261366.421588141</c:v>
                </c:pt>
                <c:pt idx="10">
                  <c:v>-16608731.357452713</c:v>
                </c:pt>
                <c:pt idx="11">
                  <c:v>-22001289.502805836</c:v>
                </c:pt>
                <c:pt idx="12">
                  <c:v>-27408985.194408141</c:v>
                </c:pt>
                <c:pt idx="13">
                  <c:v>-32798675.227274206</c:v>
                </c:pt>
                <c:pt idx="14">
                  <c:v>-38133880.143461809</c:v>
                </c:pt>
                <c:pt idx="15">
                  <c:v>-43374517.502441749</c:v>
                </c:pt>
                <c:pt idx="16">
                  <c:v>-48476615.903373554</c:v>
                </c:pt>
                <c:pt idx="17">
                  <c:v>-53392008.44885385</c:v>
                </c:pt>
                <c:pt idx="18">
                  <c:v>-58068004.253781967</c:v>
                </c:pt>
                <c:pt idx="19">
                  <c:v>-62447036.511577912</c:v>
                </c:pt>
                <c:pt idx="20">
                  <c:v>-66466285.532747038</c:v>
                </c:pt>
                <c:pt idx="21">
                  <c:v>-70057275.067349359</c:v>
                </c:pt>
                <c:pt idx="22">
                  <c:v>-69974395.39019388</c:v>
                </c:pt>
                <c:pt idx="23">
                  <c:v>-69974395.39019388</c:v>
                </c:pt>
              </c:numCache>
            </c:numRef>
          </c:val>
          <c:smooth val="0"/>
          <c:extLst>
            <c:ext xmlns:c16="http://schemas.microsoft.com/office/drawing/2014/chart" uri="{C3380CC4-5D6E-409C-BE32-E72D297353CC}">
              <c16:uniqueId val="{00000002-3191-4E70-AE27-AF00EE491D81}"/>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WC'!$AB$138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WC'!$AC$135:$AZ$135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WC'!$AC$138:$AZ$138</c15:sqref>
                        </c15:formulaRef>
                      </c:ext>
                    </c:extLst>
                    <c:numCache>
                      <c:formatCode>"R"#,##0</c:formatCode>
                      <c:ptCount val="24"/>
                      <c:pt idx="0">
                        <c:v>3646579.8900000006</c:v>
                      </c:pt>
                      <c:pt idx="1">
                        <c:v>5914523.3750000019</c:v>
                      </c:pt>
                      <c:pt idx="2">
                        <c:v>3793660.5200000023</c:v>
                      </c:pt>
                      <c:pt idx="3">
                        <c:v>-296981.87305132486</c:v>
                      </c:pt>
                      <c:pt idx="4">
                        <c:v>-1185226.4662995497</c:v>
                      </c:pt>
                      <c:pt idx="5">
                        <c:v>-2701993.0889131185</c:v>
                      </c:pt>
                      <c:pt idx="6">
                        <c:v>-4919996.0517974235</c:v>
                      </c:pt>
                      <c:pt idx="7">
                        <c:v>-5058942.7246914273</c:v>
                      </c:pt>
                      <c:pt idx="8">
                        <c:v>-5178018.2435189942</c:v>
                      </c:pt>
                      <c:pt idx="9">
                        <c:v>-5274971.7583163055</c:v>
                      </c:pt>
                      <c:pt idx="10">
                        <c:v>-5347364.9358645715</c:v>
                      </c:pt>
                      <c:pt idx="11">
                        <c:v>-5392558.1453531226</c:v>
                      </c:pt>
                      <c:pt idx="12">
                        <c:v>-5407695.6916023027</c:v>
                      </c:pt>
                      <c:pt idx="13">
                        <c:v>-5389690.0328660645</c:v>
                      </c:pt>
                      <c:pt idx="14">
                        <c:v>-5335204.9161876012</c:v>
                      </c:pt>
                      <c:pt idx="15">
                        <c:v>-5240637.3589799376</c:v>
                      </c:pt>
                      <c:pt idx="16">
                        <c:v>-5102098.4009318044</c:v>
                      </c:pt>
                      <c:pt idx="17">
                        <c:v>-4915392.5454802923</c:v>
                      </c:pt>
                      <c:pt idx="18">
                        <c:v>-4675995.8049281193</c:v>
                      </c:pt>
                      <c:pt idx="19">
                        <c:v>-4379032.257795942</c:v>
                      </c:pt>
                      <c:pt idx="20">
                        <c:v>-4019249.0211691251</c:v>
                      </c:pt>
                      <c:pt idx="21">
                        <c:v>-3590989.5346023208</c:v>
                      </c:pt>
                      <c:pt idx="22">
                        <c:v>82879.677155486657</c:v>
                      </c:pt>
                      <c:pt idx="23">
                        <c:v>0</c:v>
                      </c:pt>
                    </c:numCache>
                  </c:numRef>
                </c:val>
                <c:smooth val="0"/>
                <c:extLst>
                  <c:ext xmlns:c16="http://schemas.microsoft.com/office/drawing/2014/chart" uri="{C3380CC4-5D6E-409C-BE32-E72D297353CC}">
                    <c16:uniqueId val="{00000003-3191-4E70-AE27-AF00EE491D81}"/>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43-49DE-895A-2599B4581D67}"/>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6B43-49DE-895A-2599B4581D6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43-49DE-895A-2599B4581D6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B43-49DE-895A-2599B4581D67}"/>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6B43-49DE-895A-2599B4581D6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B43-49DE-895A-2599B4581D6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WC'!$B$138:$B$143</c:f>
              <c:strCache>
                <c:ptCount val="6"/>
                <c:pt idx="0">
                  <c:v>Rates &amp; Taxes</c:v>
                </c:pt>
                <c:pt idx="1">
                  <c:v>Municipal Charges</c:v>
                </c:pt>
                <c:pt idx="2">
                  <c:v>Maintenance</c:v>
                </c:pt>
                <c:pt idx="3">
                  <c:v>Total Disposal Costs</c:v>
                </c:pt>
                <c:pt idx="4">
                  <c:v>Staff</c:v>
                </c:pt>
                <c:pt idx="5">
                  <c:v>Other </c:v>
                </c:pt>
              </c:strCache>
            </c:strRef>
          </c:cat>
          <c:val>
            <c:numRef>
              <c:f>'5. Dashboard WC'!$E$138:$E$143</c:f>
              <c:numCache>
                <c:formatCode>"R"#,##0</c:formatCode>
                <c:ptCount val="6"/>
                <c:pt idx="0">
                  <c:v>513408.64185672469</c:v>
                </c:pt>
                <c:pt idx="1">
                  <c:v>0</c:v>
                </c:pt>
                <c:pt idx="2">
                  <c:v>772427.84563235519</c:v>
                </c:pt>
                <c:pt idx="3">
                  <c:v>1645518.8443030512</c:v>
                </c:pt>
                <c:pt idx="4">
                  <c:v>34562063.976931825</c:v>
                </c:pt>
                <c:pt idx="5">
                  <c:v>0</c:v>
                </c:pt>
              </c:numCache>
            </c:numRef>
          </c:val>
          <c:extLst>
            <c:ext xmlns:c16="http://schemas.microsoft.com/office/drawing/2014/chart" uri="{C3380CC4-5D6E-409C-BE32-E72D297353CC}">
              <c16:uniqueId val="{0000000C-6B43-49DE-895A-2599B4581D67}"/>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6B43-49DE-895A-2599B4581D6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6B43-49DE-895A-2599B4581D6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6B43-49DE-895A-2599B4581D6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6B43-49DE-895A-2599B4581D6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6B43-49DE-895A-2599B4581D6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6B43-49DE-895A-2599B4581D67}"/>
                    </c:ext>
                  </c:extLst>
                </c:dPt>
                <c:cat>
                  <c:strRef>
                    <c:extLst>
                      <c:ext uri="{02D57815-91ED-43cb-92C2-25804820EDAC}">
                        <c15:formulaRef>
                          <c15:sqref>'5. Dashboard WC'!$B$138:$B$143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WC'!$C$138:$C$143</c15:sqref>
                        </c15:formulaRef>
                      </c:ext>
                    </c:extLst>
                    <c:numCache>
                      <c:formatCode>General</c:formatCode>
                      <c:ptCount val="6"/>
                    </c:numCache>
                  </c:numRef>
                </c:val>
                <c:extLst>
                  <c:ext xmlns:c16="http://schemas.microsoft.com/office/drawing/2014/chart" uri="{C3380CC4-5D6E-409C-BE32-E72D297353CC}">
                    <c16:uniqueId val="{00000019-6B43-49DE-895A-2599B4581D67}"/>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1EB-4E79-A2D0-2DE9B2674B5E}"/>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A1EB-4E79-A2D0-2DE9B2674B5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1EB-4E79-A2D0-2DE9B2674B5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1EB-4E79-A2D0-2DE9B2674B5E}"/>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A1EB-4E79-A2D0-2DE9B2674B5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1EB-4E79-A2D0-2DE9B2674B5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WC'!$B$138:$B$143</c:f>
              <c:strCache>
                <c:ptCount val="6"/>
                <c:pt idx="0">
                  <c:v>Rates &amp; Taxes</c:v>
                </c:pt>
                <c:pt idx="1">
                  <c:v>Municipal Charges</c:v>
                </c:pt>
                <c:pt idx="2">
                  <c:v>Maintenance</c:v>
                </c:pt>
                <c:pt idx="3">
                  <c:v>Total Disposal Costs</c:v>
                </c:pt>
                <c:pt idx="4">
                  <c:v>Staff</c:v>
                </c:pt>
                <c:pt idx="5">
                  <c:v>Other </c:v>
                </c:pt>
              </c:strCache>
            </c:strRef>
          </c:cat>
          <c:val>
            <c:numRef>
              <c:f>'5. Dashboard WC'!$F$138:$F$143</c:f>
              <c:numCache>
                <c:formatCode>"R"#,##0</c:formatCode>
                <c:ptCount val="6"/>
                <c:pt idx="0">
                  <c:v>1539869.6698596224</c:v>
                </c:pt>
                <c:pt idx="1">
                  <c:v>0</c:v>
                </c:pt>
                <c:pt idx="2">
                  <c:v>2316747.5470274747</c:v>
                </c:pt>
                <c:pt idx="3">
                  <c:v>7505159.3287567794</c:v>
                </c:pt>
                <c:pt idx="4">
                  <c:v>117426852.16940583</c:v>
                </c:pt>
                <c:pt idx="5">
                  <c:v>0</c:v>
                </c:pt>
              </c:numCache>
            </c:numRef>
          </c:val>
          <c:extLst>
            <c:ext xmlns:c16="http://schemas.microsoft.com/office/drawing/2014/chart" uri="{C3380CC4-5D6E-409C-BE32-E72D297353CC}">
              <c16:uniqueId val="{0000000C-A1EB-4E79-A2D0-2DE9B2674B5E}"/>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A1EB-4E79-A2D0-2DE9B2674B5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A1EB-4E79-A2D0-2DE9B2674B5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A1EB-4E79-A2D0-2DE9B2674B5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A1EB-4E79-A2D0-2DE9B2674B5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A1EB-4E79-A2D0-2DE9B2674B5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A1EB-4E79-A2D0-2DE9B2674B5E}"/>
                    </c:ext>
                  </c:extLst>
                </c:dPt>
                <c:cat>
                  <c:strRef>
                    <c:extLst>
                      <c:ext uri="{02D57815-91ED-43cb-92C2-25804820EDAC}">
                        <c15:formulaRef>
                          <c15:sqref>'5. Dashboard WC'!$B$138:$B$143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WC'!$C$138:$C$143</c15:sqref>
                        </c15:formulaRef>
                      </c:ext>
                    </c:extLst>
                    <c:numCache>
                      <c:formatCode>General</c:formatCode>
                      <c:ptCount val="6"/>
                    </c:numCache>
                  </c:numRef>
                </c:val>
                <c:extLst>
                  <c:ext xmlns:c16="http://schemas.microsoft.com/office/drawing/2014/chart" uri="{C3380CC4-5D6E-409C-BE32-E72D297353CC}">
                    <c16:uniqueId val="{00000019-A1EB-4E79-A2D0-2DE9B2674B5E}"/>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A1EB-4E79-A2D0-2DE9B2674B5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A1EB-4E79-A2D0-2DE9B2674B5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A1EB-4E79-A2D0-2DE9B2674B5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A1EB-4E79-A2D0-2DE9B2674B5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A1EB-4E79-A2D0-2DE9B2674B5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A1EB-4E79-A2D0-2DE9B2674B5E}"/>
                    </c:ext>
                  </c:extLst>
                </c:dPt>
                <c:cat>
                  <c:strRef>
                    <c:extLst xmlns:c15="http://schemas.microsoft.com/office/drawing/2012/chart">
                      <c:ext xmlns:c15="http://schemas.microsoft.com/office/drawing/2012/chart" uri="{02D57815-91ED-43cb-92C2-25804820EDAC}">
                        <c15:formulaRef>
                          <c15:sqref>'5. Dashboard WC'!$B$138:$B$143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WC'!$E$138:$E$143</c15:sqref>
                        </c15:formulaRef>
                      </c:ext>
                    </c:extLst>
                    <c:numCache>
                      <c:formatCode>"R"#,##0</c:formatCode>
                      <c:ptCount val="6"/>
                      <c:pt idx="0">
                        <c:v>513408.64185672469</c:v>
                      </c:pt>
                      <c:pt idx="1">
                        <c:v>0</c:v>
                      </c:pt>
                      <c:pt idx="2">
                        <c:v>772427.84563235519</c:v>
                      </c:pt>
                      <c:pt idx="3">
                        <c:v>1645518.8443030512</c:v>
                      </c:pt>
                      <c:pt idx="4">
                        <c:v>34562063.976931825</c:v>
                      </c:pt>
                      <c:pt idx="5">
                        <c:v>0</c:v>
                      </c:pt>
                    </c:numCache>
                  </c:numRef>
                </c:val>
                <c:extLst xmlns:c15="http://schemas.microsoft.com/office/drawing/2012/chart">
                  <c:ext xmlns:c16="http://schemas.microsoft.com/office/drawing/2014/chart" uri="{C3380CC4-5D6E-409C-BE32-E72D297353CC}">
                    <c16:uniqueId val="{00000026-A1EB-4E79-A2D0-2DE9B2674B5E}"/>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MTEF Cycle 2018/19 to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5B8-4E25-B974-3FBF0737B79B}"/>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55B8-4E25-B974-3FBF0737B79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5B8-4E25-B974-3FBF0737B79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5B8-4E25-B974-3FBF0737B79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55B8-4E25-B974-3FBF0737B79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5B8-4E25-B974-3FBF0737B79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'5a. Dashboard Total BC Report'!$B$30:$B$35</c:f>
              <c:strCache>
                <c:ptCount val="6"/>
                <c:pt idx="0">
                  <c:v>Rates &amp; Taxes</c:v>
                </c:pt>
                <c:pt idx="1">
                  <c:v>Municipal Charges</c:v>
                </c:pt>
                <c:pt idx="2">
                  <c:v>Maintenance</c:v>
                </c:pt>
                <c:pt idx="3">
                  <c:v>Total Disposal Costs</c:v>
                </c:pt>
                <c:pt idx="4">
                  <c:v>Staff</c:v>
                </c:pt>
                <c:pt idx="5">
                  <c:v>Other </c:v>
                </c:pt>
              </c:strCache>
            </c:strRef>
          </c:cat>
          <c:val>
            <c:numRef>
              <c:f>'5a. Dashboard Total BC Report'!$D$30:$D$35</c:f>
              <c:numCache>
                <c:formatCode>"R"#,##0</c:formatCode>
                <c:ptCount val="6"/>
                <c:pt idx="0">
                  <c:v>95921468.892369315</c:v>
                </c:pt>
                <c:pt idx="1">
                  <c:v>33446331.680249237</c:v>
                </c:pt>
                <c:pt idx="2">
                  <c:v>251630849.92652357</c:v>
                </c:pt>
                <c:pt idx="3">
                  <c:v>11775009.802975692</c:v>
                </c:pt>
                <c:pt idx="4">
                  <c:v>233124509.96204996</c:v>
                </c:pt>
                <c:pt idx="5">
                  <c:v>24930425.284007549</c:v>
                </c:pt>
              </c:numCache>
            </c:numRef>
          </c:val>
          <c:extLst>
            <c:ext xmlns:c16="http://schemas.microsoft.com/office/drawing/2014/chart" uri="{C3380CC4-5D6E-409C-BE32-E72D297353CC}">
              <c16:uniqueId val="{0000000C-55B8-4E25-B974-3FBF0737B79B}"/>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55B8-4E25-B974-3FBF0737B79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55B8-4E25-B974-3FBF0737B79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55B8-4E25-B974-3FBF0737B79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55B8-4E25-B974-3FBF0737B79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55B8-4E25-B974-3FBF0737B79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55B8-4E25-B974-3FBF0737B79B}"/>
                    </c:ext>
                  </c:extLst>
                </c:dPt>
                <c:cat>
                  <c:strRef>
                    <c:extLst>
                      <c:ext uri="{02D57815-91ED-43cb-92C2-25804820EDAC}">
                        <c15:formulaRef>
                          <c15:sqref>'5a. Dashboard Total BC Report'!$B$30:$B$35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'5a. Dashboard Total BC Report'!$C$30:$C$35</c15:sqref>
                        </c15:formulaRef>
                      </c:ext>
                    </c:extLst>
                    <c:numCache>
                      <c:formatCode>General</c:formatCode>
                      <c:ptCount val="6"/>
                    </c:numCache>
                  </c:numRef>
                </c:val>
                <c:extLst>
                  <c:ext xmlns:c16="http://schemas.microsoft.com/office/drawing/2014/chart" uri="{C3380CC4-5D6E-409C-BE32-E72D297353CC}">
                    <c16:uniqueId val="{00000019-55B8-4E25-B974-3FBF0737B79B}"/>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DBF-438E-BAA3-D3BBC7935DDE}"/>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3DBF-438E-BAA3-D3BBC7935DD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DBF-438E-BAA3-D3BBC7935DD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DBF-438E-BAA3-D3BBC7935DDE}"/>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3DBF-438E-BAA3-D3BBC7935DD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DBF-438E-BAA3-D3BBC7935DD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'5a. Dashboard Total BC Report'!$B$30:$B$35</c:f>
              <c:strCache>
                <c:ptCount val="6"/>
                <c:pt idx="0">
                  <c:v>Rates &amp; Taxes</c:v>
                </c:pt>
                <c:pt idx="1">
                  <c:v>Municipal Charges</c:v>
                </c:pt>
                <c:pt idx="2">
                  <c:v>Maintenance</c:v>
                </c:pt>
                <c:pt idx="3">
                  <c:v>Total Disposal Costs</c:v>
                </c:pt>
                <c:pt idx="4">
                  <c:v>Staff</c:v>
                </c:pt>
                <c:pt idx="5">
                  <c:v>Other </c:v>
                </c:pt>
              </c:strCache>
            </c:strRef>
          </c:cat>
          <c:val>
            <c:numRef>
              <c:f>'5a. Dashboard Total BC Report'!$E$30:$E$35</c:f>
              <c:numCache>
                <c:formatCode>"R"#,##0</c:formatCode>
                <c:ptCount val="6"/>
                <c:pt idx="0">
                  <c:v>268801320.53464037</c:v>
                </c:pt>
                <c:pt idx="1">
                  <c:v>95065328.031410933</c:v>
                </c:pt>
                <c:pt idx="2">
                  <c:v>704365386.98006427</c:v>
                </c:pt>
                <c:pt idx="3">
                  <c:v>57651480.565872036</c:v>
                </c:pt>
                <c:pt idx="4">
                  <c:v>792055630.31912971</c:v>
                </c:pt>
                <c:pt idx="5">
                  <c:v>82856426.927502394</c:v>
                </c:pt>
              </c:numCache>
            </c:numRef>
          </c:val>
          <c:extLst>
            <c:ext xmlns:c16="http://schemas.microsoft.com/office/drawing/2014/chart" uri="{C3380CC4-5D6E-409C-BE32-E72D297353CC}">
              <c16:uniqueId val="{0000000C-3DBF-438E-BAA3-D3BBC7935DDE}"/>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3DBF-438E-BAA3-D3BBC7935DD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3DBF-438E-BAA3-D3BBC7935DD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3DBF-438E-BAA3-D3BBC7935DD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3DBF-438E-BAA3-D3BBC7935DD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3DBF-438E-BAA3-D3BBC7935DD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3DBF-438E-BAA3-D3BBC7935DDE}"/>
                    </c:ext>
                  </c:extLst>
                </c:dPt>
                <c:cat>
                  <c:strRef>
                    <c:extLst>
                      <c:ext uri="{02D57815-91ED-43cb-92C2-25804820EDAC}">
                        <c15:formulaRef>
                          <c15:sqref>'5a. Dashboard Total BC Report'!$B$30:$B$35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'5a. Dashboard Total BC Report'!$C$30:$C$35</c15:sqref>
                        </c15:formulaRef>
                      </c:ext>
                    </c:extLst>
                    <c:numCache>
                      <c:formatCode>General</c:formatCode>
                      <c:ptCount val="6"/>
                    </c:numCache>
                  </c:numRef>
                </c:val>
                <c:extLst>
                  <c:ext xmlns:c16="http://schemas.microsoft.com/office/drawing/2014/chart" uri="{C3380CC4-5D6E-409C-BE32-E72D297353CC}">
                    <c16:uniqueId val="{00000019-3DBF-438E-BAA3-D3BBC7935DDE}"/>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3DBF-438E-BAA3-D3BBC7935DD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3DBF-438E-BAA3-D3BBC7935DD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3DBF-438E-BAA3-D3BBC7935DD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3DBF-438E-BAA3-D3BBC7935DD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3DBF-438E-BAA3-D3BBC7935DD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3DBF-438E-BAA3-D3BBC7935DDE}"/>
                    </c:ext>
                  </c:extLst>
                </c:dPt>
                <c:cat>
                  <c:strRef>
                    <c:extLst xmlns:c15="http://schemas.microsoft.com/office/drawing/2012/chart">
                      <c:ext xmlns:c15="http://schemas.microsoft.com/office/drawing/2012/chart" uri="{02D57815-91ED-43cb-92C2-25804820EDAC}">
                        <c15:formulaRef>
                          <c15:sqref>'5a. Dashboard Total BC Report'!$B$30:$B$35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'5a. Dashboard Total BC Report'!$D$30:$D$35</c15:sqref>
                        </c15:formulaRef>
                      </c:ext>
                    </c:extLst>
                    <c:numCache>
                      <c:formatCode>"R"#,##0</c:formatCode>
                      <c:ptCount val="6"/>
                      <c:pt idx="0">
                        <c:v>95921468.892369315</c:v>
                      </c:pt>
                      <c:pt idx="1">
                        <c:v>33446331.680249237</c:v>
                      </c:pt>
                      <c:pt idx="2">
                        <c:v>251630849.92652357</c:v>
                      </c:pt>
                      <c:pt idx="3">
                        <c:v>11775009.802975692</c:v>
                      </c:pt>
                      <c:pt idx="4">
                        <c:v>233124509.96204996</c:v>
                      </c:pt>
                      <c:pt idx="5">
                        <c:v>24930425.284007549</c:v>
                      </c:pt>
                    </c:numCache>
                  </c:numRef>
                </c:val>
                <c:extLst xmlns:c15="http://schemas.microsoft.com/office/drawing/2012/chart">
                  <c:ext xmlns:c16="http://schemas.microsoft.com/office/drawing/2014/chart" uri="{C3380CC4-5D6E-409C-BE32-E72D297353CC}">
                    <c16:uniqueId val="{00000026-3DBF-438E-BAA3-D3BBC7935DDE}"/>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5497722297953749"/>
          <c:h val="0.5821703672000047"/>
        </c:manualLayout>
      </c:layout>
      <c:areaChart>
        <c:grouping val="stacked"/>
        <c:varyColors val="0"/>
        <c:ser>
          <c:idx val="0"/>
          <c:order val="0"/>
          <c:tx>
            <c:strRef>
              <c:f>'5a. Dashboard Total BC Report'!$AI$3</c:f>
              <c:strCache>
                <c:ptCount val="1"/>
                <c:pt idx="0">
                  <c:v>Net Deficit funded by HSDG Top Slice</c:v>
                </c:pt>
              </c:strCache>
            </c:strRef>
          </c:tx>
          <c:spPr>
            <a:solidFill>
              <a:srgbClr val="00B050">
                <a:alpha val="99000"/>
              </a:srgbClr>
            </a:solidFill>
            <a:ln w="25400">
              <a:noFill/>
            </a:ln>
            <a:effectLst/>
          </c:spPr>
          <c:cat>
            <c:strRef>
              <c:f>'5a. Dashboard Total BC Report'!$AJ$2:$BG$2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 Report'!$AJ$3:$BG$3</c:f>
              <c:numCache>
                <c:formatCode>"R"#,##0;\-"R"#,##0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extLst>
            <c:ext xmlns:c16="http://schemas.microsoft.com/office/drawing/2014/chart" uri="{C3380CC4-5D6E-409C-BE32-E72D297353CC}">
              <c16:uniqueId val="{00000000-5057-4CA9-B2E8-DF18FFD85456}"/>
            </c:ext>
          </c:extLst>
        </c:ser>
        <c:ser>
          <c:idx val="1"/>
          <c:order val="1"/>
          <c:tx>
            <c:strRef>
              <c:f>'5a. Dashboard Total BC Report'!$AI$4</c:f>
              <c:strCache>
                <c:ptCount val="1"/>
                <c:pt idx="0">
                  <c:v>EEDBS utilised to settle Existing Sales Debtors Balances Owing</c:v>
                </c:pt>
              </c:strCache>
            </c:strRef>
          </c:tx>
          <c:spPr>
            <a:solidFill>
              <a:srgbClr val="002060"/>
            </a:solidFill>
            <a:ln w="25400">
              <a:noFill/>
            </a:ln>
            <a:effectLst/>
          </c:spPr>
          <c:cat>
            <c:strRef>
              <c:f>'5a. Dashboard Total BC Report'!$AJ$2:$BG$2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 Report'!$AJ$4:$BG$4</c:f>
              <c:numCache>
                <c:formatCode>"R"#,##0;\-"R"#,##0</c:formatCode>
                <c:ptCount val="24"/>
                <c:pt idx="0">
                  <c:v>-17923184</c:v>
                </c:pt>
                <c:pt idx="1">
                  <c:v>-17604545</c:v>
                </c:pt>
                <c:pt idx="2">
                  <c:v>-10717984</c:v>
                </c:pt>
                <c:pt idx="3">
                  <c:v>-3855000</c:v>
                </c:pt>
                <c:pt idx="4">
                  <c:v>-3855000</c:v>
                </c:pt>
                <c:pt idx="5">
                  <c:v>-3570000</c:v>
                </c:pt>
                <c:pt idx="6">
                  <c:v>-1695000</c:v>
                </c:pt>
                <c:pt idx="7">
                  <c:v>-1695000</c:v>
                </c:pt>
                <c:pt idx="8">
                  <c:v>-1695000</c:v>
                </c:pt>
                <c:pt idx="9">
                  <c:v>-1695000</c:v>
                </c:pt>
                <c:pt idx="10">
                  <c:v>-1695000</c:v>
                </c:pt>
                <c:pt idx="11">
                  <c:v>-1695000</c:v>
                </c:pt>
                <c:pt idx="12">
                  <c:v>-1695000</c:v>
                </c:pt>
                <c:pt idx="13">
                  <c:v>-1695000</c:v>
                </c:pt>
                <c:pt idx="14">
                  <c:v>-1695000</c:v>
                </c:pt>
                <c:pt idx="15">
                  <c:v>-1695000</c:v>
                </c:pt>
                <c:pt idx="16">
                  <c:v>-1695000</c:v>
                </c:pt>
                <c:pt idx="17">
                  <c:v>-1695000</c:v>
                </c:pt>
                <c:pt idx="18">
                  <c:v>-1695000</c:v>
                </c:pt>
                <c:pt idx="19">
                  <c:v>-1695000</c:v>
                </c:pt>
                <c:pt idx="20">
                  <c:v>-1695000</c:v>
                </c:pt>
                <c:pt idx="21">
                  <c:v>-1695000</c:v>
                </c:pt>
                <c:pt idx="22">
                  <c:v>-737241641.34717083</c:v>
                </c:pt>
                <c:pt idx="23">
                  <c:v>0</c:v>
                </c:pt>
              </c:numCache>
            </c:numRef>
          </c:val>
          <c:extLst>
            <c:ext xmlns:c16="http://schemas.microsoft.com/office/drawing/2014/chart" uri="{C3380CC4-5D6E-409C-BE32-E72D297353CC}">
              <c16:uniqueId val="{00000001-5057-4CA9-B2E8-DF18FFD85456}"/>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30835139552423402"/>
          <c:y val="0.87124124845840056"/>
          <c:w val="0.31234805552073241"/>
          <c:h val="5.026096235364474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a:t>
            </a:r>
            <a:r>
              <a:rPr lang="en-GB" baseline="0"/>
              <a:t> </a:t>
            </a:r>
            <a:r>
              <a:rPr lang="en-GB"/>
              <a:t>Income</a:t>
            </a:r>
            <a:r>
              <a:rPr lang="en-GB" baseline="0"/>
              <a:t> &amp; </a:t>
            </a:r>
            <a:r>
              <a:rPr lang="en-GB"/>
              <a:t>Expenses v Cumulative</a:t>
            </a:r>
            <a:r>
              <a:rPr lang="en-GB" baseline="0"/>
              <a:t> Net Cash Flow</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688324055268617"/>
          <c:h val="0.7504660585408921"/>
        </c:manualLayout>
      </c:layout>
      <c:areaChart>
        <c:grouping val="standard"/>
        <c:varyColors val="0"/>
        <c:ser>
          <c:idx val="0"/>
          <c:order val="0"/>
          <c:tx>
            <c:strRef>
              <c:f>'5a. Dashboard Total BC Report'!$AI$28</c:f>
              <c:strCache>
                <c:ptCount val="1"/>
                <c:pt idx="0">
                  <c:v>Total Income</c:v>
                </c:pt>
              </c:strCache>
            </c:strRef>
          </c:tx>
          <c:spPr>
            <a:solidFill>
              <a:srgbClr val="7030A0"/>
            </a:solidFill>
            <a:ln>
              <a:noFill/>
            </a:ln>
            <a:effectLst/>
          </c:spPr>
          <c:cat>
            <c:strRef>
              <c:f>'5a. Dashboard Total BC Report'!$AJ$27:$BG$27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 Report'!$AJ$28:$BG$28</c:f>
              <c:numCache>
                <c:formatCode>"R"#,##0</c:formatCode>
                <c:ptCount val="24"/>
                <c:pt idx="0">
                  <c:v>13847741.82</c:v>
                </c:pt>
                <c:pt idx="1">
                  <c:v>16595915.43</c:v>
                </c:pt>
                <c:pt idx="2">
                  <c:v>14925625.75</c:v>
                </c:pt>
                <c:pt idx="3">
                  <c:v>11305567.046898484</c:v>
                </c:pt>
                <c:pt idx="4">
                  <c:v>10295775.108026672</c:v>
                </c:pt>
                <c:pt idx="5">
                  <c:v>8369173.8392901234</c:v>
                </c:pt>
                <c:pt idx="6">
                  <c:v>4298208.2229296956</c:v>
                </c:pt>
                <c:pt idx="7">
                  <c:v>4125590.3054568996</c:v>
                </c:pt>
                <c:pt idx="8">
                  <c:v>3952972.3879841031</c:v>
                </c:pt>
                <c:pt idx="9">
                  <c:v>3780354.470511307</c:v>
                </c:pt>
                <c:pt idx="10">
                  <c:v>3607736.5530385105</c:v>
                </c:pt>
                <c:pt idx="11">
                  <c:v>3435118.6355657149</c:v>
                </c:pt>
                <c:pt idx="12">
                  <c:v>3262500.7180929184</c:v>
                </c:pt>
                <c:pt idx="13">
                  <c:v>3089882.8006201228</c:v>
                </c:pt>
                <c:pt idx="14">
                  <c:v>2917264.8831473263</c:v>
                </c:pt>
                <c:pt idx="15">
                  <c:v>2744646.9656745302</c:v>
                </c:pt>
                <c:pt idx="16">
                  <c:v>2572029.0482017342</c:v>
                </c:pt>
                <c:pt idx="17">
                  <c:v>2399411.1307289382</c:v>
                </c:pt>
                <c:pt idx="18">
                  <c:v>2226793.2132561421</c:v>
                </c:pt>
                <c:pt idx="19">
                  <c:v>2054175.2957833458</c:v>
                </c:pt>
                <c:pt idx="20">
                  <c:v>1881557.3783105498</c:v>
                </c:pt>
                <c:pt idx="21">
                  <c:v>1708939.4608377537</c:v>
                </c:pt>
                <c:pt idx="22">
                  <c:v>481708.31094021688</c:v>
                </c:pt>
                <c:pt idx="23">
                  <c:v>0</c:v>
                </c:pt>
              </c:numCache>
            </c:numRef>
          </c:val>
          <c:extLst>
            <c:ext xmlns:c16="http://schemas.microsoft.com/office/drawing/2014/chart" uri="{C3380CC4-5D6E-409C-BE32-E72D297353CC}">
              <c16:uniqueId val="{00000000-34AA-405B-80C0-B33F720D02DA}"/>
            </c:ext>
          </c:extLst>
        </c:ser>
        <c:ser>
          <c:idx val="1"/>
          <c:order val="1"/>
          <c:tx>
            <c:strRef>
              <c:f>'5a. Dashboard Total BC Report'!$AI$29</c:f>
              <c:strCache>
                <c:ptCount val="1"/>
                <c:pt idx="0">
                  <c:v>Total Expenditure</c:v>
                </c:pt>
              </c:strCache>
            </c:strRef>
          </c:tx>
          <c:spPr>
            <a:solidFill>
              <a:srgbClr val="92D050"/>
            </a:solidFill>
            <a:ln>
              <a:noFill/>
            </a:ln>
            <a:effectLst/>
          </c:spPr>
          <c:cat>
            <c:strRef>
              <c:f>'5a. Dashboard Total BC Report'!$AJ$27:$BG$27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 Report'!$AJ$29:$BG$29</c:f>
              <c:numCache>
                <c:formatCode>"R"#,##0</c:formatCode>
                <c:ptCount val="24"/>
                <c:pt idx="0">
                  <c:v>-126486884.31333333</c:v>
                </c:pt>
                <c:pt idx="1">
                  <c:v>-136616043.32333332</c:v>
                </c:pt>
                <c:pt idx="2">
                  <c:v>-143214809.11000001</c:v>
                </c:pt>
                <c:pt idx="3">
                  <c:v>-143253743.71700636</c:v>
                </c:pt>
                <c:pt idx="4">
                  <c:v>-139067846.33322573</c:v>
                </c:pt>
                <c:pt idx="5">
                  <c:v>-133721299.89060706</c:v>
                </c:pt>
                <c:pt idx="6">
                  <c:v>-131255140.47134125</c:v>
                </c:pt>
                <c:pt idx="7">
                  <c:v>-130281139.72238086</c:v>
                </c:pt>
                <c:pt idx="8">
                  <c:v>-128802952.09110902</c:v>
                </c:pt>
                <c:pt idx="9">
                  <c:v>-126768063.37273706</c:v>
                </c:pt>
                <c:pt idx="10">
                  <c:v>-124119707.96526858</c:v>
                </c:pt>
                <c:pt idx="11">
                  <c:v>-120796560.07127605</c:v>
                </c:pt>
                <c:pt idx="12">
                  <c:v>-116732403.79234941</c:v>
                </c:pt>
                <c:pt idx="13">
                  <c:v>-111855780.72852524</c:v>
                </c:pt>
                <c:pt idx="14">
                  <c:v>-106089613.60620853</c:v>
                </c:pt>
                <c:pt idx="15">
                  <c:v>-99350804.363733217</c:v>
                </c:pt>
                <c:pt idx="16">
                  <c:v>-91549805.023426801</c:v>
                </c:pt>
                <c:pt idx="17">
                  <c:v>-82590159.57248643</c:v>
                </c:pt>
                <c:pt idx="18">
                  <c:v>-72368014.961746752</c:v>
                </c:pt>
                <c:pt idx="19">
                  <c:v>-60771599.211118914</c:v>
                </c:pt>
                <c:pt idx="20">
                  <c:v>-47680664.482662745</c:v>
                </c:pt>
                <c:pt idx="21">
                  <c:v>-32965892.846462775</c:v>
                </c:pt>
                <c:pt idx="22">
                  <c:v>-774381.134947057</c:v>
                </c:pt>
                <c:pt idx="23">
                  <c:v>0</c:v>
                </c:pt>
              </c:numCache>
            </c:numRef>
          </c:val>
          <c:extLst>
            <c:ext xmlns:c16="http://schemas.microsoft.com/office/drawing/2014/chart" uri="{C3380CC4-5D6E-409C-BE32-E72D297353CC}">
              <c16:uniqueId val="{00000001-34AA-405B-80C0-B33F720D02DA}"/>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'5a. Dashboard Total BC Report'!$AI$31</c:f>
              <c:strCache>
                <c:ptCount val="1"/>
                <c:pt idx="0">
                  <c:v>Cumulative Surplus/(Deficit)</c:v>
                </c:pt>
              </c:strCache>
            </c:strRef>
          </c:tx>
          <c:spPr>
            <a:ln w="28575" cap="rnd">
              <a:solidFill>
                <a:srgbClr val="00B0F0"/>
              </a:solidFill>
              <a:round/>
            </a:ln>
            <a:effectLst/>
          </c:spPr>
          <c:marker>
            <c:symbol val="none"/>
          </c:marker>
          <c:cat>
            <c:strRef>
              <c:f>'5a. Dashboard Total BC Report'!$AJ$27:$BG$27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 Report'!$AJ$31:$BG$31</c:f>
              <c:numCache>
                <c:formatCode>"R"#,##0</c:formatCode>
                <c:ptCount val="24"/>
                <c:pt idx="0">
                  <c:v>-112639142.49333334</c:v>
                </c:pt>
                <c:pt idx="1">
                  <c:v>-232659270.38666666</c:v>
                </c:pt>
                <c:pt idx="2">
                  <c:v>-360948453.74666667</c:v>
                </c:pt>
                <c:pt idx="3">
                  <c:v>-492896630.41677451</c:v>
                </c:pt>
                <c:pt idx="4">
                  <c:v>-621668701.64197361</c:v>
                </c:pt>
                <c:pt idx="5">
                  <c:v>-747020827.69329059</c:v>
                </c:pt>
                <c:pt idx="6">
                  <c:v>-873977759.94170213</c:v>
                </c:pt>
                <c:pt idx="7">
                  <c:v>-1000133309.3586261</c:v>
                </c:pt>
                <c:pt idx="8">
                  <c:v>-1124983289.0617511</c:v>
                </c:pt>
                <c:pt idx="9">
                  <c:v>-1247970997.9639769</c:v>
                </c:pt>
                <c:pt idx="10">
                  <c:v>-1368482969.3762069</c:v>
                </c:pt>
                <c:pt idx="11">
                  <c:v>-1485844410.8119173</c:v>
                </c:pt>
                <c:pt idx="12">
                  <c:v>-1599314313.8861737</c:v>
                </c:pt>
                <c:pt idx="13">
                  <c:v>-1708080211.8140788</c:v>
                </c:pt>
                <c:pt idx="14">
                  <c:v>-1811252560.5371399</c:v>
                </c:pt>
                <c:pt idx="15">
                  <c:v>-1907858717.9351985</c:v>
                </c:pt>
                <c:pt idx="16">
                  <c:v>-1996836493.9104235</c:v>
                </c:pt>
                <c:pt idx="17">
                  <c:v>-2077027242.352181</c:v>
                </c:pt>
                <c:pt idx="18">
                  <c:v>-2147168464.1006715</c:v>
                </c:pt>
                <c:pt idx="19">
                  <c:v>-2205885888.0160069</c:v>
                </c:pt>
                <c:pt idx="20">
                  <c:v>-2251684995.1203589</c:v>
                </c:pt>
                <c:pt idx="21">
                  <c:v>-2282941948.5059838</c:v>
                </c:pt>
                <c:pt idx="22">
                  <c:v>-2283234621.3299909</c:v>
                </c:pt>
                <c:pt idx="23">
                  <c:v>-2283234621.3299909</c:v>
                </c:pt>
              </c:numCache>
            </c:numRef>
          </c:val>
          <c:smooth val="0"/>
          <c:extLst>
            <c:ext xmlns:c16="http://schemas.microsoft.com/office/drawing/2014/chart" uri="{C3380CC4-5D6E-409C-BE32-E72D297353CC}">
              <c16:uniqueId val="{00000002-34AA-405B-80C0-B33F720D02DA}"/>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'5a. Dashboard Total BC Report'!$AI$30</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'5a. Dashboard Total BC Report'!$AJ$27:$BG$27</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'5a. Dashboard Total BC Report'!$AJ$30:$BG$30</c15:sqref>
                        </c15:formulaRef>
                      </c:ext>
                    </c:extLst>
                    <c:numCache>
                      <c:formatCode>"R"#,##0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smooth val="0"/>
                <c:extLst>
                  <c:ext xmlns:c16="http://schemas.microsoft.com/office/drawing/2014/chart" uri="{C3380CC4-5D6E-409C-BE32-E72D297353CC}">
                    <c16:uniqueId val="{00000003-34AA-405B-80C0-B33F720D02DA}"/>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MTEF Cycle 2018/19 to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719-46A7-9BDE-CF7313AB313D}"/>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5719-46A7-9BDE-CF7313AB31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719-46A7-9BDE-CF7313AB313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719-46A7-9BDE-CF7313AB313D}"/>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5719-46A7-9BDE-CF7313AB313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719-46A7-9BDE-CF7313AB313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'5a. Dashboard Total BC'!$B$30:$B$35</c:f>
              <c:strCache>
                <c:ptCount val="6"/>
                <c:pt idx="0">
                  <c:v>Rates &amp; Taxes</c:v>
                </c:pt>
                <c:pt idx="1">
                  <c:v>Municipal Charges</c:v>
                </c:pt>
                <c:pt idx="2">
                  <c:v>Maintenance</c:v>
                </c:pt>
                <c:pt idx="3">
                  <c:v>Total Disposal Costs</c:v>
                </c:pt>
                <c:pt idx="4">
                  <c:v>Staff</c:v>
                </c:pt>
                <c:pt idx="5">
                  <c:v>Other </c:v>
                </c:pt>
              </c:strCache>
            </c:strRef>
          </c:cat>
          <c:val>
            <c:numRef>
              <c:f>'5a. Dashboard Total BC'!$D$30:$D$35</c:f>
              <c:numCache>
                <c:formatCode>"R"#,##0</c:formatCode>
                <c:ptCount val="6"/>
                <c:pt idx="0">
                  <c:v>95921468.892369315</c:v>
                </c:pt>
                <c:pt idx="1">
                  <c:v>33446331.680249237</c:v>
                </c:pt>
                <c:pt idx="2">
                  <c:v>251630849.92652357</c:v>
                </c:pt>
                <c:pt idx="3">
                  <c:v>11775009.802975692</c:v>
                </c:pt>
                <c:pt idx="4">
                  <c:v>233124509.96204996</c:v>
                </c:pt>
                <c:pt idx="5">
                  <c:v>24930425.284007549</c:v>
                </c:pt>
              </c:numCache>
            </c:numRef>
          </c:val>
          <c:extLst>
            <c:ext xmlns:c16="http://schemas.microsoft.com/office/drawing/2014/chart" uri="{C3380CC4-5D6E-409C-BE32-E72D297353CC}">
              <c16:uniqueId val="{0000000C-5719-46A7-9BDE-CF7313AB313D}"/>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5719-46A7-9BDE-CF7313AB31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5719-46A7-9BDE-CF7313AB31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5719-46A7-9BDE-CF7313AB313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5719-46A7-9BDE-CF7313AB313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5719-46A7-9BDE-CF7313AB313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5719-46A7-9BDE-CF7313AB313D}"/>
                    </c:ext>
                  </c:extLst>
                </c:dPt>
                <c:cat>
                  <c:strRef>
                    <c:extLst>
                      <c:ext uri="{02D57815-91ED-43cb-92C2-25804820EDAC}">
                        <c15:formulaRef>
                          <c15:sqref>'5a. Dashboard Total BC'!$B$30:$B$35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'5a. Dashboard Total BC'!$C$30:$C$35</c15:sqref>
                        </c15:formulaRef>
                      </c:ext>
                    </c:extLst>
                    <c:numCache>
                      <c:formatCode>General</c:formatCode>
                      <c:ptCount val="6"/>
                    </c:numCache>
                  </c:numRef>
                </c:val>
                <c:extLst>
                  <c:ext xmlns:c16="http://schemas.microsoft.com/office/drawing/2014/chart" uri="{C3380CC4-5D6E-409C-BE32-E72D297353CC}">
                    <c16:uniqueId val="{00000019-5719-46A7-9BDE-CF7313AB313D}"/>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E54-4FA6-A193-D5B648473A9C}"/>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BE54-4FA6-A193-D5B648473A9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E54-4FA6-A193-D5B648473A9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E54-4FA6-A193-D5B648473A9C}"/>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BE54-4FA6-A193-D5B648473A9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E54-4FA6-A193-D5B648473A9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'5a. Dashboard Total BC'!$B$30:$B$35</c:f>
              <c:strCache>
                <c:ptCount val="6"/>
                <c:pt idx="0">
                  <c:v>Rates &amp; Taxes</c:v>
                </c:pt>
                <c:pt idx="1">
                  <c:v>Municipal Charges</c:v>
                </c:pt>
                <c:pt idx="2">
                  <c:v>Maintenance</c:v>
                </c:pt>
                <c:pt idx="3">
                  <c:v>Total Disposal Costs</c:v>
                </c:pt>
                <c:pt idx="4">
                  <c:v>Staff</c:v>
                </c:pt>
                <c:pt idx="5">
                  <c:v>Other </c:v>
                </c:pt>
              </c:strCache>
            </c:strRef>
          </c:cat>
          <c:val>
            <c:numRef>
              <c:f>'5a. Dashboard Total BC'!$E$30:$E$35</c:f>
              <c:numCache>
                <c:formatCode>"R"#,##0</c:formatCode>
                <c:ptCount val="6"/>
                <c:pt idx="0">
                  <c:v>268801320.53464037</c:v>
                </c:pt>
                <c:pt idx="1">
                  <c:v>95065328.031410933</c:v>
                </c:pt>
                <c:pt idx="2">
                  <c:v>704365386.98006427</c:v>
                </c:pt>
                <c:pt idx="3">
                  <c:v>57651480.565872036</c:v>
                </c:pt>
                <c:pt idx="4">
                  <c:v>792055630.31912971</c:v>
                </c:pt>
                <c:pt idx="5">
                  <c:v>82856426.927502394</c:v>
                </c:pt>
              </c:numCache>
            </c:numRef>
          </c:val>
          <c:extLst>
            <c:ext xmlns:c16="http://schemas.microsoft.com/office/drawing/2014/chart" uri="{C3380CC4-5D6E-409C-BE32-E72D297353CC}">
              <c16:uniqueId val="{0000000C-BE54-4FA6-A193-D5B648473A9C}"/>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BE54-4FA6-A193-D5B648473A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BE54-4FA6-A193-D5B648473A9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BE54-4FA6-A193-D5B648473A9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BE54-4FA6-A193-D5B648473A9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BE54-4FA6-A193-D5B648473A9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BE54-4FA6-A193-D5B648473A9C}"/>
                    </c:ext>
                  </c:extLst>
                </c:dPt>
                <c:cat>
                  <c:strRef>
                    <c:extLst>
                      <c:ext uri="{02D57815-91ED-43cb-92C2-25804820EDAC}">
                        <c15:formulaRef>
                          <c15:sqref>'5a. Dashboard Total BC'!$B$30:$B$35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'5a. Dashboard Total BC'!$C$30:$C$35</c15:sqref>
                        </c15:formulaRef>
                      </c:ext>
                    </c:extLst>
                    <c:numCache>
                      <c:formatCode>General</c:formatCode>
                      <c:ptCount val="6"/>
                    </c:numCache>
                  </c:numRef>
                </c:val>
                <c:extLst>
                  <c:ext xmlns:c16="http://schemas.microsoft.com/office/drawing/2014/chart" uri="{C3380CC4-5D6E-409C-BE32-E72D297353CC}">
                    <c16:uniqueId val="{00000019-BE54-4FA6-A193-D5B648473A9C}"/>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BE54-4FA6-A193-D5B648473A9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BE54-4FA6-A193-D5B648473A9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BE54-4FA6-A193-D5B648473A9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BE54-4FA6-A193-D5B648473A9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BE54-4FA6-A193-D5B648473A9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BE54-4FA6-A193-D5B648473A9C}"/>
                    </c:ext>
                  </c:extLst>
                </c:dPt>
                <c:cat>
                  <c:strRef>
                    <c:extLst xmlns:c15="http://schemas.microsoft.com/office/drawing/2012/chart">
                      <c:ext xmlns:c15="http://schemas.microsoft.com/office/drawing/2012/chart" uri="{02D57815-91ED-43cb-92C2-25804820EDAC}">
                        <c15:formulaRef>
                          <c15:sqref>'5a. Dashboard Total BC'!$B$30:$B$35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'5a. Dashboard Total BC'!$D$30:$D$35</c15:sqref>
                        </c15:formulaRef>
                      </c:ext>
                    </c:extLst>
                    <c:numCache>
                      <c:formatCode>"R"#,##0</c:formatCode>
                      <c:ptCount val="6"/>
                      <c:pt idx="0">
                        <c:v>95921468.892369315</c:v>
                      </c:pt>
                      <c:pt idx="1">
                        <c:v>33446331.680249237</c:v>
                      </c:pt>
                      <c:pt idx="2">
                        <c:v>251630849.92652357</c:v>
                      </c:pt>
                      <c:pt idx="3">
                        <c:v>11775009.802975692</c:v>
                      </c:pt>
                      <c:pt idx="4">
                        <c:v>233124509.96204996</c:v>
                      </c:pt>
                      <c:pt idx="5">
                        <c:v>24930425.284007549</c:v>
                      </c:pt>
                    </c:numCache>
                  </c:numRef>
                </c:val>
                <c:extLst xmlns:c15="http://schemas.microsoft.com/office/drawing/2012/chart">
                  <c:ext xmlns:c16="http://schemas.microsoft.com/office/drawing/2014/chart" uri="{C3380CC4-5D6E-409C-BE32-E72D297353CC}">
                    <c16:uniqueId val="{00000026-BE54-4FA6-A193-D5B648473A9C}"/>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5497722297953749"/>
          <c:h val="0.5821703672000047"/>
        </c:manualLayout>
      </c:layout>
      <c:areaChart>
        <c:grouping val="stacked"/>
        <c:varyColors val="0"/>
        <c:ser>
          <c:idx val="0"/>
          <c:order val="0"/>
          <c:tx>
            <c:strRef>
              <c:f>'5a. Dashboard Total BC'!$AA$3</c:f>
              <c:strCache>
                <c:ptCount val="1"/>
                <c:pt idx="0">
                  <c:v>Net Deficit funded by HSDG Top Slice</c:v>
                </c:pt>
              </c:strCache>
            </c:strRef>
          </c:tx>
          <c:spPr>
            <a:solidFill>
              <a:srgbClr val="00B050">
                <a:alpha val="99000"/>
              </a:srgbClr>
            </a:solidFill>
            <a:ln w="25400">
              <a:noFill/>
            </a:ln>
            <a:effectLst/>
          </c:spPr>
          <c:cat>
            <c:strRef>
              <c:f>'5a. Dashboard Total BC'!$AB$2:$AY$2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BC'!$AB$3:$AY$3</c:f>
              <c:numCache>
                <c:formatCode>"R"#,##0;\-"R"#,##0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extLst>
            <c:ext xmlns:c16="http://schemas.microsoft.com/office/drawing/2014/chart" uri="{C3380CC4-5D6E-409C-BE32-E72D297353CC}">
              <c16:uniqueId val="{00000000-EE8B-4443-9D9A-96DB506AE9E3}"/>
            </c:ext>
          </c:extLst>
        </c:ser>
        <c:ser>
          <c:idx val="1"/>
          <c:order val="1"/>
          <c:tx>
            <c:strRef>
              <c:f>'5a. Dashboard Total BC'!$AA$4</c:f>
              <c:strCache>
                <c:ptCount val="1"/>
                <c:pt idx="0">
                  <c:v>EEDBS utilised to settle Existing Sales Debtors Balances Owing</c:v>
                </c:pt>
              </c:strCache>
            </c:strRef>
          </c:tx>
          <c:spPr>
            <a:solidFill>
              <a:srgbClr val="002060"/>
            </a:solidFill>
            <a:ln w="25400">
              <a:noFill/>
            </a:ln>
            <a:effectLst/>
          </c:spPr>
          <c:cat>
            <c:strRef>
              <c:f>'5a. Dashboard Total BC'!$AB$2:$AY$2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BC'!$AB$4:$AY$4</c:f>
              <c:numCache>
                <c:formatCode>"R"#,##0;\-"R"#,##0</c:formatCode>
                <c:ptCount val="24"/>
                <c:pt idx="0">
                  <c:v>-17923184</c:v>
                </c:pt>
                <c:pt idx="1">
                  <c:v>-17604545</c:v>
                </c:pt>
                <c:pt idx="2">
                  <c:v>-10717984</c:v>
                </c:pt>
                <c:pt idx="3">
                  <c:v>-3855000</c:v>
                </c:pt>
                <c:pt idx="4">
                  <c:v>-3855000</c:v>
                </c:pt>
                <c:pt idx="5">
                  <c:v>-3570000</c:v>
                </c:pt>
                <c:pt idx="6">
                  <c:v>-1695000</c:v>
                </c:pt>
                <c:pt idx="7">
                  <c:v>-1695000</c:v>
                </c:pt>
                <c:pt idx="8">
                  <c:v>-1695000</c:v>
                </c:pt>
                <c:pt idx="9">
                  <c:v>-1695000</c:v>
                </c:pt>
                <c:pt idx="10">
                  <c:v>-1695000</c:v>
                </c:pt>
                <c:pt idx="11">
                  <c:v>-1695000</c:v>
                </c:pt>
                <c:pt idx="12">
                  <c:v>-1695000</c:v>
                </c:pt>
                <c:pt idx="13">
                  <c:v>-1695000</c:v>
                </c:pt>
                <c:pt idx="14">
                  <c:v>-1695000</c:v>
                </c:pt>
                <c:pt idx="15">
                  <c:v>-1695000</c:v>
                </c:pt>
                <c:pt idx="16">
                  <c:v>-1695000</c:v>
                </c:pt>
                <c:pt idx="17">
                  <c:v>-1695000</c:v>
                </c:pt>
                <c:pt idx="18">
                  <c:v>-1695000</c:v>
                </c:pt>
                <c:pt idx="19">
                  <c:v>-1695000</c:v>
                </c:pt>
                <c:pt idx="20">
                  <c:v>-1695000</c:v>
                </c:pt>
                <c:pt idx="21">
                  <c:v>-1695000</c:v>
                </c:pt>
                <c:pt idx="22">
                  <c:v>-737241641.34717083</c:v>
                </c:pt>
                <c:pt idx="23">
                  <c:v>0</c:v>
                </c:pt>
              </c:numCache>
            </c:numRef>
          </c:val>
          <c:extLst>
            <c:ext xmlns:c16="http://schemas.microsoft.com/office/drawing/2014/chart" uri="{C3380CC4-5D6E-409C-BE32-E72D297353CC}">
              <c16:uniqueId val="{00000001-EE8B-4443-9D9A-96DB506AE9E3}"/>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30835139552423402"/>
          <c:y val="0.87124124845840056"/>
          <c:w val="0.31234805552073241"/>
          <c:h val="5.026096235364474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97F-4556-B09B-D4495D999A5D}"/>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F97F-4556-B09B-D4495D999A5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97F-4556-B09B-D4495D999A5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97F-4556-B09B-D4495D999A5D}"/>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F97F-4556-B09B-D4495D999A5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97F-4556-B09B-D4495D999A5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Live'!$B$138:$B$143</c:f>
              <c:strCache>
                <c:ptCount val="6"/>
                <c:pt idx="0">
                  <c:v>Rates &amp; Taxes</c:v>
                </c:pt>
                <c:pt idx="1">
                  <c:v>Municipal Charges</c:v>
                </c:pt>
                <c:pt idx="2">
                  <c:v>Maintenance</c:v>
                </c:pt>
                <c:pt idx="3">
                  <c:v>Total Disposal Costs</c:v>
                </c:pt>
                <c:pt idx="4">
                  <c:v>Staff</c:v>
                </c:pt>
                <c:pt idx="5">
                  <c:v>Other </c:v>
                </c:pt>
              </c:strCache>
            </c:strRef>
          </c:cat>
          <c:val>
            <c:numRef>
              <c:f>'5. Dashboard Live'!$F$138:$F$143</c:f>
              <c:numCache>
                <c:formatCode>"R"#,##0</c:formatCode>
                <c:ptCount val="6"/>
                <c:pt idx="0">
                  <c:v>834362.49358135683</c:v>
                </c:pt>
                <c:pt idx="1">
                  <c:v>8306564.0350577645</c:v>
                </c:pt>
                <c:pt idx="2">
                  <c:v>0</c:v>
                </c:pt>
                <c:pt idx="3">
                  <c:v>881694.30890112126</c:v>
                </c:pt>
                <c:pt idx="4">
                  <c:v>13814923.78463598</c:v>
                </c:pt>
                <c:pt idx="5">
                  <c:v>70569221.677300453</c:v>
                </c:pt>
              </c:numCache>
            </c:numRef>
          </c:val>
          <c:extLst>
            <c:ext xmlns:c16="http://schemas.microsoft.com/office/drawing/2014/chart" uri="{C3380CC4-5D6E-409C-BE32-E72D297353CC}">
              <c16:uniqueId val="{0000000C-F97F-4556-B09B-D4495D999A5D}"/>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F97F-4556-B09B-D4495D999A5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F97F-4556-B09B-D4495D999A5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F97F-4556-B09B-D4495D999A5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F97F-4556-B09B-D4495D999A5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F97F-4556-B09B-D4495D999A5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F97F-4556-B09B-D4495D999A5D}"/>
                    </c:ext>
                  </c:extLst>
                </c:dPt>
                <c:cat>
                  <c:strRef>
                    <c:extLst>
                      <c:ext uri="{02D57815-91ED-43cb-92C2-25804820EDAC}">
                        <c15:formulaRef>
                          <c15:sqref>'5. Dashboard Live'!$B$138:$B$143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Live'!$C$138:$C$143</c15:sqref>
                        </c15:formulaRef>
                      </c:ext>
                    </c:extLst>
                    <c:numCache>
                      <c:formatCode>General</c:formatCode>
                      <c:ptCount val="6"/>
                    </c:numCache>
                  </c:numRef>
                </c:val>
                <c:extLst>
                  <c:ext xmlns:c16="http://schemas.microsoft.com/office/drawing/2014/chart" uri="{C3380CC4-5D6E-409C-BE32-E72D297353CC}">
                    <c16:uniqueId val="{00000019-F97F-4556-B09B-D4495D999A5D}"/>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F97F-4556-B09B-D4495D999A5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F97F-4556-B09B-D4495D999A5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F97F-4556-B09B-D4495D999A5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F97F-4556-B09B-D4495D999A5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F97F-4556-B09B-D4495D999A5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F97F-4556-B09B-D4495D999A5D}"/>
                    </c:ext>
                  </c:extLst>
                </c:dPt>
                <c:cat>
                  <c:strRef>
                    <c:extLst xmlns:c15="http://schemas.microsoft.com/office/drawing/2012/chart">
                      <c:ext xmlns:c15="http://schemas.microsoft.com/office/drawing/2012/chart" uri="{02D57815-91ED-43cb-92C2-25804820EDAC}">
                        <c15:formulaRef>
                          <c15:sqref>'5. Dashboard Live'!$B$138:$B$143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Live'!$E$138:$E$143</c15:sqref>
                        </c15:formulaRef>
                      </c:ext>
                    </c:extLst>
                    <c:numCache>
                      <c:formatCode>"R"#,##0</c:formatCode>
                      <c:ptCount val="6"/>
                      <c:pt idx="0">
                        <c:v>252001.66593494211</c:v>
                      </c:pt>
                      <c:pt idx="1">
                        <c:v>2508823.1927166809</c:v>
                      </c:pt>
                      <c:pt idx="2">
                        <c:v>0</c:v>
                      </c:pt>
                      <c:pt idx="3">
                        <c:v>211625.31374314771</c:v>
                      </c:pt>
                      <c:pt idx="4">
                        <c:v>4066125.1737566851</c:v>
                      </c:pt>
                      <c:pt idx="5">
                        <c:v>21313951.146196745</c:v>
                      </c:pt>
                    </c:numCache>
                  </c:numRef>
                </c:val>
                <c:extLst xmlns:c15="http://schemas.microsoft.com/office/drawing/2012/chart">
                  <c:ext xmlns:c16="http://schemas.microsoft.com/office/drawing/2014/chart" uri="{C3380CC4-5D6E-409C-BE32-E72D297353CC}">
                    <c16:uniqueId val="{00000026-F97F-4556-B09B-D4495D999A5D}"/>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a:t>
            </a:r>
            <a:r>
              <a:rPr lang="en-GB" baseline="0"/>
              <a:t> </a:t>
            </a:r>
            <a:r>
              <a:rPr lang="en-GB"/>
              <a:t>Income</a:t>
            </a:r>
            <a:r>
              <a:rPr lang="en-GB" baseline="0"/>
              <a:t> &amp; </a:t>
            </a:r>
            <a:r>
              <a:rPr lang="en-GB"/>
              <a:t>Expenses v Cumulative</a:t>
            </a:r>
            <a:r>
              <a:rPr lang="en-GB" baseline="0"/>
              <a:t> Net Cash Flow</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688324055268617"/>
          <c:h val="0.7504660585408921"/>
        </c:manualLayout>
      </c:layout>
      <c:areaChart>
        <c:grouping val="standard"/>
        <c:varyColors val="0"/>
        <c:ser>
          <c:idx val="0"/>
          <c:order val="0"/>
          <c:tx>
            <c:strRef>
              <c:f>'5a. Dashboard Total BC'!$AA$28</c:f>
              <c:strCache>
                <c:ptCount val="1"/>
                <c:pt idx="0">
                  <c:v>Total Income</c:v>
                </c:pt>
              </c:strCache>
            </c:strRef>
          </c:tx>
          <c:spPr>
            <a:solidFill>
              <a:srgbClr val="7030A0"/>
            </a:solidFill>
            <a:ln>
              <a:noFill/>
            </a:ln>
            <a:effectLst/>
          </c:spPr>
          <c:cat>
            <c:strRef>
              <c:f>'5a. Dashboard Total BC'!$AB$27:$AY$27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BC'!$AB$28:$AY$28</c:f>
              <c:numCache>
                <c:formatCode>"R"#,##0</c:formatCode>
                <c:ptCount val="24"/>
                <c:pt idx="0">
                  <c:v>13847741.82</c:v>
                </c:pt>
                <c:pt idx="1">
                  <c:v>16595915.43</c:v>
                </c:pt>
                <c:pt idx="2">
                  <c:v>14925625.75</c:v>
                </c:pt>
                <c:pt idx="3">
                  <c:v>11305567.046898484</c:v>
                </c:pt>
                <c:pt idx="4">
                  <c:v>10295775.108026672</c:v>
                </c:pt>
                <c:pt idx="5">
                  <c:v>8369173.8392901234</c:v>
                </c:pt>
                <c:pt idx="6">
                  <c:v>4298208.2229296956</c:v>
                </c:pt>
                <c:pt idx="7">
                  <c:v>4125590.3054568996</c:v>
                </c:pt>
                <c:pt idx="8">
                  <c:v>3952972.3879841031</c:v>
                </c:pt>
                <c:pt idx="9">
                  <c:v>3780354.470511307</c:v>
                </c:pt>
                <c:pt idx="10">
                  <c:v>3607736.5530385105</c:v>
                </c:pt>
                <c:pt idx="11">
                  <c:v>3435118.6355657149</c:v>
                </c:pt>
                <c:pt idx="12">
                  <c:v>3262500.7180929184</c:v>
                </c:pt>
                <c:pt idx="13">
                  <c:v>3089882.8006201228</c:v>
                </c:pt>
                <c:pt idx="14">
                  <c:v>2917264.8831473263</c:v>
                </c:pt>
                <c:pt idx="15">
                  <c:v>2744646.9656745302</c:v>
                </c:pt>
                <c:pt idx="16">
                  <c:v>2572029.0482017342</c:v>
                </c:pt>
                <c:pt idx="17">
                  <c:v>2399411.1307289382</c:v>
                </c:pt>
                <c:pt idx="18">
                  <c:v>2226793.2132561421</c:v>
                </c:pt>
                <c:pt idx="19">
                  <c:v>2054175.2957833458</c:v>
                </c:pt>
                <c:pt idx="20">
                  <c:v>1881557.3783105498</c:v>
                </c:pt>
                <c:pt idx="21">
                  <c:v>1708939.4608377537</c:v>
                </c:pt>
                <c:pt idx="22">
                  <c:v>481708.31094021688</c:v>
                </c:pt>
                <c:pt idx="23">
                  <c:v>0</c:v>
                </c:pt>
              </c:numCache>
            </c:numRef>
          </c:val>
          <c:extLst>
            <c:ext xmlns:c16="http://schemas.microsoft.com/office/drawing/2014/chart" uri="{C3380CC4-5D6E-409C-BE32-E72D297353CC}">
              <c16:uniqueId val="{00000000-F467-4E28-8768-8BD84F1C9E6D}"/>
            </c:ext>
          </c:extLst>
        </c:ser>
        <c:ser>
          <c:idx val="1"/>
          <c:order val="1"/>
          <c:tx>
            <c:strRef>
              <c:f>'5a. Dashboard Total BC'!$AA$29</c:f>
              <c:strCache>
                <c:ptCount val="1"/>
                <c:pt idx="0">
                  <c:v>Total Expenditure</c:v>
                </c:pt>
              </c:strCache>
            </c:strRef>
          </c:tx>
          <c:spPr>
            <a:solidFill>
              <a:srgbClr val="92D050"/>
            </a:solidFill>
            <a:ln>
              <a:noFill/>
            </a:ln>
            <a:effectLst/>
          </c:spPr>
          <c:cat>
            <c:strRef>
              <c:f>'5a. Dashboard Total BC'!$AB$27:$AY$27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BC'!$AB$29:$AY$29</c:f>
              <c:numCache>
                <c:formatCode>"R"#,##0</c:formatCode>
                <c:ptCount val="24"/>
                <c:pt idx="0">
                  <c:v>-126486884.31333333</c:v>
                </c:pt>
                <c:pt idx="1">
                  <c:v>-136616043.32333332</c:v>
                </c:pt>
                <c:pt idx="2">
                  <c:v>-143214809.11000001</c:v>
                </c:pt>
                <c:pt idx="3">
                  <c:v>-143253743.71700636</c:v>
                </c:pt>
                <c:pt idx="4">
                  <c:v>-139067846.33322573</c:v>
                </c:pt>
                <c:pt idx="5">
                  <c:v>-133721299.89060706</c:v>
                </c:pt>
                <c:pt idx="6">
                  <c:v>-131255140.47134125</c:v>
                </c:pt>
                <c:pt idx="7">
                  <c:v>-130281139.72238086</c:v>
                </c:pt>
                <c:pt idx="8">
                  <c:v>-128802952.09110902</c:v>
                </c:pt>
                <c:pt idx="9">
                  <c:v>-126768063.37273706</c:v>
                </c:pt>
                <c:pt idx="10">
                  <c:v>-124119707.96526858</c:v>
                </c:pt>
                <c:pt idx="11">
                  <c:v>-120796560.07127605</c:v>
                </c:pt>
                <c:pt idx="12">
                  <c:v>-116732403.79234941</c:v>
                </c:pt>
                <c:pt idx="13">
                  <c:v>-111855780.72852524</c:v>
                </c:pt>
                <c:pt idx="14">
                  <c:v>-106089613.60620853</c:v>
                </c:pt>
                <c:pt idx="15">
                  <c:v>-99350804.363733217</c:v>
                </c:pt>
                <c:pt idx="16">
                  <c:v>-91549805.023426801</c:v>
                </c:pt>
                <c:pt idx="17">
                  <c:v>-82590159.57248643</c:v>
                </c:pt>
                <c:pt idx="18">
                  <c:v>-72368014.961746752</c:v>
                </c:pt>
                <c:pt idx="19">
                  <c:v>-60771599.211118914</c:v>
                </c:pt>
                <c:pt idx="20">
                  <c:v>-47680664.482662745</c:v>
                </c:pt>
                <c:pt idx="21">
                  <c:v>-32965892.846462775</c:v>
                </c:pt>
                <c:pt idx="22">
                  <c:v>-774381.134947057</c:v>
                </c:pt>
                <c:pt idx="23">
                  <c:v>0</c:v>
                </c:pt>
              </c:numCache>
            </c:numRef>
          </c:val>
          <c:extLst>
            <c:ext xmlns:c16="http://schemas.microsoft.com/office/drawing/2014/chart" uri="{C3380CC4-5D6E-409C-BE32-E72D297353CC}">
              <c16:uniqueId val="{00000001-F467-4E28-8768-8BD84F1C9E6D}"/>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'5a. Dashboard Total BC'!$AA$31</c:f>
              <c:strCache>
                <c:ptCount val="1"/>
                <c:pt idx="0">
                  <c:v>Cumulative Surplus/(Deficit)</c:v>
                </c:pt>
              </c:strCache>
            </c:strRef>
          </c:tx>
          <c:spPr>
            <a:ln w="28575" cap="rnd">
              <a:solidFill>
                <a:srgbClr val="00B0F0"/>
              </a:solidFill>
              <a:round/>
            </a:ln>
            <a:effectLst/>
          </c:spPr>
          <c:marker>
            <c:symbol val="none"/>
          </c:marker>
          <c:cat>
            <c:strRef>
              <c:f>'5a. Dashboard Total BC'!$AB$27:$AY$27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'5a. Dashboard Total BC'!$AB$31:$AY$31</c:f>
              <c:numCache>
                <c:formatCode>"R"#,##0</c:formatCode>
                <c:ptCount val="24"/>
                <c:pt idx="0">
                  <c:v>-112639142.49333334</c:v>
                </c:pt>
                <c:pt idx="1">
                  <c:v>-232659270.38666666</c:v>
                </c:pt>
                <c:pt idx="2">
                  <c:v>-360948453.74666667</c:v>
                </c:pt>
                <c:pt idx="3">
                  <c:v>-492896630.41677451</c:v>
                </c:pt>
                <c:pt idx="4">
                  <c:v>-621668701.64197361</c:v>
                </c:pt>
                <c:pt idx="5">
                  <c:v>-747020827.69329059</c:v>
                </c:pt>
                <c:pt idx="6">
                  <c:v>-873977759.94170213</c:v>
                </c:pt>
                <c:pt idx="7">
                  <c:v>-1000133309.3586261</c:v>
                </c:pt>
                <c:pt idx="8">
                  <c:v>-1124983289.0617511</c:v>
                </c:pt>
                <c:pt idx="9">
                  <c:v>-1247970997.9639769</c:v>
                </c:pt>
                <c:pt idx="10">
                  <c:v>-1368482969.3762069</c:v>
                </c:pt>
                <c:pt idx="11">
                  <c:v>-1485844410.8119173</c:v>
                </c:pt>
                <c:pt idx="12">
                  <c:v>-1599314313.8861737</c:v>
                </c:pt>
                <c:pt idx="13">
                  <c:v>-1708080211.8140788</c:v>
                </c:pt>
                <c:pt idx="14">
                  <c:v>-1811252560.5371399</c:v>
                </c:pt>
                <c:pt idx="15">
                  <c:v>-1907858717.9351985</c:v>
                </c:pt>
                <c:pt idx="16">
                  <c:v>-1996836493.9104235</c:v>
                </c:pt>
                <c:pt idx="17">
                  <c:v>-2077027242.352181</c:v>
                </c:pt>
                <c:pt idx="18">
                  <c:v>-2147168464.1006715</c:v>
                </c:pt>
                <c:pt idx="19">
                  <c:v>-2205885888.0160069</c:v>
                </c:pt>
                <c:pt idx="20">
                  <c:v>-2251684995.1203589</c:v>
                </c:pt>
                <c:pt idx="21">
                  <c:v>-2282941948.5059838</c:v>
                </c:pt>
                <c:pt idx="22">
                  <c:v>-2283234621.3299909</c:v>
                </c:pt>
                <c:pt idx="23">
                  <c:v>-2283234621.3299909</c:v>
                </c:pt>
              </c:numCache>
            </c:numRef>
          </c:val>
          <c:smooth val="0"/>
          <c:extLst>
            <c:ext xmlns:c16="http://schemas.microsoft.com/office/drawing/2014/chart" uri="{C3380CC4-5D6E-409C-BE32-E72D297353CC}">
              <c16:uniqueId val="{00000002-F467-4E28-8768-8BD84F1C9E6D}"/>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'5a. Dashboard Total BC'!$AA$30</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'5a. Dashboard Total BC'!$AB$27:$AY$27</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'5a. Dashboard Total BC'!$AB$30:$AY$30</c15:sqref>
                        </c15:formulaRef>
                      </c:ext>
                    </c:extLst>
                    <c:numCache>
                      <c:formatCode>"R"#,##0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smooth val="0"/>
                <c:extLst>
                  <c:ext xmlns:c16="http://schemas.microsoft.com/office/drawing/2014/chart" uri="{C3380CC4-5D6E-409C-BE32-E72D297353CC}">
                    <c16:uniqueId val="{00000003-F467-4E28-8768-8BD84F1C9E6D}"/>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MTEF Cycle 2018/19 to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7BB-4EA9-B2DF-FFF87D1A8FE7}"/>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C7BB-4EA9-B2DF-FFF87D1A8F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7BB-4EA9-B2DF-FFF87D1A8FE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7BB-4EA9-B2DF-FFF87D1A8FE7}"/>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C7BB-4EA9-B2DF-FFF87D1A8FE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7BB-4EA9-B2DF-FFF87D1A8FE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'5b. Dashboard Total Sc 1'!$B$30:$B$35</c:f>
              <c:strCache>
                <c:ptCount val="6"/>
                <c:pt idx="0">
                  <c:v>Rates &amp; Taxes</c:v>
                </c:pt>
                <c:pt idx="1">
                  <c:v>Municipal Charges</c:v>
                </c:pt>
                <c:pt idx="2">
                  <c:v>Maintenance</c:v>
                </c:pt>
                <c:pt idx="3">
                  <c:v>Total Disposal Costs</c:v>
                </c:pt>
                <c:pt idx="4">
                  <c:v>Staff</c:v>
                </c:pt>
                <c:pt idx="5">
                  <c:v>Other </c:v>
                </c:pt>
              </c:strCache>
            </c:strRef>
          </c:cat>
          <c:val>
            <c:numRef>
              <c:f>'5b. Dashboard Total Sc 1'!$D$30:$D$35</c:f>
              <c:numCache>
                <c:formatCode>"R"#,##0</c:formatCode>
                <c:ptCount val="6"/>
                <c:pt idx="0">
                  <c:v>52339726.061723717</c:v>
                </c:pt>
                <c:pt idx="1">
                  <c:v>18229904.280138563</c:v>
                </c:pt>
                <c:pt idx="2">
                  <c:v>137303885.4593538</c:v>
                </c:pt>
                <c:pt idx="3">
                  <c:v>36259777.966875359</c:v>
                </c:pt>
                <c:pt idx="4">
                  <c:v>65088540.503621973</c:v>
                </c:pt>
                <c:pt idx="5">
                  <c:v>65144225.002443254</c:v>
                </c:pt>
              </c:numCache>
            </c:numRef>
          </c:val>
          <c:extLst>
            <c:ext xmlns:c16="http://schemas.microsoft.com/office/drawing/2014/chart" uri="{C3380CC4-5D6E-409C-BE32-E72D297353CC}">
              <c16:uniqueId val="{0000000C-C7BB-4EA9-B2DF-FFF87D1A8FE7}"/>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C7BB-4EA9-B2DF-FFF87D1A8F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C7BB-4EA9-B2DF-FFF87D1A8F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C7BB-4EA9-B2DF-FFF87D1A8FE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C7BB-4EA9-B2DF-FFF87D1A8FE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C7BB-4EA9-B2DF-FFF87D1A8FE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C7BB-4EA9-B2DF-FFF87D1A8FE7}"/>
                    </c:ext>
                  </c:extLst>
                </c:dPt>
                <c:cat>
                  <c:strRef>
                    <c:extLst>
                      <c:ext uri="{02D57815-91ED-43cb-92C2-25804820EDAC}">
                        <c15:formulaRef>
                          <c15:sqref>'5b. Dashboard Total Sc 1'!$B$30:$B$35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'5b. Dashboard Total Sc 1'!$C$30:$C$35</c15:sqref>
                        </c15:formulaRef>
                      </c:ext>
                    </c:extLst>
                    <c:numCache>
                      <c:formatCode>General</c:formatCode>
                      <c:ptCount val="6"/>
                    </c:numCache>
                  </c:numRef>
                </c:val>
                <c:extLst>
                  <c:ext xmlns:c16="http://schemas.microsoft.com/office/drawing/2014/chart" uri="{C3380CC4-5D6E-409C-BE32-E72D297353CC}">
                    <c16:uniqueId val="{00000019-C7BB-4EA9-B2DF-FFF87D1A8FE7}"/>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C30-483A-9CBA-4F7EECE54E79}"/>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CC30-483A-9CBA-4F7EECE54E7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C30-483A-9CBA-4F7EECE54E7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C30-483A-9CBA-4F7EECE54E79}"/>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CC30-483A-9CBA-4F7EECE54E7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C30-483A-9CBA-4F7EECE54E7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'5b. Dashboard Total Sc 1'!$B$30:$B$35</c:f>
              <c:strCache>
                <c:ptCount val="6"/>
                <c:pt idx="0">
                  <c:v>Rates &amp; Taxes</c:v>
                </c:pt>
                <c:pt idx="1">
                  <c:v>Municipal Charges</c:v>
                </c:pt>
                <c:pt idx="2">
                  <c:v>Maintenance</c:v>
                </c:pt>
                <c:pt idx="3">
                  <c:v>Total Disposal Costs</c:v>
                </c:pt>
                <c:pt idx="4">
                  <c:v>Staff</c:v>
                </c:pt>
                <c:pt idx="5">
                  <c:v>Other </c:v>
                </c:pt>
              </c:strCache>
            </c:strRef>
          </c:cat>
          <c:val>
            <c:numRef>
              <c:f>'5b. Dashboard Total Sc 1'!$E$30:$E$35</c:f>
              <c:numCache>
                <c:formatCode>"R"#,##0</c:formatCode>
                <c:ptCount val="6"/>
                <c:pt idx="0">
                  <c:v>94618649.657320246</c:v>
                </c:pt>
                <c:pt idx="1">
                  <c:v>33750492.156239524</c:v>
                </c:pt>
                <c:pt idx="2">
                  <c:v>247295942.92820355</c:v>
                </c:pt>
                <c:pt idx="3">
                  <c:v>43735129.999898851</c:v>
                </c:pt>
                <c:pt idx="4">
                  <c:v>156879049.25329033</c:v>
                </c:pt>
                <c:pt idx="5">
                  <c:v>80489847.36245954</c:v>
                </c:pt>
              </c:numCache>
            </c:numRef>
          </c:val>
          <c:extLst>
            <c:ext xmlns:c16="http://schemas.microsoft.com/office/drawing/2014/chart" uri="{C3380CC4-5D6E-409C-BE32-E72D297353CC}">
              <c16:uniqueId val="{0000000C-CC30-483A-9CBA-4F7EECE54E79}"/>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CC30-483A-9CBA-4F7EECE54E7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CC30-483A-9CBA-4F7EECE54E7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CC30-483A-9CBA-4F7EECE54E7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CC30-483A-9CBA-4F7EECE54E7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CC30-483A-9CBA-4F7EECE54E7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CC30-483A-9CBA-4F7EECE54E79}"/>
                    </c:ext>
                  </c:extLst>
                </c:dPt>
                <c:cat>
                  <c:strRef>
                    <c:extLst>
                      <c:ext uri="{02D57815-91ED-43cb-92C2-25804820EDAC}">
                        <c15:formulaRef>
                          <c15:sqref>'5b. Dashboard Total Sc 1'!$B$30:$B$35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'5b. Dashboard Total Sc 1'!$C$30:$C$35</c15:sqref>
                        </c15:formulaRef>
                      </c:ext>
                    </c:extLst>
                    <c:numCache>
                      <c:formatCode>General</c:formatCode>
                      <c:ptCount val="6"/>
                    </c:numCache>
                  </c:numRef>
                </c:val>
                <c:extLst>
                  <c:ext xmlns:c16="http://schemas.microsoft.com/office/drawing/2014/chart" uri="{C3380CC4-5D6E-409C-BE32-E72D297353CC}">
                    <c16:uniqueId val="{00000019-CC30-483A-9CBA-4F7EECE54E79}"/>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CC30-483A-9CBA-4F7EECE54E7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CC30-483A-9CBA-4F7EECE54E79}"/>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CC30-483A-9CBA-4F7EECE54E79}"/>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CC30-483A-9CBA-4F7EECE54E79}"/>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CC30-483A-9CBA-4F7EECE54E79}"/>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CC30-483A-9CBA-4F7EECE54E79}"/>
                    </c:ext>
                  </c:extLst>
                </c:dPt>
                <c:cat>
                  <c:strRef>
                    <c:extLst xmlns:c15="http://schemas.microsoft.com/office/drawing/2012/chart">
                      <c:ext xmlns:c15="http://schemas.microsoft.com/office/drawing/2012/chart" uri="{02D57815-91ED-43cb-92C2-25804820EDAC}">
                        <c15:formulaRef>
                          <c15:sqref>'5b. Dashboard Total Sc 1'!$B$30:$B$35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'5b. Dashboard Total Sc 1'!$D$30:$D$35</c15:sqref>
                        </c15:formulaRef>
                      </c:ext>
                    </c:extLst>
                    <c:numCache>
                      <c:formatCode>"R"#,##0</c:formatCode>
                      <c:ptCount val="6"/>
                      <c:pt idx="0">
                        <c:v>52339726.061723717</c:v>
                      </c:pt>
                      <c:pt idx="1">
                        <c:v>18229904.280138563</c:v>
                      </c:pt>
                      <c:pt idx="2">
                        <c:v>137303885.4593538</c:v>
                      </c:pt>
                      <c:pt idx="3">
                        <c:v>36259777.966875359</c:v>
                      </c:pt>
                      <c:pt idx="4">
                        <c:v>65088540.503621973</c:v>
                      </c:pt>
                      <c:pt idx="5">
                        <c:v>65144225.002443254</c:v>
                      </c:pt>
                    </c:numCache>
                  </c:numRef>
                </c:val>
                <c:extLst xmlns:c15="http://schemas.microsoft.com/office/drawing/2012/chart">
                  <c:ext xmlns:c16="http://schemas.microsoft.com/office/drawing/2014/chart" uri="{C3380CC4-5D6E-409C-BE32-E72D297353CC}">
                    <c16:uniqueId val="{00000026-CC30-483A-9CBA-4F7EECE54E79}"/>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5497722297953749"/>
          <c:h val="0.5821703672000047"/>
        </c:manualLayout>
      </c:layout>
      <c:areaChart>
        <c:grouping val="stacked"/>
        <c:varyColors val="0"/>
        <c:ser>
          <c:idx val="0"/>
          <c:order val="0"/>
          <c:tx>
            <c:strRef>
              <c:f>'5b. Dashboard Total Sc 1'!$AA$3</c:f>
              <c:strCache>
                <c:ptCount val="1"/>
                <c:pt idx="0">
                  <c:v>Net Deficit funded by HSDG Top Slice</c:v>
                </c:pt>
              </c:strCache>
            </c:strRef>
          </c:tx>
          <c:spPr>
            <a:solidFill>
              <a:srgbClr val="00B050">
                <a:alpha val="99000"/>
              </a:srgbClr>
            </a:solidFill>
            <a:ln w="25400">
              <a:noFill/>
            </a:ln>
            <a:effectLst/>
          </c:spPr>
          <c:cat>
            <c:strRef>
              <c:f>'5b. Dashboard Total Sc 1'!$AB$2:$AY$2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'5b. Dashboard Total Sc 1'!$AB$3:$AY$3</c:f>
              <c:numCache>
                <c:formatCode>"R"#,##0;\-"R"#,##0</c:formatCode>
                <c:ptCount val="24"/>
                <c:pt idx="0">
                  <c:v>-112639142.49333334</c:v>
                </c:pt>
                <c:pt idx="1">
                  <c:v>-120020127.89333332</c:v>
                </c:pt>
                <c:pt idx="2">
                  <c:v>-128289183.36000001</c:v>
                </c:pt>
                <c:pt idx="3">
                  <c:v>-131948176.67010787</c:v>
                </c:pt>
                <c:pt idx="4">
                  <c:v>-128772071.22519906</c:v>
                </c:pt>
                <c:pt idx="5">
                  <c:v>-144884379.17131695</c:v>
                </c:pt>
                <c:pt idx="6">
                  <c:v>-98292485.736832023</c:v>
                </c:pt>
                <c:pt idx="7">
                  <c:v>-56834202.106066063</c:v>
                </c:pt>
                <c:pt idx="8">
                  <c:v>-31156087.687251166</c:v>
                </c:pt>
                <c:pt idx="9">
                  <c:v>-2353255.2745636469</c:v>
                </c:pt>
                <c:pt idx="10">
                  <c:v>-42100.58883215511</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8545-40D9-AD31-D9BA5291A040}"/>
            </c:ext>
          </c:extLst>
        </c:ser>
        <c:ser>
          <c:idx val="1"/>
          <c:order val="1"/>
          <c:tx>
            <c:strRef>
              <c:f>'5b. Dashboard Total Sc 1'!$AA$4</c:f>
              <c:strCache>
                <c:ptCount val="1"/>
                <c:pt idx="0">
                  <c:v>EEDBS utilised to settle Existing Sales Debtors Balances Owing</c:v>
                </c:pt>
              </c:strCache>
            </c:strRef>
          </c:tx>
          <c:spPr>
            <a:solidFill>
              <a:srgbClr val="002060"/>
            </a:solidFill>
            <a:ln w="25400">
              <a:noFill/>
            </a:ln>
            <a:effectLst/>
          </c:spPr>
          <c:cat>
            <c:strRef>
              <c:f>'5b. Dashboard Total Sc 1'!$AB$2:$AY$2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'5b. Dashboard Total Sc 1'!$AB$4:$AY$4</c:f>
              <c:numCache>
                <c:formatCode>"R"#,##0;\-"R"#,##0</c:formatCode>
                <c:ptCount val="24"/>
                <c:pt idx="0">
                  <c:v>-17923184</c:v>
                </c:pt>
                <c:pt idx="1">
                  <c:v>-17604545</c:v>
                </c:pt>
                <c:pt idx="2">
                  <c:v>-10717984</c:v>
                </c:pt>
                <c:pt idx="3">
                  <c:v>-9628697.8662323505</c:v>
                </c:pt>
                <c:pt idx="4">
                  <c:v>-9628697.8662323505</c:v>
                </c:pt>
                <c:pt idx="5">
                  <c:v>-8930433.3100576513</c:v>
                </c:pt>
                <c:pt idx="6">
                  <c:v>-184614190.5580036</c:v>
                </c:pt>
                <c:pt idx="7">
                  <c:v>-184614190.5580036</c:v>
                </c:pt>
                <c:pt idx="8">
                  <c:v>-184614190.5580036</c:v>
                </c:pt>
                <c:pt idx="9">
                  <c:v>-184614190.5580036</c:v>
                </c:pt>
                <c:pt idx="10">
                  <c:v>-67183764.156631514</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8545-40D9-AD31-D9BA5291A040}"/>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30835139552423402"/>
          <c:y val="0.87124124845840056"/>
          <c:w val="0.31234805552073241"/>
          <c:h val="5.026096235364474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a:t>
            </a:r>
            <a:r>
              <a:rPr lang="en-GB" baseline="0"/>
              <a:t> </a:t>
            </a:r>
            <a:r>
              <a:rPr lang="en-GB"/>
              <a:t>Income</a:t>
            </a:r>
            <a:r>
              <a:rPr lang="en-GB" baseline="0"/>
              <a:t> &amp; </a:t>
            </a:r>
            <a:r>
              <a:rPr lang="en-GB"/>
              <a:t>Expenses v Cumulative</a:t>
            </a:r>
            <a:r>
              <a:rPr lang="en-GB" baseline="0"/>
              <a:t> Net Cash Flow</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688324055268617"/>
          <c:h val="0.7504660585408921"/>
        </c:manualLayout>
      </c:layout>
      <c:areaChart>
        <c:grouping val="standard"/>
        <c:varyColors val="0"/>
        <c:ser>
          <c:idx val="0"/>
          <c:order val="0"/>
          <c:tx>
            <c:strRef>
              <c:f>'5b. Dashboard Total Sc 1'!$AA$28</c:f>
              <c:strCache>
                <c:ptCount val="1"/>
                <c:pt idx="0">
                  <c:v>Total Income</c:v>
                </c:pt>
              </c:strCache>
            </c:strRef>
          </c:tx>
          <c:spPr>
            <a:solidFill>
              <a:srgbClr val="7030A0"/>
            </a:solidFill>
            <a:ln>
              <a:noFill/>
            </a:ln>
            <a:effectLst/>
          </c:spPr>
          <c:cat>
            <c:strRef>
              <c:f>'5b. Dashboard Total Sc 1'!$AB$27:$AY$27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'5b. Dashboard Total Sc 1'!$AB$28:$AY$28</c:f>
              <c:numCache>
                <c:formatCode>"R"#,##0</c:formatCode>
                <c:ptCount val="24"/>
                <c:pt idx="0">
                  <c:v>13847741.82</c:v>
                </c:pt>
                <c:pt idx="1">
                  <c:v>16595915.43</c:v>
                </c:pt>
                <c:pt idx="2">
                  <c:v>14925625.75</c:v>
                </c:pt>
                <c:pt idx="3">
                  <c:v>11305567.046898484</c:v>
                </c:pt>
                <c:pt idx="4">
                  <c:v>10295775.108026672</c:v>
                </c:pt>
                <c:pt idx="5">
                  <c:v>8369173.8392901234</c:v>
                </c:pt>
                <c:pt idx="6">
                  <c:v>9513244.3466021493</c:v>
                </c:pt>
                <c:pt idx="7">
                  <c:v>8583827.3586735092</c:v>
                </c:pt>
                <c:pt idx="8">
                  <c:v>7654410.3707448691</c:v>
                </c:pt>
                <c:pt idx="9">
                  <c:v>6724993.3828162299</c:v>
                </c:pt>
                <c:pt idx="10">
                  <c:v>39361.444191337381</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065F-491F-AEB2-BD29E1694B61}"/>
            </c:ext>
          </c:extLst>
        </c:ser>
        <c:ser>
          <c:idx val="1"/>
          <c:order val="1"/>
          <c:tx>
            <c:strRef>
              <c:f>'5b. Dashboard Total Sc 1'!$AA$29</c:f>
              <c:strCache>
                <c:ptCount val="1"/>
                <c:pt idx="0">
                  <c:v>Total Expenditure</c:v>
                </c:pt>
              </c:strCache>
            </c:strRef>
          </c:tx>
          <c:spPr>
            <a:solidFill>
              <a:srgbClr val="92D050"/>
            </a:solidFill>
            <a:ln>
              <a:noFill/>
            </a:ln>
            <a:effectLst/>
          </c:spPr>
          <c:cat>
            <c:strRef>
              <c:f>'5b. Dashboard Total Sc 1'!$AB$27:$AY$27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'5b. Dashboard Total Sc 1'!$AB$29:$AY$29</c:f>
              <c:numCache>
                <c:formatCode>"R"#,##0</c:formatCode>
                <c:ptCount val="24"/>
                <c:pt idx="0">
                  <c:v>-126486884.31333333</c:v>
                </c:pt>
                <c:pt idx="1">
                  <c:v>-136616043.32333332</c:v>
                </c:pt>
                <c:pt idx="2">
                  <c:v>-143214809.11000001</c:v>
                </c:pt>
                <c:pt idx="3">
                  <c:v>-143253743.71700636</c:v>
                </c:pt>
                <c:pt idx="4">
                  <c:v>-139067846.33322573</c:v>
                </c:pt>
                <c:pt idx="5">
                  <c:v>-133721299.89060706</c:v>
                </c:pt>
                <c:pt idx="6">
                  <c:v>-110999456.16963232</c:v>
                </c:pt>
                <c:pt idx="7">
                  <c:v>-81592809.873473763</c:v>
                </c:pt>
                <c:pt idx="8">
                  <c:v>-48615659.129824616</c:v>
                </c:pt>
                <c:pt idx="9">
                  <c:v>-11764203.554506831</c:v>
                </c:pt>
                <c:pt idx="10">
                  <c:v>-81462.033023492491</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065F-491F-AEB2-BD29E1694B61}"/>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'5b. Dashboard Total Sc 1'!$AA$31</c:f>
              <c:strCache>
                <c:ptCount val="1"/>
                <c:pt idx="0">
                  <c:v>Cumulative Surplus/(Deficit)</c:v>
                </c:pt>
              </c:strCache>
            </c:strRef>
          </c:tx>
          <c:spPr>
            <a:ln w="28575" cap="rnd">
              <a:solidFill>
                <a:srgbClr val="00B0F0"/>
              </a:solidFill>
              <a:round/>
            </a:ln>
            <a:effectLst/>
          </c:spPr>
          <c:marker>
            <c:symbol val="none"/>
          </c:marker>
          <c:cat>
            <c:strRef>
              <c:f>'5b. Dashboard Total Sc 1'!$AB$27:$AY$27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'5b. Dashboard Total Sc 1'!$AB$31:$AY$31</c:f>
              <c:numCache>
                <c:formatCode>"R"#,##0</c:formatCode>
                <c:ptCount val="24"/>
                <c:pt idx="0">
                  <c:v>-112639142.49333334</c:v>
                </c:pt>
                <c:pt idx="1">
                  <c:v>-232659270.38666666</c:v>
                </c:pt>
                <c:pt idx="2">
                  <c:v>-360948453.74666667</c:v>
                </c:pt>
                <c:pt idx="3">
                  <c:v>-492896630.41677451</c:v>
                </c:pt>
                <c:pt idx="4">
                  <c:v>-621668701.64197361</c:v>
                </c:pt>
                <c:pt idx="5">
                  <c:v>-747020827.69329059</c:v>
                </c:pt>
                <c:pt idx="6">
                  <c:v>-848507039.51632071</c:v>
                </c:pt>
                <c:pt idx="7">
                  <c:v>-921516022.03112102</c:v>
                </c:pt>
                <c:pt idx="8">
                  <c:v>-962477270.79020071</c:v>
                </c:pt>
                <c:pt idx="9">
                  <c:v>-967516480.96189129</c:v>
                </c:pt>
                <c:pt idx="10">
                  <c:v>-967558581.55072343</c:v>
                </c:pt>
                <c:pt idx="11">
                  <c:v>-967558581.55072343</c:v>
                </c:pt>
                <c:pt idx="12">
                  <c:v>-967558581.55072343</c:v>
                </c:pt>
                <c:pt idx="13">
                  <c:v>-967558581.55072343</c:v>
                </c:pt>
                <c:pt idx="14">
                  <c:v>-967558581.55072343</c:v>
                </c:pt>
                <c:pt idx="15">
                  <c:v>-967558581.55072343</c:v>
                </c:pt>
                <c:pt idx="16">
                  <c:v>-967558581.55072343</c:v>
                </c:pt>
                <c:pt idx="17">
                  <c:v>-967558581.55072343</c:v>
                </c:pt>
                <c:pt idx="18">
                  <c:v>-967558581.55072343</c:v>
                </c:pt>
                <c:pt idx="19">
                  <c:v>-967558581.55072343</c:v>
                </c:pt>
                <c:pt idx="20">
                  <c:v>-967558581.55072343</c:v>
                </c:pt>
                <c:pt idx="21">
                  <c:v>-967558581.55072343</c:v>
                </c:pt>
                <c:pt idx="22">
                  <c:v>-967558581.55072343</c:v>
                </c:pt>
                <c:pt idx="23">
                  <c:v>-967558581.55072343</c:v>
                </c:pt>
              </c:numCache>
            </c:numRef>
          </c:val>
          <c:smooth val="0"/>
          <c:extLst>
            <c:ext xmlns:c16="http://schemas.microsoft.com/office/drawing/2014/chart" uri="{C3380CC4-5D6E-409C-BE32-E72D297353CC}">
              <c16:uniqueId val="{00000002-065F-491F-AEB2-BD29E1694B61}"/>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'5b. Dashboard Total Sc 1'!$AA$30</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'5b. Dashboard Total Sc 1'!$AB$27:$AY$27</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'5b. Dashboard Total Sc 1'!$AB$30:$AY$30</c15:sqref>
                        </c15:formulaRef>
                      </c:ext>
                    </c:extLst>
                    <c:numCache>
                      <c:formatCode>"R"#,##0</c:formatCode>
                      <c:ptCount val="24"/>
                      <c:pt idx="0">
                        <c:v>-112639142.49333334</c:v>
                      </c:pt>
                      <c:pt idx="1">
                        <c:v>-120020127.89333332</c:v>
                      </c:pt>
                      <c:pt idx="2">
                        <c:v>-128289183.36000001</c:v>
                      </c:pt>
                      <c:pt idx="3">
                        <c:v>-131948176.67010787</c:v>
                      </c:pt>
                      <c:pt idx="4">
                        <c:v>-128772071.22519906</c:v>
                      </c:pt>
                      <c:pt idx="5">
                        <c:v>-125352126.05131693</c:v>
                      </c:pt>
                      <c:pt idx="6">
                        <c:v>-101486211.82303017</c:v>
                      </c:pt>
                      <c:pt idx="7">
                        <c:v>-73008982.514800251</c:v>
                      </c:pt>
                      <c:pt idx="8">
                        <c:v>-40961248.759079747</c:v>
                      </c:pt>
                      <c:pt idx="9">
                        <c:v>-5039210.1716906009</c:v>
                      </c:pt>
                      <c:pt idx="10">
                        <c:v>-42100.58883215511</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3-065F-491F-AEB2-BD29E1694B61}"/>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MTEF Cycle 2018/19 to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F8E-41AA-B316-388B0809F97B}"/>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EF8E-41AA-B316-388B0809F97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F8E-41AA-B316-388B0809F97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F8E-41AA-B316-388B0809F97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EF8E-41AA-B316-388B0809F97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F8E-41AA-B316-388B0809F97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'5c. Dashboard Total Sc 2'!$B$30:$B$35</c:f>
              <c:strCache>
                <c:ptCount val="6"/>
                <c:pt idx="0">
                  <c:v>Rates &amp; Taxes</c:v>
                </c:pt>
                <c:pt idx="1">
                  <c:v>Municipal Charges</c:v>
                </c:pt>
                <c:pt idx="2">
                  <c:v>Maintenance</c:v>
                </c:pt>
                <c:pt idx="3">
                  <c:v>Total Disposal Costs</c:v>
                </c:pt>
                <c:pt idx="4">
                  <c:v>Staff</c:v>
                </c:pt>
                <c:pt idx="5">
                  <c:v>Other </c:v>
                </c:pt>
              </c:strCache>
            </c:strRef>
          </c:cat>
          <c:val>
            <c:numRef>
              <c:f>'5c. Dashboard Total Sc 2'!$D$30:$D$35</c:f>
              <c:numCache>
                <c:formatCode>"R"#,##0</c:formatCode>
                <c:ptCount val="6"/>
                <c:pt idx="0">
                  <c:v>19775038.803618848</c:v>
                </c:pt>
                <c:pt idx="1">
                  <c:v>6889147.5907620508</c:v>
                </c:pt>
                <c:pt idx="2">
                  <c:v>51874378.762447283</c:v>
                </c:pt>
                <c:pt idx="3">
                  <c:v>33761140.817788117</c:v>
                </c:pt>
                <c:pt idx="4">
                  <c:v>47594889.799311213</c:v>
                </c:pt>
                <c:pt idx="5">
                  <c:v>24625198.855292082</c:v>
                </c:pt>
              </c:numCache>
            </c:numRef>
          </c:val>
          <c:extLst>
            <c:ext xmlns:c16="http://schemas.microsoft.com/office/drawing/2014/chart" uri="{C3380CC4-5D6E-409C-BE32-E72D297353CC}">
              <c16:uniqueId val="{0000000C-EF8E-41AA-B316-388B0809F97B}"/>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EF8E-41AA-B316-388B0809F97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EF8E-41AA-B316-388B0809F97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EF8E-41AA-B316-388B0809F97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EF8E-41AA-B316-388B0809F97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EF8E-41AA-B316-388B0809F97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EF8E-41AA-B316-388B0809F97B}"/>
                    </c:ext>
                  </c:extLst>
                </c:dPt>
                <c:cat>
                  <c:strRef>
                    <c:extLst>
                      <c:ext uri="{02D57815-91ED-43cb-92C2-25804820EDAC}">
                        <c15:formulaRef>
                          <c15:sqref>'5c. Dashboard Total Sc 2'!$B$30:$B$35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'5c. Dashboard Total Sc 2'!$C$30:$C$35</c15:sqref>
                        </c15:formulaRef>
                      </c:ext>
                    </c:extLst>
                    <c:numCache>
                      <c:formatCode>General</c:formatCode>
                      <c:ptCount val="6"/>
                    </c:numCache>
                  </c:numRef>
                </c:val>
                <c:extLst>
                  <c:ext xmlns:c16="http://schemas.microsoft.com/office/drawing/2014/chart" uri="{C3380CC4-5D6E-409C-BE32-E72D297353CC}">
                    <c16:uniqueId val="{00000019-EF8E-41AA-B316-388B0809F97B}"/>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53D-4747-986C-E7F517635C1F}"/>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F53D-4747-986C-E7F517635C1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53D-4747-986C-E7F517635C1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53D-4747-986C-E7F517635C1F}"/>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F53D-4747-986C-E7F517635C1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53D-4747-986C-E7F517635C1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'5c. Dashboard Total Sc 2'!$B$30:$B$35</c:f>
              <c:strCache>
                <c:ptCount val="6"/>
                <c:pt idx="0">
                  <c:v>Rates &amp; Taxes</c:v>
                </c:pt>
                <c:pt idx="1">
                  <c:v>Municipal Charges</c:v>
                </c:pt>
                <c:pt idx="2">
                  <c:v>Maintenance</c:v>
                </c:pt>
                <c:pt idx="3">
                  <c:v>Total Disposal Costs</c:v>
                </c:pt>
                <c:pt idx="4">
                  <c:v>Staff</c:v>
                </c:pt>
                <c:pt idx="5">
                  <c:v>Other </c:v>
                </c:pt>
              </c:strCache>
            </c:strRef>
          </c:cat>
          <c:val>
            <c:numRef>
              <c:f>'5c. Dashboard Total Sc 2'!$E$30:$E$35</c:f>
              <c:numCache>
                <c:formatCode>"R"#,##0</c:formatCode>
                <c:ptCount val="6"/>
                <c:pt idx="0">
                  <c:v>62053962.399215385</c:v>
                </c:pt>
                <c:pt idx="1">
                  <c:v>22409735.466863006</c:v>
                </c:pt>
                <c:pt idx="2">
                  <c:v>161866436.23129702</c:v>
                </c:pt>
                <c:pt idx="3">
                  <c:v>41155030.817788117</c:v>
                </c:pt>
                <c:pt idx="4">
                  <c:v>139385398.54897955</c:v>
                </c:pt>
                <c:pt idx="5">
                  <c:v>39970821.215308607</c:v>
                </c:pt>
              </c:numCache>
            </c:numRef>
          </c:val>
          <c:extLst>
            <c:ext xmlns:c16="http://schemas.microsoft.com/office/drawing/2014/chart" uri="{C3380CC4-5D6E-409C-BE32-E72D297353CC}">
              <c16:uniqueId val="{0000000C-F53D-4747-986C-E7F517635C1F}"/>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F53D-4747-986C-E7F517635C1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F53D-4747-986C-E7F517635C1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F53D-4747-986C-E7F517635C1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F53D-4747-986C-E7F517635C1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F53D-4747-986C-E7F517635C1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F53D-4747-986C-E7F517635C1F}"/>
                    </c:ext>
                  </c:extLst>
                </c:dPt>
                <c:cat>
                  <c:strRef>
                    <c:extLst>
                      <c:ext uri="{02D57815-91ED-43cb-92C2-25804820EDAC}">
                        <c15:formulaRef>
                          <c15:sqref>'5c. Dashboard Total Sc 2'!$B$30:$B$35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'5c. Dashboard Total Sc 2'!$C$30:$C$35</c15:sqref>
                        </c15:formulaRef>
                      </c:ext>
                    </c:extLst>
                    <c:numCache>
                      <c:formatCode>General</c:formatCode>
                      <c:ptCount val="6"/>
                    </c:numCache>
                  </c:numRef>
                </c:val>
                <c:extLst>
                  <c:ext xmlns:c16="http://schemas.microsoft.com/office/drawing/2014/chart" uri="{C3380CC4-5D6E-409C-BE32-E72D297353CC}">
                    <c16:uniqueId val="{00000019-F53D-4747-986C-E7F517635C1F}"/>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F53D-4747-986C-E7F517635C1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F53D-4747-986C-E7F517635C1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F53D-4747-986C-E7F517635C1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F53D-4747-986C-E7F517635C1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F53D-4747-986C-E7F517635C1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F53D-4747-986C-E7F517635C1F}"/>
                    </c:ext>
                  </c:extLst>
                </c:dPt>
                <c:cat>
                  <c:strRef>
                    <c:extLst xmlns:c15="http://schemas.microsoft.com/office/drawing/2012/chart">
                      <c:ext xmlns:c15="http://schemas.microsoft.com/office/drawing/2012/chart" uri="{02D57815-91ED-43cb-92C2-25804820EDAC}">
                        <c15:formulaRef>
                          <c15:sqref>'5c. Dashboard Total Sc 2'!$B$30:$B$35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'5c. Dashboard Total Sc 2'!$D$30:$D$35</c15:sqref>
                        </c15:formulaRef>
                      </c:ext>
                    </c:extLst>
                    <c:numCache>
                      <c:formatCode>"R"#,##0</c:formatCode>
                      <c:ptCount val="6"/>
                      <c:pt idx="0">
                        <c:v>19775038.803618848</c:v>
                      </c:pt>
                      <c:pt idx="1">
                        <c:v>6889147.5907620508</c:v>
                      </c:pt>
                      <c:pt idx="2">
                        <c:v>51874378.762447283</c:v>
                      </c:pt>
                      <c:pt idx="3">
                        <c:v>33761140.817788117</c:v>
                      </c:pt>
                      <c:pt idx="4">
                        <c:v>47594889.799311213</c:v>
                      </c:pt>
                      <c:pt idx="5">
                        <c:v>24625198.855292082</c:v>
                      </c:pt>
                    </c:numCache>
                  </c:numRef>
                </c:val>
                <c:extLst xmlns:c15="http://schemas.microsoft.com/office/drawing/2012/chart">
                  <c:ext xmlns:c16="http://schemas.microsoft.com/office/drawing/2014/chart" uri="{C3380CC4-5D6E-409C-BE32-E72D297353CC}">
                    <c16:uniqueId val="{00000026-F53D-4747-986C-E7F517635C1F}"/>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5497722297953749"/>
          <c:h val="0.5821703672000047"/>
        </c:manualLayout>
      </c:layout>
      <c:areaChart>
        <c:grouping val="stacked"/>
        <c:varyColors val="0"/>
        <c:ser>
          <c:idx val="0"/>
          <c:order val="0"/>
          <c:tx>
            <c:strRef>
              <c:f>'5c. Dashboard Total Sc 2'!$AA$3</c:f>
              <c:strCache>
                <c:ptCount val="1"/>
                <c:pt idx="0">
                  <c:v>Net Deficit funded by HSDG Top Slice</c:v>
                </c:pt>
              </c:strCache>
            </c:strRef>
          </c:tx>
          <c:spPr>
            <a:solidFill>
              <a:srgbClr val="00B050">
                <a:alpha val="99000"/>
              </a:srgbClr>
            </a:solidFill>
            <a:ln w="25400">
              <a:noFill/>
            </a:ln>
            <a:effectLst/>
          </c:spPr>
          <c:cat>
            <c:strRef>
              <c:f>'5c. Dashboard Total Sc 2'!$AB$2:$AY$2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'5c. Dashboard Total Sc 2'!$AB$3:$AY$3</c:f>
              <c:numCache>
                <c:formatCode>"R"#,##0;\-"R"#,##0</c:formatCode>
                <c:ptCount val="24"/>
                <c:pt idx="0">
                  <c:v>-112639142.49333334</c:v>
                </c:pt>
                <c:pt idx="1">
                  <c:v>-120020127.89333332</c:v>
                </c:pt>
                <c:pt idx="2">
                  <c:v>-128289183.36000001</c:v>
                </c:pt>
                <c:pt idx="3">
                  <c:v>-131948176.67010787</c:v>
                </c:pt>
                <c:pt idx="4">
                  <c:v>-128772071.22519906</c:v>
                </c:pt>
                <c:pt idx="5">
                  <c:v>-144884379.17131695</c:v>
                </c:pt>
                <c:pt idx="6">
                  <c:v>-4332911.1170987077</c:v>
                </c:pt>
                <c:pt idx="7">
                  <c:v>-10538.795463190727</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52FC-4997-AF37-706EA0B24C27}"/>
            </c:ext>
          </c:extLst>
        </c:ser>
        <c:ser>
          <c:idx val="1"/>
          <c:order val="1"/>
          <c:tx>
            <c:strRef>
              <c:f>'5c. Dashboard Total Sc 2'!$AA$4</c:f>
              <c:strCache>
                <c:ptCount val="1"/>
                <c:pt idx="0">
                  <c:v>EEDBS utilised to settle Existing Sales Debtors Balances Owing</c:v>
                </c:pt>
              </c:strCache>
            </c:strRef>
          </c:tx>
          <c:spPr>
            <a:solidFill>
              <a:srgbClr val="002060"/>
            </a:solidFill>
            <a:ln w="25400">
              <a:noFill/>
            </a:ln>
            <a:effectLst/>
          </c:spPr>
          <c:cat>
            <c:strRef>
              <c:f>'5c. Dashboard Total Sc 2'!$AB$2:$AY$2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'5c. Dashboard Total Sc 2'!$AB$4:$AY$4</c:f>
              <c:numCache>
                <c:formatCode>"R"#,##0;\-"R"#,##0</c:formatCode>
                <c:ptCount val="24"/>
                <c:pt idx="0">
                  <c:v>-17923184</c:v>
                </c:pt>
                <c:pt idx="1">
                  <c:v>-17604545</c:v>
                </c:pt>
                <c:pt idx="2">
                  <c:v>-10717984</c:v>
                </c:pt>
                <c:pt idx="3">
                  <c:v>-9628697.8662323505</c:v>
                </c:pt>
                <c:pt idx="4">
                  <c:v>-9628697.8662323505</c:v>
                </c:pt>
                <c:pt idx="5">
                  <c:v>-8930433.3100576513</c:v>
                </c:pt>
                <c:pt idx="6">
                  <c:v>-639846237.94033623</c:v>
                </c:pt>
                <c:pt idx="7">
                  <c:v>-165794288.44830972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52FC-4997-AF37-706EA0B24C27}"/>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30835139552423402"/>
          <c:y val="0.87124124845840056"/>
          <c:w val="0.31234805552073241"/>
          <c:h val="5.026096235364474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a:t>
            </a:r>
            <a:r>
              <a:rPr lang="en-GB" baseline="0"/>
              <a:t> </a:t>
            </a:r>
            <a:r>
              <a:rPr lang="en-GB"/>
              <a:t>Income</a:t>
            </a:r>
            <a:r>
              <a:rPr lang="en-GB" baseline="0"/>
              <a:t> &amp; </a:t>
            </a:r>
            <a:r>
              <a:rPr lang="en-GB"/>
              <a:t>Expenses v Cumulative</a:t>
            </a:r>
            <a:r>
              <a:rPr lang="en-GB" baseline="0"/>
              <a:t> Net Cash Flow</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688324055268617"/>
          <c:h val="0.7504660585408921"/>
        </c:manualLayout>
      </c:layout>
      <c:areaChart>
        <c:grouping val="standard"/>
        <c:varyColors val="0"/>
        <c:ser>
          <c:idx val="0"/>
          <c:order val="0"/>
          <c:tx>
            <c:strRef>
              <c:f>'5c. Dashboard Total Sc 2'!$AA$28</c:f>
              <c:strCache>
                <c:ptCount val="1"/>
                <c:pt idx="0">
                  <c:v>Total Income</c:v>
                </c:pt>
              </c:strCache>
            </c:strRef>
          </c:tx>
          <c:spPr>
            <a:solidFill>
              <a:srgbClr val="7030A0"/>
            </a:solidFill>
            <a:ln>
              <a:noFill/>
            </a:ln>
            <a:effectLst/>
          </c:spPr>
          <c:cat>
            <c:strRef>
              <c:f>'5c. Dashboard Total Sc 2'!$AB$27:$AY$27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'5c. Dashboard Total Sc 2'!$AB$28:$AY$28</c:f>
              <c:numCache>
                <c:formatCode>"R"#,##0</c:formatCode>
                <c:ptCount val="24"/>
                <c:pt idx="0">
                  <c:v>13847741.82</c:v>
                </c:pt>
                <c:pt idx="1">
                  <c:v>16595915.43</c:v>
                </c:pt>
                <c:pt idx="2">
                  <c:v>14925625.75</c:v>
                </c:pt>
                <c:pt idx="3">
                  <c:v>11305567.046898484</c:v>
                </c:pt>
                <c:pt idx="4">
                  <c:v>10295775.108026672</c:v>
                </c:pt>
                <c:pt idx="5">
                  <c:v>8369173.8392901234</c:v>
                </c:pt>
                <c:pt idx="6">
                  <c:v>26907315.183850676</c:v>
                </c:pt>
                <c:pt idx="7">
                  <c:v>15476.522199934276</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0CCA-468E-880C-EC4F833E0C9F}"/>
            </c:ext>
          </c:extLst>
        </c:ser>
        <c:ser>
          <c:idx val="1"/>
          <c:order val="1"/>
          <c:tx>
            <c:strRef>
              <c:f>'5c. Dashboard Total Sc 2'!$AA$29</c:f>
              <c:strCache>
                <c:ptCount val="1"/>
                <c:pt idx="0">
                  <c:v>Total Expenditure</c:v>
                </c:pt>
              </c:strCache>
            </c:strRef>
          </c:tx>
          <c:spPr>
            <a:solidFill>
              <a:srgbClr val="92D050"/>
            </a:solidFill>
            <a:ln>
              <a:noFill/>
            </a:ln>
            <a:effectLst/>
          </c:spPr>
          <c:cat>
            <c:strRef>
              <c:f>'5c. Dashboard Total Sc 2'!$AB$27:$AY$27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'5c. Dashboard Total Sc 2'!$AB$29:$AY$29</c:f>
              <c:numCache>
                <c:formatCode>"R"#,##0</c:formatCode>
                <c:ptCount val="24"/>
                <c:pt idx="0">
                  <c:v>-126486884.31333333</c:v>
                </c:pt>
                <c:pt idx="1">
                  <c:v>-136616043.32333332</c:v>
                </c:pt>
                <c:pt idx="2">
                  <c:v>-143214809.11000001</c:v>
                </c:pt>
                <c:pt idx="3">
                  <c:v>-143253743.71700636</c:v>
                </c:pt>
                <c:pt idx="4">
                  <c:v>-139067846.33322573</c:v>
                </c:pt>
                <c:pt idx="5">
                  <c:v>-133721299.89060706</c:v>
                </c:pt>
                <c:pt idx="6">
                  <c:v>-32395196.964036766</c:v>
                </c:pt>
                <c:pt idx="7">
                  <c:v>-26015.317663125003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0CCA-468E-880C-EC4F833E0C9F}"/>
            </c:ext>
          </c:extLst>
        </c:ser>
        <c:dLbls>
          <c:showLegendKey val="0"/>
          <c:showVal val="0"/>
          <c:showCatName val="0"/>
          <c:showSerName val="0"/>
          <c:showPercent val="0"/>
          <c:showBubbleSize val="0"/>
        </c:dLbls>
        <c:axId val="798513032"/>
        <c:axId val="798511720"/>
        <c:extLst>
          <c:ext xmlns:c15="http://schemas.microsoft.com/office/drawing/2012/chart" uri="{02D57815-91ED-43cb-92C2-25804820EDAC}">
            <c15:filteredAreaSeries>
              <c15:ser>
                <c:idx val="2"/>
                <c:order val="2"/>
                <c:tx>
                  <c:strRef>
                    <c:extLst>
                      <c:ext uri="{02D57815-91ED-43cb-92C2-25804820EDAC}">
                        <c15:formulaRef>
                          <c15:sqref>'5c. Dashboard Total Sc 2'!$AA$30</c15:sqref>
                        </c15:formulaRef>
                      </c:ext>
                    </c:extLst>
                    <c:strCache>
                      <c:ptCount val="1"/>
                      <c:pt idx="0">
                        <c:v>Net Surplus / (Deficit)</c:v>
                      </c:pt>
                    </c:strCache>
                  </c:strRef>
                </c:tx>
                <c:spPr>
                  <a:solidFill>
                    <a:schemeClr val="accent3"/>
                  </a:solidFill>
                  <a:ln>
                    <a:solidFill>
                      <a:srgbClr val="FFFF00"/>
                    </a:solidFill>
                  </a:ln>
                  <a:effectLst/>
                </c:spPr>
                <c:cat>
                  <c:strRef>
                    <c:extLst>
                      <c:ext uri="{02D57815-91ED-43cb-92C2-25804820EDAC}">
                        <c15:formulaRef>
                          <c15:sqref>'5c. Dashboard Total Sc 2'!$AB$27:$AY$27</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'5c. Dashboard Total Sc 2'!$AB$30:$AY$30</c15:sqref>
                        </c15:formulaRef>
                      </c:ext>
                    </c:extLst>
                    <c:numCache>
                      <c:formatCode>"R"#,##0</c:formatCode>
                      <c:ptCount val="24"/>
                      <c:pt idx="0">
                        <c:v>-112639142.49333334</c:v>
                      </c:pt>
                      <c:pt idx="1">
                        <c:v>-120020127.89333332</c:v>
                      </c:pt>
                      <c:pt idx="2">
                        <c:v>-128289183.36000001</c:v>
                      </c:pt>
                      <c:pt idx="3">
                        <c:v>-131948176.67010787</c:v>
                      </c:pt>
                      <c:pt idx="4">
                        <c:v>-128772071.22519906</c:v>
                      </c:pt>
                      <c:pt idx="5">
                        <c:v>-125352126.05131693</c:v>
                      </c:pt>
                      <c:pt idx="6">
                        <c:v>-5487881.7801860906</c:v>
                      </c:pt>
                      <c:pt idx="7">
                        <c:v>-10538.795463190727</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5-0CCA-468E-880C-EC4F833E0C9F}"/>
                  </c:ext>
                </c:extLst>
              </c15:ser>
            </c15:filteredAreaSeries>
          </c:ext>
        </c:extLst>
      </c:areaChart>
      <c:lineChart>
        <c:grouping val="standard"/>
        <c:varyColors val="0"/>
        <c:ser>
          <c:idx val="3"/>
          <c:order val="3"/>
          <c:tx>
            <c:strRef>
              <c:f>'5c. Dashboard Total Sc 2'!$AA$31</c:f>
              <c:strCache>
                <c:ptCount val="1"/>
                <c:pt idx="0">
                  <c:v>Cumulative Surplus/(Deficit)</c:v>
                </c:pt>
              </c:strCache>
            </c:strRef>
          </c:tx>
          <c:spPr>
            <a:ln w="28575" cap="rnd">
              <a:solidFill>
                <a:srgbClr val="00B0F0"/>
              </a:solidFill>
              <a:round/>
            </a:ln>
            <a:effectLst/>
          </c:spPr>
          <c:marker>
            <c:symbol val="none"/>
          </c:marker>
          <c:cat>
            <c:strRef>
              <c:f>'5c. Dashboard Total Sc 2'!$AB$27:$AY$27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'5c. Dashboard Total Sc 2'!$AB$31:$AY$31</c:f>
              <c:numCache>
                <c:formatCode>"R"#,##0</c:formatCode>
                <c:ptCount val="24"/>
                <c:pt idx="0">
                  <c:v>-112639142.49333334</c:v>
                </c:pt>
                <c:pt idx="1">
                  <c:v>-232659270.38666666</c:v>
                </c:pt>
                <c:pt idx="2">
                  <c:v>-360948453.74666667</c:v>
                </c:pt>
                <c:pt idx="3">
                  <c:v>-492896630.41677451</c:v>
                </c:pt>
                <c:pt idx="4">
                  <c:v>-621668701.64197361</c:v>
                </c:pt>
                <c:pt idx="5">
                  <c:v>-747020827.69329059</c:v>
                </c:pt>
                <c:pt idx="6">
                  <c:v>-752508709.47347665</c:v>
                </c:pt>
                <c:pt idx="7">
                  <c:v>-752519248.26893985</c:v>
                </c:pt>
                <c:pt idx="8">
                  <c:v>-752519248.26893985</c:v>
                </c:pt>
                <c:pt idx="9">
                  <c:v>-752519248.26893985</c:v>
                </c:pt>
                <c:pt idx="10">
                  <c:v>-752519248.26893985</c:v>
                </c:pt>
                <c:pt idx="11">
                  <c:v>-752519248.26893985</c:v>
                </c:pt>
                <c:pt idx="12">
                  <c:v>-752519248.26893985</c:v>
                </c:pt>
                <c:pt idx="13">
                  <c:v>-752519248.26893985</c:v>
                </c:pt>
                <c:pt idx="14">
                  <c:v>-752519248.26893985</c:v>
                </c:pt>
                <c:pt idx="15">
                  <c:v>-752519248.26893985</c:v>
                </c:pt>
                <c:pt idx="16">
                  <c:v>-752519248.26893985</c:v>
                </c:pt>
                <c:pt idx="17">
                  <c:v>-752519248.26893985</c:v>
                </c:pt>
                <c:pt idx="18">
                  <c:v>-752519248.26893985</c:v>
                </c:pt>
                <c:pt idx="19">
                  <c:v>-752519248.26893985</c:v>
                </c:pt>
                <c:pt idx="20">
                  <c:v>-752519248.26893985</c:v>
                </c:pt>
                <c:pt idx="21">
                  <c:v>-752519248.26893985</c:v>
                </c:pt>
                <c:pt idx="22">
                  <c:v>-752519248.26893985</c:v>
                </c:pt>
                <c:pt idx="23">
                  <c:v>-752519248.26893985</c:v>
                </c:pt>
              </c:numCache>
            </c:numRef>
          </c:val>
          <c:smooth val="0"/>
          <c:extLst>
            <c:ext xmlns:c16="http://schemas.microsoft.com/office/drawing/2014/chart" uri="{C3380CC4-5D6E-409C-BE32-E72D297353CC}">
              <c16:uniqueId val="{00000006-0CCA-468E-880C-EC4F833E0C9F}"/>
            </c:ext>
          </c:extLst>
        </c:ser>
        <c:dLbls>
          <c:showLegendKey val="0"/>
          <c:showVal val="0"/>
          <c:showCatName val="0"/>
          <c:showSerName val="0"/>
          <c:showPercent val="0"/>
          <c:showBubbleSize val="0"/>
        </c:dLbls>
        <c:marker val="1"/>
        <c:smooth val="0"/>
        <c:axId val="798513032"/>
        <c:axId val="798511720"/>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MTEF Cycle 2018/19 to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0C8-438E-A6BA-900C0010BE6C}"/>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50C8-438E-A6BA-900C0010BE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0C8-438E-A6BA-900C0010BE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0C8-438E-A6BA-900C0010BE6C}"/>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50C8-438E-A6BA-900C0010BE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0C8-438E-A6BA-900C0010BE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'5d. Dashboard Total Sc 3'!$B$30:$B$35</c:f>
              <c:strCache>
                <c:ptCount val="6"/>
                <c:pt idx="0">
                  <c:v>Rates &amp; Taxes</c:v>
                </c:pt>
                <c:pt idx="1">
                  <c:v>Municipal Charges</c:v>
                </c:pt>
                <c:pt idx="2">
                  <c:v>Maintenance</c:v>
                </c:pt>
                <c:pt idx="3">
                  <c:v>Total Disposal Costs</c:v>
                </c:pt>
                <c:pt idx="4">
                  <c:v>Staff</c:v>
                </c:pt>
                <c:pt idx="5">
                  <c:v>Other </c:v>
                </c:pt>
              </c:strCache>
            </c:strRef>
          </c:cat>
          <c:val>
            <c:numRef>
              <c:f>'5d. Dashboard Total Sc 3'!$D$30:$D$35</c:f>
              <c:numCache>
                <c:formatCode>"R"#,##0</c:formatCode>
                <c:ptCount val="6"/>
                <c:pt idx="0">
                  <c:v>19775038.803618848</c:v>
                </c:pt>
                <c:pt idx="1">
                  <c:v>6889147.5907620508</c:v>
                </c:pt>
                <c:pt idx="2">
                  <c:v>51874378.762447283</c:v>
                </c:pt>
                <c:pt idx="3">
                  <c:v>33759784.568999991</c:v>
                </c:pt>
                <c:pt idx="4">
                  <c:v>46428646.419023827</c:v>
                </c:pt>
                <c:pt idx="5">
                  <c:v>5045489.0147550702</c:v>
                </c:pt>
              </c:numCache>
            </c:numRef>
          </c:val>
          <c:extLst>
            <c:ext xmlns:c16="http://schemas.microsoft.com/office/drawing/2014/chart" uri="{C3380CC4-5D6E-409C-BE32-E72D297353CC}">
              <c16:uniqueId val="{0000000C-50C8-438E-A6BA-900C0010BE6C}"/>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50C8-438E-A6BA-900C0010BE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50C8-438E-A6BA-900C0010BE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50C8-438E-A6BA-900C0010BE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50C8-438E-A6BA-900C0010BE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50C8-438E-A6BA-900C0010BE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50C8-438E-A6BA-900C0010BE6C}"/>
                    </c:ext>
                  </c:extLst>
                </c:dPt>
                <c:cat>
                  <c:strRef>
                    <c:extLst>
                      <c:ext uri="{02D57815-91ED-43cb-92C2-25804820EDAC}">
                        <c15:formulaRef>
                          <c15:sqref>'5d. Dashboard Total Sc 3'!$B$30:$B$35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'5d. Dashboard Total Sc 3'!$C$30:$C$35</c15:sqref>
                        </c15:formulaRef>
                      </c:ext>
                    </c:extLst>
                    <c:numCache>
                      <c:formatCode>General</c:formatCode>
                      <c:ptCount val="6"/>
                    </c:numCache>
                  </c:numRef>
                </c:val>
                <c:extLst>
                  <c:ext xmlns:c16="http://schemas.microsoft.com/office/drawing/2014/chart" uri="{C3380CC4-5D6E-409C-BE32-E72D297353CC}">
                    <c16:uniqueId val="{00000019-50C8-438E-A6BA-900C0010BE6C}"/>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Total'!$AB$3</c:f>
              <c:strCache>
                <c:ptCount val="1"/>
                <c:pt idx="0">
                  <c:v>Net Deficit funded by HSDG Top Slice</c:v>
                </c:pt>
              </c:strCache>
            </c:strRef>
          </c:tx>
          <c:spPr>
            <a:solidFill>
              <a:srgbClr val="00B050"/>
            </a:solidFill>
            <a:ln w="25400">
              <a:noFill/>
            </a:ln>
            <a:effectLst/>
          </c:spPr>
          <c:cat>
            <c:strRef>
              <c:f>'5. Dashboard Total'!$AC$2:$AZ$2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Total'!$AC$3:$AZ$3</c:f>
              <c:numCache>
                <c:formatCode>"R"#,##0;\-"R"#,##0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extLst>
            <c:ext xmlns:c16="http://schemas.microsoft.com/office/drawing/2014/chart" uri="{C3380CC4-5D6E-409C-BE32-E72D297353CC}">
              <c16:uniqueId val="{00000000-D021-4B72-AA1D-B96223BA1DDC}"/>
            </c:ext>
          </c:extLst>
        </c:ser>
        <c:ser>
          <c:idx val="1"/>
          <c:order val="1"/>
          <c:tx>
            <c:strRef>
              <c:f>'5. Dashboard Total'!$AB$4</c:f>
              <c:strCache>
                <c:ptCount val="1"/>
                <c:pt idx="0">
                  <c:v>EEDBS utilised to settle Existing Sales Debtors Balances Owing</c:v>
                </c:pt>
              </c:strCache>
            </c:strRef>
          </c:tx>
          <c:spPr>
            <a:solidFill>
              <a:srgbClr val="002060"/>
            </a:solidFill>
            <a:ln w="25400">
              <a:noFill/>
            </a:ln>
            <a:effectLst/>
          </c:spPr>
          <c:cat>
            <c:strRef>
              <c:f>'5. Dashboard Total'!$AC$2:$AZ$2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Total'!$AC$4:$AZ$4</c:f>
              <c:numCache>
                <c:formatCode>"R"#,##0;\-"R"#,##0</c:formatCode>
                <c:ptCount val="24"/>
                <c:pt idx="0">
                  <c:v>-17923184</c:v>
                </c:pt>
                <c:pt idx="1">
                  <c:v>-17604545</c:v>
                </c:pt>
                <c:pt idx="2">
                  <c:v>-10717984</c:v>
                </c:pt>
                <c:pt idx="3">
                  <c:v>-9628697.8662323505</c:v>
                </c:pt>
                <c:pt idx="4">
                  <c:v>-9628697.8662323505</c:v>
                </c:pt>
                <c:pt idx="5">
                  <c:v>-8930433.3100576513</c:v>
                </c:pt>
                <c:pt idx="6">
                  <c:v>-4248781.8647111077</c:v>
                </c:pt>
                <c:pt idx="7">
                  <c:v>-4248781.8647111077</c:v>
                </c:pt>
                <c:pt idx="8">
                  <c:v>-4248781.8647111077</c:v>
                </c:pt>
                <c:pt idx="9">
                  <c:v>-4248781.8647111077</c:v>
                </c:pt>
                <c:pt idx="10">
                  <c:v>-4248781.8647111077</c:v>
                </c:pt>
                <c:pt idx="11">
                  <c:v>-4248781.8647111077</c:v>
                </c:pt>
                <c:pt idx="12">
                  <c:v>-4248781.8647111077</c:v>
                </c:pt>
                <c:pt idx="13">
                  <c:v>-4248781.8647111077</c:v>
                </c:pt>
                <c:pt idx="14">
                  <c:v>-4248781.8647111077</c:v>
                </c:pt>
                <c:pt idx="15">
                  <c:v>-4248781.8647111077</c:v>
                </c:pt>
                <c:pt idx="16">
                  <c:v>-4248781.8647111077</c:v>
                </c:pt>
                <c:pt idx="17">
                  <c:v>-4248781.8647111077</c:v>
                </c:pt>
                <c:pt idx="18">
                  <c:v>-4248781.8647111077</c:v>
                </c:pt>
                <c:pt idx="19">
                  <c:v>-4248781.8647111077</c:v>
                </c:pt>
                <c:pt idx="20">
                  <c:v>-4248781.8647111077</c:v>
                </c:pt>
                <c:pt idx="21">
                  <c:v>-4248781.8647111077</c:v>
                </c:pt>
                <c:pt idx="22">
                  <c:v>-737660016.55326807</c:v>
                </c:pt>
                <c:pt idx="23">
                  <c:v>0</c:v>
                </c:pt>
              </c:numCache>
            </c:numRef>
          </c:val>
          <c:extLst>
            <c:ext xmlns:c16="http://schemas.microsoft.com/office/drawing/2014/chart" uri="{C3380CC4-5D6E-409C-BE32-E72D297353CC}">
              <c16:uniqueId val="{00000001-D021-4B72-AA1D-B96223BA1DDC}"/>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A1F-4EB1-8557-AD8710418BA8}"/>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2A1F-4EB1-8557-AD8710418B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A1F-4EB1-8557-AD8710418B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A1F-4EB1-8557-AD8710418BA8}"/>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2A1F-4EB1-8557-AD8710418B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A1F-4EB1-8557-AD8710418BA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'5d. Dashboard Total Sc 3'!$B$30:$B$35</c:f>
              <c:strCache>
                <c:ptCount val="6"/>
                <c:pt idx="0">
                  <c:v>Rates &amp; Taxes</c:v>
                </c:pt>
                <c:pt idx="1">
                  <c:v>Municipal Charges</c:v>
                </c:pt>
                <c:pt idx="2">
                  <c:v>Maintenance</c:v>
                </c:pt>
                <c:pt idx="3">
                  <c:v>Total Disposal Costs</c:v>
                </c:pt>
                <c:pt idx="4">
                  <c:v>Staff</c:v>
                </c:pt>
                <c:pt idx="5">
                  <c:v>Other </c:v>
                </c:pt>
              </c:strCache>
            </c:strRef>
          </c:cat>
          <c:val>
            <c:numRef>
              <c:f>'5d. Dashboard Total Sc 3'!$E$30:$E$35</c:f>
              <c:numCache>
                <c:formatCode>"R"#,##0</c:formatCode>
                <c:ptCount val="6"/>
                <c:pt idx="0">
                  <c:v>62053962.399215385</c:v>
                </c:pt>
                <c:pt idx="1">
                  <c:v>22409735.466863006</c:v>
                </c:pt>
                <c:pt idx="2">
                  <c:v>161866436.23129702</c:v>
                </c:pt>
                <c:pt idx="3">
                  <c:v>41153674.568999991</c:v>
                </c:pt>
                <c:pt idx="4">
                  <c:v>138219155.16869217</c:v>
                </c:pt>
                <c:pt idx="5">
                  <c:v>20391111.374771535</c:v>
                </c:pt>
              </c:numCache>
            </c:numRef>
          </c:val>
          <c:extLst>
            <c:ext xmlns:c16="http://schemas.microsoft.com/office/drawing/2014/chart" uri="{C3380CC4-5D6E-409C-BE32-E72D297353CC}">
              <c16:uniqueId val="{0000000C-2A1F-4EB1-8557-AD8710418BA8}"/>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2A1F-4EB1-8557-AD8710418B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2A1F-4EB1-8557-AD8710418B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2A1F-4EB1-8557-AD8710418B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2A1F-4EB1-8557-AD8710418B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2A1F-4EB1-8557-AD8710418B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2A1F-4EB1-8557-AD8710418BA8}"/>
                    </c:ext>
                  </c:extLst>
                </c:dPt>
                <c:cat>
                  <c:strRef>
                    <c:extLst>
                      <c:ext uri="{02D57815-91ED-43cb-92C2-25804820EDAC}">
                        <c15:formulaRef>
                          <c15:sqref>'5d. Dashboard Total Sc 3'!$B$30:$B$35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'5d. Dashboard Total Sc 3'!$C$30:$C$35</c15:sqref>
                        </c15:formulaRef>
                      </c:ext>
                    </c:extLst>
                    <c:numCache>
                      <c:formatCode>General</c:formatCode>
                      <c:ptCount val="6"/>
                    </c:numCache>
                  </c:numRef>
                </c:val>
                <c:extLst>
                  <c:ext xmlns:c16="http://schemas.microsoft.com/office/drawing/2014/chart" uri="{C3380CC4-5D6E-409C-BE32-E72D297353CC}">
                    <c16:uniqueId val="{00000019-2A1F-4EB1-8557-AD8710418BA8}"/>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2A1F-4EB1-8557-AD8710418BA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2A1F-4EB1-8557-AD8710418BA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2A1F-4EB1-8557-AD8710418BA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2A1F-4EB1-8557-AD8710418BA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2A1F-4EB1-8557-AD8710418BA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2A1F-4EB1-8557-AD8710418BA8}"/>
                    </c:ext>
                  </c:extLst>
                </c:dPt>
                <c:cat>
                  <c:strRef>
                    <c:extLst xmlns:c15="http://schemas.microsoft.com/office/drawing/2012/chart">
                      <c:ext xmlns:c15="http://schemas.microsoft.com/office/drawing/2012/chart" uri="{02D57815-91ED-43cb-92C2-25804820EDAC}">
                        <c15:formulaRef>
                          <c15:sqref>'5d. Dashboard Total Sc 3'!$B$30:$B$35</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'5d. Dashboard Total Sc 3'!$D$30:$D$35</c15:sqref>
                        </c15:formulaRef>
                      </c:ext>
                    </c:extLst>
                    <c:numCache>
                      <c:formatCode>"R"#,##0</c:formatCode>
                      <c:ptCount val="6"/>
                      <c:pt idx="0">
                        <c:v>19775038.803618848</c:v>
                      </c:pt>
                      <c:pt idx="1">
                        <c:v>6889147.5907620508</c:v>
                      </c:pt>
                      <c:pt idx="2">
                        <c:v>51874378.762447283</c:v>
                      </c:pt>
                      <c:pt idx="3">
                        <c:v>33759784.568999991</c:v>
                      </c:pt>
                      <c:pt idx="4">
                        <c:v>46428646.419023827</c:v>
                      </c:pt>
                      <c:pt idx="5">
                        <c:v>5045489.0147550702</c:v>
                      </c:pt>
                    </c:numCache>
                  </c:numRef>
                </c:val>
                <c:extLst xmlns:c15="http://schemas.microsoft.com/office/drawing/2012/chart">
                  <c:ext xmlns:c16="http://schemas.microsoft.com/office/drawing/2014/chart" uri="{C3380CC4-5D6E-409C-BE32-E72D297353CC}">
                    <c16:uniqueId val="{00000026-2A1F-4EB1-8557-AD8710418BA8}"/>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5497722297953749"/>
          <c:h val="0.5821703672000047"/>
        </c:manualLayout>
      </c:layout>
      <c:areaChart>
        <c:grouping val="stacked"/>
        <c:varyColors val="0"/>
        <c:ser>
          <c:idx val="0"/>
          <c:order val="0"/>
          <c:tx>
            <c:strRef>
              <c:f>'5d. Dashboard Total Sc 3'!$AA$3</c:f>
              <c:strCache>
                <c:ptCount val="1"/>
                <c:pt idx="0">
                  <c:v>Net Deficit funded by HSDG Top Slice</c:v>
                </c:pt>
              </c:strCache>
            </c:strRef>
          </c:tx>
          <c:spPr>
            <a:solidFill>
              <a:srgbClr val="00B050">
                <a:alpha val="99000"/>
              </a:srgbClr>
            </a:solidFill>
            <a:ln w="25400">
              <a:noFill/>
            </a:ln>
            <a:effectLst/>
          </c:spPr>
          <c:cat>
            <c:strRef>
              <c:f>'5d. Dashboard Total Sc 3'!$AB$2:$AY$2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'5d. Dashboard Total Sc 3'!$AB$3:$AY$3</c:f>
              <c:numCache>
                <c:formatCode>"R"#,##0;\-"R"#,##0</c:formatCode>
                <c:ptCount val="24"/>
                <c:pt idx="0">
                  <c:v>-112639142.49333334</c:v>
                </c:pt>
                <c:pt idx="1">
                  <c:v>-120020127.89333332</c:v>
                </c:pt>
                <c:pt idx="2">
                  <c:v>-128289183.36000001</c:v>
                </c:pt>
                <c:pt idx="3">
                  <c:v>-131948176.67010787</c:v>
                </c:pt>
                <c:pt idx="4">
                  <c:v>-128772071.22519906</c:v>
                </c:pt>
                <c:pt idx="5">
                  <c:v>-125352126.05131693</c:v>
                </c:pt>
                <c:pt idx="6">
                  <c:v>-3128393.5629493855</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94BD-4444-8A60-9945A1543833}"/>
            </c:ext>
          </c:extLst>
        </c:ser>
        <c:ser>
          <c:idx val="1"/>
          <c:order val="1"/>
          <c:tx>
            <c:strRef>
              <c:f>'5d. Dashboard Total Sc 3'!$AA$4</c:f>
              <c:strCache>
                <c:ptCount val="1"/>
                <c:pt idx="0">
                  <c:v>EEDBS utilised to settle Existing Sales Debtors Balances Owing</c:v>
                </c:pt>
              </c:strCache>
            </c:strRef>
          </c:tx>
          <c:spPr>
            <a:solidFill>
              <a:srgbClr val="002060"/>
            </a:solidFill>
            <a:ln w="25400">
              <a:noFill/>
            </a:ln>
            <a:effectLst/>
          </c:spPr>
          <c:cat>
            <c:strRef>
              <c:f>'5d. Dashboard Total Sc 3'!$AB$2:$AY$2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'5d. Dashboard Total Sc 3'!$AB$4:$AY$4</c:f>
              <c:numCache>
                <c:formatCode>"R"#,##0;\-"R"#,##0</c:formatCode>
                <c:ptCount val="24"/>
                <c:pt idx="0">
                  <c:v>-17923184</c:v>
                </c:pt>
                <c:pt idx="1">
                  <c:v>-17604545</c:v>
                </c:pt>
                <c:pt idx="2">
                  <c:v>-10717984</c:v>
                </c:pt>
                <c:pt idx="3">
                  <c:v>-9628697.8662323505</c:v>
                </c:pt>
                <c:pt idx="4">
                  <c:v>-9628697.8662323505</c:v>
                </c:pt>
                <c:pt idx="5">
                  <c:v>-8930433.3100576513</c:v>
                </c:pt>
                <c:pt idx="6">
                  <c:v>-805640526.38864589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94BD-4444-8A60-9945A1543833}"/>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30835139552423402"/>
          <c:y val="0.87124124845840056"/>
          <c:w val="0.31234805552073241"/>
          <c:h val="5.026096235364474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a:t>
            </a:r>
            <a:r>
              <a:rPr lang="en-GB" baseline="0"/>
              <a:t> </a:t>
            </a:r>
            <a:r>
              <a:rPr lang="en-GB"/>
              <a:t>Income</a:t>
            </a:r>
            <a:r>
              <a:rPr lang="en-GB" baseline="0"/>
              <a:t> &amp; </a:t>
            </a:r>
            <a:r>
              <a:rPr lang="en-GB"/>
              <a:t>Expenses v Cumulative</a:t>
            </a:r>
            <a:r>
              <a:rPr lang="en-GB" baseline="0"/>
              <a:t> Net Cash Flow</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688324055268617"/>
          <c:h val="0.7504660585408921"/>
        </c:manualLayout>
      </c:layout>
      <c:areaChart>
        <c:grouping val="standard"/>
        <c:varyColors val="0"/>
        <c:ser>
          <c:idx val="0"/>
          <c:order val="0"/>
          <c:tx>
            <c:strRef>
              <c:f>'5d. Dashboard Total Sc 3'!$AA$28</c:f>
              <c:strCache>
                <c:ptCount val="1"/>
                <c:pt idx="0">
                  <c:v>Total Income</c:v>
                </c:pt>
              </c:strCache>
            </c:strRef>
          </c:tx>
          <c:spPr>
            <a:solidFill>
              <a:srgbClr val="7030A0"/>
            </a:solidFill>
            <a:ln>
              <a:noFill/>
            </a:ln>
            <a:effectLst/>
          </c:spPr>
          <c:cat>
            <c:strRef>
              <c:f>'5d. Dashboard Total Sc 3'!$AB$27:$AY$27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'5d. Dashboard Total Sc 3'!$AB$28:$AY$28</c:f>
              <c:numCache>
                <c:formatCode>"R"#,##0</c:formatCode>
                <c:ptCount val="24"/>
                <c:pt idx="0">
                  <c:v>13847741.82</c:v>
                </c:pt>
                <c:pt idx="1">
                  <c:v>16595915.43</c:v>
                </c:pt>
                <c:pt idx="2">
                  <c:v>14925625.75</c:v>
                </c:pt>
                <c:pt idx="3">
                  <c:v>11305567.046898484</c:v>
                </c:pt>
                <c:pt idx="4">
                  <c:v>10295775.108026672</c:v>
                </c:pt>
                <c:pt idx="5">
                  <c:v>8369173.8392901234</c:v>
                </c:pt>
                <c:pt idx="6">
                  <c:v>26922791.706050608</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CD2E-4823-9ED8-E9A7C22AB8FA}"/>
            </c:ext>
          </c:extLst>
        </c:ser>
        <c:ser>
          <c:idx val="1"/>
          <c:order val="1"/>
          <c:tx>
            <c:strRef>
              <c:f>'5d. Dashboard Total Sc 3'!$AA$29</c:f>
              <c:strCache>
                <c:ptCount val="1"/>
                <c:pt idx="0">
                  <c:v>Total Expenditure</c:v>
                </c:pt>
              </c:strCache>
            </c:strRef>
          </c:tx>
          <c:spPr>
            <a:solidFill>
              <a:srgbClr val="92D050"/>
            </a:solidFill>
            <a:ln>
              <a:noFill/>
            </a:ln>
            <a:effectLst/>
          </c:spPr>
          <c:cat>
            <c:strRef>
              <c:f>'5d. Dashboard Total Sc 3'!$AB$27:$AY$27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'5d. Dashboard Total Sc 3'!$AB$29:$AY$29</c:f>
              <c:numCache>
                <c:formatCode>"R"#,##0</c:formatCode>
                <c:ptCount val="24"/>
                <c:pt idx="0">
                  <c:v>-126486884.31333333</c:v>
                </c:pt>
                <c:pt idx="1">
                  <c:v>-136616043.32333332</c:v>
                </c:pt>
                <c:pt idx="2">
                  <c:v>-143214809.11000001</c:v>
                </c:pt>
                <c:pt idx="3">
                  <c:v>-143253743.71700636</c:v>
                </c:pt>
                <c:pt idx="4">
                  <c:v>-139067846.33322573</c:v>
                </c:pt>
                <c:pt idx="5">
                  <c:v>-133721299.89060706</c:v>
                </c:pt>
                <c:pt idx="6">
                  <c:v>-30051185.268999994</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CD2E-4823-9ED8-E9A7C22AB8FA}"/>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'5d. Dashboard Total Sc 3'!$AA$31</c:f>
              <c:strCache>
                <c:ptCount val="1"/>
                <c:pt idx="0">
                  <c:v>Cumulative Surplus/(Deficit)</c:v>
                </c:pt>
              </c:strCache>
            </c:strRef>
          </c:tx>
          <c:spPr>
            <a:ln w="28575" cap="rnd">
              <a:solidFill>
                <a:srgbClr val="00B0F0"/>
              </a:solidFill>
              <a:round/>
            </a:ln>
            <a:effectLst/>
          </c:spPr>
          <c:marker>
            <c:symbol val="none"/>
          </c:marker>
          <c:cat>
            <c:strRef>
              <c:f>'5d. Dashboard Total Sc 3'!$AB$27:$AY$27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'5d. Dashboard Total Sc 3'!$AB$31:$AY$31</c:f>
              <c:numCache>
                <c:formatCode>"R"#,##0</c:formatCode>
                <c:ptCount val="24"/>
                <c:pt idx="0">
                  <c:v>-112639142.49333334</c:v>
                </c:pt>
                <c:pt idx="1">
                  <c:v>-232659270.38666666</c:v>
                </c:pt>
                <c:pt idx="2">
                  <c:v>-360948453.74666667</c:v>
                </c:pt>
                <c:pt idx="3">
                  <c:v>-492896630.41677451</c:v>
                </c:pt>
                <c:pt idx="4">
                  <c:v>-621668701.64197361</c:v>
                </c:pt>
                <c:pt idx="5">
                  <c:v>-747020827.69329059</c:v>
                </c:pt>
                <c:pt idx="6">
                  <c:v>-750149221.25624001</c:v>
                </c:pt>
                <c:pt idx="7">
                  <c:v>-750149221.25624001</c:v>
                </c:pt>
                <c:pt idx="8">
                  <c:v>-750149221.25624001</c:v>
                </c:pt>
                <c:pt idx="9">
                  <c:v>-750149221.25624001</c:v>
                </c:pt>
                <c:pt idx="10">
                  <c:v>-750149221.25624001</c:v>
                </c:pt>
                <c:pt idx="11">
                  <c:v>-750149221.25624001</c:v>
                </c:pt>
                <c:pt idx="12">
                  <c:v>-750149221.25624001</c:v>
                </c:pt>
                <c:pt idx="13">
                  <c:v>-750149221.25624001</c:v>
                </c:pt>
                <c:pt idx="14">
                  <c:v>-750149221.25624001</c:v>
                </c:pt>
                <c:pt idx="15">
                  <c:v>-750149221.25624001</c:v>
                </c:pt>
                <c:pt idx="16">
                  <c:v>-750149221.25624001</c:v>
                </c:pt>
                <c:pt idx="17">
                  <c:v>-750149221.25624001</c:v>
                </c:pt>
                <c:pt idx="18">
                  <c:v>-750149221.25624001</c:v>
                </c:pt>
                <c:pt idx="19">
                  <c:v>-750149221.25624001</c:v>
                </c:pt>
                <c:pt idx="20">
                  <c:v>-750149221.25624001</c:v>
                </c:pt>
                <c:pt idx="21">
                  <c:v>-750149221.25624001</c:v>
                </c:pt>
                <c:pt idx="22">
                  <c:v>-750149221.25624001</c:v>
                </c:pt>
                <c:pt idx="23">
                  <c:v>-750149221.25624001</c:v>
                </c:pt>
              </c:numCache>
            </c:numRef>
          </c:val>
          <c:smooth val="0"/>
          <c:extLst>
            <c:ext xmlns:c16="http://schemas.microsoft.com/office/drawing/2014/chart" uri="{C3380CC4-5D6E-409C-BE32-E72D297353CC}">
              <c16:uniqueId val="{00000002-CD2E-4823-9ED8-E9A7C22AB8FA}"/>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'5d. Dashboard Total Sc 3'!$AA$30</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'5d. Dashboard Total Sc 3'!$AB$27:$AY$27</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'5d. Dashboard Total Sc 3'!$AB$30:$AY$30</c15:sqref>
                        </c15:formulaRef>
                      </c:ext>
                    </c:extLst>
                    <c:numCache>
                      <c:formatCode>"R"#,##0</c:formatCode>
                      <c:ptCount val="24"/>
                      <c:pt idx="0">
                        <c:v>-112639142.49333334</c:v>
                      </c:pt>
                      <c:pt idx="1">
                        <c:v>-120020127.89333332</c:v>
                      </c:pt>
                      <c:pt idx="2">
                        <c:v>-128289183.36000001</c:v>
                      </c:pt>
                      <c:pt idx="3">
                        <c:v>-131948176.67010787</c:v>
                      </c:pt>
                      <c:pt idx="4">
                        <c:v>-128772071.22519906</c:v>
                      </c:pt>
                      <c:pt idx="5">
                        <c:v>-125352126.05131693</c:v>
                      </c:pt>
                      <c:pt idx="6">
                        <c:v>-3128393.5629493855</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3-CD2E-4823-9ED8-E9A7C22AB8FA}"/>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800" b="1" i="0" baseline="0">
                <a:effectLst/>
              </a:rPr>
              <a:t>Projected Scenario - No. of Rental Units v Sale Accounts</a:t>
            </a:r>
            <a:endParaRPr lang="en-GB">
              <a:effectLs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 Forecast Results National'!$E$147</c:f>
              <c:strCache>
                <c:ptCount val="1"/>
                <c:pt idx="0">
                  <c:v>No. of Rental Units</c:v>
                </c:pt>
              </c:strCache>
            </c:strRef>
          </c:tx>
          <c:spPr>
            <a:solidFill>
              <a:srgbClr val="00B050"/>
            </a:solidFill>
            <a:ln>
              <a:noFill/>
            </a:ln>
            <a:effectLst/>
          </c:spPr>
          <c:invertIfNegative val="0"/>
          <c:cat>
            <c:strRef>
              <c:f>'8. Forecast Results National'!$N$146:$AK$146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National'!$N$147:$AK$147</c:f>
              <c:numCache>
                <c:formatCode>_-* #,##0_-;\-* #,##0_-;_-* "-"_-;_-@_-</c:formatCode>
                <c:ptCount val="24"/>
                <c:pt idx="0">
                  <c:v>0</c:v>
                </c:pt>
                <c:pt idx="1">
                  <c:v>0</c:v>
                </c:pt>
                <c:pt idx="2">
                  <c:v>0</c:v>
                </c:pt>
                <c:pt idx="3">
                  <c:v>5160</c:v>
                </c:pt>
                <c:pt idx="4">
                  <c:v>4646</c:v>
                </c:pt>
                <c:pt idx="5">
                  <c:v>4132</c:v>
                </c:pt>
                <c:pt idx="6">
                  <c:v>3656</c:v>
                </c:pt>
                <c:pt idx="7">
                  <c:v>3430</c:v>
                </c:pt>
                <c:pt idx="8">
                  <c:v>3204</c:v>
                </c:pt>
                <c:pt idx="9">
                  <c:v>2978</c:v>
                </c:pt>
                <c:pt idx="10">
                  <c:v>2752</c:v>
                </c:pt>
                <c:pt idx="11">
                  <c:v>2526</c:v>
                </c:pt>
                <c:pt idx="12">
                  <c:v>2300</c:v>
                </c:pt>
                <c:pt idx="13">
                  <c:v>2074</c:v>
                </c:pt>
                <c:pt idx="14">
                  <c:v>1848</c:v>
                </c:pt>
                <c:pt idx="15">
                  <c:v>1622</c:v>
                </c:pt>
                <c:pt idx="16">
                  <c:v>1396</c:v>
                </c:pt>
                <c:pt idx="17">
                  <c:v>1170</c:v>
                </c:pt>
                <c:pt idx="18">
                  <c:v>944</c:v>
                </c:pt>
                <c:pt idx="19">
                  <c:v>718</c:v>
                </c:pt>
                <c:pt idx="20">
                  <c:v>492</c:v>
                </c:pt>
                <c:pt idx="21">
                  <c:v>266</c:v>
                </c:pt>
                <c:pt idx="22">
                  <c:v>40</c:v>
                </c:pt>
                <c:pt idx="23">
                  <c:v>0</c:v>
                </c:pt>
              </c:numCache>
            </c:numRef>
          </c:val>
          <c:extLst>
            <c:ext xmlns:c16="http://schemas.microsoft.com/office/drawing/2014/chart" uri="{C3380CC4-5D6E-409C-BE32-E72D297353CC}">
              <c16:uniqueId val="{00000000-75A2-4BC4-BCE5-F6F5A6975506}"/>
            </c:ext>
          </c:extLst>
        </c:ser>
        <c:ser>
          <c:idx val="1"/>
          <c:order val="1"/>
          <c:tx>
            <c:strRef>
              <c:f>'8. Forecast Results National'!$E$148</c:f>
              <c:strCache>
                <c:ptCount val="1"/>
                <c:pt idx="0">
                  <c:v>No. of Sales Accounts</c:v>
                </c:pt>
              </c:strCache>
            </c:strRef>
          </c:tx>
          <c:spPr>
            <a:solidFill>
              <a:srgbClr val="002060"/>
            </a:solidFill>
            <a:ln>
              <a:noFill/>
            </a:ln>
            <a:effectLst/>
          </c:spPr>
          <c:invertIfNegative val="0"/>
          <c:cat>
            <c:strRef>
              <c:f>'8. Forecast Results National'!$N$146:$AK$146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National'!$N$148:$AK$148</c:f>
              <c:numCache>
                <c:formatCode>_-* #,##0_-;\-* #,##0_-;_-* "-"_-;_-@_-</c:formatCode>
                <c:ptCount val="24"/>
                <c:pt idx="0">
                  <c:v>0</c:v>
                </c:pt>
                <c:pt idx="1">
                  <c:v>0</c:v>
                </c:pt>
                <c:pt idx="2">
                  <c:v>0</c:v>
                </c:pt>
                <c:pt idx="3">
                  <c:v>2239</c:v>
                </c:pt>
                <c:pt idx="4">
                  <c:v>2753</c:v>
                </c:pt>
                <c:pt idx="5">
                  <c:v>3267</c:v>
                </c:pt>
                <c:pt idx="6">
                  <c:v>3743</c:v>
                </c:pt>
                <c:pt idx="7">
                  <c:v>3969</c:v>
                </c:pt>
                <c:pt idx="8">
                  <c:v>4195</c:v>
                </c:pt>
                <c:pt idx="9">
                  <c:v>4421</c:v>
                </c:pt>
                <c:pt idx="10">
                  <c:v>4647</c:v>
                </c:pt>
                <c:pt idx="11">
                  <c:v>4873</c:v>
                </c:pt>
                <c:pt idx="12">
                  <c:v>5099</c:v>
                </c:pt>
                <c:pt idx="13">
                  <c:v>5325</c:v>
                </c:pt>
                <c:pt idx="14">
                  <c:v>5551</c:v>
                </c:pt>
                <c:pt idx="15">
                  <c:v>5777</c:v>
                </c:pt>
                <c:pt idx="16">
                  <c:v>6003</c:v>
                </c:pt>
                <c:pt idx="17">
                  <c:v>6229</c:v>
                </c:pt>
                <c:pt idx="18">
                  <c:v>6455</c:v>
                </c:pt>
                <c:pt idx="19">
                  <c:v>6681</c:v>
                </c:pt>
                <c:pt idx="20">
                  <c:v>6907</c:v>
                </c:pt>
                <c:pt idx="21">
                  <c:v>7133</c:v>
                </c:pt>
                <c:pt idx="22">
                  <c:v>7359</c:v>
                </c:pt>
                <c:pt idx="23">
                  <c:v>7399</c:v>
                </c:pt>
              </c:numCache>
            </c:numRef>
          </c:val>
          <c:extLst>
            <c:ext xmlns:c16="http://schemas.microsoft.com/office/drawing/2014/chart" uri="{C3380CC4-5D6E-409C-BE32-E72D297353CC}">
              <c16:uniqueId val="{00000001-75A2-4BC4-BCE5-F6F5A6975506}"/>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Cash Needed to Cover Losses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85144077588046"/>
          <c:y val="0.28057701448736233"/>
          <c:w val="0.85497722297953749"/>
          <c:h val="0.5821703672000047"/>
        </c:manualLayout>
      </c:layout>
      <c:lineChart>
        <c:grouping val="standard"/>
        <c:varyColors val="0"/>
        <c:ser>
          <c:idx val="0"/>
          <c:order val="0"/>
          <c:tx>
            <c:strRef>
              <c:f>'6. Scenario Summary'!$C$134</c:f>
              <c:strCache>
                <c:ptCount val="1"/>
                <c:pt idx="0">
                  <c:v>BC- Base Case</c:v>
                </c:pt>
              </c:strCache>
            </c:strRef>
          </c:tx>
          <c:spPr>
            <a:ln w="28575" cap="rnd">
              <a:solidFill>
                <a:schemeClr val="accent1"/>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Summary'!$D$134:$AA$134</c:f>
              <c:numCache>
                <c:formatCode>"R"#,##0;[Red]\-"R"#,##0</c:formatCode>
                <c:ptCount val="24"/>
                <c:pt idx="0">
                  <c:v>-130562326.49333334</c:v>
                </c:pt>
                <c:pt idx="1">
                  <c:v>-137624672.89333332</c:v>
                </c:pt>
                <c:pt idx="2">
                  <c:v>-139007167.36000001</c:v>
                </c:pt>
                <c:pt idx="3">
                  <c:v>-141576874.53634024</c:v>
                </c:pt>
                <c:pt idx="4">
                  <c:v>-138400769.09143141</c:v>
                </c:pt>
                <c:pt idx="5">
                  <c:v>-134282559.36137459</c:v>
                </c:pt>
                <c:pt idx="6">
                  <c:v>-131205714.11312266</c:v>
                </c:pt>
                <c:pt idx="7">
                  <c:v>-130404331.28163506</c:v>
                </c:pt>
                <c:pt idx="8">
                  <c:v>-129098761.56783602</c:v>
                </c:pt>
                <c:pt idx="9">
                  <c:v>-127236490.76693685</c:v>
                </c:pt>
                <c:pt idx="10">
                  <c:v>-124760753.27694118</c:v>
                </c:pt>
                <c:pt idx="11">
                  <c:v>-121610223.30042145</c:v>
                </c:pt>
                <c:pt idx="12">
                  <c:v>-117718684.9389676</c:v>
                </c:pt>
                <c:pt idx="13">
                  <c:v>-113014679.79261622</c:v>
                </c:pt>
                <c:pt idx="14">
                  <c:v>-107421130.58777231</c:v>
                </c:pt>
                <c:pt idx="15">
                  <c:v>-100854939.26276977</c:v>
                </c:pt>
                <c:pt idx="16">
                  <c:v>-93226557.839936167</c:v>
                </c:pt>
                <c:pt idx="17">
                  <c:v>-84439530.306468591</c:v>
                </c:pt>
                <c:pt idx="18">
                  <c:v>-74390003.613201723</c:v>
                </c:pt>
                <c:pt idx="19">
                  <c:v>-62966205.780046679</c:v>
                </c:pt>
                <c:pt idx="20">
                  <c:v>-50047888.969063312</c:v>
                </c:pt>
                <c:pt idx="21">
                  <c:v>-35505735.250336125</c:v>
                </c:pt>
                <c:pt idx="22">
                  <c:v>-737952689.37727487</c:v>
                </c:pt>
                <c:pt idx="23">
                  <c:v>0</c:v>
                </c:pt>
              </c:numCache>
            </c:numRef>
          </c:val>
          <c:smooth val="0"/>
          <c:extLst>
            <c:ext xmlns:c16="http://schemas.microsoft.com/office/drawing/2014/chart" uri="{C3380CC4-5D6E-409C-BE32-E72D297353CC}">
              <c16:uniqueId val="{00000000-FBE8-4F89-BD94-2B7E43E06E4B}"/>
            </c:ext>
          </c:extLst>
        </c:ser>
        <c:ser>
          <c:idx val="2"/>
          <c:order val="1"/>
          <c:tx>
            <c:strRef>
              <c:f>'6. Scenario Summary'!$C$135</c:f>
              <c:strCache>
                <c:ptCount val="1"/>
                <c:pt idx="0">
                  <c:v>Sc1- Scenario 1 - Outsource Property Management</c:v>
                </c:pt>
              </c:strCache>
            </c:strRef>
          </c:tx>
          <c:spPr>
            <a:ln w="28575" cap="rnd">
              <a:solidFill>
                <a:srgbClr val="FF0000"/>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Summary'!$D$135:$AA$135</c:f>
              <c:numCache>
                <c:formatCode>"R"#,##0;[Red]\-"R"#,##0</c:formatCode>
                <c:ptCount val="24"/>
                <c:pt idx="0">
                  <c:v>-130562326.49333334</c:v>
                </c:pt>
                <c:pt idx="1">
                  <c:v>-137624672.89333332</c:v>
                </c:pt>
                <c:pt idx="2">
                  <c:v>-139007167.36000001</c:v>
                </c:pt>
                <c:pt idx="3">
                  <c:v>-141576874.53634024</c:v>
                </c:pt>
                <c:pt idx="4">
                  <c:v>-138400769.09143141</c:v>
                </c:pt>
                <c:pt idx="5">
                  <c:v>-153814812.48137459</c:v>
                </c:pt>
                <c:pt idx="6">
                  <c:v>-282906676.29483563</c:v>
                </c:pt>
                <c:pt idx="7">
                  <c:v>-241448392.66406965</c:v>
                </c:pt>
                <c:pt idx="8">
                  <c:v>-215770278.24525476</c:v>
                </c:pt>
                <c:pt idx="9">
                  <c:v>-186967445.83256724</c:v>
                </c:pt>
                <c:pt idx="10">
                  <c:v>-67225864.745463669</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FBE8-4F89-BD94-2B7E43E06E4B}"/>
            </c:ext>
          </c:extLst>
        </c:ser>
        <c:ser>
          <c:idx val="3"/>
          <c:order val="2"/>
          <c:tx>
            <c:strRef>
              <c:f>'6. Scenario Summary'!$C$136</c:f>
              <c:strCache>
                <c:ptCount val="1"/>
                <c:pt idx="0">
                  <c:v>Sc2- Scenario 2 - Accelerate Transfer Voetstoots to Existing Occupants</c:v>
                </c:pt>
              </c:strCache>
            </c:strRef>
          </c:tx>
          <c:spPr>
            <a:ln w="28575" cap="rnd">
              <a:solidFill>
                <a:schemeClr val="accent4"/>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Summary'!$D$136:$AA$136</c:f>
              <c:numCache>
                <c:formatCode>"R"#,##0;[Red]\-"R"#,##0</c:formatCode>
                <c:ptCount val="24"/>
                <c:pt idx="0">
                  <c:v>-130562326.49333334</c:v>
                </c:pt>
                <c:pt idx="1">
                  <c:v>-137624672.89333332</c:v>
                </c:pt>
                <c:pt idx="2">
                  <c:v>-139007167.36000001</c:v>
                </c:pt>
                <c:pt idx="3">
                  <c:v>-141576874.53634024</c:v>
                </c:pt>
                <c:pt idx="4">
                  <c:v>-138400769.09143141</c:v>
                </c:pt>
                <c:pt idx="5">
                  <c:v>-134282559.36137459</c:v>
                </c:pt>
                <c:pt idx="6">
                  <c:v>-645334119.72052228</c:v>
                </c:pt>
                <c:pt idx="7">
                  <c:v>-165804827.24377292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2-FBE8-4F89-BD94-2B7E43E06E4B}"/>
            </c:ext>
          </c:extLst>
        </c:ser>
        <c:ser>
          <c:idx val="4"/>
          <c:order val="3"/>
          <c:tx>
            <c:strRef>
              <c:f>'6. Scenario Summary'!$C$137</c:f>
              <c:strCache>
                <c:ptCount val="1"/>
                <c:pt idx="0">
                  <c:v>Sc3- Scenario 3 - Devolve to Local Municipality</c:v>
                </c:pt>
              </c:strCache>
            </c:strRef>
          </c:tx>
          <c:spPr>
            <a:ln w="28575" cap="rnd">
              <a:solidFill>
                <a:srgbClr val="7030A0"/>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Summary'!$D$137:$AA$137</c:f>
              <c:numCache>
                <c:formatCode>"R"#,##0;[Red]\-"R"#,##0</c:formatCode>
                <c:ptCount val="24"/>
                <c:pt idx="0">
                  <c:v>-130562326.49333334</c:v>
                </c:pt>
                <c:pt idx="1">
                  <c:v>-137624672.89333332</c:v>
                </c:pt>
                <c:pt idx="2">
                  <c:v>-139007167.36000001</c:v>
                </c:pt>
                <c:pt idx="3">
                  <c:v>-141576874.53634024</c:v>
                </c:pt>
                <c:pt idx="4">
                  <c:v>-138400769.09143141</c:v>
                </c:pt>
                <c:pt idx="5">
                  <c:v>-134282559.36137459</c:v>
                </c:pt>
                <c:pt idx="6">
                  <c:v>-808768919.95159531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3-FBE8-4F89-BD94-2B7E43E06E4B}"/>
            </c:ext>
          </c:extLst>
        </c:ser>
        <c:ser>
          <c:idx val="5"/>
          <c:order val="4"/>
          <c:tx>
            <c:strRef>
              <c:f>'6. Scenario Summary'!$C$138</c:f>
              <c:strCache>
                <c:ptCount val="1"/>
                <c:pt idx="0">
                  <c:v>Sc4- Scenario 4 - User creates own scenario</c:v>
                </c:pt>
              </c:strCache>
            </c:strRef>
          </c:tx>
          <c:spPr>
            <a:ln w="28575" cap="rnd">
              <a:solidFill>
                <a:schemeClr val="accent6"/>
              </a:solidFill>
              <a:round/>
            </a:ln>
            <a:effectLst/>
          </c:spPr>
          <c:marker>
            <c:symbol val="none"/>
          </c:marker>
          <c:cat>
            <c:strRef>
              <c:f>'6. Scenario Summary'!$D$133:$AA$133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'6. Scenario Summary'!$D$138:$AA$138</c:f>
              <c:numCache>
                <c:formatCode>"R"#,##0;[Red]\-"R"#,##0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4-FBE8-4F89-BD94-2B7E43E06E4B}"/>
            </c:ext>
          </c:extLst>
        </c:ser>
        <c:dLbls>
          <c:showLegendKey val="0"/>
          <c:showVal val="0"/>
          <c:showCatName val="0"/>
          <c:showSerName val="0"/>
          <c:showPercent val="0"/>
          <c:showBubbleSize val="0"/>
        </c:dLbls>
        <c:smooth val="0"/>
        <c:axId val="471077008"/>
        <c:axId val="471073728"/>
      </c:line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Red]\-&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between"/>
      </c:valAx>
      <c:spPr>
        <a:noFill/>
        <a:ln>
          <a:noFill/>
        </a:ln>
        <a:effectLst/>
      </c:spPr>
    </c:plotArea>
    <c:legend>
      <c:legendPos val="b"/>
      <c:layout>
        <c:manualLayout>
          <c:xMode val="edge"/>
          <c:yMode val="edge"/>
          <c:x val="9.717610989889422E-2"/>
          <c:y val="0.82786774603994173"/>
          <c:w val="0.86019044403798273"/>
          <c:h val="0.153396890962400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Projected Scenario - 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National'!$E$171</c:f>
              <c:strCache>
                <c:ptCount val="1"/>
                <c:pt idx="0">
                  <c:v>Net Surplus / (Deficit)</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National'!$N$171:$AK$171</c:f>
              <c:numCache>
                <c:formatCode>"R"#,##0</c:formatCode>
                <c:ptCount val="24"/>
                <c:pt idx="0">
                  <c:v>-112639142.49333334</c:v>
                </c:pt>
                <c:pt idx="1">
                  <c:v>-120020127.89333332</c:v>
                </c:pt>
                <c:pt idx="2">
                  <c:v>-128289183.36000001</c:v>
                </c:pt>
                <c:pt idx="3">
                  <c:v>-131948176.67010787</c:v>
                </c:pt>
                <c:pt idx="4">
                  <c:v>-128772071.22519906</c:v>
                </c:pt>
                <c:pt idx="5">
                  <c:v>-125352126.05131695</c:v>
                </c:pt>
                <c:pt idx="6">
                  <c:v>-126956932.24841155</c:v>
                </c:pt>
                <c:pt idx="7">
                  <c:v>-126155549.41692396</c:v>
                </c:pt>
                <c:pt idx="8">
                  <c:v>-124849979.70312491</c:v>
                </c:pt>
                <c:pt idx="9">
                  <c:v>-122987708.90222575</c:v>
                </c:pt>
                <c:pt idx="10">
                  <c:v>-120511971.41223007</c:v>
                </c:pt>
                <c:pt idx="11">
                  <c:v>-117361441.43571034</c:v>
                </c:pt>
                <c:pt idx="12">
                  <c:v>-113469903.07425649</c:v>
                </c:pt>
                <c:pt idx="13">
                  <c:v>-108765897.92790511</c:v>
                </c:pt>
                <c:pt idx="14">
                  <c:v>-103172348.7230612</c:v>
                </c:pt>
                <c:pt idx="15">
                  <c:v>-96606157.398058668</c:v>
                </c:pt>
                <c:pt idx="16">
                  <c:v>-88977775.975225061</c:v>
                </c:pt>
                <c:pt idx="17">
                  <c:v>-80190748.441757485</c:v>
                </c:pt>
                <c:pt idx="18">
                  <c:v>-70141221.748490617</c:v>
                </c:pt>
                <c:pt idx="19">
                  <c:v>-58717423.915335573</c:v>
                </c:pt>
                <c:pt idx="20">
                  <c:v>-45799107.104352206</c:v>
                </c:pt>
                <c:pt idx="21">
                  <c:v>-31256953.38562502</c:v>
                </c:pt>
                <c:pt idx="22">
                  <c:v>-292672.82400684012</c:v>
                </c:pt>
                <c:pt idx="23">
                  <c:v>0</c:v>
                </c:pt>
              </c:numCache>
            </c:numRef>
          </c:val>
          <c:smooth val="0"/>
          <c:extLst>
            <c:ext xmlns:c16="http://schemas.microsoft.com/office/drawing/2014/chart" uri="{C3380CC4-5D6E-409C-BE32-E72D297353CC}">
              <c16:uniqueId val="{00000000-32E6-453D-8CBF-E7161E5610CB}"/>
            </c:ext>
          </c:extLst>
        </c:ser>
        <c:ser>
          <c:idx val="1"/>
          <c:order val="1"/>
          <c:tx>
            <c:strRef>
              <c:f>'8. Forecast Results National'!$E$172</c:f>
              <c:strCache>
                <c:ptCount val="1"/>
                <c:pt idx="0">
                  <c:v>Total Expenditure</c:v>
                </c:pt>
              </c:strCache>
            </c:strRef>
          </c:tx>
          <c:spPr>
            <a:ln w="28575" cap="rnd">
              <a:solidFill>
                <a:srgbClr val="00B050"/>
              </a:solidFill>
              <a:round/>
            </a:ln>
            <a:effectLst/>
          </c:spPr>
          <c:marker>
            <c:symbol val="none"/>
          </c:marker>
          <c:val>
            <c:numRef>
              <c:f>'8. Forecast Results National'!$N$172:$AK$172</c:f>
              <c:numCache>
                <c:formatCode>"R"#,##0</c:formatCode>
                <c:ptCount val="24"/>
                <c:pt idx="0">
                  <c:v>126486884.31333333</c:v>
                </c:pt>
                <c:pt idx="1">
                  <c:v>136616043.32333332</c:v>
                </c:pt>
                <c:pt idx="2">
                  <c:v>143214809.11000001</c:v>
                </c:pt>
                <c:pt idx="3">
                  <c:v>143253743.71700636</c:v>
                </c:pt>
                <c:pt idx="4">
                  <c:v>139067846.33322573</c:v>
                </c:pt>
                <c:pt idx="5">
                  <c:v>133721299.89060707</c:v>
                </c:pt>
                <c:pt idx="6">
                  <c:v>131255140.47134125</c:v>
                </c:pt>
                <c:pt idx="7">
                  <c:v>130281139.72238086</c:v>
                </c:pt>
                <c:pt idx="8">
                  <c:v>128802952.09110901</c:v>
                </c:pt>
                <c:pt idx="9">
                  <c:v>126768063.37273705</c:v>
                </c:pt>
                <c:pt idx="10">
                  <c:v>124119707.96526858</c:v>
                </c:pt>
                <c:pt idx="11">
                  <c:v>120796560.07127605</c:v>
                </c:pt>
                <c:pt idx="12">
                  <c:v>116732403.79234941</c:v>
                </c:pt>
                <c:pt idx="13">
                  <c:v>111855780.72852524</c:v>
                </c:pt>
                <c:pt idx="14">
                  <c:v>106089613.60620853</c:v>
                </c:pt>
                <c:pt idx="15">
                  <c:v>99350804.363733202</c:v>
                </c:pt>
                <c:pt idx="16">
                  <c:v>91549805.023426801</c:v>
                </c:pt>
                <c:pt idx="17">
                  <c:v>82590159.57248643</c:v>
                </c:pt>
                <c:pt idx="18">
                  <c:v>72368014.961746752</c:v>
                </c:pt>
                <c:pt idx="19">
                  <c:v>60771599.211118922</c:v>
                </c:pt>
                <c:pt idx="20">
                  <c:v>47680664.482662752</c:v>
                </c:pt>
                <c:pt idx="21">
                  <c:v>32965892.846462775</c:v>
                </c:pt>
                <c:pt idx="22">
                  <c:v>774381.134947057</c:v>
                </c:pt>
                <c:pt idx="23">
                  <c:v>0</c:v>
                </c:pt>
              </c:numCache>
            </c:numRef>
          </c:val>
          <c:smooth val="0"/>
          <c:extLst>
            <c:ext xmlns:c16="http://schemas.microsoft.com/office/drawing/2014/chart" uri="{C3380CC4-5D6E-409C-BE32-E72D297353CC}">
              <c16:uniqueId val="{00000001-32E6-453D-8CBF-E7161E5610CB}"/>
            </c:ext>
          </c:extLst>
        </c:ser>
        <c:ser>
          <c:idx val="2"/>
          <c:order val="2"/>
          <c:tx>
            <c:strRef>
              <c:f>'8. Forecast Results National'!$E$173</c:f>
              <c:strCache>
                <c:ptCount val="1"/>
                <c:pt idx="0">
                  <c:v>Total Income</c:v>
                </c:pt>
              </c:strCache>
            </c:strRef>
          </c:tx>
          <c:spPr>
            <a:ln w="28575" cap="rnd">
              <a:solidFill>
                <a:schemeClr val="accent3"/>
              </a:solidFill>
              <a:round/>
            </a:ln>
            <a:effectLst/>
          </c:spPr>
          <c:marker>
            <c:symbol val="none"/>
          </c:marker>
          <c:val>
            <c:numRef>
              <c:f>'8. Forecast Results National'!$N$173:$AK$173</c:f>
              <c:numCache>
                <c:formatCode>"R"#,##0</c:formatCode>
                <c:ptCount val="24"/>
                <c:pt idx="0">
                  <c:v>13847741.82</c:v>
                </c:pt>
                <c:pt idx="1">
                  <c:v>16595915.43</c:v>
                </c:pt>
                <c:pt idx="2">
                  <c:v>14925625.75</c:v>
                </c:pt>
                <c:pt idx="3">
                  <c:v>11305567.046898484</c:v>
                </c:pt>
                <c:pt idx="4">
                  <c:v>10295775.108026672</c:v>
                </c:pt>
                <c:pt idx="5">
                  <c:v>8369173.8392901234</c:v>
                </c:pt>
                <c:pt idx="6">
                  <c:v>4298208.2229296956</c:v>
                </c:pt>
                <c:pt idx="7">
                  <c:v>4125590.3054568996</c:v>
                </c:pt>
                <c:pt idx="8">
                  <c:v>3952972.3879841031</c:v>
                </c:pt>
                <c:pt idx="9">
                  <c:v>3780354.470511307</c:v>
                </c:pt>
                <c:pt idx="10">
                  <c:v>3607736.5530385105</c:v>
                </c:pt>
                <c:pt idx="11">
                  <c:v>3435118.6355657149</c:v>
                </c:pt>
                <c:pt idx="12">
                  <c:v>3262500.7180929184</c:v>
                </c:pt>
                <c:pt idx="13">
                  <c:v>3089882.8006201228</c:v>
                </c:pt>
                <c:pt idx="14">
                  <c:v>2917264.8831473263</c:v>
                </c:pt>
                <c:pt idx="15">
                  <c:v>2744646.9656745302</c:v>
                </c:pt>
                <c:pt idx="16">
                  <c:v>2572029.0482017342</c:v>
                </c:pt>
                <c:pt idx="17">
                  <c:v>2399411.1307289382</c:v>
                </c:pt>
                <c:pt idx="18">
                  <c:v>2226793.2132561421</c:v>
                </c:pt>
                <c:pt idx="19">
                  <c:v>2054175.2957833458</c:v>
                </c:pt>
                <c:pt idx="20">
                  <c:v>1881557.3783105498</c:v>
                </c:pt>
                <c:pt idx="21">
                  <c:v>1708939.4608377537</c:v>
                </c:pt>
                <c:pt idx="22">
                  <c:v>481708.31094021688</c:v>
                </c:pt>
                <c:pt idx="23">
                  <c:v>0</c:v>
                </c:pt>
              </c:numCache>
            </c:numRef>
          </c:val>
          <c:smooth val="0"/>
          <c:extLst>
            <c:ext xmlns:c16="http://schemas.microsoft.com/office/drawing/2014/chart" uri="{C3380CC4-5D6E-409C-BE32-E72D297353CC}">
              <c16:uniqueId val="{00000002-32E6-453D-8CBF-E7161E5610CB}"/>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Scenario</a:t>
            </a:r>
            <a:r>
              <a:rPr lang="en-GB" b="1" baseline="0"/>
              <a:t> Analysis - </a:t>
            </a:r>
            <a:r>
              <a:rPr lang="en-GB" sz="1400" b="1" i="0" u="none" strike="noStrike" baseline="0">
                <a:effectLst/>
              </a:rPr>
              <a:t>Total HSDG and EEDBS Spent</a:t>
            </a:r>
            <a:r>
              <a:rPr lang="en-GB" sz="1400" b="1" i="0" u="none" strike="noStrike" baseline="0"/>
              <a:t> </a:t>
            </a:r>
            <a:endParaRPr lang="en-GB" b="1"/>
          </a:p>
        </c:rich>
      </c:tx>
      <c:layout>
        <c:manualLayout>
          <c:xMode val="edge"/>
          <c:yMode val="edge"/>
          <c:x val="0.37594406627148363"/>
          <c:y val="0"/>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962949698652617E-2"/>
          <c:y val="0.16918420366652487"/>
          <c:w val="0.92969366729130354"/>
          <c:h val="0.71476634832754493"/>
        </c:manualLayout>
      </c:layout>
      <c:lineChart>
        <c:grouping val="standard"/>
        <c:varyColors val="0"/>
        <c:ser>
          <c:idx val="0"/>
          <c:order val="0"/>
          <c:tx>
            <c:strRef>
              <c:f>'7. Scenario Detailed'!$D$13:$E$13</c:f>
              <c:strCache>
                <c:ptCount val="2"/>
                <c:pt idx="0">
                  <c:v>Base Case</c:v>
                </c:pt>
                <c:pt idx="1">
                  <c:v>BC</c:v>
                </c:pt>
              </c:strCache>
            </c:strRef>
          </c:tx>
          <c:spPr>
            <a:ln w="28575" cap="rnd">
              <a:solidFill>
                <a:schemeClr val="accent1"/>
              </a:solidFill>
              <a:round/>
            </a:ln>
            <a:effectLst/>
          </c:spPr>
          <c:marker>
            <c:symbol val="none"/>
          </c:marker>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Detailed'!$L$13:$AI$13</c:f>
              <c:numCache>
                <c:formatCode>"R"#,##0;[Red]\-"R"#,##0</c:formatCode>
                <c:ptCount val="24"/>
                <c:pt idx="0">
                  <c:v>-130562326.49333334</c:v>
                </c:pt>
                <c:pt idx="1">
                  <c:v>-137624672.89333332</c:v>
                </c:pt>
                <c:pt idx="2">
                  <c:v>-139007167.36000001</c:v>
                </c:pt>
                <c:pt idx="3">
                  <c:v>-141576874.53634024</c:v>
                </c:pt>
                <c:pt idx="4">
                  <c:v>-138400769.09143141</c:v>
                </c:pt>
                <c:pt idx="5">
                  <c:v>-134282559.36137459</c:v>
                </c:pt>
                <c:pt idx="6">
                  <c:v>-131205714.11312266</c:v>
                </c:pt>
                <c:pt idx="7">
                  <c:v>-130404331.28163506</c:v>
                </c:pt>
                <c:pt idx="8">
                  <c:v>-129098761.56783602</c:v>
                </c:pt>
                <c:pt idx="9">
                  <c:v>-127236490.76693685</c:v>
                </c:pt>
                <c:pt idx="10">
                  <c:v>-124760753.27694118</c:v>
                </c:pt>
                <c:pt idx="11">
                  <c:v>-121610223.30042145</c:v>
                </c:pt>
                <c:pt idx="12">
                  <c:v>-117718684.9389676</c:v>
                </c:pt>
                <c:pt idx="13">
                  <c:v>-113014679.79261622</c:v>
                </c:pt>
                <c:pt idx="14">
                  <c:v>-107421130.58777231</c:v>
                </c:pt>
                <c:pt idx="15">
                  <c:v>-100854939.26276977</c:v>
                </c:pt>
                <c:pt idx="16">
                  <c:v>-93226557.839936167</c:v>
                </c:pt>
                <c:pt idx="17">
                  <c:v>-84439530.306468591</c:v>
                </c:pt>
                <c:pt idx="18">
                  <c:v>-74390003.613201723</c:v>
                </c:pt>
                <c:pt idx="19">
                  <c:v>-62966205.780046679</c:v>
                </c:pt>
                <c:pt idx="20">
                  <c:v>-50047888.969063312</c:v>
                </c:pt>
                <c:pt idx="21">
                  <c:v>-35505735.250336125</c:v>
                </c:pt>
                <c:pt idx="22">
                  <c:v>-737952689.37727487</c:v>
                </c:pt>
                <c:pt idx="23">
                  <c:v>0</c:v>
                </c:pt>
              </c:numCache>
            </c:numRef>
          </c:val>
          <c:smooth val="0"/>
          <c:extLst>
            <c:ext xmlns:c16="http://schemas.microsoft.com/office/drawing/2014/chart" uri="{C3380CC4-5D6E-409C-BE32-E72D297353CC}">
              <c16:uniqueId val="{00000000-1809-42D0-B846-EB67D14F8CAA}"/>
            </c:ext>
          </c:extLst>
        </c:ser>
        <c:ser>
          <c:idx val="2"/>
          <c:order val="1"/>
          <c:tx>
            <c:strRef>
              <c:f>'7. Scenario Detailed'!$D$14:$E$14</c:f>
              <c:strCache>
                <c:ptCount val="2"/>
                <c:pt idx="0">
                  <c:v>Scenario 1 - Outsource Property Management</c:v>
                </c:pt>
                <c:pt idx="1">
                  <c:v>Sc1</c:v>
                </c:pt>
              </c:strCache>
            </c:strRef>
          </c:tx>
          <c:spPr>
            <a:ln w="28575" cap="rnd">
              <a:solidFill>
                <a:srgbClr val="FF0000"/>
              </a:solidFill>
              <a:round/>
            </a:ln>
            <a:effectLst/>
          </c:spPr>
          <c:marker>
            <c:symbol val="none"/>
          </c:marker>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Detailed'!$L$14:$AI$14</c:f>
              <c:numCache>
                <c:formatCode>"R"#,##0;[Red]\-"R"#,##0</c:formatCode>
                <c:ptCount val="24"/>
                <c:pt idx="0">
                  <c:v>-130562326.49333334</c:v>
                </c:pt>
                <c:pt idx="1">
                  <c:v>-137624672.89333332</c:v>
                </c:pt>
                <c:pt idx="2">
                  <c:v>-139007167.36000001</c:v>
                </c:pt>
                <c:pt idx="3">
                  <c:v>-141576874.53634024</c:v>
                </c:pt>
                <c:pt idx="4">
                  <c:v>-138400769.09143141</c:v>
                </c:pt>
                <c:pt idx="5">
                  <c:v>-153814812.48137459</c:v>
                </c:pt>
                <c:pt idx="6">
                  <c:v>-282906676.29483563</c:v>
                </c:pt>
                <c:pt idx="7">
                  <c:v>-241448392.66406965</c:v>
                </c:pt>
                <c:pt idx="8">
                  <c:v>-215770278.24525476</c:v>
                </c:pt>
                <c:pt idx="9">
                  <c:v>-186967445.83256724</c:v>
                </c:pt>
                <c:pt idx="10">
                  <c:v>-67225864.745463669</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2-1809-42D0-B846-EB67D14F8CAA}"/>
            </c:ext>
          </c:extLst>
        </c:ser>
        <c:ser>
          <c:idx val="3"/>
          <c:order val="2"/>
          <c:tx>
            <c:strRef>
              <c:f>'7. Scenario Detailed'!$D$15:$E$15</c:f>
              <c:strCache>
                <c:ptCount val="2"/>
                <c:pt idx="0">
                  <c:v>Scenario 2 - Accelerate Transfer Voetstoots to Existing Occupants</c:v>
                </c:pt>
                <c:pt idx="1">
                  <c:v>Sc2</c:v>
                </c:pt>
              </c:strCache>
            </c:strRef>
          </c:tx>
          <c:spPr>
            <a:ln w="28575" cap="rnd">
              <a:solidFill>
                <a:schemeClr val="accent4"/>
              </a:solidFill>
              <a:round/>
            </a:ln>
            <a:effectLst/>
          </c:spPr>
          <c:marker>
            <c:symbol val="none"/>
          </c:marker>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Detailed'!$L$15:$AI$15</c:f>
              <c:numCache>
                <c:formatCode>"R"#,##0;[Red]\-"R"#,##0</c:formatCode>
                <c:ptCount val="24"/>
                <c:pt idx="0">
                  <c:v>-130562326.49333334</c:v>
                </c:pt>
                <c:pt idx="1">
                  <c:v>-137624672.89333332</c:v>
                </c:pt>
                <c:pt idx="2">
                  <c:v>-139007167.36000001</c:v>
                </c:pt>
                <c:pt idx="3">
                  <c:v>-141576874.53634024</c:v>
                </c:pt>
                <c:pt idx="4">
                  <c:v>-138400769.09143141</c:v>
                </c:pt>
                <c:pt idx="5">
                  <c:v>-134282559.36137459</c:v>
                </c:pt>
                <c:pt idx="6">
                  <c:v>-645334119.72052228</c:v>
                </c:pt>
                <c:pt idx="7">
                  <c:v>-165804827.24377292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3-1809-42D0-B846-EB67D14F8CAA}"/>
            </c:ext>
          </c:extLst>
        </c:ser>
        <c:ser>
          <c:idx val="4"/>
          <c:order val="3"/>
          <c:tx>
            <c:strRef>
              <c:f>'7. Scenario Detailed'!$D$16:$E$16</c:f>
              <c:strCache>
                <c:ptCount val="2"/>
                <c:pt idx="0">
                  <c:v>Scenario 3 - Devolve to Local Municipality</c:v>
                </c:pt>
                <c:pt idx="1">
                  <c:v>Sc3</c:v>
                </c:pt>
              </c:strCache>
            </c:strRef>
          </c:tx>
          <c:spPr>
            <a:ln w="28575" cap="rnd">
              <a:solidFill>
                <a:srgbClr val="7030A0"/>
              </a:solidFill>
              <a:round/>
            </a:ln>
            <a:effectLst/>
          </c:spPr>
          <c:marker>
            <c:symbol val="none"/>
          </c:marker>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Detailed'!$L$16:$AI$16</c:f>
              <c:numCache>
                <c:formatCode>"R"#,##0;[Red]\-"R"#,##0</c:formatCode>
                <c:ptCount val="24"/>
                <c:pt idx="0">
                  <c:v>-130562326.49333334</c:v>
                </c:pt>
                <c:pt idx="1">
                  <c:v>-137624672.89333332</c:v>
                </c:pt>
                <c:pt idx="2">
                  <c:v>-139007167.36000001</c:v>
                </c:pt>
                <c:pt idx="3">
                  <c:v>-141576874.53634024</c:v>
                </c:pt>
                <c:pt idx="4">
                  <c:v>-138400769.09143141</c:v>
                </c:pt>
                <c:pt idx="5">
                  <c:v>-134282559.36137459</c:v>
                </c:pt>
                <c:pt idx="6">
                  <c:v>-808768919.95159531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4-1809-42D0-B846-EB67D14F8CAA}"/>
            </c:ext>
          </c:extLst>
        </c:ser>
        <c:ser>
          <c:idx val="5"/>
          <c:order val="4"/>
          <c:tx>
            <c:strRef>
              <c:f>'7. Scenario Detailed'!$D$17:$E$17</c:f>
              <c:strCache>
                <c:ptCount val="2"/>
                <c:pt idx="0">
                  <c:v>Scenario 4 - User creates own scenario</c:v>
                </c:pt>
                <c:pt idx="1">
                  <c:v>Sc4</c:v>
                </c:pt>
              </c:strCache>
            </c:strRef>
          </c:tx>
          <c:spPr>
            <a:ln w="28575" cap="rnd">
              <a:solidFill>
                <a:schemeClr val="accent6"/>
              </a:solidFill>
              <a:round/>
            </a:ln>
            <a:effectLst/>
          </c:spPr>
          <c:marker>
            <c:symbol val="none"/>
          </c:marker>
          <c:cat>
            <c:strRef>
              <c:f>'7. Scenario Detailed'!$L$10:$AI$10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'7. Scenario Detailed'!$L$17:$AI$17</c:f>
              <c:numCache>
                <c:formatCode>"R"#,##0;[Red]\-"R"#,##0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5-1809-42D0-B846-EB67D14F8CAA}"/>
            </c:ext>
          </c:extLst>
        </c:ser>
        <c:dLbls>
          <c:showLegendKey val="0"/>
          <c:showVal val="0"/>
          <c:showCatName val="0"/>
          <c:showSerName val="0"/>
          <c:showPercent val="0"/>
          <c:showBubbleSize val="0"/>
        </c:dLbls>
        <c:smooth val="0"/>
        <c:axId val="703060496"/>
        <c:axId val="703060168"/>
      </c:lineChart>
      <c:catAx>
        <c:axId val="703060496"/>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60168"/>
        <c:crosses val="autoZero"/>
        <c:auto val="1"/>
        <c:lblAlgn val="ctr"/>
        <c:lblOffset val="100"/>
        <c:noMultiLvlLbl val="0"/>
      </c:catAx>
      <c:valAx>
        <c:axId val="70306016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Red]\-&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60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National'!$E$196</c:f>
              <c:strCache>
                <c:ptCount val="1"/>
                <c:pt idx="0">
                  <c:v>Sales &amp; Loans Collections/Sales &amp; Loans Raised</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National'!$N$196:$AK$196</c:f>
              <c:numCache>
                <c:formatCode>0.0%</c:formatCode>
                <c:ptCount val="24"/>
                <c:pt idx="0">
                  <c:v>0.12911491713184367</c:v>
                </c:pt>
                <c:pt idx="1">
                  <c:v>0.2262622956784065</c:v>
                </c:pt>
                <c:pt idx="2">
                  <c:v>0.24001823843768713</c:v>
                </c:pt>
                <c:pt idx="3">
                  <c:v>0.14589278010946469</c:v>
                </c:pt>
                <c:pt idx="4">
                  <c:v>0.14589278010946469</c:v>
                </c:pt>
                <c:pt idx="5">
                  <c:v>0.12668732159277471</c:v>
                </c:pt>
                <c:pt idx="6">
                  <c:v>6.5747878122074388E-2</c:v>
                </c:pt>
                <c:pt idx="7">
                  <c:v>6.5747878122074388E-2</c:v>
                </c:pt>
                <c:pt idx="8">
                  <c:v>6.5747878122074388E-2</c:v>
                </c:pt>
                <c:pt idx="9">
                  <c:v>6.5747878122074388E-2</c:v>
                </c:pt>
                <c:pt idx="10">
                  <c:v>6.5747878122074388E-2</c:v>
                </c:pt>
                <c:pt idx="11">
                  <c:v>6.5747878122074388E-2</c:v>
                </c:pt>
                <c:pt idx="12">
                  <c:v>6.5747878122074388E-2</c:v>
                </c:pt>
                <c:pt idx="13">
                  <c:v>6.5747878122074388E-2</c:v>
                </c:pt>
                <c:pt idx="14">
                  <c:v>6.5747878122074388E-2</c:v>
                </c:pt>
                <c:pt idx="15">
                  <c:v>6.5747878122074388E-2</c:v>
                </c:pt>
                <c:pt idx="16">
                  <c:v>6.5747878122074388E-2</c:v>
                </c:pt>
                <c:pt idx="17">
                  <c:v>6.5747878122074388E-2</c:v>
                </c:pt>
                <c:pt idx="18">
                  <c:v>6.5747878122074388E-2</c:v>
                </c:pt>
                <c:pt idx="19">
                  <c:v>6.5747878122074388E-2</c:v>
                </c:pt>
                <c:pt idx="20">
                  <c:v>6.5747878122074388E-2</c:v>
                </c:pt>
                <c:pt idx="21">
                  <c:v>6.5747878122074388E-2</c:v>
                </c:pt>
                <c:pt idx="22">
                  <c:v>0.13248519490854305</c:v>
                </c:pt>
                <c:pt idx="23">
                  <c:v>0</c:v>
                </c:pt>
              </c:numCache>
            </c:numRef>
          </c:val>
          <c:smooth val="0"/>
          <c:extLst>
            <c:ext xmlns:c16="http://schemas.microsoft.com/office/drawing/2014/chart" uri="{C3380CC4-5D6E-409C-BE32-E72D297353CC}">
              <c16:uniqueId val="{00000000-0B62-4401-B54D-584539AEAEAF}"/>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National'!$E$220</c:f>
              <c:strCache>
                <c:ptCount val="1"/>
                <c:pt idx="0">
                  <c:v>Rental Collections/Rentals Raised</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National'!$N$220:$AK$220</c:f>
              <c:numCache>
                <c:formatCode>0.0%</c:formatCode>
                <c:ptCount val="24"/>
                <c:pt idx="0">
                  <c:v>0.43074995700024832</c:v>
                </c:pt>
                <c:pt idx="1">
                  <c:v>0.4175691893204192</c:v>
                </c:pt>
                <c:pt idx="2">
                  <c:v>0.4799755579961148</c:v>
                </c:pt>
                <c:pt idx="3">
                  <c:v>0.45924066965734001</c:v>
                </c:pt>
                <c:pt idx="4">
                  <c:v>0.43027023088641919</c:v>
                </c:pt>
                <c:pt idx="5">
                  <c:v>0.40193032417923641</c:v>
                </c:pt>
                <c:pt idx="6">
                  <c:v>0.40200271560394374</c:v>
                </c:pt>
                <c:pt idx="7">
                  <c:v>0.40208524472447471</c:v>
                </c:pt>
                <c:pt idx="8">
                  <c:v>0.40218020140141142</c:v>
                </c:pt>
                <c:pt idx="9">
                  <c:v>0.40229062127909859</c:v>
                </c:pt>
                <c:pt idx="10">
                  <c:v>0.40242061631570591</c:v>
                </c:pt>
                <c:pt idx="11">
                  <c:v>0.40257589819903378</c:v>
                </c:pt>
                <c:pt idx="12">
                  <c:v>0.4027646401181767</c:v>
                </c:pt>
                <c:pt idx="13">
                  <c:v>0.40299896288428361</c:v>
                </c:pt>
                <c:pt idx="14">
                  <c:v>0.40329764560146902</c:v>
                </c:pt>
                <c:pt idx="15">
                  <c:v>0.40369142547750952</c:v>
                </c:pt>
                <c:pt idx="16">
                  <c:v>0.40423431828483092</c:v>
                </c:pt>
                <c:pt idx="17">
                  <c:v>0.40503080257458618</c:v>
                </c:pt>
                <c:pt idx="18">
                  <c:v>0.40631270636913475</c:v>
                </c:pt>
                <c:pt idx="19">
                  <c:v>0.40871828245838759</c:v>
                </c:pt>
                <c:pt idx="20">
                  <c:v>0.41487778252245144</c:v>
                </c:pt>
                <c:pt idx="21">
                  <c:v>0.46477863356926424</c:v>
                </c:pt>
                <c:pt idx="22">
                  <c:v>0</c:v>
                </c:pt>
                <c:pt idx="23">
                  <c:v>0</c:v>
                </c:pt>
              </c:numCache>
            </c:numRef>
          </c:val>
          <c:smooth val="0"/>
          <c:extLst>
            <c:ext xmlns:c16="http://schemas.microsoft.com/office/drawing/2014/chart" uri="{C3380CC4-5D6E-409C-BE32-E72D297353CC}">
              <c16:uniqueId val="{00000000-354B-431A-B1DB-6B21013420C5}"/>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National'!$E$244</c:f>
              <c:strCache>
                <c:ptCount val="1"/>
                <c:pt idx="0">
                  <c:v>Cost to Income Ratio</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National'!$N$244:$AK$244</c:f>
              <c:numCache>
                <c:formatCode>0.0%</c:formatCode>
                <c:ptCount val="24"/>
                <c:pt idx="0">
                  <c:v>3.9797793944828515</c:v>
                </c:pt>
                <c:pt idx="1">
                  <c:v>3.9774448403588876</c:v>
                </c:pt>
                <c:pt idx="2">
                  <c:v>5.5783167506580043</c:v>
                </c:pt>
                <c:pt idx="3">
                  <c:v>12.671079931042106</c:v>
                </c:pt>
                <c:pt idx="4">
                  <c:v>13.507273116795963</c:v>
                </c:pt>
                <c:pt idx="5">
                  <c:v>15.977837533118963</c:v>
                </c:pt>
                <c:pt idx="6">
                  <c:v>30.537175879738236</c:v>
                </c:pt>
                <c:pt idx="7">
                  <c:v>31.578787537400064</c:v>
                </c:pt>
                <c:pt idx="8">
                  <c:v>32.583822867731854</c:v>
                </c:pt>
                <c:pt idx="9">
                  <c:v>33.533380100091833</c:v>
                </c:pt>
                <c:pt idx="10">
                  <c:v>34.403761511004006</c:v>
                </c:pt>
                <c:pt idx="11">
                  <c:v>35.165178524142178</c:v>
                </c:pt>
                <c:pt idx="12">
                  <c:v>35.780039264048</c:v>
                </c:pt>
                <c:pt idx="13">
                  <c:v>36.200654829392356</c:v>
                </c:pt>
                <c:pt idx="14">
                  <c:v>36.366123014428666</c:v>
                </c:pt>
                <c:pt idx="15">
                  <c:v>36.198026779490213</c:v>
                </c:pt>
                <c:pt idx="16">
                  <c:v>35.594389996269669</c:v>
                </c:pt>
                <c:pt idx="17">
                  <c:v>34.421012103663806</c:v>
                </c:pt>
                <c:pt idx="18">
                  <c:v>32.498758542525906</c:v>
                </c:pt>
                <c:pt idx="19">
                  <c:v>29.584427062221135</c:v>
                </c:pt>
                <c:pt idx="20">
                  <c:v>25.341063223634041</c:v>
                </c:pt>
                <c:pt idx="21">
                  <c:v>19.29026369974644</c:v>
                </c:pt>
                <c:pt idx="22">
                  <c:v>1.6075727102062864</c:v>
                </c:pt>
                <c:pt idx="23">
                  <c:v>0</c:v>
                </c:pt>
              </c:numCache>
            </c:numRef>
          </c:val>
          <c:smooth val="0"/>
          <c:extLst>
            <c:ext xmlns:c16="http://schemas.microsoft.com/office/drawing/2014/chart" uri="{C3380CC4-5D6E-409C-BE32-E72D297353CC}">
              <c16:uniqueId val="{00000000-FB6B-43C0-AAD8-B3DEC57CE49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Annual</a:t>
            </a:r>
            <a:r>
              <a:rPr lang="en-GB" b="1" baseline="0"/>
              <a:t> </a:t>
            </a:r>
            <a:r>
              <a:rPr lang="en-GB" b="1"/>
              <a:t>Income</a:t>
            </a:r>
            <a:r>
              <a:rPr lang="en-GB" b="1" baseline="0"/>
              <a:t> &amp; </a:t>
            </a:r>
            <a:r>
              <a:rPr lang="en-GB" b="1"/>
              <a:t>Expenses v Cumulative</a:t>
            </a:r>
            <a:r>
              <a:rPr lang="en-GB" b="1" baseline="0"/>
              <a:t> Net Cash Flow</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3560035490869"/>
          <c:y val="0.17381482867545139"/>
          <c:w val="0.85878219839354253"/>
          <c:h val="0.7504660585408921"/>
        </c:manualLayout>
      </c:layout>
      <c:areaChart>
        <c:grouping val="standard"/>
        <c:varyColors val="0"/>
        <c:ser>
          <c:idx val="0"/>
          <c:order val="0"/>
          <c:tx>
            <c:strRef>
              <c:f>'5. Dashboard Total'!$AB$136</c:f>
              <c:strCache>
                <c:ptCount val="1"/>
                <c:pt idx="0">
                  <c:v>Total Income</c:v>
                </c:pt>
              </c:strCache>
            </c:strRef>
          </c:tx>
          <c:spPr>
            <a:solidFill>
              <a:srgbClr val="7030A0"/>
            </a:solidFill>
            <a:ln>
              <a:noFill/>
            </a:ln>
            <a:effectLst/>
          </c:spPr>
          <c:cat>
            <c:strRef>
              <c:f>'5. Dashboard Total'!$AC$135:$AZ$135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Total'!$AC$136:$AZ$136</c:f>
              <c:numCache>
                <c:formatCode>"R"#,##0</c:formatCode>
                <c:ptCount val="24"/>
                <c:pt idx="0">
                  <c:v>13847741.82</c:v>
                </c:pt>
                <c:pt idx="1">
                  <c:v>16595915.43</c:v>
                </c:pt>
                <c:pt idx="2">
                  <c:v>14925625.75</c:v>
                </c:pt>
                <c:pt idx="3">
                  <c:v>11305567.046898484</c:v>
                </c:pt>
                <c:pt idx="4">
                  <c:v>10295775.108026672</c:v>
                </c:pt>
                <c:pt idx="5">
                  <c:v>8369173.8392901234</c:v>
                </c:pt>
                <c:pt idx="6">
                  <c:v>4298208.2229296956</c:v>
                </c:pt>
                <c:pt idx="7">
                  <c:v>4125590.3054568996</c:v>
                </c:pt>
                <c:pt idx="8">
                  <c:v>3952972.3879841031</c:v>
                </c:pt>
                <c:pt idx="9">
                  <c:v>3780354.470511307</c:v>
                </c:pt>
                <c:pt idx="10">
                  <c:v>3607736.5530385105</c:v>
                </c:pt>
                <c:pt idx="11">
                  <c:v>3435118.6355657149</c:v>
                </c:pt>
                <c:pt idx="12">
                  <c:v>3262500.7180929184</c:v>
                </c:pt>
                <c:pt idx="13">
                  <c:v>3089882.8006201228</c:v>
                </c:pt>
                <c:pt idx="14">
                  <c:v>2917264.8831473263</c:v>
                </c:pt>
                <c:pt idx="15">
                  <c:v>2744646.9656745302</c:v>
                </c:pt>
                <c:pt idx="16">
                  <c:v>2572029.0482017342</c:v>
                </c:pt>
                <c:pt idx="17">
                  <c:v>2399411.1307289382</c:v>
                </c:pt>
                <c:pt idx="18">
                  <c:v>2226793.2132561421</c:v>
                </c:pt>
                <c:pt idx="19">
                  <c:v>2054175.2957833458</c:v>
                </c:pt>
                <c:pt idx="20">
                  <c:v>1881557.3783105498</c:v>
                </c:pt>
                <c:pt idx="21">
                  <c:v>1708939.4608377537</c:v>
                </c:pt>
                <c:pt idx="22">
                  <c:v>481708.31094021688</c:v>
                </c:pt>
                <c:pt idx="23">
                  <c:v>0</c:v>
                </c:pt>
              </c:numCache>
            </c:numRef>
          </c:val>
          <c:extLst>
            <c:ext xmlns:c16="http://schemas.microsoft.com/office/drawing/2014/chart" uri="{C3380CC4-5D6E-409C-BE32-E72D297353CC}">
              <c16:uniqueId val="{00000000-DB20-4CBC-B48C-2E023501170D}"/>
            </c:ext>
          </c:extLst>
        </c:ser>
        <c:ser>
          <c:idx val="1"/>
          <c:order val="1"/>
          <c:tx>
            <c:strRef>
              <c:f>'5. Dashboard Total'!$AB$137</c:f>
              <c:strCache>
                <c:ptCount val="1"/>
                <c:pt idx="0">
                  <c:v>Total Expenditure</c:v>
                </c:pt>
              </c:strCache>
            </c:strRef>
          </c:tx>
          <c:spPr>
            <a:solidFill>
              <a:srgbClr val="00B050"/>
            </a:solidFill>
            <a:ln>
              <a:noFill/>
            </a:ln>
            <a:effectLst/>
          </c:spPr>
          <c:cat>
            <c:strRef>
              <c:f>'5. Dashboard Total'!$AC$135:$AZ$135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Total'!$AC$137:$AZ$137</c:f>
              <c:numCache>
                <c:formatCode>"R"#,##0</c:formatCode>
                <c:ptCount val="24"/>
                <c:pt idx="0">
                  <c:v>-126486884.31333333</c:v>
                </c:pt>
                <c:pt idx="1">
                  <c:v>-136616043.32333332</c:v>
                </c:pt>
                <c:pt idx="2">
                  <c:v>-143214809.11000001</c:v>
                </c:pt>
                <c:pt idx="3">
                  <c:v>-143253743.71700636</c:v>
                </c:pt>
                <c:pt idx="4">
                  <c:v>-139067846.33322573</c:v>
                </c:pt>
                <c:pt idx="5">
                  <c:v>-133721299.89060706</c:v>
                </c:pt>
                <c:pt idx="6">
                  <c:v>-131255140.47134125</c:v>
                </c:pt>
                <c:pt idx="7">
                  <c:v>-130281139.72238086</c:v>
                </c:pt>
                <c:pt idx="8">
                  <c:v>-128802952.09110902</c:v>
                </c:pt>
                <c:pt idx="9">
                  <c:v>-126768063.37273706</c:v>
                </c:pt>
                <c:pt idx="10">
                  <c:v>-124119707.96526858</c:v>
                </c:pt>
                <c:pt idx="11">
                  <c:v>-120796560.07127605</c:v>
                </c:pt>
                <c:pt idx="12">
                  <c:v>-116732403.79234941</c:v>
                </c:pt>
                <c:pt idx="13">
                  <c:v>-111855780.72852524</c:v>
                </c:pt>
                <c:pt idx="14">
                  <c:v>-106089613.60620853</c:v>
                </c:pt>
                <c:pt idx="15">
                  <c:v>-99350804.363733217</c:v>
                </c:pt>
                <c:pt idx="16">
                  <c:v>-91549805.023426801</c:v>
                </c:pt>
                <c:pt idx="17">
                  <c:v>-82590159.57248643</c:v>
                </c:pt>
                <c:pt idx="18">
                  <c:v>-72368014.961746752</c:v>
                </c:pt>
                <c:pt idx="19">
                  <c:v>-60771599.211118914</c:v>
                </c:pt>
                <c:pt idx="20">
                  <c:v>-47680664.482662745</c:v>
                </c:pt>
                <c:pt idx="21">
                  <c:v>-32965892.846462775</c:v>
                </c:pt>
                <c:pt idx="22">
                  <c:v>-774381.134947057</c:v>
                </c:pt>
                <c:pt idx="23">
                  <c:v>0</c:v>
                </c:pt>
              </c:numCache>
            </c:numRef>
          </c:val>
          <c:extLst>
            <c:ext xmlns:c16="http://schemas.microsoft.com/office/drawing/2014/chart" uri="{C3380CC4-5D6E-409C-BE32-E72D297353CC}">
              <c16:uniqueId val="{00000001-DB20-4CBC-B48C-2E023501170D}"/>
            </c:ext>
          </c:extLst>
        </c:ser>
        <c:dLbls>
          <c:showLegendKey val="0"/>
          <c:showVal val="0"/>
          <c:showCatName val="0"/>
          <c:showSerName val="0"/>
          <c:showPercent val="0"/>
          <c:showBubbleSize val="0"/>
        </c:dLbls>
        <c:axId val="798513032"/>
        <c:axId val="798511720"/>
      </c:areaChart>
      <c:lineChart>
        <c:grouping val="standard"/>
        <c:varyColors val="0"/>
        <c:ser>
          <c:idx val="3"/>
          <c:order val="3"/>
          <c:tx>
            <c:strRef>
              <c:f>'5. Dashboard Total'!$AB$139</c:f>
              <c:strCache>
                <c:ptCount val="1"/>
                <c:pt idx="0">
                  <c:v>Cumulative Surplus/(Deficit)</c:v>
                </c:pt>
              </c:strCache>
            </c:strRef>
          </c:tx>
          <c:spPr>
            <a:ln w="28575" cap="rnd">
              <a:solidFill>
                <a:srgbClr val="002060"/>
              </a:solidFill>
              <a:round/>
            </a:ln>
            <a:effectLst/>
          </c:spPr>
          <c:marker>
            <c:symbol val="none"/>
          </c:marker>
          <c:cat>
            <c:strRef>
              <c:f>'5. Dashboard Total'!$AC$135:$AZ$135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Total'!$AC$139:$AZ$139</c:f>
              <c:numCache>
                <c:formatCode>"R"#,##0</c:formatCode>
                <c:ptCount val="24"/>
                <c:pt idx="0">
                  <c:v>-112639142.49333334</c:v>
                </c:pt>
                <c:pt idx="1">
                  <c:v>-232659270.38666666</c:v>
                </c:pt>
                <c:pt idx="2">
                  <c:v>-360948453.74666667</c:v>
                </c:pt>
                <c:pt idx="3">
                  <c:v>-492896630.41677451</c:v>
                </c:pt>
                <c:pt idx="4">
                  <c:v>-621668701.64197361</c:v>
                </c:pt>
                <c:pt idx="5">
                  <c:v>-747020827.69329059</c:v>
                </c:pt>
                <c:pt idx="6">
                  <c:v>-873977759.94170213</c:v>
                </c:pt>
                <c:pt idx="7">
                  <c:v>-1000133309.3586261</c:v>
                </c:pt>
                <c:pt idx="8">
                  <c:v>-1124983289.0617511</c:v>
                </c:pt>
                <c:pt idx="9">
                  <c:v>-1247970997.9639769</c:v>
                </c:pt>
                <c:pt idx="10">
                  <c:v>-1368482969.3762069</c:v>
                </c:pt>
                <c:pt idx="11">
                  <c:v>-1485844410.8119173</c:v>
                </c:pt>
                <c:pt idx="12">
                  <c:v>-1599314313.8861737</c:v>
                </c:pt>
                <c:pt idx="13">
                  <c:v>-1708080211.8140788</c:v>
                </c:pt>
                <c:pt idx="14">
                  <c:v>-1811252560.5371399</c:v>
                </c:pt>
                <c:pt idx="15">
                  <c:v>-1907858717.9351985</c:v>
                </c:pt>
                <c:pt idx="16">
                  <c:v>-1996836493.9104235</c:v>
                </c:pt>
                <c:pt idx="17">
                  <c:v>-2077027242.352181</c:v>
                </c:pt>
                <c:pt idx="18">
                  <c:v>-2147168464.1006715</c:v>
                </c:pt>
                <c:pt idx="19">
                  <c:v>-2205885888.0160069</c:v>
                </c:pt>
                <c:pt idx="20">
                  <c:v>-2251684995.1203589</c:v>
                </c:pt>
                <c:pt idx="21">
                  <c:v>-2282941948.5059838</c:v>
                </c:pt>
                <c:pt idx="22">
                  <c:v>-2283234621.3299909</c:v>
                </c:pt>
                <c:pt idx="23">
                  <c:v>-2283234621.3299909</c:v>
                </c:pt>
              </c:numCache>
            </c:numRef>
          </c:val>
          <c:smooth val="0"/>
          <c:extLst>
            <c:ext xmlns:c16="http://schemas.microsoft.com/office/drawing/2014/chart" uri="{C3380CC4-5D6E-409C-BE32-E72D297353CC}">
              <c16:uniqueId val="{00000002-DB20-4CBC-B48C-2E023501170D}"/>
            </c:ext>
          </c:extLst>
        </c:ser>
        <c:dLbls>
          <c:showLegendKey val="0"/>
          <c:showVal val="0"/>
          <c:showCatName val="0"/>
          <c:showSerName val="0"/>
          <c:showPercent val="0"/>
          <c:showBubbleSize val="0"/>
        </c:dLbls>
        <c:marker val="1"/>
        <c:smooth val="0"/>
        <c:axId val="798513032"/>
        <c:axId val="798511720"/>
        <c:extLst>
          <c:ext xmlns:c15="http://schemas.microsoft.com/office/drawing/2012/chart" uri="{02D57815-91ED-43cb-92C2-25804820EDAC}">
            <c15:filteredLineSeries>
              <c15:ser>
                <c:idx val="2"/>
                <c:order val="2"/>
                <c:tx>
                  <c:strRef>
                    <c:extLst>
                      <c:ext uri="{02D57815-91ED-43cb-92C2-25804820EDAC}">
                        <c15:formulaRef>
                          <c15:sqref>'5. Dashboard Total'!$AB$138</c15:sqref>
                        </c15:formulaRef>
                      </c:ext>
                    </c:extLst>
                    <c:strCache>
                      <c:ptCount val="1"/>
                      <c:pt idx="0">
                        <c:v>Net Surplus / (Deficit)</c:v>
                      </c:pt>
                    </c:strCache>
                  </c:strRef>
                </c:tx>
                <c:spPr>
                  <a:ln w="28575" cap="rnd">
                    <a:solidFill>
                      <a:srgbClr val="FFFF00"/>
                    </a:solidFill>
                    <a:round/>
                  </a:ln>
                  <a:effectLst/>
                </c:spPr>
                <c:marker>
                  <c:symbol val="none"/>
                </c:marker>
                <c:cat>
                  <c:strRef>
                    <c:extLst>
                      <c:ext uri="{02D57815-91ED-43cb-92C2-25804820EDAC}">
                        <c15:formulaRef>
                          <c15:sqref>'5. Dashboard Total'!$AC$135:$AZ$135</c15:sqref>
                        </c15:formulaRef>
                      </c:ext>
                    </c:extLst>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extLst>
                      <c:ext uri="{02D57815-91ED-43cb-92C2-25804820EDAC}">
                        <c15:formulaRef>
                          <c15:sqref>'5. Dashboard Total'!$AC$138:$AZ$138</c15:sqref>
                        </c15:formulaRef>
                      </c:ext>
                    </c:extLst>
                    <c:numCache>
                      <c:formatCode>"R"#,##0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smooth val="0"/>
                <c:extLst>
                  <c:ext xmlns:c16="http://schemas.microsoft.com/office/drawing/2014/chart" uri="{C3380CC4-5D6E-409C-BE32-E72D297353CC}">
                    <c16:uniqueId val="{00000003-DB20-4CBC-B48C-2E023501170D}"/>
                  </c:ext>
                </c:extLst>
              </c15:ser>
            </c15:filteredLineSeries>
          </c:ext>
        </c:extLst>
      </c:lineChart>
      <c:catAx>
        <c:axId val="7985130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1720"/>
        <c:crosses val="autoZero"/>
        <c:auto val="1"/>
        <c:lblAlgn val="ctr"/>
        <c:lblOffset val="100"/>
        <c:noMultiLvlLbl val="0"/>
      </c:catAx>
      <c:valAx>
        <c:axId val="798511720"/>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1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National'!$E$270</c:f>
              <c:strCache>
                <c:ptCount val="1"/>
                <c:pt idx="0">
                  <c:v>Maintenance as % of Expenses</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National'!$N$270:$AK$270</c:f>
              <c:numCache>
                <c:formatCode>0.0%</c:formatCode>
                <c:ptCount val="24"/>
                <c:pt idx="0">
                  <c:v>0.41192797318755381</c:v>
                </c:pt>
                <c:pt idx="1">
                  <c:v>0.32548273107837405</c:v>
                </c:pt>
                <c:pt idx="2">
                  <c:v>0.40096302405356743</c:v>
                </c:pt>
                <c:pt idx="3">
                  <c:v>0.39034513559371409</c:v>
                </c:pt>
                <c:pt idx="4">
                  <c:v>0.38882931518015867</c:v>
                </c:pt>
                <c:pt idx="5">
                  <c:v>0.38792906444137154</c:v>
                </c:pt>
                <c:pt idx="6">
                  <c:v>0.39105915624224319</c:v>
                </c:pt>
                <c:pt idx="7">
                  <c:v>0.38812760119698214</c:v>
                </c:pt>
                <c:pt idx="8">
                  <c:v>0.38480258720870825</c:v>
                </c:pt>
                <c:pt idx="9">
                  <c:v>0.38099920395919717</c:v>
                </c:pt>
                <c:pt idx="10">
                  <c:v>0.37660621531535154</c:v>
                </c:pt>
                <c:pt idx="11">
                  <c:v>0.37147499941321133</c:v>
                </c:pt>
                <c:pt idx="12">
                  <c:v>0.36540240152646231</c:v>
                </c:pt>
                <c:pt idx="13">
                  <c:v>0.35810319625943859</c:v>
                </c:pt>
                <c:pt idx="14">
                  <c:v>0.34916398795754855</c:v>
                </c:pt>
                <c:pt idx="15">
                  <c:v>0.33796210521123632</c:v>
                </c:pt>
                <c:pt idx="16">
                  <c:v>0.32351398369371032</c:v>
                </c:pt>
                <c:pt idx="17">
                  <c:v>0.30416940002598553</c:v>
                </c:pt>
                <c:pt idx="18">
                  <c:v>0.27693140914801878</c:v>
                </c:pt>
                <c:pt idx="19">
                  <c:v>0.23573042123964874</c:v>
                </c:pt>
                <c:pt idx="20">
                  <c:v>0.16612919199079115</c:v>
                </c:pt>
                <c:pt idx="21">
                  <c:v>2.3319510182640481E-2</c:v>
                </c:pt>
                <c:pt idx="22">
                  <c:v>0</c:v>
                </c:pt>
                <c:pt idx="23">
                  <c:v>0</c:v>
                </c:pt>
              </c:numCache>
            </c:numRef>
          </c:val>
          <c:smooth val="0"/>
          <c:extLst>
            <c:ext xmlns:c16="http://schemas.microsoft.com/office/drawing/2014/chart" uri="{C3380CC4-5D6E-409C-BE32-E72D297353CC}">
              <c16:uniqueId val="{00000000-0AD4-4834-AFA0-34D3926A726A}"/>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National'!$E$294</c:f>
              <c:strCache>
                <c:ptCount val="1"/>
                <c:pt idx="0">
                  <c:v>Maintenance Cost per Unit</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National'!$N$294:$AK$294</c:f>
              <c:numCache>
                <c:formatCode>"R"#,##0_);[Red]\("R"#,##0\)</c:formatCode>
                <c:ptCount val="24"/>
                <c:pt idx="0">
                  <c:v>221716.96123404257</c:v>
                </c:pt>
                <c:pt idx="1">
                  <c:v>342047.40684615384</c:v>
                </c:pt>
                <c:pt idx="2">
                  <c:v>11128.651734496125</c:v>
                </c:pt>
                <c:pt idx="3">
                  <c:v>12035.816189307363</c:v>
                </c:pt>
                <c:pt idx="4">
                  <c:v>13086.557466923452</c:v>
                </c:pt>
                <c:pt idx="5">
                  <c:v>14188.834453623436</c:v>
                </c:pt>
                <c:pt idx="6">
                  <c:v>14964.58439801161</c:v>
                </c:pt>
                <c:pt idx="7">
                  <c:v>15782.055630978948</c:v>
                </c:pt>
                <c:pt idx="8">
                  <c:v>16643.287174203506</c:v>
                </c:pt>
                <c:pt idx="9">
                  <c:v>17550.338383888764</c:v>
                </c:pt>
                <c:pt idx="10">
                  <c:v>18505.246818229018</c:v>
                </c:pt>
                <c:pt idx="11">
                  <c:v>19509.957426780529</c:v>
                </c:pt>
                <c:pt idx="12">
                  <c:v>20566.200907271548</c:v>
                </c:pt>
                <c:pt idx="13">
                  <c:v>21675.277380400326</c:v>
                </c:pt>
                <c:pt idx="14">
                  <c:v>22837.652631084573</c:v>
                </c:pt>
                <c:pt idx="15">
                  <c:v>24052.154009453407</c:v>
                </c:pt>
                <c:pt idx="16">
                  <c:v>25314.224042317313</c:v>
                </c:pt>
                <c:pt idx="17">
                  <c:v>26611.651785183898</c:v>
                </c:pt>
                <c:pt idx="18">
                  <c:v>27912.22334345604</c:v>
                </c:pt>
                <c:pt idx="19">
                  <c:v>29117.306263097904</c:v>
                </c:pt>
                <c:pt idx="20">
                  <c:v>29778.760391311193</c:v>
                </c:pt>
                <c:pt idx="21">
                  <c:v>19218.711847823091</c:v>
                </c:pt>
                <c:pt idx="22">
                  <c:v>0</c:v>
                </c:pt>
                <c:pt idx="23">
                  <c:v>0</c:v>
                </c:pt>
              </c:numCache>
            </c:numRef>
          </c:val>
          <c:smooth val="0"/>
          <c:extLst>
            <c:ext xmlns:c16="http://schemas.microsoft.com/office/drawing/2014/chart" uri="{C3380CC4-5D6E-409C-BE32-E72D297353CC}">
              <c16:uniqueId val="{00000000-42EA-4052-9C59-6ADA52612A83}"/>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National'!$E$317</c:f>
              <c:strCache>
                <c:ptCount val="1"/>
                <c:pt idx="0">
                  <c:v>Net Deficit as % of HSDG Grant -  NDoHS Calc  (excl staff costs)</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National'!$N$317:$AK$317</c:f>
              <c:numCache>
                <c:formatCode>0.0%</c:formatCode>
                <c:ptCount val="24"/>
                <c:pt idx="0">
                  <c:v>5.6283986361087817E-3</c:v>
                </c:pt>
                <c:pt idx="1">
                  <c:v>5.8277379008081645E-3</c:v>
                </c:pt>
                <c:pt idx="2">
                  <c:v>8.965710025639017E-3</c:v>
                </c:pt>
                <c:pt idx="3">
                  <c:v>1.0064622456272281E-2</c:v>
                </c:pt>
                <c:pt idx="4">
                  <c:v>9.822358387218573E-3</c:v>
                </c:pt>
                <c:pt idx="5">
                  <c:v>9.5614949341196291E-3</c:v>
                </c:pt>
                <c:pt idx="6">
                  <c:v>9.6839048748770928E-3</c:v>
                </c:pt>
                <c:pt idx="7">
                  <c:v>9.622777727496902E-3</c:v>
                </c:pt>
                <c:pt idx="8">
                  <c:v>9.5231926737937116E-3</c:v>
                </c:pt>
                <c:pt idx="9">
                  <c:v>9.3811440832379609E-3</c:v>
                </c:pt>
                <c:pt idx="10">
                  <c:v>9.1923020411084737E-3</c:v>
                </c:pt>
                <c:pt idx="11">
                  <c:v>8.9519887942637148E-3</c:v>
                </c:pt>
                <c:pt idx="12">
                  <c:v>8.6551535869075942E-3</c:v>
                </c:pt>
                <c:pt idx="13">
                  <c:v>8.296345780500718E-3</c:v>
                </c:pt>
                <c:pt idx="14">
                  <c:v>7.8696861451948985E-3</c:v>
                </c:pt>
                <c:pt idx="15">
                  <c:v>7.3688362029707844E-3</c:v>
                </c:pt>
                <c:pt idx="16">
                  <c:v>6.7869654950093094E-3</c:v>
                </c:pt>
                <c:pt idx="17">
                  <c:v>6.1167166376997432E-3</c:v>
                </c:pt>
                <c:pt idx="18">
                  <c:v>5.3501680230505248E-3</c:v>
                </c:pt>
                <c:pt idx="19">
                  <c:v>4.4787940100927993E-3</c:v>
                </c:pt>
                <c:pt idx="20">
                  <c:v>3.4934224441170959E-3</c:v>
                </c:pt>
                <c:pt idx="21">
                  <c:v>2.3841893302257808E-3</c:v>
                </c:pt>
                <c:pt idx="22">
                  <c:v>2.232423024839863E-5</c:v>
                </c:pt>
                <c:pt idx="23">
                  <c:v>0</c:v>
                </c:pt>
              </c:numCache>
            </c:numRef>
          </c:val>
          <c:smooth val="0"/>
          <c:extLst>
            <c:ext xmlns:c16="http://schemas.microsoft.com/office/drawing/2014/chart" uri="{C3380CC4-5D6E-409C-BE32-E72D297353CC}">
              <c16:uniqueId val="{00000000-FEB8-4313-BB73-7ECA9C1A359C}"/>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National'!$E$340</c:f>
              <c:strCache>
                <c:ptCount val="1"/>
                <c:pt idx="0">
                  <c:v>EEDBS as % of HSDG</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National'!$N$340:$AK$340</c:f>
              <c:numCache>
                <c:formatCode>0.0%</c:formatCode>
                <c:ptCount val="24"/>
                <c:pt idx="0">
                  <c:v>1.3501498573366593E-3</c:v>
                </c:pt>
                <c:pt idx="1">
                  <c:v>1.3220500212674947E-3</c:v>
                </c:pt>
                <c:pt idx="2">
                  <c:v>8.1753659030898095E-4</c:v>
                </c:pt>
                <c:pt idx="3">
                  <c:v>1.604945291914538E-5</c:v>
                </c:pt>
                <c:pt idx="4">
                  <c:v>1.604945291914538E-5</c:v>
                </c:pt>
                <c:pt idx="5">
                  <c:v>1.604945291914538E-5</c:v>
                </c:pt>
                <c:pt idx="6">
                  <c:v>1.783272546571709E-6</c:v>
                </c:pt>
                <c:pt idx="7">
                  <c:v>1.783272546571709E-6</c:v>
                </c:pt>
                <c:pt idx="8">
                  <c:v>1.783272546571709E-6</c:v>
                </c:pt>
                <c:pt idx="9">
                  <c:v>1.783272546571709E-6</c:v>
                </c:pt>
                <c:pt idx="10">
                  <c:v>1.783272546571709E-6</c:v>
                </c:pt>
                <c:pt idx="11">
                  <c:v>1.783272546571709E-6</c:v>
                </c:pt>
                <c:pt idx="12">
                  <c:v>1.783272546571709E-6</c:v>
                </c:pt>
                <c:pt idx="13">
                  <c:v>1.783272546571709E-6</c:v>
                </c:pt>
                <c:pt idx="14">
                  <c:v>1.783272546571709E-6</c:v>
                </c:pt>
                <c:pt idx="15">
                  <c:v>1.783272546571709E-6</c:v>
                </c:pt>
                <c:pt idx="16">
                  <c:v>1.783272546571709E-6</c:v>
                </c:pt>
                <c:pt idx="17">
                  <c:v>1.783272546571709E-6</c:v>
                </c:pt>
                <c:pt idx="18">
                  <c:v>1.783272546571709E-6</c:v>
                </c:pt>
                <c:pt idx="19">
                  <c:v>1.783272546571709E-6</c:v>
                </c:pt>
                <c:pt idx="20">
                  <c:v>1.783272546571709E-6</c:v>
                </c:pt>
                <c:pt idx="21">
                  <c:v>1.783272546571709E-6</c:v>
                </c:pt>
                <c:pt idx="22">
                  <c:v>1.2020956834399175E-3</c:v>
                </c:pt>
                <c:pt idx="23">
                  <c:v>0</c:v>
                </c:pt>
              </c:numCache>
            </c:numRef>
          </c:val>
          <c:smooth val="0"/>
          <c:extLst>
            <c:ext xmlns:c16="http://schemas.microsoft.com/office/drawing/2014/chart" uri="{C3380CC4-5D6E-409C-BE32-E72D297353CC}">
              <c16:uniqueId val="{00000000-E151-4EB2-BC5E-85FA65BE3732}"/>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National'!$E$364</c:f>
              <c:strCache>
                <c:ptCount val="1"/>
                <c:pt idx="0">
                  <c:v>Average Expenditure per unit per month</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National'!$N$364:$AK$364</c:f>
              <c:numCache>
                <c:formatCode>"R"#,##0_);[Red]\("R"#,##0\)</c:formatCode>
                <c:ptCount val="24"/>
                <c:pt idx="0">
                  <c:v>0</c:v>
                </c:pt>
                <c:pt idx="1">
                  <c:v>0</c:v>
                </c:pt>
                <c:pt idx="2">
                  <c:v>2312.9006639211889</c:v>
                </c:pt>
                <c:pt idx="3">
                  <c:v>2569.4816996162713</c:v>
                </c:pt>
                <c:pt idx="4">
                  <c:v>2804.6919638033582</c:v>
                </c:pt>
                <c:pt idx="5">
                  <c:v>3047.9873242753256</c:v>
                </c:pt>
                <c:pt idx="6">
                  <c:v>3188.9004001783592</c:v>
                </c:pt>
                <c:pt idx="7">
                  <c:v>3388.5023856216412</c:v>
                </c:pt>
                <c:pt idx="8">
                  <c:v>3604.2912494713732</c:v>
                </c:pt>
                <c:pt idx="9">
                  <c:v>3838.6647096880165</c:v>
                </c:pt>
                <c:pt idx="10">
                  <c:v>4094.7383203110512</c:v>
                </c:pt>
                <c:pt idx="11">
                  <c:v>4376.686959104205</c:v>
                </c:pt>
                <c:pt idx="12">
                  <c:v>4690.3087348259969</c:v>
                </c:pt>
                <c:pt idx="13">
                  <c:v>5044.0016562285909</c:v>
                </c:pt>
                <c:pt idx="14">
                  <c:v>5450.5555695750381</c:v>
                </c:pt>
                <c:pt idx="15">
                  <c:v>5930.683164024188</c:v>
                </c:pt>
                <c:pt idx="16">
                  <c:v>6520.6413834349578</c:v>
                </c:pt>
                <c:pt idx="17">
                  <c:v>7290.797984859325</c:v>
                </c:pt>
                <c:pt idx="18">
                  <c:v>8399.2589324218607</c:v>
                </c:pt>
                <c:pt idx="19">
                  <c:v>10293.29254930876</c:v>
                </c:pt>
                <c:pt idx="20">
                  <c:v>14937.551529656252</c:v>
                </c:pt>
                <c:pt idx="21">
                  <c:v>68678.943430130777</c:v>
                </c:pt>
                <c:pt idx="22">
                  <c:v>0</c:v>
                </c:pt>
                <c:pt idx="23">
                  <c:v>0</c:v>
                </c:pt>
              </c:numCache>
            </c:numRef>
          </c:val>
          <c:smooth val="0"/>
          <c:extLst>
            <c:ext xmlns:c16="http://schemas.microsoft.com/office/drawing/2014/chart" uri="{C3380CC4-5D6E-409C-BE32-E72D297353CC}">
              <c16:uniqueId val="{00000000-D07B-4EB5-94A5-266166906A9F}"/>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National'!$E$388</c:f>
              <c:strCache>
                <c:ptCount val="1"/>
                <c:pt idx="0">
                  <c:v>Net Surplus/Deficit p.u.p.m.</c:v>
                </c:pt>
              </c:strCache>
            </c:strRef>
          </c:tx>
          <c:spPr>
            <a:ln w="28575" cap="rnd">
              <a:solidFill>
                <a:schemeClr val="accent1"/>
              </a:solidFill>
              <a:round/>
            </a:ln>
            <a:effectLst/>
          </c:spPr>
          <c:marker>
            <c:symbol val="none"/>
          </c:marker>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National'!$N$388:$AK$388</c:f>
              <c:numCache>
                <c:formatCode>"R"#,##0_);[Red]\("R"#,##0\)</c:formatCode>
                <c:ptCount val="24"/>
                <c:pt idx="0">
                  <c:v>0</c:v>
                </c:pt>
                <c:pt idx="1">
                  <c:v>0</c:v>
                </c:pt>
                <c:pt idx="2">
                  <c:v>-1898.2772627583979</c:v>
                </c:pt>
                <c:pt idx="3">
                  <c:v>-2366.6985340455567</c:v>
                </c:pt>
                <c:pt idx="4">
                  <c:v>-2597.04887111163</c:v>
                </c:pt>
                <c:pt idx="5">
                  <c:v>-2857.2238797254959</c:v>
                </c:pt>
                <c:pt idx="6">
                  <c:v>-3084.4735726047511</c:v>
                </c:pt>
                <c:pt idx="7">
                  <c:v>-3281.1992669820006</c:v>
                </c:pt>
                <c:pt idx="8">
                  <c:v>-3493.675277119009</c:v>
                </c:pt>
                <c:pt idx="9">
                  <c:v>-3724.1917666613899</c:v>
                </c:pt>
                <c:pt idx="10">
                  <c:v>-3975.7182440033671</c:v>
                </c:pt>
                <c:pt idx="11">
                  <c:v>-4252.226138975012</c:v>
                </c:pt>
                <c:pt idx="12">
                  <c:v>-4559.2214349990554</c:v>
                </c:pt>
                <c:pt idx="13">
                  <c:v>-4904.667114353585</c:v>
                </c:pt>
                <c:pt idx="14">
                  <c:v>-5300.6755406422735</c:v>
                </c:pt>
                <c:pt idx="15">
                  <c:v>-5766.8432066653941</c:v>
                </c:pt>
                <c:pt idx="16">
                  <c:v>-6337.4484312838358</c:v>
                </c:pt>
                <c:pt idx="17">
                  <c:v>-7078.9855615958231</c:v>
                </c:pt>
                <c:pt idx="18">
                  <c:v>-8140.8103236409725</c:v>
                </c:pt>
                <c:pt idx="19">
                  <c:v>-9945.363129291256</c:v>
                </c:pt>
                <c:pt idx="20">
                  <c:v>-14348.091198105329</c:v>
                </c:pt>
                <c:pt idx="21">
                  <c:v>-65118.652886718795</c:v>
                </c:pt>
                <c:pt idx="22">
                  <c:v>0</c:v>
                </c:pt>
                <c:pt idx="23">
                  <c:v>0</c:v>
                </c:pt>
              </c:numCache>
            </c:numRef>
          </c:val>
          <c:smooth val="0"/>
          <c:extLst>
            <c:ext xmlns:c16="http://schemas.microsoft.com/office/drawing/2014/chart" uri="{C3380CC4-5D6E-409C-BE32-E72D297353CC}">
              <c16:uniqueId val="{00000000-5DEE-4A9F-9899-46DB83A17EB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'8. Forecast Results National'!$E$171</c:f>
              <c:strCache>
                <c:ptCount val="1"/>
                <c:pt idx="0">
                  <c:v>Net Surplus / (Deficit)</c:v>
                </c:pt>
              </c:strCache>
            </c:strRef>
          </c:tx>
          <c:spPr>
            <a:ln w="28575" cap="rnd">
              <a:solidFill>
                <a:schemeClr val="accent1"/>
              </a:solidFill>
              <a:round/>
            </a:ln>
            <a:effectLst/>
          </c:spPr>
          <c:marker>
            <c:symbol val="none"/>
          </c:marker>
          <c:dPt>
            <c:idx val="18"/>
            <c:marker>
              <c:symbol val="none"/>
            </c:marker>
            <c:bubble3D val="0"/>
            <c:extLst>
              <c:ext xmlns:c16="http://schemas.microsoft.com/office/drawing/2014/chart" uri="{C3380CC4-5D6E-409C-BE32-E72D297353CC}">
                <c16:uniqueId val="{00000000-DDEB-4501-91D3-F7ECE21329CD}"/>
              </c:ext>
            </c:extLst>
          </c:dPt>
          <c:cat>
            <c:strRef>
              <c:f>'8. Forecast Results National'!$N$5:$AK$5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National'!$N$171:$AK$171</c:f>
              <c:numCache>
                <c:formatCode>"R"#,##0</c:formatCode>
                <c:ptCount val="24"/>
                <c:pt idx="0">
                  <c:v>-112639142.49333334</c:v>
                </c:pt>
                <c:pt idx="1">
                  <c:v>-120020127.89333332</c:v>
                </c:pt>
                <c:pt idx="2">
                  <c:v>-128289183.36000001</c:v>
                </c:pt>
                <c:pt idx="3">
                  <c:v>-131948176.67010787</c:v>
                </c:pt>
                <c:pt idx="4">
                  <c:v>-128772071.22519906</c:v>
                </c:pt>
                <c:pt idx="5">
                  <c:v>-125352126.05131695</c:v>
                </c:pt>
                <c:pt idx="6">
                  <c:v>-126956932.24841155</c:v>
                </c:pt>
                <c:pt idx="7">
                  <c:v>-126155549.41692396</c:v>
                </c:pt>
                <c:pt idx="8">
                  <c:v>-124849979.70312491</c:v>
                </c:pt>
                <c:pt idx="9">
                  <c:v>-122987708.90222575</c:v>
                </c:pt>
                <c:pt idx="10">
                  <c:v>-120511971.41223007</c:v>
                </c:pt>
                <c:pt idx="11">
                  <c:v>-117361441.43571034</c:v>
                </c:pt>
                <c:pt idx="12">
                  <c:v>-113469903.07425649</c:v>
                </c:pt>
                <c:pt idx="13">
                  <c:v>-108765897.92790511</c:v>
                </c:pt>
                <c:pt idx="14">
                  <c:v>-103172348.7230612</c:v>
                </c:pt>
                <c:pt idx="15">
                  <c:v>-96606157.398058668</c:v>
                </c:pt>
                <c:pt idx="16">
                  <c:v>-88977775.975225061</c:v>
                </c:pt>
                <c:pt idx="17">
                  <c:v>-80190748.441757485</c:v>
                </c:pt>
                <c:pt idx="18">
                  <c:v>-70141221.748490617</c:v>
                </c:pt>
                <c:pt idx="19">
                  <c:v>-58717423.915335573</c:v>
                </c:pt>
                <c:pt idx="20">
                  <c:v>-45799107.104352206</c:v>
                </c:pt>
                <c:pt idx="21">
                  <c:v>-31256953.38562502</c:v>
                </c:pt>
                <c:pt idx="22">
                  <c:v>-292672.82400684012</c:v>
                </c:pt>
                <c:pt idx="23">
                  <c:v>0</c:v>
                </c:pt>
              </c:numCache>
            </c:numRef>
          </c:val>
          <c:smooth val="0"/>
          <c:extLst>
            <c:ext xmlns:c16="http://schemas.microsoft.com/office/drawing/2014/chart" uri="{C3380CC4-5D6E-409C-BE32-E72D297353CC}">
              <c16:uniqueId val="{00000000-F696-46B2-9E18-11C47FFF58FD}"/>
            </c:ext>
          </c:extLst>
        </c:ser>
        <c:ser>
          <c:idx val="1"/>
          <c:order val="1"/>
          <c:tx>
            <c:strRef>
              <c:f>'8. Forecast Results National'!$E$172</c:f>
              <c:strCache>
                <c:ptCount val="1"/>
                <c:pt idx="0">
                  <c:v>Total Expenditure</c:v>
                </c:pt>
              </c:strCache>
            </c:strRef>
          </c:tx>
          <c:spPr>
            <a:ln w="28575" cap="rnd">
              <a:solidFill>
                <a:srgbClr val="00B050"/>
              </a:solidFill>
              <a:round/>
            </a:ln>
            <a:effectLst/>
          </c:spPr>
          <c:marker>
            <c:symbol val="none"/>
          </c:marker>
          <c:val>
            <c:numRef>
              <c:f>'8. Forecast Results National'!$N$172:$AK$172</c:f>
              <c:numCache>
                <c:formatCode>"R"#,##0</c:formatCode>
                <c:ptCount val="24"/>
                <c:pt idx="0">
                  <c:v>126486884.31333333</c:v>
                </c:pt>
                <c:pt idx="1">
                  <c:v>136616043.32333332</c:v>
                </c:pt>
                <c:pt idx="2">
                  <c:v>143214809.11000001</c:v>
                </c:pt>
                <c:pt idx="3">
                  <c:v>143253743.71700636</c:v>
                </c:pt>
                <c:pt idx="4">
                  <c:v>139067846.33322573</c:v>
                </c:pt>
                <c:pt idx="5">
                  <c:v>133721299.89060707</c:v>
                </c:pt>
                <c:pt idx="6">
                  <c:v>131255140.47134125</c:v>
                </c:pt>
                <c:pt idx="7">
                  <c:v>130281139.72238086</c:v>
                </c:pt>
                <c:pt idx="8">
                  <c:v>128802952.09110901</c:v>
                </c:pt>
                <c:pt idx="9">
                  <c:v>126768063.37273705</c:v>
                </c:pt>
                <c:pt idx="10">
                  <c:v>124119707.96526858</c:v>
                </c:pt>
                <c:pt idx="11">
                  <c:v>120796560.07127605</c:v>
                </c:pt>
                <c:pt idx="12">
                  <c:v>116732403.79234941</c:v>
                </c:pt>
                <c:pt idx="13">
                  <c:v>111855780.72852524</c:v>
                </c:pt>
                <c:pt idx="14">
                  <c:v>106089613.60620853</c:v>
                </c:pt>
                <c:pt idx="15">
                  <c:v>99350804.363733202</c:v>
                </c:pt>
                <c:pt idx="16">
                  <c:v>91549805.023426801</c:v>
                </c:pt>
                <c:pt idx="17">
                  <c:v>82590159.57248643</c:v>
                </c:pt>
                <c:pt idx="18">
                  <c:v>72368014.961746752</c:v>
                </c:pt>
                <c:pt idx="19">
                  <c:v>60771599.211118922</c:v>
                </c:pt>
                <c:pt idx="20">
                  <c:v>47680664.482662752</c:v>
                </c:pt>
                <c:pt idx="21">
                  <c:v>32965892.846462775</c:v>
                </c:pt>
                <c:pt idx="22">
                  <c:v>774381.134947057</c:v>
                </c:pt>
                <c:pt idx="23">
                  <c:v>0</c:v>
                </c:pt>
              </c:numCache>
            </c:numRef>
          </c:val>
          <c:smooth val="0"/>
          <c:extLst>
            <c:ext xmlns:c16="http://schemas.microsoft.com/office/drawing/2014/chart" uri="{C3380CC4-5D6E-409C-BE32-E72D297353CC}">
              <c16:uniqueId val="{00000001-F696-46B2-9E18-11C47FFF58FD}"/>
            </c:ext>
          </c:extLst>
        </c:ser>
        <c:ser>
          <c:idx val="2"/>
          <c:order val="2"/>
          <c:tx>
            <c:strRef>
              <c:f>'8. Forecast Results National'!$E$173</c:f>
              <c:strCache>
                <c:ptCount val="1"/>
                <c:pt idx="0">
                  <c:v>Total Income</c:v>
                </c:pt>
              </c:strCache>
            </c:strRef>
          </c:tx>
          <c:spPr>
            <a:ln w="28575" cap="rnd">
              <a:solidFill>
                <a:schemeClr val="accent3"/>
              </a:solidFill>
              <a:round/>
            </a:ln>
            <a:effectLst/>
          </c:spPr>
          <c:marker>
            <c:symbol val="none"/>
          </c:marker>
          <c:val>
            <c:numRef>
              <c:f>'8. Forecast Results National'!$N$173:$AK$173</c:f>
              <c:numCache>
                <c:formatCode>"R"#,##0</c:formatCode>
                <c:ptCount val="24"/>
                <c:pt idx="0">
                  <c:v>13847741.82</c:v>
                </c:pt>
                <c:pt idx="1">
                  <c:v>16595915.43</c:v>
                </c:pt>
                <c:pt idx="2">
                  <c:v>14925625.75</c:v>
                </c:pt>
                <c:pt idx="3">
                  <c:v>11305567.046898484</c:v>
                </c:pt>
                <c:pt idx="4">
                  <c:v>10295775.108026672</c:v>
                </c:pt>
                <c:pt idx="5">
                  <c:v>8369173.8392901234</c:v>
                </c:pt>
                <c:pt idx="6">
                  <c:v>4298208.2229296956</c:v>
                </c:pt>
                <c:pt idx="7">
                  <c:v>4125590.3054568996</c:v>
                </c:pt>
                <c:pt idx="8">
                  <c:v>3952972.3879841031</c:v>
                </c:pt>
                <c:pt idx="9">
                  <c:v>3780354.470511307</c:v>
                </c:pt>
                <c:pt idx="10">
                  <c:v>3607736.5530385105</c:v>
                </c:pt>
                <c:pt idx="11">
                  <c:v>3435118.6355657149</c:v>
                </c:pt>
                <c:pt idx="12">
                  <c:v>3262500.7180929184</c:v>
                </c:pt>
                <c:pt idx="13">
                  <c:v>3089882.8006201228</c:v>
                </c:pt>
                <c:pt idx="14">
                  <c:v>2917264.8831473263</c:v>
                </c:pt>
                <c:pt idx="15">
                  <c:v>2744646.9656745302</c:v>
                </c:pt>
                <c:pt idx="16">
                  <c:v>2572029.0482017342</c:v>
                </c:pt>
                <c:pt idx="17">
                  <c:v>2399411.1307289382</c:v>
                </c:pt>
                <c:pt idx="18">
                  <c:v>2226793.2132561421</c:v>
                </c:pt>
                <c:pt idx="19">
                  <c:v>2054175.2957833458</c:v>
                </c:pt>
                <c:pt idx="20">
                  <c:v>1881557.3783105498</c:v>
                </c:pt>
                <c:pt idx="21">
                  <c:v>1708939.4608377537</c:v>
                </c:pt>
                <c:pt idx="22">
                  <c:v>481708.31094021688</c:v>
                </c:pt>
                <c:pt idx="23">
                  <c:v>0</c:v>
                </c:pt>
              </c:numCache>
            </c:numRef>
          </c:val>
          <c:smooth val="0"/>
          <c:extLst>
            <c:ext xmlns:c16="http://schemas.microsoft.com/office/drawing/2014/chart" uri="{C3380CC4-5D6E-409C-BE32-E72D297353CC}">
              <c16:uniqueId val="{00000002-F696-46B2-9E18-11C47FFF58F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800" b="1" i="0" baseline="0">
                <a:effectLst/>
              </a:rPr>
              <a:t>No. of Rental Units v Sale Accounts</a:t>
            </a:r>
            <a:endParaRPr lang="en-GB">
              <a:effectLs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'8. Forecast Results National'!$E$147</c:f>
              <c:strCache>
                <c:ptCount val="1"/>
                <c:pt idx="0">
                  <c:v>No. of Rental Units</c:v>
                </c:pt>
              </c:strCache>
            </c:strRef>
          </c:tx>
          <c:spPr>
            <a:solidFill>
              <a:srgbClr val="00B050"/>
            </a:solidFill>
            <a:ln>
              <a:noFill/>
            </a:ln>
            <a:effectLst/>
          </c:spPr>
          <c:invertIfNegative val="0"/>
          <c:cat>
            <c:strRef>
              <c:f>'8. Forecast Results National'!$N$146:$AK$146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National'!$N$147:$AK$147</c:f>
              <c:numCache>
                <c:formatCode>_-* #,##0_-;\-* #,##0_-;_-* "-"_-;_-@_-</c:formatCode>
                <c:ptCount val="24"/>
                <c:pt idx="0">
                  <c:v>0</c:v>
                </c:pt>
                <c:pt idx="1">
                  <c:v>0</c:v>
                </c:pt>
                <c:pt idx="2">
                  <c:v>0</c:v>
                </c:pt>
                <c:pt idx="3">
                  <c:v>5160</c:v>
                </c:pt>
                <c:pt idx="4">
                  <c:v>4646</c:v>
                </c:pt>
                <c:pt idx="5">
                  <c:v>4132</c:v>
                </c:pt>
                <c:pt idx="6">
                  <c:v>3656</c:v>
                </c:pt>
                <c:pt idx="7">
                  <c:v>3430</c:v>
                </c:pt>
                <c:pt idx="8">
                  <c:v>3204</c:v>
                </c:pt>
                <c:pt idx="9">
                  <c:v>2978</c:v>
                </c:pt>
                <c:pt idx="10">
                  <c:v>2752</c:v>
                </c:pt>
                <c:pt idx="11">
                  <c:v>2526</c:v>
                </c:pt>
                <c:pt idx="12">
                  <c:v>2300</c:v>
                </c:pt>
                <c:pt idx="13">
                  <c:v>2074</c:v>
                </c:pt>
                <c:pt idx="14">
                  <c:v>1848</c:v>
                </c:pt>
                <c:pt idx="15">
                  <c:v>1622</c:v>
                </c:pt>
                <c:pt idx="16">
                  <c:v>1396</c:v>
                </c:pt>
                <c:pt idx="17">
                  <c:v>1170</c:v>
                </c:pt>
                <c:pt idx="18">
                  <c:v>944</c:v>
                </c:pt>
                <c:pt idx="19">
                  <c:v>718</c:v>
                </c:pt>
                <c:pt idx="20">
                  <c:v>492</c:v>
                </c:pt>
                <c:pt idx="21">
                  <c:v>266</c:v>
                </c:pt>
                <c:pt idx="22">
                  <c:v>40</c:v>
                </c:pt>
                <c:pt idx="23">
                  <c:v>0</c:v>
                </c:pt>
              </c:numCache>
            </c:numRef>
          </c:val>
          <c:extLst>
            <c:ext xmlns:c16="http://schemas.microsoft.com/office/drawing/2014/chart" uri="{C3380CC4-5D6E-409C-BE32-E72D297353CC}">
              <c16:uniqueId val="{00000000-9A71-4605-88D4-FE40F8B91F6E}"/>
            </c:ext>
          </c:extLst>
        </c:ser>
        <c:ser>
          <c:idx val="1"/>
          <c:order val="1"/>
          <c:tx>
            <c:strRef>
              <c:f>'8. Forecast Results National'!$E$148</c:f>
              <c:strCache>
                <c:ptCount val="1"/>
                <c:pt idx="0">
                  <c:v>No. of Sales Accounts</c:v>
                </c:pt>
              </c:strCache>
            </c:strRef>
          </c:tx>
          <c:spPr>
            <a:solidFill>
              <a:srgbClr val="002060"/>
            </a:solidFill>
            <a:ln>
              <a:noFill/>
            </a:ln>
            <a:effectLst/>
          </c:spPr>
          <c:invertIfNegative val="0"/>
          <c:cat>
            <c:strRef>
              <c:f>'8. Forecast Results National'!$N$146:$AK$146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'8. Forecast Results National'!$N$148:$AK$148</c:f>
              <c:numCache>
                <c:formatCode>_-* #,##0_-;\-* #,##0_-;_-* "-"_-;_-@_-</c:formatCode>
                <c:ptCount val="24"/>
                <c:pt idx="0">
                  <c:v>0</c:v>
                </c:pt>
                <c:pt idx="1">
                  <c:v>0</c:v>
                </c:pt>
                <c:pt idx="2">
                  <c:v>0</c:v>
                </c:pt>
                <c:pt idx="3">
                  <c:v>2239</c:v>
                </c:pt>
                <c:pt idx="4">
                  <c:v>2753</c:v>
                </c:pt>
                <c:pt idx="5">
                  <c:v>3267</c:v>
                </c:pt>
                <c:pt idx="6">
                  <c:v>3743</c:v>
                </c:pt>
                <c:pt idx="7">
                  <c:v>3969</c:v>
                </c:pt>
                <c:pt idx="8">
                  <c:v>4195</c:v>
                </c:pt>
                <c:pt idx="9">
                  <c:v>4421</c:v>
                </c:pt>
                <c:pt idx="10">
                  <c:v>4647</c:v>
                </c:pt>
                <c:pt idx="11">
                  <c:v>4873</c:v>
                </c:pt>
                <c:pt idx="12">
                  <c:v>5099</c:v>
                </c:pt>
                <c:pt idx="13">
                  <c:v>5325</c:v>
                </c:pt>
                <c:pt idx="14">
                  <c:v>5551</c:v>
                </c:pt>
                <c:pt idx="15">
                  <c:v>5777</c:v>
                </c:pt>
                <c:pt idx="16">
                  <c:v>6003</c:v>
                </c:pt>
                <c:pt idx="17">
                  <c:v>6229</c:v>
                </c:pt>
                <c:pt idx="18">
                  <c:v>6455</c:v>
                </c:pt>
                <c:pt idx="19">
                  <c:v>6681</c:v>
                </c:pt>
                <c:pt idx="20">
                  <c:v>6907</c:v>
                </c:pt>
                <c:pt idx="21">
                  <c:v>7133</c:v>
                </c:pt>
                <c:pt idx="22">
                  <c:v>7359</c:v>
                </c:pt>
                <c:pt idx="23">
                  <c:v>7399</c:v>
                </c:pt>
              </c:numCache>
            </c:numRef>
          </c:val>
          <c:extLst>
            <c:ext xmlns:c16="http://schemas.microsoft.com/office/drawing/2014/chart" uri="{C3380CC4-5D6E-409C-BE32-E72D297353CC}">
              <c16:uniqueId val="{00000001-9A71-4605-88D4-FE40F8B91F6E}"/>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Results'!$E$196</c:f>
              <c:strCache>
                <c:ptCount val="1"/>
                <c:pt idx="0">
                  <c:v>Sales &amp; Loans Collections/Sales &amp; Loans Raised</c:v>
                </c:pt>
              </c:strCache>
            </c:strRef>
          </c:tx>
          <c:spPr>
            <a:ln w="28575" cap="rnd">
              <a:solidFill>
                <a:schemeClr val="accent1"/>
              </a:solidFill>
              <a:round/>
            </a:ln>
            <a:effectLst/>
          </c:spPr>
          <c:marker>
            <c:symbol val="none"/>
          </c:marker>
          <c:cat>
            <c:strRef>
              <c:f>'9. Forecast Results'!$N$195:$AK$195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Results'!$N$196:$AK$196</c:f>
              <c:numCache>
                <c:formatCode>0.0%</c:formatCode>
                <c:ptCount val="24"/>
                <c:pt idx="0">
                  <c:v>8.2142341369943306E-2</c:v>
                </c:pt>
                <c:pt idx="1">
                  <c:v>0.53381492294990063</c:v>
                </c:pt>
                <c:pt idx="2">
                  <c:v>0.39757553272276625</c:v>
                </c:pt>
                <c:pt idx="3">
                  <c:v>0.34269458893714638</c:v>
                </c:pt>
                <c:pt idx="4">
                  <c:v>0.34269458893714638</c:v>
                </c:pt>
                <c:pt idx="5">
                  <c:v>0.34269458893714638</c:v>
                </c:pt>
                <c:pt idx="6">
                  <c:v>0.34269458893714638</c:v>
                </c:pt>
                <c:pt idx="7">
                  <c:v>0.34269458893714638</c:v>
                </c:pt>
                <c:pt idx="8">
                  <c:v>0.34269458893714638</c:v>
                </c:pt>
                <c:pt idx="9">
                  <c:v>0.34269458893714638</c:v>
                </c:pt>
                <c:pt idx="10">
                  <c:v>0.34269458893714638</c:v>
                </c:pt>
                <c:pt idx="11">
                  <c:v>0.34269458893714638</c:v>
                </c:pt>
                <c:pt idx="12">
                  <c:v>0.34269458893714638</c:v>
                </c:pt>
                <c:pt idx="13">
                  <c:v>0.34269458893714638</c:v>
                </c:pt>
                <c:pt idx="14">
                  <c:v>0.34269458893714638</c:v>
                </c:pt>
                <c:pt idx="15">
                  <c:v>0.34269458893714638</c:v>
                </c:pt>
                <c:pt idx="16">
                  <c:v>0.34269458893714638</c:v>
                </c:pt>
                <c:pt idx="17">
                  <c:v>0.34269458893714638</c:v>
                </c:pt>
                <c:pt idx="18">
                  <c:v>0.34269458893714638</c:v>
                </c:pt>
                <c:pt idx="19">
                  <c:v>0.34269458893714638</c:v>
                </c:pt>
                <c:pt idx="20">
                  <c:v>0.34269458893714638</c:v>
                </c:pt>
                <c:pt idx="21">
                  <c:v>0.34269458893714638</c:v>
                </c:pt>
                <c:pt idx="22">
                  <c:v>0.34269458893714638</c:v>
                </c:pt>
                <c:pt idx="23">
                  <c:v>0</c:v>
                </c:pt>
              </c:numCache>
            </c:numRef>
          </c:val>
          <c:smooth val="0"/>
          <c:extLst>
            <c:ext xmlns:c16="http://schemas.microsoft.com/office/drawing/2014/chart" uri="{C3380CC4-5D6E-409C-BE32-E72D297353CC}">
              <c16:uniqueId val="{00000000-BAC0-4FBF-A1D5-CD6DF751E77A}"/>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Results'!$E$220</c:f>
              <c:strCache>
                <c:ptCount val="1"/>
                <c:pt idx="0">
                  <c:v>Rental Collections/Rentals Raised</c:v>
                </c:pt>
              </c:strCache>
            </c:strRef>
          </c:tx>
          <c:spPr>
            <a:ln w="28575" cap="rnd">
              <a:solidFill>
                <a:schemeClr val="accent1"/>
              </a:solidFill>
              <a:round/>
            </a:ln>
            <a:effectLst/>
          </c:spPr>
          <c:marker>
            <c:symbol val="none"/>
          </c:marker>
          <c:cat>
            <c:strRef>
              <c:f>'9. Forecast Results'!$N$219:$AK$219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Results'!$N$220:$AK$220</c:f>
              <c:numCache>
                <c:formatCode>0.0%</c:formatCode>
                <c:ptCount val="24"/>
                <c:pt idx="0">
                  <c:v>0.58054868799097703</c:v>
                </c:pt>
                <c:pt idx="1">
                  <c:v>0.44324765713763226</c:v>
                </c:pt>
                <c:pt idx="2">
                  <c:v>0.64104385848248757</c:v>
                </c:pt>
                <c:pt idx="3">
                  <c:v>0.64104385848248757</c:v>
                </c:pt>
                <c:pt idx="4">
                  <c:v>0.64104385848248757</c:v>
                </c:pt>
                <c:pt idx="5">
                  <c:v>0.64104385848248757</c:v>
                </c:pt>
                <c:pt idx="6">
                  <c:v>0.64104385848248757</c:v>
                </c:pt>
                <c:pt idx="7">
                  <c:v>0.64104385848248768</c:v>
                </c:pt>
                <c:pt idx="8">
                  <c:v>0.64104385848248757</c:v>
                </c:pt>
                <c:pt idx="9">
                  <c:v>0.64104385848248768</c:v>
                </c:pt>
                <c:pt idx="10">
                  <c:v>0.64104385848248757</c:v>
                </c:pt>
                <c:pt idx="11">
                  <c:v>0.64104385848248757</c:v>
                </c:pt>
                <c:pt idx="12">
                  <c:v>0.64104385848248757</c:v>
                </c:pt>
                <c:pt idx="13">
                  <c:v>0.64104385848248757</c:v>
                </c:pt>
                <c:pt idx="14">
                  <c:v>0.64104385848248757</c:v>
                </c:pt>
                <c:pt idx="15">
                  <c:v>0.64104385848248757</c:v>
                </c:pt>
                <c:pt idx="16">
                  <c:v>0.64104385848248757</c:v>
                </c:pt>
                <c:pt idx="17">
                  <c:v>0.64104385848248757</c:v>
                </c:pt>
                <c:pt idx="18">
                  <c:v>0.64104385848248757</c:v>
                </c:pt>
                <c:pt idx="19">
                  <c:v>0.64104385848248768</c:v>
                </c:pt>
                <c:pt idx="20">
                  <c:v>0.64104385848248757</c:v>
                </c:pt>
                <c:pt idx="21">
                  <c:v>0.64104385848248768</c:v>
                </c:pt>
                <c:pt idx="22">
                  <c:v>0</c:v>
                </c:pt>
                <c:pt idx="23">
                  <c:v>0</c:v>
                </c:pt>
              </c:numCache>
            </c:numRef>
          </c:val>
          <c:smooth val="0"/>
          <c:extLst>
            <c:ext xmlns:c16="http://schemas.microsoft.com/office/drawing/2014/chart" uri="{C3380CC4-5D6E-409C-BE32-E72D297353CC}">
              <c16:uniqueId val="{00000000-6F15-4C33-9745-F3377FE8FCE1}"/>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MTEF Cycle 2018/19 to 2022/23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C69-449D-92D2-9898AAD0C6F1}"/>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7C69-449D-92D2-9898AAD0C6F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C69-449D-92D2-9898AAD0C6F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C69-449D-92D2-9898AAD0C6F1}"/>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7C69-449D-92D2-9898AAD0C6F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C69-449D-92D2-9898AAD0C6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Total'!$B$138:$B$143</c:f>
              <c:strCache>
                <c:ptCount val="6"/>
                <c:pt idx="0">
                  <c:v>Rates &amp; Taxes</c:v>
                </c:pt>
                <c:pt idx="1">
                  <c:v>Municipal Charges</c:v>
                </c:pt>
                <c:pt idx="2">
                  <c:v>Maintenance</c:v>
                </c:pt>
                <c:pt idx="3">
                  <c:v>Total Disposal Costs</c:v>
                </c:pt>
                <c:pt idx="4">
                  <c:v>Staff</c:v>
                </c:pt>
                <c:pt idx="5">
                  <c:v>Other </c:v>
                </c:pt>
              </c:strCache>
            </c:strRef>
          </c:cat>
          <c:val>
            <c:numRef>
              <c:f>'5. Dashboard Total'!$E$138:$E$143</c:f>
              <c:numCache>
                <c:formatCode>"R"#,##0</c:formatCode>
                <c:ptCount val="6"/>
                <c:pt idx="0">
                  <c:v>95921468.892369315</c:v>
                </c:pt>
                <c:pt idx="1">
                  <c:v>33446331.680249237</c:v>
                </c:pt>
                <c:pt idx="2">
                  <c:v>251630849.92652357</c:v>
                </c:pt>
                <c:pt idx="3">
                  <c:v>11775009.802975692</c:v>
                </c:pt>
                <c:pt idx="4">
                  <c:v>233124509.96204996</c:v>
                </c:pt>
                <c:pt idx="5">
                  <c:v>24930425.284007549</c:v>
                </c:pt>
              </c:numCache>
            </c:numRef>
          </c:val>
          <c:extLst>
            <c:ext xmlns:c16="http://schemas.microsoft.com/office/drawing/2014/chart" uri="{C3380CC4-5D6E-409C-BE32-E72D297353CC}">
              <c16:uniqueId val="{0000000C-7C69-449D-92D2-9898AAD0C6F1}"/>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7C69-449D-92D2-9898AAD0C6F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7C69-449D-92D2-9898AAD0C6F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7C69-449D-92D2-9898AAD0C6F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7C69-449D-92D2-9898AAD0C6F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7C69-449D-92D2-9898AAD0C6F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7C69-449D-92D2-9898AAD0C6F1}"/>
                    </c:ext>
                  </c:extLst>
                </c:dPt>
                <c:cat>
                  <c:strRef>
                    <c:extLst>
                      <c:ext uri="{02D57815-91ED-43cb-92C2-25804820EDAC}">
                        <c15:formulaRef>
                          <c15:sqref>'5. Dashboard Total'!$B$138:$B$143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Total'!$C$138:$C$143</c15:sqref>
                        </c15:formulaRef>
                      </c:ext>
                    </c:extLst>
                    <c:numCache>
                      <c:formatCode>General</c:formatCode>
                      <c:ptCount val="6"/>
                    </c:numCache>
                  </c:numRef>
                </c:val>
                <c:extLst>
                  <c:ext xmlns:c16="http://schemas.microsoft.com/office/drawing/2014/chart" uri="{C3380CC4-5D6E-409C-BE32-E72D297353CC}">
                    <c16:uniqueId val="{00000019-7C69-449D-92D2-9898AAD0C6F1}"/>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Results'!$E$244</c:f>
              <c:strCache>
                <c:ptCount val="1"/>
                <c:pt idx="0">
                  <c:v>Cost to Income Ratio</c:v>
                </c:pt>
              </c:strCache>
            </c:strRef>
          </c:tx>
          <c:spPr>
            <a:ln w="28575" cap="rnd">
              <a:solidFill>
                <a:schemeClr val="accent1"/>
              </a:solidFill>
              <a:round/>
            </a:ln>
            <a:effectLst/>
          </c:spPr>
          <c:marker>
            <c:symbol val="none"/>
          </c:marker>
          <c:cat>
            <c:strRef>
              <c:f>'9. Forecast Results'!$N$243:$AK$243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Results'!$N$244:$AK$244</c:f>
              <c:numCache>
                <c:formatCode>0.0%</c:formatCode>
                <c:ptCount val="24"/>
                <c:pt idx="0">
                  <c:v>1.5829116337490683</c:v>
                </c:pt>
                <c:pt idx="1">
                  <c:v>5.1965915863976644</c:v>
                </c:pt>
                <c:pt idx="2">
                  <c:v>10.286667956766635</c:v>
                </c:pt>
                <c:pt idx="3">
                  <c:v>14.903687229078097</c:v>
                </c:pt>
                <c:pt idx="4">
                  <c:v>12.987335853987679</c:v>
                </c:pt>
                <c:pt idx="5">
                  <c:v>10.364376542058224</c:v>
                </c:pt>
                <c:pt idx="6">
                  <c:v>41.951001599321074</c:v>
                </c:pt>
                <c:pt idx="7">
                  <c:v>43.274312735811158</c:v>
                </c:pt>
                <c:pt idx="8">
                  <c:v>44.535838586675467</c:v>
                </c:pt>
                <c:pt idx="9">
                  <c:v>45.710091788261558</c:v>
                </c:pt>
                <c:pt idx="10">
                  <c:v>46.765776785148908</c:v>
                </c:pt>
                <c:pt idx="11">
                  <c:v>47.664400617260711</c:v>
                </c:pt>
                <c:pt idx="12">
                  <c:v>48.358493201936867</c:v>
                </c:pt>
                <c:pt idx="13">
                  <c:v>48.78930517164364</c:v>
                </c:pt>
                <c:pt idx="14">
                  <c:v>48.883798003283481</c:v>
                </c:pt>
                <c:pt idx="15">
                  <c:v>48.550662331425265</c:v>
                </c:pt>
                <c:pt idx="16">
                  <c:v>47.674981645319868</c:v>
                </c:pt>
                <c:pt idx="17">
                  <c:v>46.110976320432933</c:v>
                </c:pt>
                <c:pt idx="18">
                  <c:v>43.671976924839043</c:v>
                </c:pt>
                <c:pt idx="19">
                  <c:v>40.116315899749715</c:v>
                </c:pt>
                <c:pt idx="20">
                  <c:v>35.127067153792417</c:v>
                </c:pt>
                <c:pt idx="21">
                  <c:v>28.282269830527227</c:v>
                </c:pt>
                <c:pt idx="22">
                  <c:v>0.73343763538766493</c:v>
                </c:pt>
                <c:pt idx="23">
                  <c:v>0</c:v>
                </c:pt>
              </c:numCache>
            </c:numRef>
          </c:val>
          <c:smooth val="0"/>
          <c:extLst>
            <c:ext xmlns:c16="http://schemas.microsoft.com/office/drawing/2014/chart" uri="{C3380CC4-5D6E-409C-BE32-E72D297353CC}">
              <c16:uniqueId val="{00000000-DDA8-4873-B6BD-64C07620973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Results'!$E$270</c:f>
              <c:strCache>
                <c:ptCount val="1"/>
                <c:pt idx="0">
                  <c:v>Maintenance as % of Expenses</c:v>
                </c:pt>
              </c:strCache>
            </c:strRef>
          </c:tx>
          <c:spPr>
            <a:ln w="28575" cap="rnd">
              <a:solidFill>
                <a:schemeClr val="accent1"/>
              </a:solidFill>
              <a:round/>
            </a:ln>
            <a:effectLst/>
          </c:spPr>
          <c:marker>
            <c:symbol val="none"/>
          </c:marker>
          <c:cat>
            <c:strRef>
              <c:f>'9. Forecast Results'!$N$269:$AK$269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Results'!$N$270:$AK$270</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0479-4D55-84BD-9B06B6222B2C}"/>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Results'!$E$294</c:f>
              <c:strCache>
                <c:ptCount val="1"/>
                <c:pt idx="0">
                  <c:v>Maintenance Cost per Unit</c:v>
                </c:pt>
              </c:strCache>
            </c:strRef>
          </c:tx>
          <c:spPr>
            <a:ln w="28575" cap="rnd">
              <a:solidFill>
                <a:schemeClr val="accent1"/>
              </a:solidFill>
              <a:round/>
            </a:ln>
            <a:effectLst/>
          </c:spPr>
          <c:marker>
            <c:symbol val="none"/>
          </c:marker>
          <c:cat>
            <c:strRef>
              <c:f>'9. Forecast Results'!$N$293:$AK$293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Results'!$N$294:$AK$294</c:f>
              <c:numCache>
                <c:formatCode>"R"#,##0_);[Red]\("R"#,##0\)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BA64-4055-8E40-4222404B619A}"/>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Results'!$E$317</c:f>
              <c:strCache>
                <c:ptCount val="1"/>
                <c:pt idx="0">
                  <c:v>Net Deficit as % of HSDG Grant -  NDoHS Calc  (excl staff costs)</c:v>
                </c:pt>
              </c:strCache>
            </c:strRef>
          </c:tx>
          <c:spPr>
            <a:ln w="28575" cap="rnd">
              <a:solidFill>
                <a:schemeClr val="accent1"/>
              </a:solidFill>
              <a:round/>
            </a:ln>
            <a:effectLst/>
          </c:spPr>
          <c:marker>
            <c:symbol val="none"/>
          </c:marker>
          <c:cat>
            <c:strRef>
              <c:f>'9. Forecast Results'!$N$316:$AK$316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Results'!$N$317:$AK$317</c:f>
              <c:numCache>
                <c:formatCode>0.0%</c:formatCode>
                <c:ptCount val="24"/>
                <c:pt idx="0">
                  <c:v>3.4563440450780035E-3</c:v>
                </c:pt>
                <c:pt idx="1">
                  <c:v>3.9721327001343244E-3</c:v>
                </c:pt>
                <c:pt idx="2">
                  <c:v>0</c:v>
                </c:pt>
                <c:pt idx="3">
                  <c:v>3.6755906435099136E-3</c:v>
                </c:pt>
                <c:pt idx="4">
                  <c:v>2.9549833889111364E-3</c:v>
                </c:pt>
                <c:pt idx="5">
                  <c:v>2.141227253416444E-3</c:v>
                </c:pt>
                <c:pt idx="6">
                  <c:v>2.2588481042169284E-3</c:v>
                </c:pt>
                <c:pt idx="7">
                  <c:v>2.2479877929031931E-3</c:v>
                </c:pt>
                <c:pt idx="8">
                  <c:v>2.2287147813265843E-3</c:v>
                </c:pt>
                <c:pt idx="9">
                  <c:v>2.2001425251848201E-3</c:v>
                </c:pt>
                <c:pt idx="10">
                  <c:v>2.1613124087206635E-3</c:v>
                </c:pt>
                <c:pt idx="11">
                  <c:v>2.1111884986583914E-3</c:v>
                </c:pt>
                <c:pt idx="12">
                  <c:v>2.048651939089425E-3</c:v>
                </c:pt>
                <c:pt idx="13">
                  <c:v>1.9724949636808755E-3</c:v>
                </c:pt>
                <c:pt idx="14">
                  <c:v>1.8814145000679982E-3</c:v>
                </c:pt>
                <c:pt idx="15">
                  <c:v>1.7740053396838355E-3</c:v>
                </c:pt>
                <c:pt idx="16">
                  <c:v>1.648752844570887E-3</c:v>
                </c:pt>
                <c:pt idx="17">
                  <c:v>1.5040251609040583E-3</c:v>
                </c:pt>
                <c:pt idx="18">
                  <c:v>1.3380649070250507E-3</c:v>
                </c:pt>
                <c:pt idx="19">
                  <c:v>1.1489803017385256E-3</c:v>
                </c:pt>
                <c:pt idx="20">
                  <c:v>9.3473569644255121E-4</c:v>
                </c:pt>
                <c:pt idx="21">
                  <c:v>6.9314147235199084E-4</c:v>
                </c:pt>
                <c:pt idx="22">
                  <c:v>-1.1429750258696537E-5</c:v>
                </c:pt>
                <c:pt idx="23">
                  <c:v>0</c:v>
                </c:pt>
              </c:numCache>
            </c:numRef>
          </c:val>
          <c:smooth val="0"/>
          <c:extLst>
            <c:ext xmlns:c16="http://schemas.microsoft.com/office/drawing/2014/chart" uri="{C3380CC4-5D6E-409C-BE32-E72D297353CC}">
              <c16:uniqueId val="{00000000-D1D0-4567-A329-0468438DEEE9}"/>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Results'!$E$340</c:f>
              <c:strCache>
                <c:ptCount val="1"/>
                <c:pt idx="0">
                  <c:v>EEDBS as % of HSDG</c:v>
                </c:pt>
              </c:strCache>
            </c:strRef>
          </c:tx>
          <c:spPr>
            <a:ln w="28575" cap="rnd">
              <a:solidFill>
                <a:schemeClr val="accent1"/>
              </a:solidFill>
              <a:round/>
            </a:ln>
            <a:effectLst/>
          </c:spPr>
          <c:marker>
            <c:symbol val="none"/>
          </c:marker>
          <c:cat>
            <c:strRef>
              <c:f>'9. Forecast Results'!$N$339:$AK$339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Results'!$N$340:$AK$340</c:f>
              <c:numCache>
                <c:formatCode>0.0%</c:formatCode>
                <c:ptCount val="24"/>
                <c:pt idx="0">
                  <c:v>2.2093895601201837E-3</c:v>
                </c:pt>
                <c:pt idx="1">
                  <c:v>5.1987446911838338E-4</c:v>
                </c:pt>
                <c:pt idx="2">
                  <c:v>1.2728377353218767E-4</c:v>
                </c:pt>
                <c:pt idx="3">
                  <c:v>8.5450080071950579E-5</c:v>
                </c:pt>
                <c:pt idx="4">
                  <c:v>8.5450080071950579E-5</c:v>
                </c:pt>
                <c:pt idx="5">
                  <c:v>8.5450080071950579E-5</c:v>
                </c:pt>
                <c:pt idx="6">
                  <c:v>9.4944533413278436E-6</c:v>
                </c:pt>
                <c:pt idx="7">
                  <c:v>9.4944533413278436E-6</c:v>
                </c:pt>
                <c:pt idx="8">
                  <c:v>9.4944533413278436E-6</c:v>
                </c:pt>
                <c:pt idx="9">
                  <c:v>9.4944533413278436E-6</c:v>
                </c:pt>
                <c:pt idx="10">
                  <c:v>9.4944533413278436E-6</c:v>
                </c:pt>
                <c:pt idx="11">
                  <c:v>9.4944533413278436E-6</c:v>
                </c:pt>
                <c:pt idx="12">
                  <c:v>9.4944533413278436E-6</c:v>
                </c:pt>
                <c:pt idx="13">
                  <c:v>9.4944533413278436E-6</c:v>
                </c:pt>
                <c:pt idx="14">
                  <c:v>9.4944533413278436E-6</c:v>
                </c:pt>
                <c:pt idx="15">
                  <c:v>9.4944533413278436E-6</c:v>
                </c:pt>
                <c:pt idx="16">
                  <c:v>9.4944533413278436E-6</c:v>
                </c:pt>
                <c:pt idx="17">
                  <c:v>9.4944533413278436E-6</c:v>
                </c:pt>
                <c:pt idx="18">
                  <c:v>9.4944533413278436E-6</c:v>
                </c:pt>
                <c:pt idx="19">
                  <c:v>9.4944533413278436E-6</c:v>
                </c:pt>
                <c:pt idx="20">
                  <c:v>9.4944533413278436E-6</c:v>
                </c:pt>
                <c:pt idx="21">
                  <c:v>9.4944533413278436E-6</c:v>
                </c:pt>
                <c:pt idx="22">
                  <c:v>6.4001665926913618E-3</c:v>
                </c:pt>
                <c:pt idx="23">
                  <c:v>0</c:v>
                </c:pt>
              </c:numCache>
            </c:numRef>
          </c:val>
          <c:smooth val="0"/>
          <c:extLst>
            <c:ext xmlns:c16="http://schemas.microsoft.com/office/drawing/2014/chart" uri="{C3380CC4-5D6E-409C-BE32-E72D297353CC}">
              <c16:uniqueId val="{00000000-F1B5-451C-A98F-EF4AC03A5B90}"/>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Results'!$E$364</c:f>
              <c:strCache>
                <c:ptCount val="1"/>
                <c:pt idx="0">
                  <c:v>Average Expenditure per unit per month</c:v>
                </c:pt>
              </c:strCache>
            </c:strRef>
          </c:tx>
          <c:spPr>
            <a:ln w="28575" cap="rnd">
              <a:solidFill>
                <a:schemeClr val="accent1"/>
              </a:solidFill>
              <a:round/>
            </a:ln>
            <a:effectLst/>
          </c:spPr>
          <c:marker>
            <c:symbol val="none"/>
          </c:marker>
          <c:cat>
            <c:strRef>
              <c:f>'9. Forecast Results'!$N$363:$AK$363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Results'!$N$364:$AK$364</c:f>
              <c:numCache>
                <c:formatCode>"R"#,##0_);[Red]\("R"#,##0\)</c:formatCode>
                <c:ptCount val="24"/>
                <c:pt idx="0">
                  <c:v>0</c:v>
                </c:pt>
                <c:pt idx="1">
                  <c:v>0</c:v>
                </c:pt>
                <c:pt idx="2">
                  <c:v>10360.684342592593</c:v>
                </c:pt>
                <c:pt idx="3">
                  <c:v>11228.734087135417</c:v>
                </c:pt>
                <c:pt idx="4">
                  <c:v>12165.531858895216</c:v>
                </c:pt>
                <c:pt idx="5">
                  <c:v>13508.184818735564</c:v>
                </c:pt>
                <c:pt idx="6">
                  <c:v>13965.559347477078</c:v>
                </c:pt>
                <c:pt idx="7">
                  <c:v>14756.046384700174</c:v>
                </c:pt>
                <c:pt idx="8">
                  <c:v>15594.389478076095</c:v>
                </c:pt>
                <c:pt idx="9">
                  <c:v>16484.346467415267</c:v>
                </c:pt>
                <c:pt idx="10">
                  <c:v>17430.262647300948</c:v>
                </c:pt>
                <c:pt idx="11">
                  <c:v>18437.270686578067</c:v>
                </c:pt>
                <c:pt idx="12">
                  <c:v>19511.596245908986</c:v>
                </c:pt>
                <c:pt idx="13">
                  <c:v>20661.043039640488</c:v>
                </c:pt>
                <c:pt idx="14">
                  <c:v>21895.796623198115</c:v>
                </c:pt>
                <c:pt idx="15">
                  <c:v>23229.825447821699</c:v>
                </c:pt>
                <c:pt idx="16">
                  <c:v>24683.476032916366</c:v>
                </c:pt>
                <c:pt idx="17">
                  <c:v>26288.654875613454</c:v>
                </c:pt>
                <c:pt idx="18">
                  <c:v>28100.217868901851</c:v>
                </c:pt>
                <c:pt idx="19">
                  <c:v>30224.429489834118</c:v>
                </c:pt>
                <c:pt idx="20">
                  <c:v>32904.319975509177</c:v>
                </c:pt>
                <c:pt idx="21">
                  <c:v>36861.081456641332</c:v>
                </c:pt>
                <c:pt idx="22">
                  <c:v>0</c:v>
                </c:pt>
                <c:pt idx="23">
                  <c:v>0</c:v>
                </c:pt>
              </c:numCache>
            </c:numRef>
          </c:val>
          <c:smooth val="0"/>
          <c:extLst>
            <c:ext xmlns:c16="http://schemas.microsoft.com/office/drawing/2014/chart" uri="{C3380CC4-5D6E-409C-BE32-E72D297353CC}">
              <c16:uniqueId val="{00000000-FB37-4005-A1D9-07591296320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Results'!$E$388</c:f>
              <c:strCache>
                <c:ptCount val="1"/>
                <c:pt idx="0">
                  <c:v>Net Surplus/Deficit p.u.p.m.</c:v>
                </c:pt>
              </c:strCache>
            </c:strRef>
          </c:tx>
          <c:spPr>
            <a:ln w="28575" cap="rnd">
              <a:solidFill>
                <a:schemeClr val="accent1"/>
              </a:solidFill>
              <a:round/>
            </a:ln>
            <a:effectLst/>
          </c:spPr>
          <c:marker>
            <c:symbol val="none"/>
          </c:marker>
          <c:cat>
            <c:strRef>
              <c:f>'9. Forecast Results'!$N$387:$AK$387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Results'!$N$388:$AK$388</c:f>
              <c:numCache>
                <c:formatCode>"R"#,##0_);[Red]\("R"#,##0\)</c:formatCode>
                <c:ptCount val="24"/>
                <c:pt idx="0">
                  <c:v>0</c:v>
                </c:pt>
                <c:pt idx="1">
                  <c:v>0</c:v>
                </c:pt>
                <c:pt idx="2">
                  <c:v>-9353.4889722222215</c:v>
                </c:pt>
                <c:pt idx="3">
                  <c:v>-10475.314217639807</c:v>
                </c:pt>
                <c:pt idx="4">
                  <c:v>-11228.809193394896</c:v>
                </c:pt>
                <c:pt idx="5">
                  <c:v>-12204.856561225824</c:v>
                </c:pt>
                <c:pt idx="6">
                  <c:v>-13632.657657051093</c:v>
                </c:pt>
                <c:pt idx="7">
                  <c:v>-14415.05780621516</c:v>
                </c:pt>
                <c:pt idx="8">
                  <c:v>-15244.235759790843</c:v>
                </c:pt>
                <c:pt idx="9">
                  <c:v>-16123.718303644035</c:v>
                </c:pt>
                <c:pt idx="10">
                  <c:v>-17057.548584892043</c:v>
                </c:pt>
                <c:pt idx="11">
                  <c:v>-18050.456409091876</c:v>
                </c:pt>
                <c:pt idx="12">
                  <c:v>-19108.118077876916</c:v>
                </c:pt>
                <c:pt idx="13">
                  <c:v>-20237.568202953353</c:v>
                </c:pt>
                <c:pt idx="14">
                  <c:v>-21447.881413710355</c:v>
                </c:pt>
                <c:pt idx="15">
                  <c:v>-22751.359772333151</c:v>
                </c:pt>
                <c:pt idx="16">
                  <c:v>-24165.731186855381</c:v>
                </c:pt>
                <c:pt idx="17">
                  <c:v>-25718.537802122552</c:v>
                </c:pt>
                <c:pt idx="18">
                  <c:v>-27456.779677009064</c:v>
                </c:pt>
                <c:pt idx="19">
                  <c:v>-29471.009620338507</c:v>
                </c:pt>
                <c:pt idx="20">
                  <c:v>-31967.597310008856</c:v>
                </c:pt>
                <c:pt idx="21">
                  <c:v>-35557.753199131592</c:v>
                </c:pt>
                <c:pt idx="22">
                  <c:v>0</c:v>
                </c:pt>
                <c:pt idx="23">
                  <c:v>0</c:v>
                </c:pt>
              </c:numCache>
            </c:numRef>
          </c:val>
          <c:smooth val="0"/>
          <c:extLst>
            <c:ext xmlns:c16="http://schemas.microsoft.com/office/drawing/2014/chart" uri="{C3380CC4-5D6E-409C-BE32-E72D297353CC}">
              <c16:uniqueId val="{00000000-DD33-42C1-BC25-618B4720461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 Forecast Results'!$E$171</c:f>
              <c:strCache>
                <c:ptCount val="1"/>
                <c:pt idx="0">
                  <c:v>Net Surplus / (Deficit)</c:v>
                </c:pt>
              </c:strCache>
            </c:strRef>
          </c:tx>
          <c:spPr>
            <a:ln w="28575" cap="rnd">
              <a:solidFill>
                <a:schemeClr val="accent1"/>
              </a:solidFill>
              <a:round/>
            </a:ln>
            <a:effectLst/>
          </c:spPr>
          <c:marker>
            <c:symbol val="none"/>
          </c:marker>
          <c:cat>
            <c:strRef>
              <c:f>'9. Forecast Results'!$N$170:$AK$170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Results'!$N$171:$AK$171</c:f>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28144.297004007109</c:v>
                </c:pt>
                <c:pt idx="23">
                  <c:v>0</c:v>
                </c:pt>
              </c:numCache>
            </c:numRef>
          </c:val>
          <c:smooth val="0"/>
          <c:extLst>
            <c:ext xmlns:c16="http://schemas.microsoft.com/office/drawing/2014/chart" uri="{C3380CC4-5D6E-409C-BE32-E72D297353CC}">
              <c16:uniqueId val="{00000000-1EDF-429E-A7E6-5BA52376CC51}"/>
            </c:ext>
          </c:extLst>
        </c:ser>
        <c:ser>
          <c:idx val="1"/>
          <c:order val="1"/>
          <c:tx>
            <c:strRef>
              <c:f>'9. Forecast Results'!$E$172</c:f>
              <c:strCache>
                <c:ptCount val="1"/>
                <c:pt idx="0">
                  <c:v>Total Expenditure</c:v>
                </c:pt>
              </c:strCache>
            </c:strRef>
          </c:tx>
          <c:spPr>
            <a:ln w="28575" cap="rnd">
              <a:solidFill>
                <a:srgbClr val="00B050"/>
              </a:solidFill>
              <a:round/>
            </a:ln>
            <a:effectLst/>
          </c:spPr>
          <c:marker>
            <c:symbol val="none"/>
          </c:marker>
          <c:cat>
            <c:strRef>
              <c:f>'9. Forecast Results'!$N$170:$AK$170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Results'!$N$172:$AK$172</c:f>
              <c:numCache>
                <c:formatCode>"R"#,##0</c:formatCode>
                <c:ptCount val="24"/>
                <c:pt idx="0">
                  <c:v>10341549.390000001</c:v>
                </c:pt>
                <c:pt idx="1">
                  <c:v>11126424.74</c:v>
                </c:pt>
                <c:pt idx="2">
                  <c:v>11189539.09</c:v>
                </c:pt>
                <c:pt idx="3">
                  <c:v>9701626.2512849998</c:v>
                </c:pt>
                <c:pt idx="4">
                  <c:v>7883264.6445640996</c:v>
                </c:pt>
                <c:pt idx="5">
                  <c:v>5835535.8416937636</c:v>
                </c:pt>
                <c:pt idx="6">
                  <c:v>5697948.2137706475</c:v>
                </c:pt>
                <c:pt idx="7">
                  <c:v>5666321.8117248667</c:v>
                </c:pt>
                <c:pt idx="8">
                  <c:v>5613980.2121073939</c:v>
                </c:pt>
                <c:pt idx="9">
                  <c:v>5538740.4130515298</c:v>
                </c:pt>
                <c:pt idx="10">
                  <c:v>5438241.9459578963</c:v>
                </c:pt>
                <c:pt idx="11">
                  <c:v>5309933.9577344833</c:v>
                </c:pt>
                <c:pt idx="12">
                  <c:v>5151061.4089199724</c:v>
                </c:pt>
                <c:pt idx="13">
                  <c:v>4958650.3295137174</c:v>
                </c:pt>
                <c:pt idx="14">
                  <c:v>4729492.0706107933</c:v>
                </c:pt>
                <c:pt idx="15">
                  <c:v>4460126.4859817661</c:v>
                </c:pt>
                <c:pt idx="16">
                  <c:v>4146823.9735299493</c:v>
                </c:pt>
                <c:pt idx="17">
                  <c:v>3785566.3020883375</c:v>
                </c:pt>
                <c:pt idx="18">
                  <c:v>3372026.1442682222</c:v>
                </c:pt>
                <c:pt idx="19">
                  <c:v>2901545.2310240753</c:v>
                </c:pt>
                <c:pt idx="20">
                  <c:v>2369111.0382366609</c:v>
                </c:pt>
                <c:pt idx="21">
                  <c:v>1769331.9099187839</c:v>
                </c:pt>
                <c:pt idx="22">
                  <c:v>77438.113494705685</c:v>
                </c:pt>
                <c:pt idx="23">
                  <c:v>0</c:v>
                </c:pt>
              </c:numCache>
            </c:numRef>
          </c:val>
          <c:smooth val="0"/>
          <c:extLst>
            <c:ext xmlns:c16="http://schemas.microsoft.com/office/drawing/2014/chart" uri="{C3380CC4-5D6E-409C-BE32-E72D297353CC}">
              <c16:uniqueId val="{00000001-1EDF-429E-A7E6-5BA52376CC51}"/>
            </c:ext>
          </c:extLst>
        </c:ser>
        <c:ser>
          <c:idx val="2"/>
          <c:order val="2"/>
          <c:tx>
            <c:strRef>
              <c:f>'9. Forecast Results'!$E$173</c:f>
              <c:strCache>
                <c:ptCount val="1"/>
                <c:pt idx="0">
                  <c:v>Total Income</c:v>
                </c:pt>
              </c:strCache>
            </c:strRef>
          </c:tx>
          <c:spPr>
            <a:ln w="28575" cap="rnd">
              <a:solidFill>
                <a:schemeClr val="accent3"/>
              </a:solidFill>
              <a:round/>
            </a:ln>
            <a:effectLst/>
          </c:spPr>
          <c:marker>
            <c:symbol val="none"/>
          </c:marker>
          <c:cat>
            <c:strRef>
              <c:f>'9. Forecast Results'!$N$170:$AK$170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Results'!$N$173:$AK$173</c:f>
              <c:numCache>
                <c:formatCode>"R"#,##0</c:formatCode>
                <c:ptCount val="24"/>
                <c:pt idx="0">
                  <c:v>986752.92000000016</c:v>
                </c:pt>
                <c:pt idx="1">
                  <c:v>897187.48</c:v>
                </c:pt>
                <c:pt idx="2">
                  <c:v>774350.93</c:v>
                </c:pt>
                <c:pt idx="3">
                  <c:v>650954.76724420744</c:v>
                </c:pt>
                <c:pt idx="4">
                  <c:v>606996.28724420746</c:v>
                </c:pt>
                <c:pt idx="5">
                  <c:v>563037.80724420748</c:v>
                </c:pt>
                <c:pt idx="6">
                  <c:v>135823.88969380083</c:v>
                </c:pt>
                <c:pt idx="7">
                  <c:v>130939.61413824529</c:v>
                </c:pt>
                <c:pt idx="8">
                  <c:v>126055.33858268973</c:v>
                </c:pt>
                <c:pt idx="9">
                  <c:v>121171.06302713418</c:v>
                </c:pt>
                <c:pt idx="10">
                  <c:v>116286.78747157862</c:v>
                </c:pt>
                <c:pt idx="11">
                  <c:v>111402.51191602307</c:v>
                </c:pt>
                <c:pt idx="12">
                  <c:v>106518.2363604675</c:v>
                </c:pt>
                <c:pt idx="13">
                  <c:v>101633.96080491194</c:v>
                </c:pt>
                <c:pt idx="14">
                  <c:v>96749.685249356393</c:v>
                </c:pt>
                <c:pt idx="15">
                  <c:v>91865.409693800844</c:v>
                </c:pt>
                <c:pt idx="16">
                  <c:v>86981.134138245281</c:v>
                </c:pt>
                <c:pt idx="17">
                  <c:v>82096.858582689732</c:v>
                </c:pt>
                <c:pt idx="18">
                  <c:v>77212.583027134169</c:v>
                </c:pt>
                <c:pt idx="19">
                  <c:v>72328.307471578621</c:v>
                </c:pt>
                <c:pt idx="20">
                  <c:v>67444.031916023057</c:v>
                </c:pt>
                <c:pt idx="21">
                  <c:v>62559.756360467509</c:v>
                </c:pt>
                <c:pt idx="22">
                  <c:v>105582.41049871279</c:v>
                </c:pt>
                <c:pt idx="23">
                  <c:v>0</c:v>
                </c:pt>
              </c:numCache>
            </c:numRef>
          </c:val>
          <c:smooth val="0"/>
          <c:extLst>
            <c:ext xmlns:c16="http://schemas.microsoft.com/office/drawing/2014/chart" uri="{C3380CC4-5D6E-409C-BE32-E72D297353CC}">
              <c16:uniqueId val="{00000002-1EDF-429E-A7E6-5BA52376CC51}"/>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 Forecast Results'!$E$147</c:f>
              <c:strCache>
                <c:ptCount val="1"/>
                <c:pt idx="0">
                  <c:v>No. of Rental Units</c:v>
                </c:pt>
              </c:strCache>
            </c:strRef>
          </c:tx>
          <c:spPr>
            <a:solidFill>
              <a:srgbClr val="00B050"/>
            </a:solidFill>
            <a:ln>
              <a:noFill/>
            </a:ln>
            <a:effectLst/>
          </c:spPr>
          <c:invertIfNegative val="0"/>
          <c:cat>
            <c:strRef>
              <c:f>'9. Forecast Results'!$N$146:$AK$146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Results'!$N$147:$AK$147</c:f>
              <c:numCache>
                <c:formatCode>_-* #,##0_-;\-* #,##0_-;_-* "-"_-;_-@_-</c:formatCode>
                <c:ptCount val="24"/>
                <c:pt idx="0">
                  <c:v>0</c:v>
                </c:pt>
                <c:pt idx="1">
                  <c:v>0</c:v>
                </c:pt>
                <c:pt idx="2">
                  <c:v>90</c:v>
                </c:pt>
                <c:pt idx="3">
                  <c:v>72</c:v>
                </c:pt>
                <c:pt idx="4">
                  <c:v>54</c:v>
                </c:pt>
                <c:pt idx="5">
                  <c:v>36</c:v>
                </c:pt>
                <c:pt idx="6">
                  <c:v>34</c:v>
                </c:pt>
                <c:pt idx="7">
                  <c:v>32</c:v>
                </c:pt>
                <c:pt idx="8">
                  <c:v>30</c:v>
                </c:pt>
                <c:pt idx="9">
                  <c:v>28</c:v>
                </c:pt>
                <c:pt idx="10">
                  <c:v>26</c:v>
                </c:pt>
                <c:pt idx="11">
                  <c:v>24</c:v>
                </c:pt>
                <c:pt idx="12">
                  <c:v>22</c:v>
                </c:pt>
                <c:pt idx="13">
                  <c:v>20</c:v>
                </c:pt>
                <c:pt idx="14">
                  <c:v>18</c:v>
                </c:pt>
                <c:pt idx="15">
                  <c:v>16</c:v>
                </c:pt>
                <c:pt idx="16">
                  <c:v>14</c:v>
                </c:pt>
                <c:pt idx="17">
                  <c:v>12</c:v>
                </c:pt>
                <c:pt idx="18">
                  <c:v>10</c:v>
                </c:pt>
                <c:pt idx="19">
                  <c:v>8</c:v>
                </c:pt>
                <c:pt idx="20">
                  <c:v>6</c:v>
                </c:pt>
                <c:pt idx="21">
                  <c:v>4</c:v>
                </c:pt>
                <c:pt idx="22">
                  <c:v>0</c:v>
                </c:pt>
                <c:pt idx="23">
                  <c:v>0</c:v>
                </c:pt>
              </c:numCache>
            </c:numRef>
          </c:val>
          <c:extLst>
            <c:ext xmlns:c16="http://schemas.microsoft.com/office/drawing/2014/chart" uri="{C3380CC4-5D6E-409C-BE32-E72D297353CC}">
              <c16:uniqueId val="{00000000-A3CC-41A2-9D2E-D3CE2BAB2187}"/>
            </c:ext>
          </c:extLst>
        </c:ser>
        <c:ser>
          <c:idx val="1"/>
          <c:order val="1"/>
          <c:tx>
            <c:strRef>
              <c:f>'9. Forecast Results'!$E$148</c:f>
              <c:strCache>
                <c:ptCount val="1"/>
                <c:pt idx="0">
                  <c:v>No. of Sales Accounts</c:v>
                </c:pt>
              </c:strCache>
            </c:strRef>
          </c:tx>
          <c:spPr>
            <a:solidFill>
              <a:srgbClr val="002060"/>
            </a:solidFill>
            <a:ln>
              <a:noFill/>
            </a:ln>
            <a:effectLst/>
          </c:spPr>
          <c:invertIfNegative val="0"/>
          <c:cat>
            <c:strRef>
              <c:f>'9. Forecast Results'!$N$146:$AK$146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Results'!$N$148:$AK$148</c:f>
              <c:numCache>
                <c:formatCode>_-* #,##0_-;\-* #,##0_-;_-* "-"_-;_-@_-</c:formatCode>
                <c:ptCount val="24"/>
                <c:pt idx="0">
                  <c:v>0</c:v>
                </c:pt>
                <c:pt idx="1">
                  <c:v>0</c:v>
                </c:pt>
                <c:pt idx="2">
                  <c:v>114</c:v>
                </c:pt>
                <c:pt idx="3">
                  <c:v>132</c:v>
                </c:pt>
                <c:pt idx="4">
                  <c:v>150</c:v>
                </c:pt>
                <c:pt idx="5">
                  <c:v>168</c:v>
                </c:pt>
                <c:pt idx="6">
                  <c:v>170</c:v>
                </c:pt>
                <c:pt idx="7">
                  <c:v>172</c:v>
                </c:pt>
                <c:pt idx="8">
                  <c:v>174</c:v>
                </c:pt>
                <c:pt idx="9">
                  <c:v>176</c:v>
                </c:pt>
                <c:pt idx="10">
                  <c:v>178</c:v>
                </c:pt>
                <c:pt idx="11">
                  <c:v>180</c:v>
                </c:pt>
                <c:pt idx="12">
                  <c:v>182</c:v>
                </c:pt>
                <c:pt idx="13">
                  <c:v>184</c:v>
                </c:pt>
                <c:pt idx="14">
                  <c:v>186</c:v>
                </c:pt>
                <c:pt idx="15">
                  <c:v>188</c:v>
                </c:pt>
                <c:pt idx="16">
                  <c:v>190</c:v>
                </c:pt>
                <c:pt idx="17">
                  <c:v>192</c:v>
                </c:pt>
                <c:pt idx="18">
                  <c:v>194</c:v>
                </c:pt>
                <c:pt idx="19">
                  <c:v>196</c:v>
                </c:pt>
                <c:pt idx="20">
                  <c:v>198</c:v>
                </c:pt>
                <c:pt idx="21">
                  <c:v>200</c:v>
                </c:pt>
                <c:pt idx="22">
                  <c:v>204</c:v>
                </c:pt>
                <c:pt idx="23">
                  <c:v>0</c:v>
                </c:pt>
              </c:numCache>
            </c:numRef>
          </c:val>
          <c:extLst>
            <c:ext xmlns:c16="http://schemas.microsoft.com/office/drawing/2014/chart" uri="{C3380CC4-5D6E-409C-BE32-E72D297353CC}">
              <c16:uniqueId val="{00000001-A3CC-41A2-9D2E-D3CE2BAB2187}"/>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 Forecast Results'!$AO$20</c:f>
              <c:strCache>
                <c:ptCount val="1"/>
                <c:pt idx="0">
                  <c:v>Net Deficit funded by HSDG Top Slice</c:v>
                </c:pt>
              </c:strCache>
            </c:strRef>
          </c:tx>
          <c:spPr>
            <a:solidFill>
              <a:srgbClr val="00B050"/>
            </a:solidFill>
            <a:ln>
              <a:noFill/>
            </a:ln>
            <a:effectLst/>
          </c:spPr>
          <c:cat>
            <c:strRef>
              <c:f>'9. Forecast Results'!$AP$19:$BM$19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 Forecast Results'!$AP$20:$BM$20</c:f>
              <c:numCache>
                <c:formatCode>"R"#,##0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0</c:v>
                </c:pt>
                <c:pt idx="23">
                  <c:v>0</c:v>
                </c:pt>
              </c:numCache>
            </c:numRef>
          </c:val>
          <c:extLst>
            <c:ext xmlns:c16="http://schemas.microsoft.com/office/drawing/2014/chart" uri="{C3380CC4-5D6E-409C-BE32-E72D297353CC}">
              <c16:uniqueId val="{00000000-FE52-4EBA-87C1-D13ECE69CF1D}"/>
            </c:ext>
          </c:extLst>
        </c:ser>
        <c:ser>
          <c:idx val="1"/>
          <c:order val="1"/>
          <c:tx>
            <c:strRef>
              <c:f>'9. Forecast Results'!$AO$21</c:f>
              <c:strCache>
                <c:ptCount val="1"/>
                <c:pt idx="0">
                  <c:v>EEDBS utilised to settle Existing Sales Debtors Balances Owing</c:v>
                </c:pt>
              </c:strCache>
            </c:strRef>
          </c:tx>
          <c:spPr>
            <a:solidFill>
              <a:srgbClr val="002060"/>
            </a:solidFill>
            <a:ln w="25400">
              <a:noFill/>
            </a:ln>
            <a:effectLst/>
          </c:spPr>
          <c:val>
            <c:numRef>
              <c:f>'9. Forecast Results'!$AP$21:$BM$21</c:f>
              <c:numCache>
                <c:formatCode>"R"#,##0</c:formatCode>
                <c:ptCount val="24"/>
                <c:pt idx="0">
                  <c:v>-5576064</c:v>
                </c:pt>
                <c:pt idx="1">
                  <c:v>-1243913</c:v>
                </c:pt>
                <c:pt idx="2">
                  <c:v>-313420</c:v>
                </c:pt>
                <c:pt idx="3">
                  <c:v>-210409.8845669291</c:v>
                </c:pt>
                <c:pt idx="4">
                  <c:v>-210409.8845669291</c:v>
                </c:pt>
                <c:pt idx="5">
                  <c:v>-210409.8845669291</c:v>
                </c:pt>
                <c:pt idx="6">
                  <c:v>-23378.876062992123</c:v>
                </c:pt>
                <c:pt idx="7">
                  <c:v>-23378.876062992123</c:v>
                </c:pt>
                <c:pt idx="8">
                  <c:v>-23378.876062992123</c:v>
                </c:pt>
                <c:pt idx="9">
                  <c:v>-23378.876062992123</c:v>
                </c:pt>
                <c:pt idx="10">
                  <c:v>-23378.876062992123</c:v>
                </c:pt>
                <c:pt idx="11">
                  <c:v>-23378.876062992123</c:v>
                </c:pt>
                <c:pt idx="12">
                  <c:v>-23378.876062992123</c:v>
                </c:pt>
                <c:pt idx="13">
                  <c:v>-23378.876062992123</c:v>
                </c:pt>
                <c:pt idx="14">
                  <c:v>-23378.876062992123</c:v>
                </c:pt>
                <c:pt idx="15">
                  <c:v>-23378.876062992123</c:v>
                </c:pt>
                <c:pt idx="16">
                  <c:v>-23378.876062992123</c:v>
                </c:pt>
                <c:pt idx="17">
                  <c:v>-23378.876062992123</c:v>
                </c:pt>
                <c:pt idx="18">
                  <c:v>-23378.876062992123</c:v>
                </c:pt>
                <c:pt idx="19">
                  <c:v>-23378.876062992123</c:v>
                </c:pt>
                <c:pt idx="20">
                  <c:v>-23378.876062992123</c:v>
                </c:pt>
                <c:pt idx="21">
                  <c:v>-23378.876062992123</c:v>
                </c:pt>
                <c:pt idx="22">
                  <c:v>-15759591.013178613</c:v>
                </c:pt>
                <c:pt idx="23">
                  <c:v>0</c:v>
                </c:pt>
              </c:numCache>
            </c:numRef>
          </c:val>
          <c:extLst>
            <c:ext xmlns:c16="http://schemas.microsoft.com/office/drawing/2014/chart" uri="{C3380CC4-5D6E-409C-BE32-E72D297353CC}">
              <c16:uniqueId val="{00000000-CC85-4D5B-AFB0-6E2D129D8E29}"/>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Expenses - 20 year Total</a:t>
            </a:r>
          </a:p>
        </c:rich>
      </c:tx>
      <c:layout>
        <c:manualLayout>
          <c:xMode val="edge"/>
          <c:yMode val="edge"/>
          <c:x val="0.31031955106036924"/>
          <c:y val="2.91262135922330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2"/>
          <c:order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648-4683-86DA-731CAB0784CD}"/>
              </c:ext>
            </c:extLst>
          </c:dPt>
          <c:dPt>
            <c:idx val="1"/>
            <c:bubble3D val="0"/>
            <c:spPr>
              <a:solidFill>
                <a:srgbClr val="002060"/>
              </a:solidFill>
              <a:ln w="19050">
                <a:solidFill>
                  <a:schemeClr val="lt1"/>
                </a:solidFill>
              </a:ln>
              <a:effectLst/>
            </c:spPr>
            <c:extLst>
              <c:ext xmlns:c16="http://schemas.microsoft.com/office/drawing/2014/chart" uri="{C3380CC4-5D6E-409C-BE32-E72D297353CC}">
                <c16:uniqueId val="{00000003-3648-4683-86DA-731CAB0784C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648-4683-86DA-731CAB0784C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648-4683-86DA-731CAB0784CD}"/>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3648-4683-86DA-731CAB0784C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648-4683-86DA-731CAB0784C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 Total'!$B$138:$B$143</c:f>
              <c:strCache>
                <c:ptCount val="6"/>
                <c:pt idx="0">
                  <c:v>Rates &amp; Taxes</c:v>
                </c:pt>
                <c:pt idx="1">
                  <c:v>Municipal Charges</c:v>
                </c:pt>
                <c:pt idx="2">
                  <c:v>Maintenance</c:v>
                </c:pt>
                <c:pt idx="3">
                  <c:v>Total Disposal Costs</c:v>
                </c:pt>
                <c:pt idx="4">
                  <c:v>Staff</c:v>
                </c:pt>
                <c:pt idx="5">
                  <c:v>Other </c:v>
                </c:pt>
              </c:strCache>
            </c:strRef>
          </c:cat>
          <c:val>
            <c:numRef>
              <c:f>'5. Dashboard Total'!$F$138:$F$143</c:f>
              <c:numCache>
                <c:formatCode>"R"#,##0</c:formatCode>
                <c:ptCount val="6"/>
                <c:pt idx="0">
                  <c:v>268801320.53464037</c:v>
                </c:pt>
                <c:pt idx="1">
                  <c:v>95065328.031410933</c:v>
                </c:pt>
                <c:pt idx="2">
                  <c:v>704365386.98006427</c:v>
                </c:pt>
                <c:pt idx="3">
                  <c:v>57651480.565872036</c:v>
                </c:pt>
                <c:pt idx="4">
                  <c:v>792055630.31912971</c:v>
                </c:pt>
                <c:pt idx="5">
                  <c:v>82856426.927502394</c:v>
                </c:pt>
              </c:numCache>
            </c:numRef>
          </c:val>
          <c:extLst>
            <c:ext xmlns:c16="http://schemas.microsoft.com/office/drawing/2014/chart" uri="{C3380CC4-5D6E-409C-BE32-E72D297353CC}">
              <c16:uniqueId val="{0000000C-3648-4683-86DA-731CAB0784CD}"/>
            </c:ext>
          </c:extLst>
        </c:ser>
        <c:dLbls>
          <c:showLegendKey val="0"/>
          <c:showVal val="0"/>
          <c:showCatName val="0"/>
          <c:showSerName val="0"/>
          <c:showPercent val="0"/>
          <c:showBubbleSize val="0"/>
          <c:showLeaderLines val="1"/>
        </c:dLbls>
        <c:firstSliceAng val="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E-3648-4683-86DA-731CAB0784C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3648-4683-86DA-731CAB0784C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3648-4683-86DA-731CAB0784C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3648-4683-86DA-731CAB0784C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3648-4683-86DA-731CAB0784C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3648-4683-86DA-731CAB0784CD}"/>
                    </c:ext>
                  </c:extLst>
                </c:dPt>
                <c:cat>
                  <c:strRef>
                    <c:extLst>
                      <c:ext uri="{02D57815-91ED-43cb-92C2-25804820EDAC}">
                        <c15:formulaRef>
                          <c15:sqref>'5. Dashboard Total'!$B$138:$B$143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c:ext uri="{02D57815-91ED-43cb-92C2-25804820EDAC}">
                        <c15:formulaRef>
                          <c15:sqref>'5. Dashboard Total'!$C$138:$C$143</c15:sqref>
                        </c15:formulaRef>
                      </c:ext>
                    </c:extLst>
                    <c:numCache>
                      <c:formatCode>General</c:formatCode>
                      <c:ptCount val="6"/>
                    </c:numCache>
                  </c:numRef>
                </c:val>
                <c:extLst>
                  <c:ext xmlns:c16="http://schemas.microsoft.com/office/drawing/2014/chart" uri="{C3380CC4-5D6E-409C-BE32-E72D297353CC}">
                    <c16:uniqueId val="{00000019-3648-4683-86DA-731CAB0784CD}"/>
                  </c:ext>
                </c:extLst>
              </c15:ser>
            </c15:filteredPieSeries>
            <c15:filteredPieSeries>
              <c15:ser>
                <c:idx val="1"/>
                <c:order val="1"/>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3648-4683-86DA-731CAB0784C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3648-4683-86DA-731CAB0784CD}"/>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3648-4683-86DA-731CAB0784CD}"/>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3648-4683-86DA-731CAB0784CD}"/>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3648-4683-86DA-731CAB0784CD}"/>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3648-4683-86DA-731CAB0784CD}"/>
                    </c:ext>
                  </c:extLst>
                </c:dPt>
                <c:cat>
                  <c:strRef>
                    <c:extLst xmlns:c15="http://schemas.microsoft.com/office/drawing/2012/chart">
                      <c:ext xmlns:c15="http://schemas.microsoft.com/office/drawing/2012/chart" uri="{02D57815-91ED-43cb-92C2-25804820EDAC}">
                        <c15:formulaRef>
                          <c15:sqref>'5. Dashboard Total'!$B$138:$B$143</c15:sqref>
                        </c15:formulaRef>
                      </c:ext>
                    </c:extLst>
                    <c:strCache>
                      <c:ptCount val="6"/>
                      <c:pt idx="0">
                        <c:v>Rates &amp; Taxes</c:v>
                      </c:pt>
                      <c:pt idx="1">
                        <c:v>Municipal Charges</c:v>
                      </c:pt>
                      <c:pt idx="2">
                        <c:v>Maintenance</c:v>
                      </c:pt>
                      <c:pt idx="3">
                        <c:v>Total Disposal Costs</c:v>
                      </c:pt>
                      <c:pt idx="4">
                        <c:v>Staff</c:v>
                      </c:pt>
                      <c:pt idx="5">
                        <c:v>Other </c:v>
                      </c:pt>
                    </c:strCache>
                  </c:strRef>
                </c:cat>
                <c:val>
                  <c:numRef>
                    <c:extLst xmlns:c15="http://schemas.microsoft.com/office/drawing/2012/chart">
                      <c:ext xmlns:c15="http://schemas.microsoft.com/office/drawing/2012/chart" uri="{02D57815-91ED-43cb-92C2-25804820EDAC}">
                        <c15:formulaRef>
                          <c15:sqref>'5. Dashboard Total'!$E$138:$E$143</c15:sqref>
                        </c15:formulaRef>
                      </c:ext>
                    </c:extLst>
                    <c:numCache>
                      <c:formatCode>"R"#,##0</c:formatCode>
                      <c:ptCount val="6"/>
                      <c:pt idx="0">
                        <c:v>95921468.892369315</c:v>
                      </c:pt>
                      <c:pt idx="1">
                        <c:v>33446331.680249237</c:v>
                      </c:pt>
                      <c:pt idx="2">
                        <c:v>251630849.92652357</c:v>
                      </c:pt>
                      <c:pt idx="3">
                        <c:v>11775009.802975692</c:v>
                      </c:pt>
                      <c:pt idx="4">
                        <c:v>233124509.96204996</c:v>
                      </c:pt>
                      <c:pt idx="5">
                        <c:v>24930425.284007549</c:v>
                      </c:pt>
                    </c:numCache>
                  </c:numRef>
                </c:val>
                <c:extLst xmlns:c15="http://schemas.microsoft.com/office/drawing/2012/chart">
                  <c:ext xmlns:c16="http://schemas.microsoft.com/office/drawing/2014/chart" uri="{C3380CC4-5D6E-409C-BE32-E72D297353CC}">
                    <c16:uniqueId val="{00000026-3648-4683-86DA-731CAB0784CD}"/>
                  </c:ext>
                </c:extLst>
              </c15:ser>
            </c15:filteredPieSeries>
          </c:ext>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Total'!$E$196</c:f>
              <c:strCache>
                <c:ptCount val="1"/>
                <c:pt idx="0">
                  <c:v>Sales &amp; Loans Collections/Sales &amp; Loans Raised</c:v>
                </c:pt>
              </c:strCache>
            </c:strRef>
          </c:tx>
          <c:spPr>
            <a:ln w="28575" cap="rnd">
              <a:solidFill>
                <a:schemeClr val="accent1"/>
              </a:solidFill>
              <a:round/>
            </a:ln>
            <a:effectLst/>
          </c:spPr>
          <c:marker>
            <c:symbol val="none"/>
          </c:marker>
          <c:cat>
            <c:strRef>
              <c:f>'9a. Forecast Results - Total'!$N$195:$AK$195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Total'!$N$196:$AK$196</c:f>
              <c:numCache>
                <c:formatCode>0.0%</c:formatCode>
                <c:ptCount val="24"/>
                <c:pt idx="0">
                  <c:v>0.12911491713184367</c:v>
                </c:pt>
                <c:pt idx="1">
                  <c:v>0.2262622956784065</c:v>
                </c:pt>
                <c:pt idx="2">
                  <c:v>0.24001823843768713</c:v>
                </c:pt>
                <c:pt idx="3">
                  <c:v>0.14589278010946469</c:v>
                </c:pt>
                <c:pt idx="4">
                  <c:v>0.14589278010946469</c:v>
                </c:pt>
                <c:pt idx="5">
                  <c:v>0.12668732159277471</c:v>
                </c:pt>
                <c:pt idx="6">
                  <c:v>6.5747878122074388E-2</c:v>
                </c:pt>
                <c:pt idx="7">
                  <c:v>6.5747878122074388E-2</c:v>
                </c:pt>
                <c:pt idx="8">
                  <c:v>6.5747878122074388E-2</c:v>
                </c:pt>
                <c:pt idx="9">
                  <c:v>6.5747878122074388E-2</c:v>
                </c:pt>
                <c:pt idx="10">
                  <c:v>6.5747878122074388E-2</c:v>
                </c:pt>
                <c:pt idx="11">
                  <c:v>6.5747878122074388E-2</c:v>
                </c:pt>
                <c:pt idx="12">
                  <c:v>6.5747878122074388E-2</c:v>
                </c:pt>
                <c:pt idx="13">
                  <c:v>6.5747878122074388E-2</c:v>
                </c:pt>
                <c:pt idx="14">
                  <c:v>6.5747878122074388E-2</c:v>
                </c:pt>
                <c:pt idx="15">
                  <c:v>6.5747878122074388E-2</c:v>
                </c:pt>
                <c:pt idx="16">
                  <c:v>6.5747878122074388E-2</c:v>
                </c:pt>
                <c:pt idx="17">
                  <c:v>6.5747878122074388E-2</c:v>
                </c:pt>
                <c:pt idx="18">
                  <c:v>6.5747878122074388E-2</c:v>
                </c:pt>
                <c:pt idx="19">
                  <c:v>6.5747878122074388E-2</c:v>
                </c:pt>
                <c:pt idx="20">
                  <c:v>6.5747878122074388E-2</c:v>
                </c:pt>
                <c:pt idx="21">
                  <c:v>6.5747878122074388E-2</c:v>
                </c:pt>
                <c:pt idx="22">
                  <c:v>0.13248519490854305</c:v>
                </c:pt>
                <c:pt idx="23">
                  <c:v>0</c:v>
                </c:pt>
              </c:numCache>
            </c:numRef>
          </c:val>
          <c:smooth val="0"/>
          <c:extLst>
            <c:ext xmlns:c16="http://schemas.microsoft.com/office/drawing/2014/chart" uri="{C3380CC4-5D6E-409C-BE32-E72D297353CC}">
              <c16:uniqueId val="{00000000-6AC9-47B3-AF52-47940E78F26B}"/>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Total'!$E$220</c:f>
              <c:strCache>
                <c:ptCount val="1"/>
                <c:pt idx="0">
                  <c:v>Rental Collections/Rentals Raised</c:v>
                </c:pt>
              </c:strCache>
            </c:strRef>
          </c:tx>
          <c:spPr>
            <a:ln w="28575" cap="rnd">
              <a:solidFill>
                <a:schemeClr val="accent1"/>
              </a:solidFill>
              <a:round/>
            </a:ln>
            <a:effectLst/>
          </c:spPr>
          <c:marker>
            <c:symbol val="none"/>
          </c:marker>
          <c:cat>
            <c:strRef>
              <c:f>'9a. Forecast Results - Total'!$N$219:$AK$219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Total'!$N$220:$AK$220</c:f>
              <c:numCache>
                <c:formatCode>0.0%</c:formatCode>
                <c:ptCount val="24"/>
                <c:pt idx="0">
                  <c:v>0.43074995700024832</c:v>
                </c:pt>
                <c:pt idx="1">
                  <c:v>0.4175691893204192</c:v>
                </c:pt>
                <c:pt idx="2">
                  <c:v>0.4799755579961148</c:v>
                </c:pt>
                <c:pt idx="3">
                  <c:v>0.45924066965734001</c:v>
                </c:pt>
                <c:pt idx="4">
                  <c:v>0.43027023088641919</c:v>
                </c:pt>
                <c:pt idx="5">
                  <c:v>0.40193032417923641</c:v>
                </c:pt>
                <c:pt idx="6">
                  <c:v>0.40200271560394374</c:v>
                </c:pt>
                <c:pt idx="7">
                  <c:v>0.40208524472447471</c:v>
                </c:pt>
                <c:pt idx="8">
                  <c:v>0.40218020140141142</c:v>
                </c:pt>
                <c:pt idx="9">
                  <c:v>0.40229062127909859</c:v>
                </c:pt>
                <c:pt idx="10">
                  <c:v>0.40242061631570591</c:v>
                </c:pt>
                <c:pt idx="11">
                  <c:v>0.40257589819903378</c:v>
                </c:pt>
                <c:pt idx="12">
                  <c:v>0.4027646401181767</c:v>
                </c:pt>
                <c:pt idx="13">
                  <c:v>0.40299896288428361</c:v>
                </c:pt>
                <c:pt idx="14">
                  <c:v>0.40329764560146902</c:v>
                </c:pt>
                <c:pt idx="15">
                  <c:v>0.40369142547750952</c:v>
                </c:pt>
                <c:pt idx="16">
                  <c:v>0.40423431828483092</c:v>
                </c:pt>
                <c:pt idx="17">
                  <c:v>0.40503080257458618</c:v>
                </c:pt>
                <c:pt idx="18">
                  <c:v>0.40631270636913475</c:v>
                </c:pt>
                <c:pt idx="19">
                  <c:v>0.40871828245838759</c:v>
                </c:pt>
                <c:pt idx="20">
                  <c:v>0.41487778252245144</c:v>
                </c:pt>
                <c:pt idx="21">
                  <c:v>0.46477863356926424</c:v>
                </c:pt>
                <c:pt idx="22">
                  <c:v>0</c:v>
                </c:pt>
                <c:pt idx="23">
                  <c:v>0</c:v>
                </c:pt>
              </c:numCache>
            </c:numRef>
          </c:val>
          <c:smooth val="0"/>
          <c:extLst>
            <c:ext xmlns:c16="http://schemas.microsoft.com/office/drawing/2014/chart" uri="{C3380CC4-5D6E-409C-BE32-E72D297353CC}">
              <c16:uniqueId val="{00000000-019A-4EBA-B4B4-AFE99505D11B}"/>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Total'!$E$244</c:f>
              <c:strCache>
                <c:ptCount val="1"/>
                <c:pt idx="0">
                  <c:v>Cost to Income Ratio</c:v>
                </c:pt>
              </c:strCache>
            </c:strRef>
          </c:tx>
          <c:spPr>
            <a:ln w="28575" cap="rnd">
              <a:solidFill>
                <a:schemeClr val="accent1"/>
              </a:solidFill>
              <a:round/>
            </a:ln>
            <a:effectLst/>
          </c:spPr>
          <c:marker>
            <c:symbol val="none"/>
          </c:marker>
          <c:cat>
            <c:strRef>
              <c:f>'9a. Forecast Results - Total'!$N$243:$AK$243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Total'!$N$244:$AK$244</c:f>
              <c:numCache>
                <c:formatCode>0.0%</c:formatCode>
                <c:ptCount val="24"/>
                <c:pt idx="0">
                  <c:v>3.9797793944828515</c:v>
                </c:pt>
                <c:pt idx="1">
                  <c:v>3.9774448403588876</c:v>
                </c:pt>
                <c:pt idx="2">
                  <c:v>5.5783167506580043</c:v>
                </c:pt>
                <c:pt idx="3">
                  <c:v>12.671079931042106</c:v>
                </c:pt>
                <c:pt idx="4">
                  <c:v>13.507273116795963</c:v>
                </c:pt>
                <c:pt idx="5">
                  <c:v>15.977837533118961</c:v>
                </c:pt>
                <c:pt idx="6">
                  <c:v>30.537175879738236</c:v>
                </c:pt>
                <c:pt idx="7">
                  <c:v>31.578787537400064</c:v>
                </c:pt>
                <c:pt idx="8">
                  <c:v>32.583822867731854</c:v>
                </c:pt>
                <c:pt idx="9">
                  <c:v>33.533380100091833</c:v>
                </c:pt>
                <c:pt idx="10">
                  <c:v>34.403761511004006</c:v>
                </c:pt>
                <c:pt idx="11">
                  <c:v>35.165178524142178</c:v>
                </c:pt>
                <c:pt idx="12">
                  <c:v>35.780039264048</c:v>
                </c:pt>
                <c:pt idx="13">
                  <c:v>36.200654829392356</c:v>
                </c:pt>
                <c:pt idx="14">
                  <c:v>36.366123014428666</c:v>
                </c:pt>
                <c:pt idx="15">
                  <c:v>36.19802677949022</c:v>
                </c:pt>
                <c:pt idx="16">
                  <c:v>35.594389996269669</c:v>
                </c:pt>
                <c:pt idx="17">
                  <c:v>34.421012103663806</c:v>
                </c:pt>
                <c:pt idx="18">
                  <c:v>32.498758542525906</c:v>
                </c:pt>
                <c:pt idx="19">
                  <c:v>29.584427062221131</c:v>
                </c:pt>
                <c:pt idx="20">
                  <c:v>25.341063223634034</c:v>
                </c:pt>
                <c:pt idx="21">
                  <c:v>19.29026369974644</c:v>
                </c:pt>
                <c:pt idx="22">
                  <c:v>1.6075727102062864</c:v>
                </c:pt>
                <c:pt idx="23">
                  <c:v>0</c:v>
                </c:pt>
              </c:numCache>
            </c:numRef>
          </c:val>
          <c:smooth val="0"/>
          <c:extLst>
            <c:ext xmlns:c16="http://schemas.microsoft.com/office/drawing/2014/chart" uri="{C3380CC4-5D6E-409C-BE32-E72D297353CC}">
              <c16:uniqueId val="{00000000-6296-4274-A2B7-5B4FF2EAC498}"/>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Total'!$E$270</c:f>
              <c:strCache>
                <c:ptCount val="1"/>
                <c:pt idx="0">
                  <c:v>Maintenance as % of Expenses</c:v>
                </c:pt>
              </c:strCache>
            </c:strRef>
          </c:tx>
          <c:spPr>
            <a:ln w="28575" cap="rnd">
              <a:solidFill>
                <a:schemeClr val="accent1"/>
              </a:solidFill>
              <a:round/>
            </a:ln>
            <a:effectLst/>
          </c:spPr>
          <c:marker>
            <c:symbol val="none"/>
          </c:marker>
          <c:cat>
            <c:strRef>
              <c:f>'9a. Forecast Results - Total'!$N$269:$AK$269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Total'!$N$270:$AK$270</c:f>
              <c:numCache>
                <c:formatCode>0.0%</c:formatCode>
                <c:ptCount val="24"/>
                <c:pt idx="0">
                  <c:v>0.41192797318755381</c:v>
                </c:pt>
                <c:pt idx="1">
                  <c:v>0.32548273107837405</c:v>
                </c:pt>
                <c:pt idx="2">
                  <c:v>0.40096302405356743</c:v>
                </c:pt>
                <c:pt idx="3">
                  <c:v>0.39034513559371409</c:v>
                </c:pt>
                <c:pt idx="4">
                  <c:v>0.38882931518015867</c:v>
                </c:pt>
                <c:pt idx="5">
                  <c:v>0.3879290644413716</c:v>
                </c:pt>
                <c:pt idx="6">
                  <c:v>0.39105915624224319</c:v>
                </c:pt>
                <c:pt idx="7">
                  <c:v>0.38812760119698214</c:v>
                </c:pt>
                <c:pt idx="8">
                  <c:v>0.38480258720870819</c:v>
                </c:pt>
                <c:pt idx="9">
                  <c:v>0.38099920395919712</c:v>
                </c:pt>
                <c:pt idx="10">
                  <c:v>0.37660621531535154</c:v>
                </c:pt>
                <c:pt idx="11">
                  <c:v>0.37147499941321133</c:v>
                </c:pt>
                <c:pt idx="12">
                  <c:v>0.36540240152646231</c:v>
                </c:pt>
                <c:pt idx="13">
                  <c:v>0.35810319625943859</c:v>
                </c:pt>
                <c:pt idx="14">
                  <c:v>0.34916398795754855</c:v>
                </c:pt>
                <c:pt idx="15">
                  <c:v>0.33796210521123626</c:v>
                </c:pt>
                <c:pt idx="16">
                  <c:v>0.32351398369371032</c:v>
                </c:pt>
                <c:pt idx="17">
                  <c:v>0.30416940002598553</c:v>
                </c:pt>
                <c:pt idx="18">
                  <c:v>0.27693140914801878</c:v>
                </c:pt>
                <c:pt idx="19">
                  <c:v>0.23573042123964877</c:v>
                </c:pt>
                <c:pt idx="20">
                  <c:v>0.16612919199079118</c:v>
                </c:pt>
                <c:pt idx="21">
                  <c:v>2.3319510182640481E-2</c:v>
                </c:pt>
                <c:pt idx="22">
                  <c:v>0</c:v>
                </c:pt>
                <c:pt idx="23">
                  <c:v>0</c:v>
                </c:pt>
              </c:numCache>
            </c:numRef>
          </c:val>
          <c:smooth val="0"/>
          <c:extLst>
            <c:ext xmlns:c16="http://schemas.microsoft.com/office/drawing/2014/chart" uri="{C3380CC4-5D6E-409C-BE32-E72D297353CC}">
              <c16:uniqueId val="{00000000-94D2-4E0A-B171-0C6F33969769}"/>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Total'!$E$294</c:f>
              <c:strCache>
                <c:ptCount val="1"/>
                <c:pt idx="0">
                  <c:v>Maintenance Cost per Unit</c:v>
                </c:pt>
              </c:strCache>
            </c:strRef>
          </c:tx>
          <c:spPr>
            <a:ln w="28575" cap="rnd">
              <a:solidFill>
                <a:schemeClr val="accent1"/>
              </a:solidFill>
              <a:round/>
            </a:ln>
            <a:effectLst/>
          </c:spPr>
          <c:marker>
            <c:symbol val="none"/>
          </c:marker>
          <c:cat>
            <c:strRef>
              <c:f>'9a. Forecast Results - Total'!$N$293:$AK$293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Total'!$N$294:$AK$294</c:f>
              <c:numCache>
                <c:formatCode>"R"#,##0_);[Red]\("R"#,##0\)</c:formatCode>
                <c:ptCount val="24"/>
                <c:pt idx="0">
                  <c:v>221716.96123404257</c:v>
                </c:pt>
                <c:pt idx="1">
                  <c:v>342047.40684615384</c:v>
                </c:pt>
                <c:pt idx="2">
                  <c:v>11128.651734496125</c:v>
                </c:pt>
                <c:pt idx="3">
                  <c:v>12035.816189307363</c:v>
                </c:pt>
                <c:pt idx="4">
                  <c:v>13086.557466923452</c:v>
                </c:pt>
                <c:pt idx="5">
                  <c:v>14188.834453623436</c:v>
                </c:pt>
                <c:pt idx="6">
                  <c:v>14964.58439801161</c:v>
                </c:pt>
                <c:pt idx="7">
                  <c:v>15782.055630978948</c:v>
                </c:pt>
                <c:pt idx="8">
                  <c:v>16643.287174203506</c:v>
                </c:pt>
                <c:pt idx="9">
                  <c:v>17550.338383888764</c:v>
                </c:pt>
                <c:pt idx="10">
                  <c:v>18505.246818229018</c:v>
                </c:pt>
                <c:pt idx="11">
                  <c:v>19509.957426780529</c:v>
                </c:pt>
                <c:pt idx="12">
                  <c:v>20566.200907271548</c:v>
                </c:pt>
                <c:pt idx="13">
                  <c:v>21675.277380400326</c:v>
                </c:pt>
                <c:pt idx="14">
                  <c:v>22837.652631084573</c:v>
                </c:pt>
                <c:pt idx="15">
                  <c:v>24052.154009453407</c:v>
                </c:pt>
                <c:pt idx="16">
                  <c:v>25314.224042317313</c:v>
                </c:pt>
                <c:pt idx="17">
                  <c:v>26611.651785183898</c:v>
                </c:pt>
                <c:pt idx="18">
                  <c:v>27912.22334345604</c:v>
                </c:pt>
                <c:pt idx="19">
                  <c:v>29117.306263097904</c:v>
                </c:pt>
                <c:pt idx="20">
                  <c:v>29778.760391311193</c:v>
                </c:pt>
                <c:pt idx="21">
                  <c:v>19218.711847823091</c:v>
                </c:pt>
                <c:pt idx="22">
                  <c:v>0</c:v>
                </c:pt>
                <c:pt idx="23">
                  <c:v>0</c:v>
                </c:pt>
              </c:numCache>
            </c:numRef>
          </c:val>
          <c:smooth val="0"/>
          <c:extLst>
            <c:ext xmlns:c16="http://schemas.microsoft.com/office/drawing/2014/chart" uri="{C3380CC4-5D6E-409C-BE32-E72D297353CC}">
              <c16:uniqueId val="{00000000-9012-4AC5-9467-44268BD544AB}"/>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Total'!$E$317</c:f>
              <c:strCache>
                <c:ptCount val="1"/>
                <c:pt idx="0">
                  <c:v>Net Deficit as % of HSDG Grant -  NDoHS Calc  (excl staff costs)</c:v>
                </c:pt>
              </c:strCache>
            </c:strRef>
          </c:tx>
          <c:spPr>
            <a:ln w="28575" cap="rnd">
              <a:solidFill>
                <a:schemeClr val="accent1"/>
              </a:solidFill>
              <a:round/>
            </a:ln>
            <a:effectLst/>
          </c:spPr>
          <c:marker>
            <c:symbol val="none"/>
          </c:marker>
          <c:cat>
            <c:strRef>
              <c:f>'9a. Forecast Results - Total'!$N$316:$AK$316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Total'!$N$317:$AK$317</c:f>
              <c:numCache>
                <c:formatCode>0.0%</c:formatCode>
                <c:ptCount val="24"/>
                <c:pt idx="0">
                  <c:v>5.6283986361087817E-3</c:v>
                </c:pt>
                <c:pt idx="1">
                  <c:v>5.8277379008081645E-3</c:v>
                </c:pt>
                <c:pt idx="2">
                  <c:v>8.965710025639017E-3</c:v>
                </c:pt>
                <c:pt idx="3">
                  <c:v>1.0064622456272281E-2</c:v>
                </c:pt>
                <c:pt idx="4">
                  <c:v>9.822358387218573E-3</c:v>
                </c:pt>
                <c:pt idx="5">
                  <c:v>9.5614949341196274E-3</c:v>
                </c:pt>
                <c:pt idx="6">
                  <c:v>9.6839048748770928E-3</c:v>
                </c:pt>
                <c:pt idx="7">
                  <c:v>9.622777727496902E-3</c:v>
                </c:pt>
                <c:pt idx="8">
                  <c:v>9.5231926737937116E-3</c:v>
                </c:pt>
                <c:pt idx="9">
                  <c:v>9.3811440832379626E-3</c:v>
                </c:pt>
                <c:pt idx="10">
                  <c:v>9.1923020411084737E-3</c:v>
                </c:pt>
                <c:pt idx="11">
                  <c:v>8.9519887942637148E-3</c:v>
                </c:pt>
                <c:pt idx="12">
                  <c:v>8.6551535869075942E-3</c:v>
                </c:pt>
                <c:pt idx="13">
                  <c:v>8.296345780500718E-3</c:v>
                </c:pt>
                <c:pt idx="14">
                  <c:v>7.8696861451948985E-3</c:v>
                </c:pt>
                <c:pt idx="15">
                  <c:v>7.3688362029707853E-3</c:v>
                </c:pt>
                <c:pt idx="16">
                  <c:v>6.7869654950093094E-3</c:v>
                </c:pt>
                <c:pt idx="17">
                  <c:v>6.1167166376997432E-3</c:v>
                </c:pt>
                <c:pt idx="18">
                  <c:v>5.3501680230505248E-3</c:v>
                </c:pt>
                <c:pt idx="19">
                  <c:v>4.4787940100927985E-3</c:v>
                </c:pt>
                <c:pt idx="20">
                  <c:v>3.4934224441170955E-3</c:v>
                </c:pt>
                <c:pt idx="21">
                  <c:v>2.3841893302257808E-3</c:v>
                </c:pt>
                <c:pt idx="22">
                  <c:v>2.232423024839863E-5</c:v>
                </c:pt>
                <c:pt idx="23">
                  <c:v>0</c:v>
                </c:pt>
              </c:numCache>
            </c:numRef>
          </c:val>
          <c:smooth val="0"/>
          <c:extLst>
            <c:ext xmlns:c16="http://schemas.microsoft.com/office/drawing/2014/chart" uri="{C3380CC4-5D6E-409C-BE32-E72D297353CC}">
              <c16:uniqueId val="{00000000-8687-47D3-8F76-8BED97E66BB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Total'!$E$340</c:f>
              <c:strCache>
                <c:ptCount val="1"/>
                <c:pt idx="0">
                  <c:v>EEDBS as % of HSDG</c:v>
                </c:pt>
              </c:strCache>
            </c:strRef>
          </c:tx>
          <c:spPr>
            <a:ln w="28575" cap="rnd">
              <a:solidFill>
                <a:schemeClr val="accent1"/>
              </a:solidFill>
              <a:round/>
            </a:ln>
            <a:effectLst/>
          </c:spPr>
          <c:marker>
            <c:symbol val="none"/>
          </c:marker>
          <c:cat>
            <c:strRef>
              <c:f>'9a. Forecast Results - Total'!$N$339:$AK$339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Total'!$N$340:$AK$340</c:f>
              <c:numCache>
                <c:formatCode>0.0%</c:formatCode>
                <c:ptCount val="24"/>
                <c:pt idx="0">
                  <c:v>1.3501498573366593E-3</c:v>
                </c:pt>
                <c:pt idx="1">
                  <c:v>1.3220500212674947E-3</c:v>
                </c:pt>
                <c:pt idx="2">
                  <c:v>8.1753659030898095E-4</c:v>
                </c:pt>
                <c:pt idx="3">
                  <c:v>7.3444901790065706E-4</c:v>
                </c:pt>
                <c:pt idx="4">
                  <c:v>7.3444901790065706E-4</c:v>
                </c:pt>
                <c:pt idx="5">
                  <c:v>6.8118743210348871E-4</c:v>
                </c:pt>
                <c:pt idx="6">
                  <c:v>3.2408470087682097E-4</c:v>
                </c:pt>
                <c:pt idx="7">
                  <c:v>3.2408470087682097E-4</c:v>
                </c:pt>
                <c:pt idx="8">
                  <c:v>3.2408470087682097E-4</c:v>
                </c:pt>
                <c:pt idx="9">
                  <c:v>3.2408470087682097E-4</c:v>
                </c:pt>
                <c:pt idx="10">
                  <c:v>3.2408470087682097E-4</c:v>
                </c:pt>
                <c:pt idx="11">
                  <c:v>3.2408470087682097E-4</c:v>
                </c:pt>
                <c:pt idx="12">
                  <c:v>3.2408470087682097E-4</c:v>
                </c:pt>
                <c:pt idx="13">
                  <c:v>3.2408470087682097E-4</c:v>
                </c:pt>
                <c:pt idx="14">
                  <c:v>3.2408470087682097E-4</c:v>
                </c:pt>
                <c:pt idx="15">
                  <c:v>3.2408470087682097E-4</c:v>
                </c:pt>
                <c:pt idx="16">
                  <c:v>3.2408470087682097E-4</c:v>
                </c:pt>
                <c:pt idx="17">
                  <c:v>3.2408470087682097E-4</c:v>
                </c:pt>
                <c:pt idx="18">
                  <c:v>3.2408470087682097E-4</c:v>
                </c:pt>
                <c:pt idx="19">
                  <c:v>3.2408470087682097E-4</c:v>
                </c:pt>
                <c:pt idx="20">
                  <c:v>3.2408470087682097E-4</c:v>
                </c:pt>
                <c:pt idx="21">
                  <c:v>3.2408470087682097E-4</c:v>
                </c:pt>
                <c:pt idx="22">
                  <c:v>5.6266556727480203E-2</c:v>
                </c:pt>
                <c:pt idx="23">
                  <c:v>0</c:v>
                </c:pt>
              </c:numCache>
            </c:numRef>
          </c:val>
          <c:smooth val="0"/>
          <c:extLst>
            <c:ext xmlns:c16="http://schemas.microsoft.com/office/drawing/2014/chart" uri="{C3380CC4-5D6E-409C-BE32-E72D297353CC}">
              <c16:uniqueId val="{00000000-EA15-4FBA-A806-2C6A02D57370}"/>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Total'!$E$364</c:f>
              <c:strCache>
                <c:ptCount val="1"/>
                <c:pt idx="0">
                  <c:v>Average Expenditure per unit per month</c:v>
                </c:pt>
              </c:strCache>
            </c:strRef>
          </c:tx>
          <c:spPr>
            <a:ln w="28575" cap="rnd">
              <a:solidFill>
                <a:schemeClr val="accent1"/>
              </a:solidFill>
              <a:round/>
            </a:ln>
            <a:effectLst/>
          </c:spPr>
          <c:marker>
            <c:symbol val="none"/>
          </c:marker>
          <c:cat>
            <c:strRef>
              <c:f>'9a. Forecast Results - Total'!$N$363:$AK$363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Total'!$N$364:$AK$364</c:f>
              <c:numCache>
                <c:formatCode>"R"#,##0_);[Red]\("R"#,##0\)</c:formatCode>
                <c:ptCount val="24"/>
                <c:pt idx="0">
                  <c:v>0</c:v>
                </c:pt>
                <c:pt idx="1">
                  <c:v>0</c:v>
                </c:pt>
                <c:pt idx="2">
                  <c:v>2312.9006639211889</c:v>
                </c:pt>
                <c:pt idx="3">
                  <c:v>2569.4816996162713</c:v>
                </c:pt>
                <c:pt idx="4">
                  <c:v>2804.6919638033582</c:v>
                </c:pt>
                <c:pt idx="5">
                  <c:v>3047.9873242753251</c:v>
                </c:pt>
                <c:pt idx="6">
                  <c:v>3188.9004001783592</c:v>
                </c:pt>
                <c:pt idx="7">
                  <c:v>3388.5023856216412</c:v>
                </c:pt>
                <c:pt idx="8">
                  <c:v>3604.2912494713742</c:v>
                </c:pt>
                <c:pt idx="9">
                  <c:v>3838.664709688017</c:v>
                </c:pt>
                <c:pt idx="10">
                  <c:v>4094.7383203110512</c:v>
                </c:pt>
                <c:pt idx="11">
                  <c:v>4376.686959104205</c:v>
                </c:pt>
                <c:pt idx="12">
                  <c:v>4690.3087348259969</c:v>
                </c:pt>
                <c:pt idx="13">
                  <c:v>5044.0016562285909</c:v>
                </c:pt>
                <c:pt idx="14">
                  <c:v>5450.5555695750381</c:v>
                </c:pt>
                <c:pt idx="15">
                  <c:v>5930.6831640241899</c:v>
                </c:pt>
                <c:pt idx="16">
                  <c:v>6520.6413834349578</c:v>
                </c:pt>
                <c:pt idx="17">
                  <c:v>7290.797984859325</c:v>
                </c:pt>
                <c:pt idx="18">
                  <c:v>8399.2589324218607</c:v>
                </c:pt>
                <c:pt idx="19">
                  <c:v>10293.292549308759</c:v>
                </c:pt>
                <c:pt idx="20">
                  <c:v>14937.55152965625</c:v>
                </c:pt>
                <c:pt idx="21">
                  <c:v>68678.943430130777</c:v>
                </c:pt>
                <c:pt idx="22">
                  <c:v>0</c:v>
                </c:pt>
                <c:pt idx="23">
                  <c:v>0</c:v>
                </c:pt>
              </c:numCache>
            </c:numRef>
          </c:val>
          <c:smooth val="0"/>
          <c:extLst>
            <c:ext xmlns:c16="http://schemas.microsoft.com/office/drawing/2014/chart" uri="{C3380CC4-5D6E-409C-BE32-E72D297353CC}">
              <c16:uniqueId val="{00000000-733C-42C7-8B08-A7EFD967F542}"/>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86165217591363"/>
          <c:y val="3.85886358799744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Total'!$E$388</c:f>
              <c:strCache>
                <c:ptCount val="1"/>
                <c:pt idx="0">
                  <c:v>Net Surplus/Deficit p.u.p.m.</c:v>
                </c:pt>
              </c:strCache>
            </c:strRef>
          </c:tx>
          <c:spPr>
            <a:ln w="28575" cap="rnd">
              <a:solidFill>
                <a:schemeClr val="accent1"/>
              </a:solidFill>
              <a:round/>
            </a:ln>
            <a:effectLst/>
          </c:spPr>
          <c:marker>
            <c:symbol val="none"/>
          </c:marker>
          <c:cat>
            <c:strRef>
              <c:f>'9a. Forecast Results - Total'!$N$387:$AK$387</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Total'!$N$388:$AK$388</c:f>
              <c:numCache>
                <c:formatCode>"R"#,##0_);[Red]\("R"#,##0\)</c:formatCode>
                <c:ptCount val="24"/>
                <c:pt idx="0">
                  <c:v>0</c:v>
                </c:pt>
                <c:pt idx="1">
                  <c:v>0</c:v>
                </c:pt>
                <c:pt idx="2">
                  <c:v>-1898.2772627583979</c:v>
                </c:pt>
                <c:pt idx="3">
                  <c:v>-2366.6985340455567</c:v>
                </c:pt>
                <c:pt idx="4">
                  <c:v>-2597.04887111163</c:v>
                </c:pt>
                <c:pt idx="5">
                  <c:v>-2857.2238797254954</c:v>
                </c:pt>
                <c:pt idx="6">
                  <c:v>-3084.4735726047511</c:v>
                </c:pt>
                <c:pt idx="7">
                  <c:v>-3281.1992669820006</c:v>
                </c:pt>
                <c:pt idx="8">
                  <c:v>-3493.6752771190095</c:v>
                </c:pt>
                <c:pt idx="9">
                  <c:v>-3724.1917666613904</c:v>
                </c:pt>
                <c:pt idx="10">
                  <c:v>-3975.7182440033671</c:v>
                </c:pt>
                <c:pt idx="11">
                  <c:v>-4252.226138975012</c:v>
                </c:pt>
                <c:pt idx="12">
                  <c:v>-4559.2214349990554</c:v>
                </c:pt>
                <c:pt idx="13">
                  <c:v>-4904.667114353585</c:v>
                </c:pt>
                <c:pt idx="14">
                  <c:v>-5300.6755406422735</c:v>
                </c:pt>
                <c:pt idx="15">
                  <c:v>-5766.8432066653941</c:v>
                </c:pt>
                <c:pt idx="16">
                  <c:v>-6337.4484312838358</c:v>
                </c:pt>
                <c:pt idx="17">
                  <c:v>-7078.9855615958231</c:v>
                </c:pt>
                <c:pt idx="18">
                  <c:v>-8140.8103236409725</c:v>
                </c:pt>
                <c:pt idx="19">
                  <c:v>-9945.3631292912542</c:v>
                </c:pt>
                <c:pt idx="20">
                  <c:v>-14348.091198105327</c:v>
                </c:pt>
                <c:pt idx="21">
                  <c:v>-65118.652886718795</c:v>
                </c:pt>
                <c:pt idx="22">
                  <c:v>0</c:v>
                </c:pt>
                <c:pt idx="23">
                  <c:v>0</c:v>
                </c:pt>
              </c:numCache>
            </c:numRef>
          </c:val>
          <c:smooth val="0"/>
          <c:extLst>
            <c:ext xmlns:c16="http://schemas.microsoft.com/office/drawing/2014/chart" uri="{C3380CC4-5D6E-409C-BE32-E72D297353CC}">
              <c16:uniqueId val="{00000000-9953-4AB6-A2B3-D151E82342AD}"/>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Income / Expenditure / Net Deficit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'9a. Forecast Results - Total'!$E$171</c:f>
              <c:strCache>
                <c:ptCount val="1"/>
                <c:pt idx="0">
                  <c:v>Net Surplus / (Deficit)</c:v>
                </c:pt>
              </c:strCache>
            </c:strRef>
          </c:tx>
          <c:spPr>
            <a:ln w="28575" cap="rnd">
              <a:solidFill>
                <a:schemeClr val="accent1"/>
              </a:solidFill>
              <a:round/>
            </a:ln>
            <a:effectLst/>
          </c:spPr>
          <c:marker>
            <c:symbol val="none"/>
          </c:marker>
          <c:cat>
            <c:strRef>
              <c:f>'9a. Forecast Results - Total'!$N$170:$AK$170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Total'!$N$171:$AK$171</c:f>
              <c:numCache>
                <c:formatCode>"R"#,##0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smooth val="0"/>
          <c:extLst>
            <c:ext xmlns:c16="http://schemas.microsoft.com/office/drawing/2014/chart" uri="{C3380CC4-5D6E-409C-BE32-E72D297353CC}">
              <c16:uniqueId val="{00000000-4041-4C89-9FBC-838ED559FFE2}"/>
            </c:ext>
          </c:extLst>
        </c:ser>
        <c:ser>
          <c:idx val="1"/>
          <c:order val="1"/>
          <c:tx>
            <c:strRef>
              <c:f>'9a. Forecast Results - Total'!$E$172</c:f>
              <c:strCache>
                <c:ptCount val="1"/>
                <c:pt idx="0">
                  <c:v>Total Expenditure</c:v>
                </c:pt>
              </c:strCache>
            </c:strRef>
          </c:tx>
          <c:spPr>
            <a:ln w="28575" cap="rnd">
              <a:solidFill>
                <a:srgbClr val="00B050"/>
              </a:solidFill>
              <a:round/>
            </a:ln>
            <a:effectLst/>
          </c:spPr>
          <c:marker>
            <c:symbol val="none"/>
          </c:marker>
          <c:cat>
            <c:strRef>
              <c:f>'9a. Forecast Results - Total'!$N$170:$AK$170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Total'!$N$172:$AK$172</c:f>
              <c:numCache>
                <c:formatCode>"R"#,##0</c:formatCode>
                <c:ptCount val="24"/>
                <c:pt idx="0">
                  <c:v>126486884.31333333</c:v>
                </c:pt>
                <c:pt idx="1">
                  <c:v>136616043.32333332</c:v>
                </c:pt>
                <c:pt idx="2">
                  <c:v>143214809.11000001</c:v>
                </c:pt>
                <c:pt idx="3">
                  <c:v>143253743.71700636</c:v>
                </c:pt>
                <c:pt idx="4">
                  <c:v>139067846.33322573</c:v>
                </c:pt>
                <c:pt idx="5">
                  <c:v>133721299.89060706</c:v>
                </c:pt>
                <c:pt idx="6">
                  <c:v>131255140.47134125</c:v>
                </c:pt>
                <c:pt idx="7">
                  <c:v>130281139.72238086</c:v>
                </c:pt>
                <c:pt idx="8">
                  <c:v>128802952.09110902</c:v>
                </c:pt>
                <c:pt idx="9">
                  <c:v>126768063.37273706</c:v>
                </c:pt>
                <c:pt idx="10">
                  <c:v>124119707.96526858</c:v>
                </c:pt>
                <c:pt idx="11">
                  <c:v>120796560.07127605</c:v>
                </c:pt>
                <c:pt idx="12">
                  <c:v>116732403.79234941</c:v>
                </c:pt>
                <c:pt idx="13">
                  <c:v>111855780.72852524</c:v>
                </c:pt>
                <c:pt idx="14">
                  <c:v>106089613.60620853</c:v>
                </c:pt>
                <c:pt idx="15">
                  <c:v>99350804.363733217</c:v>
                </c:pt>
                <c:pt idx="16">
                  <c:v>91549805.023426801</c:v>
                </c:pt>
                <c:pt idx="17">
                  <c:v>82590159.57248643</c:v>
                </c:pt>
                <c:pt idx="18">
                  <c:v>72368014.961746752</c:v>
                </c:pt>
                <c:pt idx="19">
                  <c:v>60771599.211118914</c:v>
                </c:pt>
                <c:pt idx="20">
                  <c:v>47680664.482662745</c:v>
                </c:pt>
                <c:pt idx="21">
                  <c:v>32965892.846462775</c:v>
                </c:pt>
                <c:pt idx="22">
                  <c:v>774381.134947057</c:v>
                </c:pt>
                <c:pt idx="23">
                  <c:v>0</c:v>
                </c:pt>
              </c:numCache>
            </c:numRef>
          </c:val>
          <c:smooth val="0"/>
          <c:extLst>
            <c:ext xmlns:c16="http://schemas.microsoft.com/office/drawing/2014/chart" uri="{C3380CC4-5D6E-409C-BE32-E72D297353CC}">
              <c16:uniqueId val="{00000001-4041-4C89-9FBC-838ED559FFE2}"/>
            </c:ext>
          </c:extLst>
        </c:ser>
        <c:ser>
          <c:idx val="2"/>
          <c:order val="2"/>
          <c:tx>
            <c:strRef>
              <c:f>'9a. Forecast Results - Total'!$E$173</c:f>
              <c:strCache>
                <c:ptCount val="1"/>
                <c:pt idx="0">
                  <c:v>Total Income</c:v>
                </c:pt>
              </c:strCache>
            </c:strRef>
          </c:tx>
          <c:spPr>
            <a:ln w="28575" cap="rnd">
              <a:solidFill>
                <a:schemeClr val="accent3"/>
              </a:solidFill>
              <a:round/>
            </a:ln>
            <a:effectLst/>
          </c:spPr>
          <c:marker>
            <c:symbol val="none"/>
          </c:marker>
          <c:cat>
            <c:strRef>
              <c:f>'9a. Forecast Results - Total'!$N$170:$AK$170</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Total'!$N$173:$AK$173</c:f>
              <c:numCache>
                <c:formatCode>"R"#,##0</c:formatCode>
                <c:ptCount val="24"/>
                <c:pt idx="0">
                  <c:v>13847741.82</c:v>
                </c:pt>
                <c:pt idx="1">
                  <c:v>16595915.43</c:v>
                </c:pt>
                <c:pt idx="2">
                  <c:v>14925625.75</c:v>
                </c:pt>
                <c:pt idx="3">
                  <c:v>11305567.046898484</c:v>
                </c:pt>
                <c:pt idx="4">
                  <c:v>10295775.108026672</c:v>
                </c:pt>
                <c:pt idx="5">
                  <c:v>8369173.8392901234</c:v>
                </c:pt>
                <c:pt idx="6">
                  <c:v>4298208.2229296956</c:v>
                </c:pt>
                <c:pt idx="7">
                  <c:v>4125590.3054568996</c:v>
                </c:pt>
                <c:pt idx="8">
                  <c:v>3952972.3879841031</c:v>
                </c:pt>
                <c:pt idx="9">
                  <c:v>3780354.470511307</c:v>
                </c:pt>
                <c:pt idx="10">
                  <c:v>3607736.5530385105</c:v>
                </c:pt>
                <c:pt idx="11">
                  <c:v>3435118.6355657149</c:v>
                </c:pt>
                <c:pt idx="12">
                  <c:v>3262500.7180929184</c:v>
                </c:pt>
                <c:pt idx="13">
                  <c:v>3089882.8006201228</c:v>
                </c:pt>
                <c:pt idx="14">
                  <c:v>2917264.8831473263</c:v>
                </c:pt>
                <c:pt idx="15">
                  <c:v>2744646.9656745302</c:v>
                </c:pt>
                <c:pt idx="16">
                  <c:v>2572029.0482017342</c:v>
                </c:pt>
                <c:pt idx="17">
                  <c:v>2399411.1307289382</c:v>
                </c:pt>
                <c:pt idx="18">
                  <c:v>2226793.2132561421</c:v>
                </c:pt>
                <c:pt idx="19">
                  <c:v>2054175.2957833458</c:v>
                </c:pt>
                <c:pt idx="20">
                  <c:v>1881557.3783105498</c:v>
                </c:pt>
                <c:pt idx="21">
                  <c:v>1708939.4608377537</c:v>
                </c:pt>
                <c:pt idx="22">
                  <c:v>481708.31094021688</c:v>
                </c:pt>
                <c:pt idx="23">
                  <c:v>0</c:v>
                </c:pt>
              </c:numCache>
            </c:numRef>
          </c:val>
          <c:smooth val="0"/>
          <c:extLst>
            <c:ext xmlns:c16="http://schemas.microsoft.com/office/drawing/2014/chart" uri="{C3380CC4-5D6E-409C-BE32-E72D297353CC}">
              <c16:uniqueId val="{00000002-4041-4C89-9FBC-838ED559FFE2}"/>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HSDG</a:t>
            </a:r>
            <a:r>
              <a:rPr lang="en-GB" b="1" baseline="0"/>
              <a:t> Top Slice &amp; EEDBS Utilised</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311101754021664"/>
          <c:y val="0.20563754667278611"/>
          <c:w val="0.84744899672986274"/>
          <c:h val="0.66247147274721141"/>
        </c:manualLayout>
      </c:layout>
      <c:areaChart>
        <c:grouping val="stacked"/>
        <c:varyColors val="0"/>
        <c:ser>
          <c:idx val="0"/>
          <c:order val="0"/>
          <c:tx>
            <c:strRef>
              <c:f>'5. Dashboard Total Check'!$AB$3</c:f>
              <c:strCache>
                <c:ptCount val="1"/>
                <c:pt idx="0">
                  <c:v>Net Deficit funded by HSDG Top Slice</c:v>
                </c:pt>
              </c:strCache>
            </c:strRef>
          </c:tx>
          <c:spPr>
            <a:solidFill>
              <a:srgbClr val="00B050"/>
            </a:solidFill>
            <a:ln w="25400">
              <a:noFill/>
            </a:ln>
            <a:effectLst/>
          </c:spPr>
          <c:cat>
            <c:strRef>
              <c:f>'5. Dashboard Total Check'!$AC$2:$AZ$2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 Check'!$AC$3:$AZ$3</c:f>
              <c:numCache>
                <c:formatCode>"R"#,##0;\-"R"#,##0</c:formatCode>
                <c:ptCount val="24"/>
                <c:pt idx="0">
                  <c:v>-9354796.4700000007</c:v>
                </c:pt>
                <c:pt idx="1">
                  <c:v>-10229237.26</c:v>
                </c:pt>
                <c:pt idx="2">
                  <c:v>-10415188.16</c:v>
                </c:pt>
                <c:pt idx="3">
                  <c:v>-9050671.484040793</c:v>
                </c:pt>
                <c:pt idx="4">
                  <c:v>-7276268.3573198924</c:v>
                </c:pt>
                <c:pt idx="5">
                  <c:v>-5272498.0344495559</c:v>
                </c:pt>
                <c:pt idx="6">
                  <c:v>-5562124.3240768462</c:v>
                </c:pt>
                <c:pt idx="7">
                  <c:v>-5535382.1975866212</c:v>
                </c:pt>
                <c:pt idx="8">
                  <c:v>-5487924.873524704</c:v>
                </c:pt>
                <c:pt idx="9">
                  <c:v>-5417569.3500243956</c:v>
                </c:pt>
                <c:pt idx="10">
                  <c:v>-5321955.1584863178</c:v>
                </c:pt>
                <c:pt idx="11">
                  <c:v>-5198531.4458184605</c:v>
                </c:pt>
                <c:pt idx="12">
                  <c:v>-5044543.1725595053</c:v>
                </c:pt>
                <c:pt idx="13">
                  <c:v>-4857016.3687088052</c:v>
                </c:pt>
                <c:pt idx="14">
                  <c:v>-4632742.3853614368</c:v>
                </c:pt>
                <c:pt idx="15">
                  <c:v>-4368261.0762879653</c:v>
                </c:pt>
                <c:pt idx="16">
                  <c:v>-4059842.8393917042</c:v>
                </c:pt>
                <c:pt idx="17">
                  <c:v>-3703469.4435056476</c:v>
                </c:pt>
                <c:pt idx="18">
                  <c:v>-3294813.561241088</c:v>
                </c:pt>
                <c:pt idx="19">
                  <c:v>-2829216.9235524968</c:v>
                </c:pt>
                <c:pt idx="20">
                  <c:v>-2301667.0063206377</c:v>
                </c:pt>
                <c:pt idx="21">
                  <c:v>-1706772.1535583164</c:v>
                </c:pt>
                <c:pt idx="22">
                  <c:v>0</c:v>
                </c:pt>
                <c:pt idx="23">
                  <c:v>0</c:v>
                </c:pt>
              </c:numCache>
            </c:numRef>
          </c:val>
          <c:extLst>
            <c:ext xmlns:c16="http://schemas.microsoft.com/office/drawing/2014/chart" uri="{C3380CC4-5D6E-409C-BE32-E72D297353CC}">
              <c16:uniqueId val="{00000000-8E31-4BA2-AFD3-B5A4C33DFC11}"/>
            </c:ext>
          </c:extLst>
        </c:ser>
        <c:ser>
          <c:idx val="1"/>
          <c:order val="1"/>
          <c:tx>
            <c:strRef>
              <c:f>'5. Dashboard Total Check'!$AB$4</c:f>
              <c:strCache>
                <c:ptCount val="1"/>
                <c:pt idx="0">
                  <c:v>EEDBS utilised to settle Existing Sales Debtors Balances Owing</c:v>
                </c:pt>
              </c:strCache>
            </c:strRef>
          </c:tx>
          <c:spPr>
            <a:solidFill>
              <a:srgbClr val="002060"/>
            </a:solidFill>
            <a:ln w="25400">
              <a:noFill/>
            </a:ln>
            <a:effectLst/>
          </c:spPr>
          <c:cat>
            <c:strRef>
              <c:f>'5. Dashboard Total Check'!$AC$2:$AZ$2</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'5. Dashboard Total Check'!$AC$4:$AZ$4</c:f>
              <c:numCache>
                <c:formatCode>"R"#,##0;\-"R"#,##0</c:formatCode>
                <c:ptCount val="24"/>
                <c:pt idx="0">
                  <c:v>-5576064</c:v>
                </c:pt>
                <c:pt idx="1">
                  <c:v>-1243913</c:v>
                </c:pt>
                <c:pt idx="2">
                  <c:v>-313420</c:v>
                </c:pt>
                <c:pt idx="3">
                  <c:v>-210409.8845669291</c:v>
                </c:pt>
                <c:pt idx="4">
                  <c:v>-210409.8845669291</c:v>
                </c:pt>
                <c:pt idx="5">
                  <c:v>-210409.8845669291</c:v>
                </c:pt>
                <c:pt idx="6">
                  <c:v>-23378.876062992123</c:v>
                </c:pt>
                <c:pt idx="7">
                  <c:v>-23378.876062992123</c:v>
                </c:pt>
                <c:pt idx="8">
                  <c:v>-23378.876062992123</c:v>
                </c:pt>
                <c:pt idx="9">
                  <c:v>-23378.876062992123</c:v>
                </c:pt>
                <c:pt idx="10">
                  <c:v>-23378.876062992123</c:v>
                </c:pt>
                <c:pt idx="11">
                  <c:v>-23378.876062992123</c:v>
                </c:pt>
                <c:pt idx="12">
                  <c:v>-23378.876062992123</c:v>
                </c:pt>
                <c:pt idx="13">
                  <c:v>-23378.876062992123</c:v>
                </c:pt>
                <c:pt idx="14">
                  <c:v>-23378.876062992123</c:v>
                </c:pt>
                <c:pt idx="15">
                  <c:v>-23378.876062992123</c:v>
                </c:pt>
                <c:pt idx="16">
                  <c:v>-23378.876062992123</c:v>
                </c:pt>
                <c:pt idx="17">
                  <c:v>-23378.876062992123</c:v>
                </c:pt>
                <c:pt idx="18">
                  <c:v>-23378.876062992123</c:v>
                </c:pt>
                <c:pt idx="19">
                  <c:v>-23378.876062992123</c:v>
                </c:pt>
                <c:pt idx="20">
                  <c:v>-23378.876062992123</c:v>
                </c:pt>
                <c:pt idx="21">
                  <c:v>-23378.876062992123</c:v>
                </c:pt>
                <c:pt idx="22">
                  <c:v>-15759591.013178613</c:v>
                </c:pt>
                <c:pt idx="23">
                  <c:v>0</c:v>
                </c:pt>
              </c:numCache>
            </c:numRef>
          </c:val>
          <c:extLst>
            <c:ext xmlns:c16="http://schemas.microsoft.com/office/drawing/2014/chart" uri="{C3380CC4-5D6E-409C-BE32-E72D297353CC}">
              <c16:uniqueId val="{00000001-8E31-4BA2-AFD3-B5A4C33DFC11}"/>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1550321579940526"/>
          <c:y val="0.91641055533052096"/>
          <c:w val="0.67119374820932842"/>
          <c:h val="5.7789150258350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 of</a:t>
            </a:r>
            <a:r>
              <a:rPr lang="en-US" b="1" baseline="0"/>
              <a:t> Rental Units v </a:t>
            </a:r>
            <a:r>
              <a:rPr lang="en-US" sz="1400" b="1" i="0" u="none" strike="noStrike" baseline="0">
                <a:effectLst/>
              </a:rPr>
              <a:t>Sale Accounts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'9a. Forecast Results - Total'!$E$147</c:f>
              <c:strCache>
                <c:ptCount val="1"/>
                <c:pt idx="0">
                  <c:v>No. of Rental Units</c:v>
                </c:pt>
              </c:strCache>
            </c:strRef>
          </c:tx>
          <c:spPr>
            <a:solidFill>
              <a:srgbClr val="00B050"/>
            </a:solidFill>
            <a:ln>
              <a:noFill/>
            </a:ln>
            <a:effectLst/>
          </c:spPr>
          <c:invertIfNegative val="0"/>
          <c:cat>
            <c:strRef>
              <c:f>'9a. Forecast Results - Total'!$N$146:$AK$146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Total'!$N$147:$AK$147</c:f>
              <c:numCache>
                <c:formatCode>_-* #,##0_-;\-* #,##0_-;_-* "-"_-;_-@_-</c:formatCode>
                <c:ptCount val="24"/>
                <c:pt idx="0">
                  <c:v>0</c:v>
                </c:pt>
                <c:pt idx="1">
                  <c:v>0</c:v>
                </c:pt>
                <c:pt idx="2">
                  <c:v>5160</c:v>
                </c:pt>
                <c:pt idx="3">
                  <c:v>4646</c:v>
                </c:pt>
                <c:pt idx="4">
                  <c:v>4132</c:v>
                </c:pt>
                <c:pt idx="5">
                  <c:v>3656</c:v>
                </c:pt>
                <c:pt idx="6">
                  <c:v>3430</c:v>
                </c:pt>
                <c:pt idx="7">
                  <c:v>3204</c:v>
                </c:pt>
                <c:pt idx="8">
                  <c:v>2978</c:v>
                </c:pt>
                <c:pt idx="9">
                  <c:v>2752</c:v>
                </c:pt>
                <c:pt idx="10">
                  <c:v>2526</c:v>
                </c:pt>
                <c:pt idx="11">
                  <c:v>2300</c:v>
                </c:pt>
                <c:pt idx="12">
                  <c:v>2074</c:v>
                </c:pt>
                <c:pt idx="13">
                  <c:v>1848</c:v>
                </c:pt>
                <c:pt idx="14">
                  <c:v>1622</c:v>
                </c:pt>
                <c:pt idx="15">
                  <c:v>1396</c:v>
                </c:pt>
                <c:pt idx="16">
                  <c:v>1170</c:v>
                </c:pt>
                <c:pt idx="17">
                  <c:v>944</c:v>
                </c:pt>
                <c:pt idx="18">
                  <c:v>718</c:v>
                </c:pt>
                <c:pt idx="19">
                  <c:v>492</c:v>
                </c:pt>
                <c:pt idx="20">
                  <c:v>266</c:v>
                </c:pt>
                <c:pt idx="21">
                  <c:v>40</c:v>
                </c:pt>
                <c:pt idx="22">
                  <c:v>0</c:v>
                </c:pt>
                <c:pt idx="23">
                  <c:v>0</c:v>
                </c:pt>
              </c:numCache>
            </c:numRef>
          </c:val>
          <c:extLst>
            <c:ext xmlns:c16="http://schemas.microsoft.com/office/drawing/2014/chart" uri="{C3380CC4-5D6E-409C-BE32-E72D297353CC}">
              <c16:uniqueId val="{00000000-E728-4BDB-BB30-274E2DD80419}"/>
            </c:ext>
          </c:extLst>
        </c:ser>
        <c:ser>
          <c:idx val="1"/>
          <c:order val="1"/>
          <c:tx>
            <c:strRef>
              <c:f>'9a. Forecast Results - Total'!$E$148</c:f>
              <c:strCache>
                <c:ptCount val="1"/>
                <c:pt idx="0">
                  <c:v>No. of Sales Accounts</c:v>
                </c:pt>
              </c:strCache>
            </c:strRef>
          </c:tx>
          <c:spPr>
            <a:solidFill>
              <a:srgbClr val="002060"/>
            </a:solidFill>
            <a:ln>
              <a:noFill/>
            </a:ln>
            <a:effectLst/>
          </c:spPr>
          <c:invertIfNegative val="0"/>
          <c:cat>
            <c:strRef>
              <c:f>'9a. Forecast Results - Total'!$N$146:$AK$146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Total'!$N$148:$AK$148</c:f>
              <c:numCache>
                <c:formatCode>_-* #,##0_-;\-* #,##0_-;_-* "-"_-;_-@_-</c:formatCode>
                <c:ptCount val="24"/>
                <c:pt idx="0">
                  <c:v>0</c:v>
                </c:pt>
                <c:pt idx="1">
                  <c:v>0</c:v>
                </c:pt>
                <c:pt idx="2">
                  <c:v>2239</c:v>
                </c:pt>
                <c:pt idx="3">
                  <c:v>2753</c:v>
                </c:pt>
                <c:pt idx="4">
                  <c:v>3267</c:v>
                </c:pt>
                <c:pt idx="5">
                  <c:v>3743</c:v>
                </c:pt>
                <c:pt idx="6">
                  <c:v>3969</c:v>
                </c:pt>
                <c:pt idx="7">
                  <c:v>4195</c:v>
                </c:pt>
                <c:pt idx="8">
                  <c:v>4421</c:v>
                </c:pt>
                <c:pt idx="9">
                  <c:v>4647</c:v>
                </c:pt>
                <c:pt idx="10">
                  <c:v>4873</c:v>
                </c:pt>
                <c:pt idx="11">
                  <c:v>5099</c:v>
                </c:pt>
                <c:pt idx="12">
                  <c:v>5325</c:v>
                </c:pt>
                <c:pt idx="13">
                  <c:v>5551</c:v>
                </c:pt>
                <c:pt idx="14">
                  <c:v>5777</c:v>
                </c:pt>
                <c:pt idx="15">
                  <c:v>6003</c:v>
                </c:pt>
                <c:pt idx="16">
                  <c:v>6229</c:v>
                </c:pt>
                <c:pt idx="17">
                  <c:v>6455</c:v>
                </c:pt>
                <c:pt idx="18">
                  <c:v>6681</c:v>
                </c:pt>
                <c:pt idx="19">
                  <c:v>6907</c:v>
                </c:pt>
                <c:pt idx="20">
                  <c:v>7133</c:v>
                </c:pt>
                <c:pt idx="21">
                  <c:v>7359</c:v>
                </c:pt>
                <c:pt idx="22">
                  <c:v>7399</c:v>
                </c:pt>
                <c:pt idx="23">
                  <c:v>0</c:v>
                </c:pt>
              </c:numCache>
            </c:numRef>
          </c:val>
          <c:extLst>
            <c:ext xmlns:c16="http://schemas.microsoft.com/office/drawing/2014/chart" uri="{C3380CC4-5D6E-409C-BE32-E72D297353CC}">
              <c16:uniqueId val="{00000001-E728-4BDB-BB30-274E2DD80419}"/>
            </c:ext>
          </c:extLst>
        </c:ser>
        <c:dLbls>
          <c:showLegendKey val="0"/>
          <c:showVal val="0"/>
          <c:showCatName val="0"/>
          <c:showSerName val="0"/>
          <c:showPercent val="0"/>
          <c:showBubbleSize val="0"/>
        </c:dLbls>
        <c:gapWidth val="219"/>
        <c:overlap val="100"/>
        <c:axId val="622410552"/>
        <c:axId val="622414816"/>
      </c:barChart>
      <c:catAx>
        <c:axId val="62241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4816"/>
        <c:crosses val="autoZero"/>
        <c:auto val="1"/>
        <c:lblAlgn val="ctr"/>
        <c:lblOffset val="100"/>
        <c:noMultiLvlLbl val="0"/>
      </c:catAx>
      <c:valAx>
        <c:axId val="62241481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410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HSDG</a:t>
            </a:r>
            <a:r>
              <a:rPr lang="en-GB" baseline="0"/>
              <a:t> Top Slice &amp; EEDBS Utilised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3136078784749"/>
          <c:y val="0.19303045048110101"/>
          <c:w val="0.85497722297953749"/>
          <c:h val="0.68340563176425073"/>
        </c:manualLayout>
      </c:layout>
      <c:areaChart>
        <c:grouping val="stacked"/>
        <c:varyColors val="0"/>
        <c:ser>
          <c:idx val="0"/>
          <c:order val="0"/>
          <c:tx>
            <c:strRef>
              <c:f>'9a. Forecast Results - Total'!$AO$20</c:f>
              <c:strCache>
                <c:ptCount val="1"/>
                <c:pt idx="0">
                  <c:v>Net Deficit funded by HSDG Top Slice</c:v>
                </c:pt>
              </c:strCache>
            </c:strRef>
          </c:tx>
          <c:spPr>
            <a:solidFill>
              <a:srgbClr val="00B050"/>
            </a:solidFill>
            <a:ln>
              <a:noFill/>
            </a:ln>
            <a:effectLst/>
          </c:spPr>
          <c:cat>
            <c:strRef>
              <c:f>'9a. Forecast Results - Total'!$AP$19:$BM$19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'9a. Forecast Results - Total'!$AP$20:$BM$20</c:f>
              <c:numCache>
                <c:formatCode>"R"#,##0</c:formatCode>
                <c:ptCount val="24"/>
                <c:pt idx="0">
                  <c:v>-112639142.49333334</c:v>
                </c:pt>
                <c:pt idx="1">
                  <c:v>-120020127.89333332</c:v>
                </c:pt>
                <c:pt idx="2">
                  <c:v>-128289183.36000001</c:v>
                </c:pt>
                <c:pt idx="3">
                  <c:v>-131948176.67010787</c:v>
                </c:pt>
                <c:pt idx="4">
                  <c:v>-128772071.22519906</c:v>
                </c:pt>
                <c:pt idx="5">
                  <c:v>-125352126.05131693</c:v>
                </c:pt>
                <c:pt idx="6">
                  <c:v>-126956932.24841155</c:v>
                </c:pt>
                <c:pt idx="7">
                  <c:v>-126155549.41692396</c:v>
                </c:pt>
                <c:pt idx="8">
                  <c:v>-124849979.70312493</c:v>
                </c:pt>
                <c:pt idx="9">
                  <c:v>-122987708.90222576</c:v>
                </c:pt>
                <c:pt idx="10">
                  <c:v>-120511971.41223007</c:v>
                </c:pt>
                <c:pt idx="11">
                  <c:v>-117361441.43571034</c:v>
                </c:pt>
                <c:pt idx="12">
                  <c:v>-113469903.07425649</c:v>
                </c:pt>
                <c:pt idx="13">
                  <c:v>-108765897.92790511</c:v>
                </c:pt>
                <c:pt idx="14">
                  <c:v>-103172348.7230612</c:v>
                </c:pt>
                <c:pt idx="15">
                  <c:v>-96606157.398058683</c:v>
                </c:pt>
                <c:pt idx="16">
                  <c:v>-88977775.975225061</c:v>
                </c:pt>
                <c:pt idx="17">
                  <c:v>-80190748.441757485</c:v>
                </c:pt>
                <c:pt idx="18">
                  <c:v>-70141221.748490617</c:v>
                </c:pt>
                <c:pt idx="19">
                  <c:v>-58717423.915335566</c:v>
                </c:pt>
                <c:pt idx="20">
                  <c:v>-45799107.104352199</c:v>
                </c:pt>
                <c:pt idx="21">
                  <c:v>-31256953.38562502</c:v>
                </c:pt>
                <c:pt idx="22">
                  <c:v>-292672.82400684012</c:v>
                </c:pt>
                <c:pt idx="23">
                  <c:v>0</c:v>
                </c:pt>
              </c:numCache>
            </c:numRef>
          </c:val>
          <c:extLst>
            <c:ext xmlns:c16="http://schemas.microsoft.com/office/drawing/2014/chart" uri="{C3380CC4-5D6E-409C-BE32-E72D297353CC}">
              <c16:uniqueId val="{00000000-F548-43A8-A624-B1B345CAFBF1}"/>
            </c:ext>
          </c:extLst>
        </c:ser>
        <c:ser>
          <c:idx val="1"/>
          <c:order val="1"/>
          <c:tx>
            <c:strRef>
              <c:f>'9a. Forecast Results - Total'!$AO$21</c:f>
              <c:strCache>
                <c:ptCount val="1"/>
                <c:pt idx="0">
                  <c:v>EEDBS utilised to settle Existing Sales Debtors Balances Owing</c:v>
                </c:pt>
              </c:strCache>
            </c:strRef>
          </c:tx>
          <c:spPr>
            <a:solidFill>
              <a:srgbClr val="002060"/>
            </a:solidFill>
            <a:ln w="25400">
              <a:noFill/>
            </a:ln>
            <a:effectLst/>
          </c:spPr>
          <c:val>
            <c:numRef>
              <c:f>'9a. Forecast Results - Total'!$AP$21:$BM$21</c:f>
              <c:numCache>
                <c:formatCode>"R"#,##0</c:formatCode>
                <c:ptCount val="24"/>
                <c:pt idx="0">
                  <c:v>-17923184</c:v>
                </c:pt>
                <c:pt idx="1">
                  <c:v>-17604545</c:v>
                </c:pt>
                <c:pt idx="2">
                  <c:v>-10717984</c:v>
                </c:pt>
                <c:pt idx="3">
                  <c:v>-9628697.8662323505</c:v>
                </c:pt>
                <c:pt idx="4">
                  <c:v>-9628697.8662323505</c:v>
                </c:pt>
                <c:pt idx="5">
                  <c:v>-8930433.3100576513</c:v>
                </c:pt>
                <c:pt idx="6">
                  <c:v>-4248781.8647111077</c:v>
                </c:pt>
                <c:pt idx="7">
                  <c:v>-4248781.8647111077</c:v>
                </c:pt>
                <c:pt idx="8">
                  <c:v>-4248781.8647111077</c:v>
                </c:pt>
                <c:pt idx="9">
                  <c:v>-4248781.8647111077</c:v>
                </c:pt>
                <c:pt idx="10">
                  <c:v>-4248781.8647111077</c:v>
                </c:pt>
                <c:pt idx="11">
                  <c:v>-4248781.8647111077</c:v>
                </c:pt>
                <c:pt idx="12">
                  <c:v>-4248781.8647111077</c:v>
                </c:pt>
                <c:pt idx="13">
                  <c:v>-4248781.8647111077</c:v>
                </c:pt>
                <c:pt idx="14">
                  <c:v>-4248781.8647111077</c:v>
                </c:pt>
                <c:pt idx="15">
                  <c:v>-4248781.8647111077</c:v>
                </c:pt>
                <c:pt idx="16">
                  <c:v>-4248781.8647111077</c:v>
                </c:pt>
                <c:pt idx="17">
                  <c:v>-4248781.8647111077</c:v>
                </c:pt>
                <c:pt idx="18">
                  <c:v>-4248781.8647111077</c:v>
                </c:pt>
                <c:pt idx="19">
                  <c:v>-4248781.8647111077</c:v>
                </c:pt>
                <c:pt idx="20">
                  <c:v>-4248781.8647111077</c:v>
                </c:pt>
                <c:pt idx="21">
                  <c:v>-4248781.8647111077</c:v>
                </c:pt>
                <c:pt idx="22">
                  <c:v>-737660016.55326807</c:v>
                </c:pt>
                <c:pt idx="23">
                  <c:v>0</c:v>
                </c:pt>
              </c:numCache>
            </c:numRef>
          </c:val>
          <c:extLst>
            <c:ext xmlns:c16="http://schemas.microsoft.com/office/drawing/2014/chart" uri="{C3380CC4-5D6E-409C-BE32-E72D297353CC}">
              <c16:uniqueId val="{00000001-F548-43A8-A624-B1B345CAFBF1}"/>
            </c:ext>
          </c:extLst>
        </c:ser>
        <c:dLbls>
          <c:showLegendKey val="0"/>
          <c:showVal val="0"/>
          <c:showCatName val="0"/>
          <c:showSerName val="0"/>
          <c:showPercent val="0"/>
          <c:showBubbleSize val="0"/>
        </c:dLbls>
        <c:axId val="471077008"/>
        <c:axId val="471073728"/>
      </c:areaChart>
      <c:catAx>
        <c:axId val="4710770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3728"/>
        <c:crosses val="autoZero"/>
        <c:auto val="1"/>
        <c:lblAlgn val="ctr"/>
        <c:lblOffset val="100"/>
        <c:noMultiLvlLbl val="0"/>
      </c:catAx>
      <c:valAx>
        <c:axId val="4710737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077008"/>
        <c:crosses val="autoZero"/>
        <c:crossBetween val="midCat"/>
      </c:valAx>
      <c:spPr>
        <a:noFill/>
        <a:ln>
          <a:noFill/>
        </a:ln>
        <a:effectLst/>
      </c:spPr>
    </c:plotArea>
    <c:legend>
      <c:legendPos val="b"/>
      <c:layout>
        <c:manualLayout>
          <c:xMode val="edge"/>
          <c:yMode val="edge"/>
          <c:x val="0.26743006217330456"/>
          <c:y val="0.91617938649253761"/>
          <c:w val="0.44238410343809803"/>
          <c:h val="3.63480453304971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728840607293968"/>
          <c:y val="3.953749867664075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EC'!$E$196</c:f>
              <c:strCache>
                <c:ptCount val="1"/>
                <c:pt idx="0">
                  <c:v>Sales &amp; Loans Collections/Sales &amp; Loans Raised</c:v>
                </c:pt>
              </c:strCache>
            </c:strRef>
          </c:tx>
          <c:spPr>
            <a:ln w="28575" cap="rnd">
              <a:solidFill>
                <a:schemeClr val="accent1"/>
              </a:solidFill>
              <a:round/>
            </a:ln>
            <a:effectLst/>
          </c:spPr>
          <c:marker>
            <c:symbol val="none"/>
          </c:marker>
          <c:cat>
            <c:strRef>
              <c:f>'9b. Forecast Results - EC'!$N$195:$AK$195</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EC'!$N$196:$AK$196</c:f>
              <c:numCache>
                <c:formatCode>0.0%</c:formatCode>
                <c:ptCount val="24"/>
                <c:pt idx="0">
                  <c:v>8.2142341369943306E-2</c:v>
                </c:pt>
                <c:pt idx="1">
                  <c:v>0.53381492294990063</c:v>
                </c:pt>
                <c:pt idx="2">
                  <c:v>0.39757553272276625</c:v>
                </c:pt>
                <c:pt idx="3">
                  <c:v>0.34269458893714638</c:v>
                </c:pt>
                <c:pt idx="4">
                  <c:v>0.34269458893714638</c:v>
                </c:pt>
                <c:pt idx="5">
                  <c:v>0.34269458893714638</c:v>
                </c:pt>
                <c:pt idx="6">
                  <c:v>0.34269458893714638</c:v>
                </c:pt>
                <c:pt idx="7">
                  <c:v>0.34269458893714638</c:v>
                </c:pt>
                <c:pt idx="8">
                  <c:v>0.34269458893714638</c:v>
                </c:pt>
                <c:pt idx="9">
                  <c:v>0.34269458893714638</c:v>
                </c:pt>
                <c:pt idx="10">
                  <c:v>0.34269458893714638</c:v>
                </c:pt>
                <c:pt idx="11">
                  <c:v>0.34269458893714638</c:v>
                </c:pt>
                <c:pt idx="12">
                  <c:v>0.34269458893714638</c:v>
                </c:pt>
                <c:pt idx="13">
                  <c:v>0.34269458893714638</c:v>
                </c:pt>
                <c:pt idx="14">
                  <c:v>0.34269458893714638</c:v>
                </c:pt>
                <c:pt idx="15">
                  <c:v>0.34269458893714638</c:v>
                </c:pt>
                <c:pt idx="16">
                  <c:v>0.34269458893714638</c:v>
                </c:pt>
                <c:pt idx="17">
                  <c:v>0.34269458893714638</c:v>
                </c:pt>
                <c:pt idx="18">
                  <c:v>0.34269458893714638</c:v>
                </c:pt>
                <c:pt idx="19">
                  <c:v>0.34269458893714638</c:v>
                </c:pt>
                <c:pt idx="20">
                  <c:v>0.34269458893714638</c:v>
                </c:pt>
                <c:pt idx="21">
                  <c:v>0.34269458893714638</c:v>
                </c:pt>
                <c:pt idx="22">
                  <c:v>0.34269458893714638</c:v>
                </c:pt>
                <c:pt idx="23">
                  <c:v>0</c:v>
                </c:pt>
              </c:numCache>
            </c:numRef>
          </c:val>
          <c:smooth val="0"/>
          <c:extLst>
            <c:ext xmlns:c16="http://schemas.microsoft.com/office/drawing/2014/chart" uri="{C3380CC4-5D6E-409C-BE32-E72D297353CC}">
              <c16:uniqueId val="{00000000-6476-4724-8C8E-3E39B5321BA6}"/>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838172763798283"/>
          <c:y val="4.1666575532424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EC'!$E$220</c:f>
              <c:strCache>
                <c:ptCount val="1"/>
                <c:pt idx="0">
                  <c:v>Rental Collections/Rentals Raised</c:v>
                </c:pt>
              </c:strCache>
            </c:strRef>
          </c:tx>
          <c:spPr>
            <a:ln w="28575" cap="rnd">
              <a:solidFill>
                <a:schemeClr val="accent1"/>
              </a:solidFill>
              <a:round/>
            </a:ln>
            <a:effectLst/>
          </c:spPr>
          <c:marker>
            <c:symbol val="none"/>
          </c:marker>
          <c:cat>
            <c:strRef>
              <c:f>'9b. Forecast Results - EC'!$N$219:$AK$219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EC'!$N$220:$AK$220</c:f>
              <c:numCache>
                <c:formatCode>0.0%</c:formatCode>
                <c:ptCount val="24"/>
                <c:pt idx="0">
                  <c:v>0.58054868799097703</c:v>
                </c:pt>
                <c:pt idx="1">
                  <c:v>0.44324765713763226</c:v>
                </c:pt>
                <c:pt idx="2">
                  <c:v>0.64104385848248757</c:v>
                </c:pt>
                <c:pt idx="3">
                  <c:v>0.64104385848248757</c:v>
                </c:pt>
                <c:pt idx="4">
                  <c:v>0.64104385848248757</c:v>
                </c:pt>
                <c:pt idx="5">
                  <c:v>0.64104385848248757</c:v>
                </c:pt>
                <c:pt idx="6">
                  <c:v>0.64104385848248757</c:v>
                </c:pt>
                <c:pt idx="7">
                  <c:v>0.64104385848248768</c:v>
                </c:pt>
                <c:pt idx="8">
                  <c:v>0.64104385848248757</c:v>
                </c:pt>
                <c:pt idx="9">
                  <c:v>0.64104385848248768</c:v>
                </c:pt>
                <c:pt idx="10">
                  <c:v>0.64104385848248757</c:v>
                </c:pt>
                <c:pt idx="11">
                  <c:v>0.64104385848248757</c:v>
                </c:pt>
                <c:pt idx="12">
                  <c:v>0.64104385848248757</c:v>
                </c:pt>
                <c:pt idx="13">
                  <c:v>0.64104385848248757</c:v>
                </c:pt>
                <c:pt idx="14">
                  <c:v>0.64104385848248757</c:v>
                </c:pt>
                <c:pt idx="15">
                  <c:v>0.64104385848248757</c:v>
                </c:pt>
                <c:pt idx="16">
                  <c:v>0.64104385848248757</c:v>
                </c:pt>
                <c:pt idx="17">
                  <c:v>0.64104385848248757</c:v>
                </c:pt>
                <c:pt idx="18">
                  <c:v>0.64104385848248757</c:v>
                </c:pt>
                <c:pt idx="19">
                  <c:v>0.64104385848248768</c:v>
                </c:pt>
                <c:pt idx="20">
                  <c:v>0.64104385848248757</c:v>
                </c:pt>
                <c:pt idx="21">
                  <c:v>0.64104385848248768</c:v>
                </c:pt>
                <c:pt idx="22">
                  <c:v>0</c:v>
                </c:pt>
                <c:pt idx="23">
                  <c:v>0</c:v>
                </c:pt>
              </c:numCache>
            </c:numRef>
          </c:val>
          <c:smooth val="0"/>
          <c:extLst>
            <c:ext xmlns:c16="http://schemas.microsoft.com/office/drawing/2014/chart" uri="{C3380CC4-5D6E-409C-BE32-E72D297353CC}">
              <c16:uniqueId val="{00000000-3E20-4022-AB71-E05BA79B409B}"/>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Cost to Income Ratio</a:t>
            </a:r>
          </a:p>
        </c:rich>
      </c:tx>
      <c:layout>
        <c:manualLayout>
          <c:xMode val="edge"/>
          <c:yMode val="edge"/>
          <c:x val="0.42088142959627373"/>
          <c:y val="3.100726897760056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EC'!$E$244</c:f>
              <c:strCache>
                <c:ptCount val="1"/>
                <c:pt idx="0">
                  <c:v>Cost to Income Ratio</c:v>
                </c:pt>
              </c:strCache>
            </c:strRef>
          </c:tx>
          <c:spPr>
            <a:ln w="28575" cap="rnd">
              <a:solidFill>
                <a:schemeClr val="accent1"/>
              </a:solidFill>
              <a:round/>
            </a:ln>
            <a:effectLst/>
          </c:spPr>
          <c:marker>
            <c:symbol val="none"/>
          </c:marker>
          <c:cat>
            <c:strRef>
              <c:f>'9b. Forecast Results - EC'!$N$243:$AK$243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EC'!$N$244:$AK$244</c:f>
              <c:numCache>
                <c:formatCode>0.0%</c:formatCode>
                <c:ptCount val="24"/>
                <c:pt idx="0">
                  <c:v>1.5829116337490683</c:v>
                </c:pt>
                <c:pt idx="1">
                  <c:v>5.1965915863976644</c:v>
                </c:pt>
                <c:pt idx="2">
                  <c:v>10.286667956766635</c:v>
                </c:pt>
                <c:pt idx="3">
                  <c:v>14.903687229078097</c:v>
                </c:pt>
                <c:pt idx="4">
                  <c:v>12.987335853987679</c:v>
                </c:pt>
                <c:pt idx="5">
                  <c:v>10.364376542058224</c:v>
                </c:pt>
                <c:pt idx="6">
                  <c:v>41.951001599321074</c:v>
                </c:pt>
                <c:pt idx="7">
                  <c:v>43.274312735811158</c:v>
                </c:pt>
                <c:pt idx="8">
                  <c:v>44.535838586675467</c:v>
                </c:pt>
                <c:pt idx="9">
                  <c:v>45.710091788261558</c:v>
                </c:pt>
                <c:pt idx="10">
                  <c:v>46.765776785148908</c:v>
                </c:pt>
                <c:pt idx="11">
                  <c:v>47.664400617260711</c:v>
                </c:pt>
                <c:pt idx="12">
                  <c:v>48.358493201936867</c:v>
                </c:pt>
                <c:pt idx="13">
                  <c:v>48.78930517164364</c:v>
                </c:pt>
                <c:pt idx="14">
                  <c:v>48.883798003283481</c:v>
                </c:pt>
                <c:pt idx="15">
                  <c:v>48.550662331425265</c:v>
                </c:pt>
                <c:pt idx="16">
                  <c:v>47.674981645319868</c:v>
                </c:pt>
                <c:pt idx="17">
                  <c:v>46.110976320432933</c:v>
                </c:pt>
                <c:pt idx="18">
                  <c:v>43.671976924839043</c:v>
                </c:pt>
                <c:pt idx="19">
                  <c:v>40.116315899749715</c:v>
                </c:pt>
                <c:pt idx="20">
                  <c:v>35.127067153792417</c:v>
                </c:pt>
                <c:pt idx="21">
                  <c:v>28.282269830527227</c:v>
                </c:pt>
                <c:pt idx="22">
                  <c:v>0.73343763538766493</c:v>
                </c:pt>
                <c:pt idx="23">
                  <c:v>0</c:v>
                </c:pt>
              </c:numCache>
            </c:numRef>
          </c:val>
          <c:smooth val="0"/>
          <c:extLst>
            <c:ext xmlns:c16="http://schemas.microsoft.com/office/drawing/2014/chart" uri="{C3380CC4-5D6E-409C-BE32-E72D297353CC}">
              <c16:uniqueId val="{00000000-B59E-403E-A25B-0822B5BA9B80}"/>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03795901037602"/>
          <c:y val="3.524442748603233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EC'!$E$270</c:f>
              <c:strCache>
                <c:ptCount val="1"/>
                <c:pt idx="0">
                  <c:v>Maintenance as % of Expenses</c:v>
                </c:pt>
              </c:strCache>
            </c:strRef>
          </c:tx>
          <c:spPr>
            <a:ln w="28575" cap="rnd">
              <a:solidFill>
                <a:schemeClr val="accent1"/>
              </a:solidFill>
              <a:round/>
            </a:ln>
            <a:effectLst/>
          </c:spPr>
          <c:marker>
            <c:symbol val="none"/>
          </c:marker>
          <c:cat>
            <c:strRef>
              <c:f>'9b. Forecast Results - EC'!$N$269:$AK$269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EC'!$N$270:$AK$270</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5C81-46A5-B3EE-B264A69D1791}"/>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299100018614541"/>
          <c:y val="3.155641311349567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EC'!$E$294</c:f>
              <c:strCache>
                <c:ptCount val="1"/>
                <c:pt idx="0">
                  <c:v>Maintenance Cost per Unit</c:v>
                </c:pt>
              </c:strCache>
            </c:strRef>
          </c:tx>
          <c:spPr>
            <a:ln w="28575" cap="rnd">
              <a:solidFill>
                <a:schemeClr val="accent1"/>
              </a:solidFill>
              <a:round/>
            </a:ln>
            <a:effectLst/>
          </c:spPr>
          <c:marker>
            <c:symbol val="none"/>
          </c:marker>
          <c:cat>
            <c:strRef>
              <c:f>'9b. Forecast Results - EC'!$N$293:$AK$293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EC'!$N$294:$AK$294</c:f>
              <c:numCache>
                <c:formatCode>"R"#,##0_);[Red]\("R"#,##0\)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7FB1-40B3-86FB-AC1BF92AEADC}"/>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46321747005465"/>
          <c:y val="3.902273167976073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EC'!$E$317</c:f>
              <c:strCache>
                <c:ptCount val="1"/>
                <c:pt idx="0">
                  <c:v>Net Deficit as % of HSDG Grant -  NDoHS Calc  (excl staff costs)</c:v>
                </c:pt>
              </c:strCache>
            </c:strRef>
          </c:tx>
          <c:spPr>
            <a:ln w="28575" cap="rnd">
              <a:solidFill>
                <a:schemeClr val="accent1"/>
              </a:solidFill>
              <a:round/>
            </a:ln>
            <a:effectLst/>
          </c:spPr>
          <c:marker>
            <c:symbol val="none"/>
          </c:marker>
          <c:cat>
            <c:strRef>
              <c:f>'9b. Forecast Results - EC'!$N$316:$AK$316</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EC'!$N$317:$AK$317</c:f>
              <c:numCache>
                <c:formatCode>0.0%</c:formatCode>
                <c:ptCount val="24"/>
                <c:pt idx="0">
                  <c:v>3.4563440450780035E-3</c:v>
                </c:pt>
                <c:pt idx="1">
                  <c:v>3.9721327001343244E-3</c:v>
                </c:pt>
                <c:pt idx="2">
                  <c:v>0</c:v>
                </c:pt>
                <c:pt idx="3">
                  <c:v>3.6755906435099136E-3</c:v>
                </c:pt>
                <c:pt idx="4">
                  <c:v>2.9549833889111364E-3</c:v>
                </c:pt>
                <c:pt idx="5">
                  <c:v>2.141227253416444E-3</c:v>
                </c:pt>
                <c:pt idx="6">
                  <c:v>2.2588481042169284E-3</c:v>
                </c:pt>
                <c:pt idx="7">
                  <c:v>2.2479877929031931E-3</c:v>
                </c:pt>
                <c:pt idx="8">
                  <c:v>2.2287147813265843E-3</c:v>
                </c:pt>
                <c:pt idx="9">
                  <c:v>2.2001425251848201E-3</c:v>
                </c:pt>
                <c:pt idx="10">
                  <c:v>2.1613124087206635E-3</c:v>
                </c:pt>
                <c:pt idx="11">
                  <c:v>2.1111884986583914E-3</c:v>
                </c:pt>
                <c:pt idx="12">
                  <c:v>2.048651939089425E-3</c:v>
                </c:pt>
                <c:pt idx="13">
                  <c:v>1.9724949636808755E-3</c:v>
                </c:pt>
                <c:pt idx="14">
                  <c:v>1.8814145000679982E-3</c:v>
                </c:pt>
                <c:pt idx="15">
                  <c:v>1.7740053396838355E-3</c:v>
                </c:pt>
                <c:pt idx="16">
                  <c:v>1.648752844570887E-3</c:v>
                </c:pt>
                <c:pt idx="17">
                  <c:v>1.5040251609040583E-3</c:v>
                </c:pt>
                <c:pt idx="18">
                  <c:v>1.3380649070250507E-3</c:v>
                </c:pt>
                <c:pt idx="19">
                  <c:v>1.1489803017385256E-3</c:v>
                </c:pt>
                <c:pt idx="20">
                  <c:v>9.3473569644255121E-4</c:v>
                </c:pt>
                <c:pt idx="21">
                  <c:v>6.9314147235199084E-4</c:v>
                </c:pt>
                <c:pt idx="22">
                  <c:v>-1.1429750258696537E-5</c:v>
                </c:pt>
                <c:pt idx="23">
                  <c:v>0</c:v>
                </c:pt>
              </c:numCache>
            </c:numRef>
          </c:val>
          <c:smooth val="0"/>
          <c:extLst>
            <c:ext xmlns:c16="http://schemas.microsoft.com/office/drawing/2014/chart" uri="{C3380CC4-5D6E-409C-BE32-E72D297353CC}">
              <c16:uniqueId val="{00000000-D65A-4913-93D2-9F0471824A37}"/>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22519822388055"/>
          <c:y val="3.501295916446075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EC'!$E$340</c:f>
              <c:strCache>
                <c:ptCount val="1"/>
                <c:pt idx="0">
                  <c:v>EEDBS as % of HSDG</c:v>
                </c:pt>
              </c:strCache>
            </c:strRef>
          </c:tx>
          <c:spPr>
            <a:ln w="28575" cap="rnd">
              <a:solidFill>
                <a:schemeClr val="accent1"/>
              </a:solidFill>
              <a:round/>
            </a:ln>
            <a:effectLst/>
          </c:spPr>
          <c:marker>
            <c:symbol val="none"/>
          </c:marker>
          <c:cat>
            <c:strRef>
              <c:f>'9b. Forecast Results - EC'!$N$339:$AK$339</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EC'!$N$340:$AK$340</c:f>
              <c:numCache>
                <c:formatCode>0.0%</c:formatCode>
                <c:ptCount val="24"/>
                <c:pt idx="0">
                  <c:v>2.2093895601201837E-3</c:v>
                </c:pt>
                <c:pt idx="1">
                  <c:v>5.1987446911838338E-4</c:v>
                </c:pt>
                <c:pt idx="2">
                  <c:v>1.2728377353218767E-4</c:v>
                </c:pt>
                <c:pt idx="3">
                  <c:v>8.5450080071950579E-5</c:v>
                </c:pt>
                <c:pt idx="4">
                  <c:v>8.5450080071950579E-5</c:v>
                </c:pt>
                <c:pt idx="5">
                  <c:v>8.5450080071950579E-5</c:v>
                </c:pt>
                <c:pt idx="6">
                  <c:v>9.4944533413278436E-6</c:v>
                </c:pt>
                <c:pt idx="7">
                  <c:v>9.4944533413278436E-6</c:v>
                </c:pt>
                <c:pt idx="8">
                  <c:v>9.4944533413278436E-6</c:v>
                </c:pt>
                <c:pt idx="9">
                  <c:v>9.4944533413278436E-6</c:v>
                </c:pt>
                <c:pt idx="10">
                  <c:v>9.4944533413278436E-6</c:v>
                </c:pt>
                <c:pt idx="11">
                  <c:v>9.4944533413278436E-6</c:v>
                </c:pt>
                <c:pt idx="12">
                  <c:v>9.4944533413278436E-6</c:v>
                </c:pt>
                <c:pt idx="13">
                  <c:v>9.4944533413278436E-6</c:v>
                </c:pt>
                <c:pt idx="14">
                  <c:v>9.4944533413278436E-6</c:v>
                </c:pt>
                <c:pt idx="15">
                  <c:v>9.4944533413278436E-6</c:v>
                </c:pt>
                <c:pt idx="16">
                  <c:v>9.4944533413278436E-6</c:v>
                </c:pt>
                <c:pt idx="17">
                  <c:v>9.4944533413278436E-6</c:v>
                </c:pt>
                <c:pt idx="18">
                  <c:v>9.4944533413278436E-6</c:v>
                </c:pt>
                <c:pt idx="19">
                  <c:v>9.4944533413278436E-6</c:v>
                </c:pt>
                <c:pt idx="20">
                  <c:v>9.4944533413278436E-6</c:v>
                </c:pt>
                <c:pt idx="21">
                  <c:v>9.4944533413278436E-6</c:v>
                </c:pt>
                <c:pt idx="22">
                  <c:v>6.4001665926913618E-3</c:v>
                </c:pt>
                <c:pt idx="23">
                  <c:v>0</c:v>
                </c:pt>
              </c:numCache>
            </c:numRef>
          </c:val>
          <c:smooth val="0"/>
          <c:extLst>
            <c:ext xmlns:c16="http://schemas.microsoft.com/office/drawing/2014/chart" uri="{C3380CC4-5D6E-409C-BE32-E72D297353CC}">
              <c16:uniqueId val="{00000000-AB5A-47AA-AF68-7FCB46A70F44}"/>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3986637273828174"/>
          <c:y val="3.838391486646664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'9b. Forecast Results - EC'!$E$364</c:f>
              <c:strCache>
                <c:ptCount val="1"/>
                <c:pt idx="0">
                  <c:v>Average Expenditure per unit per month</c:v>
                </c:pt>
              </c:strCache>
            </c:strRef>
          </c:tx>
          <c:spPr>
            <a:ln w="28575" cap="rnd">
              <a:solidFill>
                <a:schemeClr val="accent1"/>
              </a:solidFill>
              <a:round/>
            </a:ln>
            <a:effectLst/>
          </c:spPr>
          <c:marker>
            <c:symbol val="none"/>
          </c:marker>
          <c:cat>
            <c:strRef>
              <c:f>'9b. Forecast Results - EC'!$N$363:$AK$363</c:f>
              <c:strCache>
                <c:ptCount val="24"/>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pt idx="12">
                  <c:v>2025/26</c:v>
                </c:pt>
                <c:pt idx="13">
                  <c:v>2026/27</c:v>
                </c:pt>
                <c:pt idx="14">
                  <c:v>2027/28</c:v>
                </c:pt>
                <c:pt idx="15">
                  <c:v>2028/29</c:v>
                </c:pt>
                <c:pt idx="16">
                  <c:v>2029/30</c:v>
                </c:pt>
                <c:pt idx="17">
                  <c:v>2030/31</c:v>
                </c:pt>
                <c:pt idx="18">
                  <c:v>2031/32</c:v>
                </c:pt>
                <c:pt idx="19">
                  <c:v>3032/33</c:v>
                </c:pt>
                <c:pt idx="20">
                  <c:v>2033/34</c:v>
                </c:pt>
                <c:pt idx="21">
                  <c:v>2034/35</c:v>
                </c:pt>
                <c:pt idx="22">
                  <c:v>2035/36</c:v>
                </c:pt>
                <c:pt idx="23">
                  <c:v>2036/37</c:v>
                </c:pt>
              </c:strCache>
            </c:strRef>
          </c:cat>
          <c:val>
            <c:numRef>
              <c:f>'9b. Forecast Results - EC'!$N$364:$AK$364</c:f>
              <c:numCache>
                <c:formatCode>"R"#,##0_);[Red]\("R"#,##0\)</c:formatCode>
                <c:ptCount val="24"/>
                <c:pt idx="0">
                  <c:v>0</c:v>
                </c:pt>
                <c:pt idx="1">
                  <c:v>0</c:v>
                </c:pt>
                <c:pt idx="2">
                  <c:v>10360.684342592593</c:v>
                </c:pt>
                <c:pt idx="3">
                  <c:v>11228.734087135417</c:v>
                </c:pt>
                <c:pt idx="4">
                  <c:v>12165.531858895216</c:v>
                </c:pt>
                <c:pt idx="5">
                  <c:v>13508.184818735564</c:v>
                </c:pt>
                <c:pt idx="6">
                  <c:v>13965.559347477078</c:v>
                </c:pt>
                <c:pt idx="7">
                  <c:v>14756.046384700174</c:v>
                </c:pt>
                <c:pt idx="8">
                  <c:v>15594.389478076095</c:v>
                </c:pt>
                <c:pt idx="9">
                  <c:v>16484.346467415267</c:v>
                </c:pt>
                <c:pt idx="10">
                  <c:v>17430.262647300948</c:v>
                </c:pt>
                <c:pt idx="11">
                  <c:v>18437.270686578067</c:v>
                </c:pt>
                <c:pt idx="12">
                  <c:v>19511.596245908986</c:v>
                </c:pt>
                <c:pt idx="13">
                  <c:v>20661.043039640488</c:v>
                </c:pt>
                <c:pt idx="14">
                  <c:v>21895.796623198115</c:v>
                </c:pt>
                <c:pt idx="15">
                  <c:v>23229.825447821699</c:v>
                </c:pt>
                <c:pt idx="16">
                  <c:v>24683.476032916366</c:v>
                </c:pt>
                <c:pt idx="17">
                  <c:v>26288.654875613454</c:v>
                </c:pt>
                <c:pt idx="18">
                  <c:v>28100.217868901851</c:v>
                </c:pt>
                <c:pt idx="19">
                  <c:v>30224.429489834118</c:v>
                </c:pt>
                <c:pt idx="20">
                  <c:v>32904.319975509177</c:v>
                </c:pt>
                <c:pt idx="21">
                  <c:v>36861.081456641332</c:v>
                </c:pt>
                <c:pt idx="22">
                  <c:v>0</c:v>
                </c:pt>
                <c:pt idx="23">
                  <c:v>0</c:v>
                </c:pt>
              </c:numCache>
            </c:numRef>
          </c:val>
          <c:smooth val="0"/>
          <c:extLst>
            <c:ext xmlns:c16="http://schemas.microsoft.com/office/drawing/2014/chart" uri="{C3380CC4-5D6E-409C-BE32-E72D297353CC}">
              <c16:uniqueId val="{00000000-4C8F-4BC1-9AD8-9FE8CA9F2698}"/>
            </c:ext>
          </c:extLst>
        </c:ser>
        <c:dLbls>
          <c:showLegendKey val="0"/>
          <c:showVal val="0"/>
          <c:showCatName val="0"/>
          <c:showSerName val="0"/>
          <c:showPercent val="0"/>
          <c:showBubbleSize val="0"/>
        </c:dLbls>
        <c:smooth val="0"/>
        <c:axId val="347857472"/>
        <c:axId val="347858128"/>
      </c:lineChart>
      <c:catAx>
        <c:axId val="34785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8128"/>
        <c:crosses val="autoZero"/>
        <c:auto val="1"/>
        <c:lblAlgn val="ctr"/>
        <c:lblOffset val="100"/>
        <c:noMultiLvlLbl val="0"/>
      </c:catAx>
      <c:valAx>
        <c:axId val="347858128"/>
        <c:scaling>
          <c:orientation val="minMax"/>
        </c:scaling>
        <c:delete val="0"/>
        <c:axPos val="l"/>
        <c:majorGridlines>
          <c:spPr>
            <a:ln w="9525" cap="flat" cmpd="sng" algn="ctr">
              <a:solidFill>
                <a:schemeClr val="tx1">
                  <a:lumMod val="15000"/>
                  <a:lumOff val="85000"/>
                </a:schemeClr>
              </a:solidFill>
              <a:round/>
            </a:ln>
            <a:effectLst/>
          </c:spPr>
        </c:majorGridlines>
        <c:numFmt formatCode="&quot;R&quot;#,##0_);[Red]\(&quot;R&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785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 Id="rId4" Type="http://schemas.openxmlformats.org/officeDocument/2006/relationships/chart" Target="../charts/chart32.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4" Type="http://schemas.openxmlformats.org/officeDocument/2006/relationships/chart" Target="../charts/chart40.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4" Type="http://schemas.openxmlformats.org/officeDocument/2006/relationships/chart" Target="../charts/chart4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 Id="rId4" Type="http://schemas.openxmlformats.org/officeDocument/2006/relationships/chart" Target="../charts/chart48.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 Id="rId4" Type="http://schemas.openxmlformats.org/officeDocument/2006/relationships/chart" Target="../charts/chart52.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_rels/drawing19.xml.rels><?xml version="1.0" encoding="UTF-8" standalone="yes"?>
<Relationships xmlns="http://schemas.openxmlformats.org/package/2006/relationships"><Relationship Id="rId8" Type="http://schemas.openxmlformats.org/officeDocument/2006/relationships/chart" Target="../charts/chart75.xml"/><Relationship Id="rId3" Type="http://schemas.openxmlformats.org/officeDocument/2006/relationships/chart" Target="../charts/chart70.xml"/><Relationship Id="rId7" Type="http://schemas.openxmlformats.org/officeDocument/2006/relationships/chart" Target="../charts/chart74.xml"/><Relationship Id="rId12" Type="http://schemas.openxmlformats.org/officeDocument/2006/relationships/chart" Target="../charts/chart79.xml"/><Relationship Id="rId2" Type="http://schemas.openxmlformats.org/officeDocument/2006/relationships/chart" Target="../charts/chart69.xml"/><Relationship Id="rId1" Type="http://schemas.openxmlformats.org/officeDocument/2006/relationships/chart" Target="../charts/chart68.xml"/><Relationship Id="rId6" Type="http://schemas.openxmlformats.org/officeDocument/2006/relationships/chart" Target="../charts/chart73.xml"/><Relationship Id="rId11" Type="http://schemas.openxmlformats.org/officeDocument/2006/relationships/chart" Target="../charts/chart78.xml"/><Relationship Id="rId5" Type="http://schemas.openxmlformats.org/officeDocument/2006/relationships/chart" Target="../charts/chart72.xml"/><Relationship Id="rId10" Type="http://schemas.openxmlformats.org/officeDocument/2006/relationships/chart" Target="../charts/chart77.xml"/><Relationship Id="rId4" Type="http://schemas.openxmlformats.org/officeDocument/2006/relationships/chart" Target="../charts/chart71.xml"/><Relationship Id="rId9" Type="http://schemas.openxmlformats.org/officeDocument/2006/relationships/chart" Target="../charts/chart76.xml"/></Relationships>
</file>

<file path=xl/drawings/_rels/drawing20.xml.rels><?xml version="1.0" encoding="UTF-8" standalone="yes"?>
<Relationships xmlns="http://schemas.openxmlformats.org/package/2006/relationships"><Relationship Id="rId8" Type="http://schemas.openxmlformats.org/officeDocument/2006/relationships/chart" Target="../charts/chart87.xml"/><Relationship Id="rId3" Type="http://schemas.openxmlformats.org/officeDocument/2006/relationships/chart" Target="../charts/chart82.xml"/><Relationship Id="rId7" Type="http://schemas.openxmlformats.org/officeDocument/2006/relationships/chart" Target="../charts/chart86.xml"/><Relationship Id="rId12" Type="http://schemas.openxmlformats.org/officeDocument/2006/relationships/chart" Target="../charts/chart91.xml"/><Relationship Id="rId2" Type="http://schemas.openxmlformats.org/officeDocument/2006/relationships/chart" Target="../charts/chart81.xml"/><Relationship Id="rId1" Type="http://schemas.openxmlformats.org/officeDocument/2006/relationships/chart" Target="../charts/chart80.xml"/><Relationship Id="rId6" Type="http://schemas.openxmlformats.org/officeDocument/2006/relationships/chart" Target="../charts/chart85.xml"/><Relationship Id="rId11" Type="http://schemas.openxmlformats.org/officeDocument/2006/relationships/chart" Target="../charts/chart90.xml"/><Relationship Id="rId5" Type="http://schemas.openxmlformats.org/officeDocument/2006/relationships/chart" Target="../charts/chart84.xml"/><Relationship Id="rId10" Type="http://schemas.openxmlformats.org/officeDocument/2006/relationships/chart" Target="../charts/chart89.xml"/><Relationship Id="rId4" Type="http://schemas.openxmlformats.org/officeDocument/2006/relationships/chart" Target="../charts/chart83.xml"/><Relationship Id="rId9" Type="http://schemas.openxmlformats.org/officeDocument/2006/relationships/chart" Target="../charts/chart88.xml"/></Relationships>
</file>

<file path=xl/drawings/_rels/drawing21.xml.rels><?xml version="1.0" encoding="UTF-8" standalone="yes"?>
<Relationships xmlns="http://schemas.openxmlformats.org/package/2006/relationships"><Relationship Id="rId8" Type="http://schemas.openxmlformats.org/officeDocument/2006/relationships/chart" Target="../charts/chart99.xml"/><Relationship Id="rId3" Type="http://schemas.openxmlformats.org/officeDocument/2006/relationships/chart" Target="../charts/chart94.xml"/><Relationship Id="rId7" Type="http://schemas.openxmlformats.org/officeDocument/2006/relationships/chart" Target="../charts/chart98.xml"/><Relationship Id="rId12" Type="http://schemas.openxmlformats.org/officeDocument/2006/relationships/chart" Target="../charts/chart103.xml"/><Relationship Id="rId2" Type="http://schemas.openxmlformats.org/officeDocument/2006/relationships/chart" Target="../charts/chart93.xml"/><Relationship Id="rId1" Type="http://schemas.openxmlformats.org/officeDocument/2006/relationships/chart" Target="../charts/chart92.xml"/><Relationship Id="rId6" Type="http://schemas.openxmlformats.org/officeDocument/2006/relationships/chart" Target="../charts/chart97.xml"/><Relationship Id="rId11" Type="http://schemas.openxmlformats.org/officeDocument/2006/relationships/chart" Target="../charts/chart102.xml"/><Relationship Id="rId5" Type="http://schemas.openxmlformats.org/officeDocument/2006/relationships/chart" Target="../charts/chart96.xml"/><Relationship Id="rId10" Type="http://schemas.openxmlformats.org/officeDocument/2006/relationships/chart" Target="../charts/chart101.xml"/><Relationship Id="rId4" Type="http://schemas.openxmlformats.org/officeDocument/2006/relationships/chart" Target="../charts/chart95.xml"/><Relationship Id="rId9" Type="http://schemas.openxmlformats.org/officeDocument/2006/relationships/chart" Target="../charts/chart100.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111.xml"/><Relationship Id="rId3" Type="http://schemas.openxmlformats.org/officeDocument/2006/relationships/chart" Target="../charts/chart106.xml"/><Relationship Id="rId7" Type="http://schemas.openxmlformats.org/officeDocument/2006/relationships/chart" Target="../charts/chart110.xml"/><Relationship Id="rId12" Type="http://schemas.openxmlformats.org/officeDocument/2006/relationships/chart" Target="../charts/chart115.xml"/><Relationship Id="rId2" Type="http://schemas.openxmlformats.org/officeDocument/2006/relationships/chart" Target="../charts/chart105.xml"/><Relationship Id="rId1" Type="http://schemas.openxmlformats.org/officeDocument/2006/relationships/chart" Target="../charts/chart104.xml"/><Relationship Id="rId6" Type="http://schemas.openxmlformats.org/officeDocument/2006/relationships/chart" Target="../charts/chart109.xml"/><Relationship Id="rId11" Type="http://schemas.openxmlformats.org/officeDocument/2006/relationships/chart" Target="../charts/chart114.xml"/><Relationship Id="rId5" Type="http://schemas.openxmlformats.org/officeDocument/2006/relationships/chart" Target="../charts/chart108.xml"/><Relationship Id="rId10" Type="http://schemas.openxmlformats.org/officeDocument/2006/relationships/chart" Target="../charts/chart113.xml"/><Relationship Id="rId4" Type="http://schemas.openxmlformats.org/officeDocument/2006/relationships/chart" Target="../charts/chart107.xml"/><Relationship Id="rId9" Type="http://schemas.openxmlformats.org/officeDocument/2006/relationships/chart" Target="../charts/chart112.xml"/></Relationships>
</file>

<file path=xl/drawings/_rels/drawing23.xml.rels><?xml version="1.0" encoding="UTF-8" standalone="yes"?>
<Relationships xmlns="http://schemas.openxmlformats.org/package/2006/relationships"><Relationship Id="rId8" Type="http://schemas.openxmlformats.org/officeDocument/2006/relationships/chart" Target="../charts/chart123.xml"/><Relationship Id="rId3" Type="http://schemas.openxmlformats.org/officeDocument/2006/relationships/chart" Target="../charts/chart118.xml"/><Relationship Id="rId7" Type="http://schemas.openxmlformats.org/officeDocument/2006/relationships/chart" Target="../charts/chart122.xml"/><Relationship Id="rId12" Type="http://schemas.openxmlformats.org/officeDocument/2006/relationships/chart" Target="../charts/chart127.xml"/><Relationship Id="rId2" Type="http://schemas.openxmlformats.org/officeDocument/2006/relationships/chart" Target="../charts/chart117.xml"/><Relationship Id="rId1" Type="http://schemas.openxmlformats.org/officeDocument/2006/relationships/chart" Target="../charts/chart116.xml"/><Relationship Id="rId6" Type="http://schemas.openxmlformats.org/officeDocument/2006/relationships/chart" Target="../charts/chart121.xml"/><Relationship Id="rId11" Type="http://schemas.openxmlformats.org/officeDocument/2006/relationships/chart" Target="../charts/chart126.xml"/><Relationship Id="rId5" Type="http://schemas.openxmlformats.org/officeDocument/2006/relationships/chart" Target="../charts/chart120.xml"/><Relationship Id="rId10" Type="http://schemas.openxmlformats.org/officeDocument/2006/relationships/chart" Target="../charts/chart125.xml"/><Relationship Id="rId4" Type="http://schemas.openxmlformats.org/officeDocument/2006/relationships/chart" Target="../charts/chart119.xml"/><Relationship Id="rId9" Type="http://schemas.openxmlformats.org/officeDocument/2006/relationships/chart" Target="../charts/chart124.xml"/></Relationships>
</file>

<file path=xl/drawings/_rels/drawing24.xml.rels><?xml version="1.0" encoding="UTF-8" standalone="yes"?>
<Relationships xmlns="http://schemas.openxmlformats.org/package/2006/relationships"><Relationship Id="rId8" Type="http://schemas.openxmlformats.org/officeDocument/2006/relationships/chart" Target="../charts/chart135.xml"/><Relationship Id="rId3" Type="http://schemas.openxmlformats.org/officeDocument/2006/relationships/chart" Target="../charts/chart130.xml"/><Relationship Id="rId7" Type="http://schemas.openxmlformats.org/officeDocument/2006/relationships/chart" Target="../charts/chart134.xml"/><Relationship Id="rId12" Type="http://schemas.openxmlformats.org/officeDocument/2006/relationships/chart" Target="../charts/chart139.xml"/><Relationship Id="rId2" Type="http://schemas.openxmlformats.org/officeDocument/2006/relationships/chart" Target="../charts/chart129.xml"/><Relationship Id="rId1" Type="http://schemas.openxmlformats.org/officeDocument/2006/relationships/chart" Target="../charts/chart128.xml"/><Relationship Id="rId6" Type="http://schemas.openxmlformats.org/officeDocument/2006/relationships/chart" Target="../charts/chart133.xml"/><Relationship Id="rId11" Type="http://schemas.openxmlformats.org/officeDocument/2006/relationships/chart" Target="../charts/chart138.xml"/><Relationship Id="rId5" Type="http://schemas.openxmlformats.org/officeDocument/2006/relationships/chart" Target="../charts/chart132.xml"/><Relationship Id="rId10" Type="http://schemas.openxmlformats.org/officeDocument/2006/relationships/chart" Target="../charts/chart137.xml"/><Relationship Id="rId4" Type="http://schemas.openxmlformats.org/officeDocument/2006/relationships/chart" Target="../charts/chart131.xml"/><Relationship Id="rId9" Type="http://schemas.openxmlformats.org/officeDocument/2006/relationships/chart" Target="../charts/chart136.xml"/></Relationships>
</file>

<file path=xl/drawings/_rels/drawing25.xml.rels><?xml version="1.0" encoding="UTF-8" standalone="yes"?>
<Relationships xmlns="http://schemas.openxmlformats.org/package/2006/relationships"><Relationship Id="rId8" Type="http://schemas.openxmlformats.org/officeDocument/2006/relationships/chart" Target="../charts/chart147.xml"/><Relationship Id="rId3" Type="http://schemas.openxmlformats.org/officeDocument/2006/relationships/chart" Target="../charts/chart142.xml"/><Relationship Id="rId7" Type="http://schemas.openxmlformats.org/officeDocument/2006/relationships/chart" Target="../charts/chart146.xml"/><Relationship Id="rId12" Type="http://schemas.openxmlformats.org/officeDocument/2006/relationships/chart" Target="../charts/chart151.xml"/><Relationship Id="rId2" Type="http://schemas.openxmlformats.org/officeDocument/2006/relationships/chart" Target="../charts/chart141.xml"/><Relationship Id="rId1" Type="http://schemas.openxmlformats.org/officeDocument/2006/relationships/chart" Target="../charts/chart140.xml"/><Relationship Id="rId6" Type="http://schemas.openxmlformats.org/officeDocument/2006/relationships/chart" Target="../charts/chart145.xml"/><Relationship Id="rId11" Type="http://schemas.openxmlformats.org/officeDocument/2006/relationships/chart" Target="../charts/chart150.xml"/><Relationship Id="rId5" Type="http://schemas.openxmlformats.org/officeDocument/2006/relationships/chart" Target="../charts/chart144.xml"/><Relationship Id="rId10" Type="http://schemas.openxmlformats.org/officeDocument/2006/relationships/chart" Target="../charts/chart149.xml"/><Relationship Id="rId4" Type="http://schemas.openxmlformats.org/officeDocument/2006/relationships/chart" Target="../charts/chart143.xml"/><Relationship Id="rId9" Type="http://schemas.openxmlformats.org/officeDocument/2006/relationships/chart" Target="../charts/chart148.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154.xml"/><Relationship Id="rId2" Type="http://schemas.openxmlformats.org/officeDocument/2006/relationships/chart" Target="../charts/chart153.xml"/><Relationship Id="rId1" Type="http://schemas.openxmlformats.org/officeDocument/2006/relationships/chart" Target="../charts/chart152.xml"/><Relationship Id="rId4" Type="http://schemas.openxmlformats.org/officeDocument/2006/relationships/chart" Target="../charts/chart1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4" Type="http://schemas.openxmlformats.org/officeDocument/2006/relationships/chart" Target="../charts/chart2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4"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editAs="oneCell">
    <xdr:from>
      <xdr:col>2</xdr:col>
      <xdr:colOff>1803400</xdr:colOff>
      <xdr:row>6</xdr:row>
      <xdr:rowOff>57150</xdr:rowOff>
    </xdr:from>
    <xdr:to>
      <xdr:col>2</xdr:col>
      <xdr:colOff>5041900</xdr:colOff>
      <xdr:row>6</xdr:row>
      <xdr:rowOff>1422400</xdr:rowOff>
    </xdr:to>
    <xdr:pic>
      <xdr:nvPicPr>
        <xdr:cNvPr id="2" name="Picture 1" descr="Image result for gtac logo">
          <a:extLst>
            <a:ext uri="{FF2B5EF4-FFF2-40B4-BE49-F238E27FC236}">
              <a16:creationId xmlns:a16="http://schemas.microsoft.com/office/drawing/2014/main" id="{BE386943-F231-4C75-87F9-F3F8BA20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4975" y="1257300"/>
          <a:ext cx="3238500" cy="136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2489200</xdr:colOff>
      <xdr:row>7</xdr:row>
      <xdr:rowOff>88900</xdr:rowOff>
    </xdr:from>
    <xdr:to>
      <xdr:col>2</xdr:col>
      <xdr:colOff>3917950</xdr:colOff>
      <xdr:row>7</xdr:row>
      <xdr:rowOff>1250950</xdr:rowOff>
    </xdr:to>
    <xdr:pic>
      <xdr:nvPicPr>
        <xdr:cNvPr id="3" name="Picture 1">
          <a:extLst>
            <a:ext uri="{FF2B5EF4-FFF2-40B4-BE49-F238E27FC236}">
              <a16:creationId xmlns:a16="http://schemas.microsoft.com/office/drawing/2014/main" id="{8B25B3E5-EDF9-4B14-AD5F-DBFAAE4BE5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60775" y="2774950"/>
          <a:ext cx="14287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802CB11A-C092-4FCD-B4D4-A5BF43837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5DABF5C8-42B5-4100-8D84-6401E04A0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31B672EA-B866-443F-83A0-077962B6D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E4677FD9-7EA2-418A-8759-36C6A089C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38100</xdr:colOff>
      <xdr:row>56</xdr:row>
      <xdr:rowOff>266700</xdr:rowOff>
    </xdr:from>
    <xdr:to>
      <xdr:col>22</xdr:col>
      <xdr:colOff>520700</xdr:colOff>
      <xdr:row>70</xdr:row>
      <xdr:rowOff>92076</xdr:rowOff>
    </xdr:to>
    <xdr:graphicFrame macro="">
      <xdr:nvGraphicFramePr>
        <xdr:cNvPr id="2" name="Chart 1">
          <a:extLst>
            <a:ext uri="{FF2B5EF4-FFF2-40B4-BE49-F238E27FC236}">
              <a16:creationId xmlns:a16="http://schemas.microsoft.com/office/drawing/2014/main" id="{9B40DCEC-4C38-4558-933B-223BD6F7E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12700</xdr:colOff>
      <xdr:row>56</xdr:row>
      <xdr:rowOff>332581</xdr:rowOff>
    </xdr:from>
    <xdr:to>
      <xdr:col>29</xdr:col>
      <xdr:colOff>457200</xdr:colOff>
      <xdr:row>70</xdr:row>
      <xdr:rowOff>76200</xdr:rowOff>
    </xdr:to>
    <xdr:graphicFrame macro="">
      <xdr:nvGraphicFramePr>
        <xdr:cNvPr id="3" name="Chart 2">
          <a:extLst>
            <a:ext uri="{FF2B5EF4-FFF2-40B4-BE49-F238E27FC236}">
              <a16:creationId xmlns:a16="http://schemas.microsoft.com/office/drawing/2014/main" id="{7AC17DD4-6424-4338-BFDC-B30F32515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146050</xdr:colOff>
      <xdr:row>5</xdr:row>
      <xdr:rowOff>127000</xdr:rowOff>
    </xdr:from>
    <xdr:to>
      <xdr:col>29</xdr:col>
      <xdr:colOff>542926</xdr:colOff>
      <xdr:row>28</xdr:row>
      <xdr:rowOff>31750</xdr:rowOff>
    </xdr:to>
    <xdr:graphicFrame macro="">
      <xdr:nvGraphicFramePr>
        <xdr:cNvPr id="4" name="Chart 3">
          <a:extLst>
            <a:ext uri="{FF2B5EF4-FFF2-40B4-BE49-F238E27FC236}">
              <a16:creationId xmlns:a16="http://schemas.microsoft.com/office/drawing/2014/main" id="{87BC2CD3-3C1A-4117-A5AA-7A3ADD6E7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25400</xdr:colOff>
      <xdr:row>30</xdr:row>
      <xdr:rowOff>76201</xdr:rowOff>
    </xdr:from>
    <xdr:to>
      <xdr:col>29</xdr:col>
      <xdr:colOff>444499</xdr:colOff>
      <xdr:row>56</xdr:row>
      <xdr:rowOff>63501</xdr:rowOff>
    </xdr:to>
    <xdr:graphicFrame macro="">
      <xdr:nvGraphicFramePr>
        <xdr:cNvPr id="5" name="Chart 4">
          <a:extLst>
            <a:ext uri="{FF2B5EF4-FFF2-40B4-BE49-F238E27FC236}">
              <a16:creationId xmlns:a16="http://schemas.microsoft.com/office/drawing/2014/main" id="{A6AF0880-3218-4887-9ADB-79653098C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38100</xdr:colOff>
      <xdr:row>56</xdr:row>
      <xdr:rowOff>266700</xdr:rowOff>
    </xdr:from>
    <xdr:to>
      <xdr:col>14</xdr:col>
      <xdr:colOff>520700</xdr:colOff>
      <xdr:row>70</xdr:row>
      <xdr:rowOff>92076</xdr:rowOff>
    </xdr:to>
    <xdr:graphicFrame macro="">
      <xdr:nvGraphicFramePr>
        <xdr:cNvPr id="2" name="Chart 1">
          <a:extLst>
            <a:ext uri="{FF2B5EF4-FFF2-40B4-BE49-F238E27FC236}">
              <a16:creationId xmlns:a16="http://schemas.microsoft.com/office/drawing/2014/main" id="{726FAC23-3B88-4541-BF60-5B745B2CF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12700</xdr:colOff>
      <xdr:row>56</xdr:row>
      <xdr:rowOff>332581</xdr:rowOff>
    </xdr:from>
    <xdr:to>
      <xdr:col>21</xdr:col>
      <xdr:colOff>457200</xdr:colOff>
      <xdr:row>70</xdr:row>
      <xdr:rowOff>76200</xdr:rowOff>
    </xdr:to>
    <xdr:graphicFrame macro="">
      <xdr:nvGraphicFramePr>
        <xdr:cNvPr id="3" name="Chart 2">
          <a:extLst>
            <a:ext uri="{FF2B5EF4-FFF2-40B4-BE49-F238E27FC236}">
              <a16:creationId xmlns:a16="http://schemas.microsoft.com/office/drawing/2014/main" id="{7DB833DF-5EDC-42BE-BF10-D3D03D4D1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146050</xdr:colOff>
      <xdr:row>5</xdr:row>
      <xdr:rowOff>127000</xdr:rowOff>
    </xdr:from>
    <xdr:to>
      <xdr:col>21</xdr:col>
      <xdr:colOff>542926</xdr:colOff>
      <xdr:row>28</xdr:row>
      <xdr:rowOff>31750</xdr:rowOff>
    </xdr:to>
    <xdr:graphicFrame macro="">
      <xdr:nvGraphicFramePr>
        <xdr:cNvPr id="4" name="Chart 3">
          <a:extLst>
            <a:ext uri="{FF2B5EF4-FFF2-40B4-BE49-F238E27FC236}">
              <a16:creationId xmlns:a16="http://schemas.microsoft.com/office/drawing/2014/main" id="{134964C6-20C0-4F64-A9CA-E037F18F0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25400</xdr:colOff>
      <xdr:row>30</xdr:row>
      <xdr:rowOff>76201</xdr:rowOff>
    </xdr:from>
    <xdr:to>
      <xdr:col>21</xdr:col>
      <xdr:colOff>444499</xdr:colOff>
      <xdr:row>56</xdr:row>
      <xdr:rowOff>63501</xdr:rowOff>
    </xdr:to>
    <xdr:graphicFrame macro="">
      <xdr:nvGraphicFramePr>
        <xdr:cNvPr id="5" name="Chart 4">
          <a:extLst>
            <a:ext uri="{FF2B5EF4-FFF2-40B4-BE49-F238E27FC236}">
              <a16:creationId xmlns:a16="http://schemas.microsoft.com/office/drawing/2014/main" id="{5B78FB1C-26FF-4084-85C2-B91704488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457201</xdr:colOff>
      <xdr:row>56</xdr:row>
      <xdr:rowOff>378620</xdr:rowOff>
    </xdr:from>
    <xdr:to>
      <xdr:col>21</xdr:col>
      <xdr:colOff>508001</xdr:colOff>
      <xdr:row>70</xdr:row>
      <xdr:rowOff>76200</xdr:rowOff>
    </xdr:to>
    <xdr:graphicFrame macro="">
      <xdr:nvGraphicFramePr>
        <xdr:cNvPr id="2" name="Chart 1">
          <a:extLst>
            <a:ext uri="{FF2B5EF4-FFF2-40B4-BE49-F238E27FC236}">
              <a16:creationId xmlns:a16="http://schemas.microsoft.com/office/drawing/2014/main" id="{EBCF1240-0156-4FC5-8348-5A615E58E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56</xdr:row>
      <xdr:rowOff>383381</xdr:rowOff>
    </xdr:from>
    <xdr:to>
      <xdr:col>14</xdr:col>
      <xdr:colOff>381000</xdr:colOff>
      <xdr:row>70</xdr:row>
      <xdr:rowOff>76200</xdr:rowOff>
    </xdr:to>
    <xdr:graphicFrame macro="">
      <xdr:nvGraphicFramePr>
        <xdr:cNvPr id="3" name="Chart 2">
          <a:extLst>
            <a:ext uri="{FF2B5EF4-FFF2-40B4-BE49-F238E27FC236}">
              <a16:creationId xmlns:a16="http://schemas.microsoft.com/office/drawing/2014/main" id="{CEB1CD53-AFD6-4834-ADEA-77A406F70F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158750</xdr:colOff>
      <xdr:row>5</xdr:row>
      <xdr:rowOff>127000</xdr:rowOff>
    </xdr:from>
    <xdr:to>
      <xdr:col>21</xdr:col>
      <xdr:colOff>555626</xdr:colOff>
      <xdr:row>28</xdr:row>
      <xdr:rowOff>31750</xdr:rowOff>
    </xdr:to>
    <xdr:graphicFrame macro="">
      <xdr:nvGraphicFramePr>
        <xdr:cNvPr id="4" name="Chart 3">
          <a:extLst>
            <a:ext uri="{FF2B5EF4-FFF2-40B4-BE49-F238E27FC236}">
              <a16:creationId xmlns:a16="http://schemas.microsoft.com/office/drawing/2014/main" id="{3D7E8A91-60FE-4158-A0E5-6C55496F4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31</xdr:row>
      <xdr:rowOff>0</xdr:rowOff>
    </xdr:from>
    <xdr:to>
      <xdr:col>21</xdr:col>
      <xdr:colOff>419099</xdr:colOff>
      <xdr:row>56</xdr:row>
      <xdr:rowOff>177800</xdr:rowOff>
    </xdr:to>
    <xdr:graphicFrame macro="">
      <xdr:nvGraphicFramePr>
        <xdr:cNvPr id="5" name="Chart 4">
          <a:extLst>
            <a:ext uri="{FF2B5EF4-FFF2-40B4-BE49-F238E27FC236}">
              <a16:creationId xmlns:a16="http://schemas.microsoft.com/office/drawing/2014/main" id="{13992008-0E81-4084-A5C5-0264BE48F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394889</xdr:colOff>
      <xdr:row>57</xdr:row>
      <xdr:rowOff>35720</xdr:rowOff>
    </xdr:from>
    <xdr:to>
      <xdr:col>21</xdr:col>
      <xdr:colOff>482600</xdr:colOff>
      <xdr:row>71</xdr:row>
      <xdr:rowOff>12700</xdr:rowOff>
    </xdr:to>
    <xdr:graphicFrame macro="">
      <xdr:nvGraphicFramePr>
        <xdr:cNvPr id="2" name="Chart 1">
          <a:extLst>
            <a:ext uri="{FF2B5EF4-FFF2-40B4-BE49-F238E27FC236}">
              <a16:creationId xmlns:a16="http://schemas.microsoft.com/office/drawing/2014/main" id="{8B570744-AE23-46A8-BAA4-749F80A53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25400</xdr:colOff>
      <xdr:row>57</xdr:row>
      <xdr:rowOff>40481</xdr:rowOff>
    </xdr:from>
    <xdr:to>
      <xdr:col>14</xdr:col>
      <xdr:colOff>304800</xdr:colOff>
      <xdr:row>70</xdr:row>
      <xdr:rowOff>165100</xdr:rowOff>
    </xdr:to>
    <xdr:graphicFrame macro="">
      <xdr:nvGraphicFramePr>
        <xdr:cNvPr id="3" name="Chart 2">
          <a:extLst>
            <a:ext uri="{FF2B5EF4-FFF2-40B4-BE49-F238E27FC236}">
              <a16:creationId xmlns:a16="http://schemas.microsoft.com/office/drawing/2014/main" id="{0A379134-F515-4236-A0F8-C5CCBCA240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158750</xdr:colOff>
      <xdr:row>5</xdr:row>
      <xdr:rowOff>127000</xdr:rowOff>
    </xdr:from>
    <xdr:to>
      <xdr:col>21</xdr:col>
      <xdr:colOff>555626</xdr:colOff>
      <xdr:row>28</xdr:row>
      <xdr:rowOff>31750</xdr:rowOff>
    </xdr:to>
    <xdr:graphicFrame macro="">
      <xdr:nvGraphicFramePr>
        <xdr:cNvPr id="4" name="Chart 3">
          <a:extLst>
            <a:ext uri="{FF2B5EF4-FFF2-40B4-BE49-F238E27FC236}">
              <a16:creationId xmlns:a16="http://schemas.microsoft.com/office/drawing/2014/main" id="{69C8C1B5-FAF8-4814-93C1-6B2EB0284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31</xdr:row>
      <xdr:rowOff>0</xdr:rowOff>
    </xdr:from>
    <xdr:to>
      <xdr:col>21</xdr:col>
      <xdr:colOff>419099</xdr:colOff>
      <xdr:row>56</xdr:row>
      <xdr:rowOff>177800</xdr:rowOff>
    </xdr:to>
    <xdr:graphicFrame macro="">
      <xdr:nvGraphicFramePr>
        <xdr:cNvPr id="5" name="Chart 4">
          <a:extLst>
            <a:ext uri="{FF2B5EF4-FFF2-40B4-BE49-F238E27FC236}">
              <a16:creationId xmlns:a16="http://schemas.microsoft.com/office/drawing/2014/main" id="{DE402891-262F-4E9C-8288-C633FDA18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77389</xdr:colOff>
      <xdr:row>57</xdr:row>
      <xdr:rowOff>139700</xdr:rowOff>
    </xdr:from>
    <xdr:to>
      <xdr:col>21</xdr:col>
      <xdr:colOff>444500</xdr:colOff>
      <xdr:row>70</xdr:row>
      <xdr:rowOff>63500</xdr:rowOff>
    </xdr:to>
    <xdr:graphicFrame macro="">
      <xdr:nvGraphicFramePr>
        <xdr:cNvPr id="2" name="Chart 1">
          <a:extLst>
            <a:ext uri="{FF2B5EF4-FFF2-40B4-BE49-F238E27FC236}">
              <a16:creationId xmlns:a16="http://schemas.microsoft.com/office/drawing/2014/main" id="{F396EF5D-39E4-4C88-94C5-DD822D16C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531812</xdr:colOff>
      <xdr:row>57</xdr:row>
      <xdr:rowOff>154781</xdr:rowOff>
    </xdr:from>
    <xdr:to>
      <xdr:col>15</xdr:col>
      <xdr:colOff>0</xdr:colOff>
      <xdr:row>70</xdr:row>
      <xdr:rowOff>76200</xdr:rowOff>
    </xdr:to>
    <xdr:graphicFrame macro="">
      <xdr:nvGraphicFramePr>
        <xdr:cNvPr id="3" name="Chart 2">
          <a:extLst>
            <a:ext uri="{FF2B5EF4-FFF2-40B4-BE49-F238E27FC236}">
              <a16:creationId xmlns:a16="http://schemas.microsoft.com/office/drawing/2014/main" id="{F4C6DD19-3E4D-458E-960E-34574F538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158750</xdr:colOff>
      <xdr:row>5</xdr:row>
      <xdr:rowOff>127000</xdr:rowOff>
    </xdr:from>
    <xdr:to>
      <xdr:col>21</xdr:col>
      <xdr:colOff>555626</xdr:colOff>
      <xdr:row>28</xdr:row>
      <xdr:rowOff>31750</xdr:rowOff>
    </xdr:to>
    <xdr:graphicFrame macro="">
      <xdr:nvGraphicFramePr>
        <xdr:cNvPr id="4" name="Chart 3">
          <a:extLst>
            <a:ext uri="{FF2B5EF4-FFF2-40B4-BE49-F238E27FC236}">
              <a16:creationId xmlns:a16="http://schemas.microsoft.com/office/drawing/2014/main" id="{E7DBBC8A-74B9-4CC1-A3C7-7F09D80CD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31</xdr:row>
      <xdr:rowOff>0</xdr:rowOff>
    </xdr:from>
    <xdr:to>
      <xdr:col>21</xdr:col>
      <xdr:colOff>419099</xdr:colOff>
      <xdr:row>56</xdr:row>
      <xdr:rowOff>177800</xdr:rowOff>
    </xdr:to>
    <xdr:graphicFrame macro="">
      <xdr:nvGraphicFramePr>
        <xdr:cNvPr id="5" name="Chart 4">
          <a:extLst>
            <a:ext uri="{FF2B5EF4-FFF2-40B4-BE49-F238E27FC236}">
              <a16:creationId xmlns:a16="http://schemas.microsoft.com/office/drawing/2014/main" id="{6FCDAF5A-C1B3-46BE-B169-052316BE7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71</xdr:row>
      <xdr:rowOff>47625</xdr:rowOff>
    </xdr:from>
    <xdr:to>
      <xdr:col>10</xdr:col>
      <xdr:colOff>885825</xdr:colOff>
      <xdr:row>90</xdr:row>
      <xdr:rowOff>161925</xdr:rowOff>
    </xdr:to>
    <xdr:graphicFrame macro="">
      <xdr:nvGraphicFramePr>
        <xdr:cNvPr id="3" name="Chart 2">
          <a:extLst>
            <a:ext uri="{FF2B5EF4-FFF2-40B4-BE49-F238E27FC236}">
              <a16:creationId xmlns:a16="http://schemas.microsoft.com/office/drawing/2014/main" id="{7BBF5EE1-31F0-4B54-BA69-485A17128C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27215</xdr:colOff>
      <xdr:row>14</xdr:row>
      <xdr:rowOff>0</xdr:rowOff>
    </xdr:from>
    <xdr:to>
      <xdr:col>10</xdr:col>
      <xdr:colOff>839335</xdr:colOff>
      <xdr:row>39</xdr:row>
      <xdr:rowOff>76200</xdr:rowOff>
    </xdr:to>
    <xdr:graphicFrame macro="">
      <xdr:nvGraphicFramePr>
        <xdr:cNvPr id="5" name="Chart 4">
          <a:extLst>
            <a:ext uri="{FF2B5EF4-FFF2-40B4-BE49-F238E27FC236}">
              <a16:creationId xmlns:a16="http://schemas.microsoft.com/office/drawing/2014/main" id="{0CC73CA1-4C9D-43AB-8BF5-305A76FD3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42</xdr:row>
      <xdr:rowOff>0</xdr:rowOff>
    </xdr:from>
    <xdr:to>
      <xdr:col>10</xdr:col>
      <xdr:colOff>1035050</xdr:colOff>
      <xdr:row>66</xdr:row>
      <xdr:rowOff>38100</xdr:rowOff>
    </xdr:to>
    <xdr:graphicFrame macro="">
      <xdr:nvGraphicFramePr>
        <xdr:cNvPr id="7" name="Chart 6">
          <a:extLst>
            <a:ext uri="{FF2B5EF4-FFF2-40B4-BE49-F238E27FC236}">
              <a16:creationId xmlns:a16="http://schemas.microsoft.com/office/drawing/2014/main" id="{05D4C1ED-396A-4B10-9952-9322AE2FB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41</xdr:col>
      <xdr:colOff>216354</xdr:colOff>
      <xdr:row>3</xdr:row>
      <xdr:rowOff>111579</xdr:rowOff>
    </xdr:from>
    <xdr:to>
      <xdr:col>64</xdr:col>
      <xdr:colOff>406853</xdr:colOff>
      <xdr:row>27</xdr:row>
      <xdr:rowOff>88900</xdr:rowOff>
    </xdr:to>
    <xdr:graphicFrame macro="">
      <xdr:nvGraphicFramePr>
        <xdr:cNvPr id="2" name="Chart 1">
          <a:extLst>
            <a:ext uri="{FF2B5EF4-FFF2-40B4-BE49-F238E27FC236}">
              <a16:creationId xmlns:a16="http://schemas.microsoft.com/office/drawing/2014/main" id="{6C75CA77-E4B1-49F0-A864-96A434214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3761558D-C371-41AF-9917-9A85255EFE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8D3E25CF-9E57-4D86-B353-5B3830EB4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2D39B60C-F98E-46EB-A7D8-EC235B24AC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0E49049E-CD97-4F39-A46D-077A64221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2C2E3914-E24D-4BF4-A0AA-B9AF2D64D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DF66EBB4-7D12-4351-A6C2-03C22057C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E00713FF-6832-4241-B2B8-16F4907A9C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42B0BA9C-E2D4-4E14-B125-A26C4E5FD2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7E8584B9-AB63-4B5B-A54D-4F32FE9BB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1A02163F-B209-4D82-8AEA-839955702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268940</xdr:colOff>
      <xdr:row>148</xdr:row>
      <xdr:rowOff>168094</xdr:rowOff>
    </xdr:from>
    <xdr:to>
      <xdr:col>23</xdr:col>
      <xdr:colOff>268942</xdr:colOff>
      <xdr:row>166</xdr:row>
      <xdr:rowOff>179294</xdr:rowOff>
    </xdr:to>
    <xdr:graphicFrame macro="">
      <xdr:nvGraphicFramePr>
        <xdr:cNvPr id="12" name="Chart 11">
          <a:extLst>
            <a:ext uri="{FF2B5EF4-FFF2-40B4-BE49-F238E27FC236}">
              <a16:creationId xmlns:a16="http://schemas.microsoft.com/office/drawing/2014/main" id="{B5E8CE53-2424-4485-A34B-BCCFE20C77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3C3D9E79-94D0-4852-AED7-F8222A65A0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750F45D6-024D-45B2-92B1-781FEFE1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80EAF085-5E2F-42CD-8367-15D7FEEEE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EF120549-916A-472E-8664-926B2A991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503614E2-5D8C-4809-9573-FCC2ADDE6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F5F07473-BEAF-4681-A289-12883C9EA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0D182BAD-B7F0-4F72-91A3-FF7D50E91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369936EA-8F22-4D1A-9009-C8CA7783A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C6BE05F2-8362-4642-92BE-2C0A14D05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80A7CA4B-7B7A-411C-83AF-2630D2BCE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3AFAA277-D52C-45A8-A584-F99B6545C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C78D8E80-9016-468B-8E0F-2F76BA5FE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38100</xdr:colOff>
      <xdr:row>4</xdr:row>
      <xdr:rowOff>41275</xdr:rowOff>
    </xdr:from>
    <xdr:ext cx="2517775" cy="1524000"/>
    <xdr:sp macro="" textlink="">
      <xdr:nvSpPr>
        <xdr:cNvPr id="8" name="TextBox 7">
          <a:extLst>
            <a:ext uri="{FF2B5EF4-FFF2-40B4-BE49-F238E27FC236}">
              <a16:creationId xmlns:a16="http://schemas.microsoft.com/office/drawing/2014/main" id="{E99584E0-652E-400A-8054-D5C1F57AED5E}"/>
            </a:ext>
          </a:extLst>
        </xdr:cNvPr>
        <xdr:cNvSpPr txBox="1"/>
      </xdr:nvSpPr>
      <xdr:spPr>
        <a:xfrm>
          <a:off x="514350" y="898525"/>
          <a:ext cx="2517775" cy="1524000"/>
        </a:xfrm>
        <a:prstGeom prst="rect">
          <a:avLst/>
        </a:prstGeom>
        <a:solidFill>
          <a:schemeClr val="accent1">
            <a:lumMod val="60000"/>
            <a:lumOff val="4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1200" b="1"/>
            <a:t>Inputs</a:t>
          </a:r>
        </a:p>
        <a:p>
          <a:r>
            <a:rPr lang="en-ZA" sz="1200"/>
            <a:t>Existing Properties &amp; Debtors</a:t>
          </a:r>
        </a:p>
        <a:p>
          <a:r>
            <a:rPr lang="en-ZA" sz="1200"/>
            <a:t>Timeline for Transfers</a:t>
          </a:r>
        </a:p>
        <a:p>
          <a:r>
            <a:rPr lang="en-ZA" sz="1200"/>
            <a:t>Units sold/transferred</a:t>
          </a:r>
        </a:p>
        <a:p>
          <a:r>
            <a:rPr lang="en-ZA" sz="1200"/>
            <a:t>Balances p.u.p.a.</a:t>
          </a:r>
        </a:p>
        <a:p>
          <a:r>
            <a:rPr lang="en-ZA" sz="1200"/>
            <a:t>HS Expenditure</a:t>
          </a:r>
          <a:r>
            <a:rPr lang="en-ZA" sz="1200" baseline="0"/>
            <a:t> Framework</a:t>
          </a:r>
          <a:endParaRPr lang="en-ZA" sz="1200"/>
        </a:p>
      </xdr:txBody>
    </xdr:sp>
    <xdr:clientData/>
  </xdr:oneCellAnchor>
  <xdr:oneCellAnchor>
    <xdr:from>
      <xdr:col>7</xdr:col>
      <xdr:colOff>447676</xdr:colOff>
      <xdr:row>12</xdr:row>
      <xdr:rowOff>95249</xdr:rowOff>
    </xdr:from>
    <xdr:ext cx="2981324" cy="1301751"/>
    <xdr:sp macro="" textlink="">
      <xdr:nvSpPr>
        <xdr:cNvPr id="9" name="TextBox 8">
          <a:extLst>
            <a:ext uri="{FF2B5EF4-FFF2-40B4-BE49-F238E27FC236}">
              <a16:creationId xmlns:a16="http://schemas.microsoft.com/office/drawing/2014/main" id="{25645EF9-EE40-48D4-93E4-D877AC2944BC}"/>
            </a:ext>
          </a:extLst>
        </xdr:cNvPr>
        <xdr:cNvSpPr txBox="1"/>
      </xdr:nvSpPr>
      <xdr:spPr>
        <a:xfrm>
          <a:off x="3940176" y="2476499"/>
          <a:ext cx="2981324" cy="1301751"/>
        </a:xfrm>
        <a:prstGeom prst="rect">
          <a:avLst/>
        </a:prstGeom>
        <a:solidFill>
          <a:schemeClr val="accent2">
            <a:lumMod val="60000"/>
            <a:lumOff val="4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1200" b="1" baseline="0"/>
            <a:t>Forecast Results</a:t>
          </a:r>
        </a:p>
        <a:p>
          <a:r>
            <a:rPr lang="en-ZA" sz="1200"/>
            <a:t>Based on Cash Flow</a:t>
          </a:r>
        </a:p>
        <a:p>
          <a:r>
            <a:rPr lang="en-ZA" sz="1200"/>
            <a:t>(Asset</a:t>
          </a:r>
          <a:r>
            <a:rPr lang="en-ZA" sz="1200" baseline="0"/>
            <a:t> Management and Property Management included)</a:t>
          </a:r>
        </a:p>
        <a:p>
          <a:endParaRPr lang="en-ZA" sz="1200"/>
        </a:p>
        <a:p>
          <a:endParaRPr lang="en-ZA" sz="1200"/>
        </a:p>
      </xdr:txBody>
    </xdr:sp>
    <xdr:clientData/>
  </xdr:oneCellAnchor>
  <xdr:oneCellAnchor>
    <xdr:from>
      <xdr:col>14</xdr:col>
      <xdr:colOff>142874</xdr:colOff>
      <xdr:row>19</xdr:row>
      <xdr:rowOff>126999</xdr:rowOff>
    </xdr:from>
    <xdr:ext cx="5000625" cy="1476375"/>
    <xdr:sp macro="" textlink="">
      <xdr:nvSpPr>
        <xdr:cNvPr id="10" name="TextBox 9">
          <a:extLst>
            <a:ext uri="{FF2B5EF4-FFF2-40B4-BE49-F238E27FC236}">
              <a16:creationId xmlns:a16="http://schemas.microsoft.com/office/drawing/2014/main" id="{1FBE2CB2-D4A1-4F9C-A1F0-672C6717073B}"/>
            </a:ext>
          </a:extLst>
        </xdr:cNvPr>
        <xdr:cNvSpPr txBox="1"/>
      </xdr:nvSpPr>
      <xdr:spPr>
        <a:xfrm>
          <a:off x="7858124" y="3841749"/>
          <a:ext cx="5000625" cy="1476375"/>
        </a:xfrm>
        <a:prstGeom prst="rect">
          <a:avLst/>
        </a:prstGeom>
        <a:solidFill>
          <a:schemeClr val="accent2">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1200" b="1"/>
            <a:t>Scenarios</a:t>
          </a:r>
          <a:endParaRPr lang="en-ZA" sz="1200" b="1" baseline="0"/>
        </a:p>
        <a:p>
          <a:r>
            <a:rPr lang="en-GB" sz="1100" b="0" i="0" u="none" strike="noStrike">
              <a:solidFill>
                <a:schemeClr val="tx1"/>
              </a:solidFill>
              <a:effectLst/>
              <a:latin typeface="+mn-lt"/>
              <a:ea typeface="+mn-ea"/>
              <a:cs typeface="+mn-cs"/>
            </a:rPr>
            <a:t>A</a:t>
          </a:r>
          <a:r>
            <a:rPr lang="en-GB" sz="1200"/>
            <a:t> </a:t>
          </a:r>
          <a:r>
            <a:rPr lang="en-GB" sz="1100" b="0" i="0">
              <a:solidFill>
                <a:schemeClr val="tx1"/>
              </a:solidFill>
              <a:effectLst/>
              <a:latin typeface="+mn-lt"/>
              <a:ea typeface="+mn-ea"/>
              <a:cs typeface="+mn-cs"/>
            </a:rPr>
            <a:t>Base Case - Operations Continue As</a:t>
          </a:r>
          <a:r>
            <a:rPr lang="en-GB" sz="1100" b="0" i="0" baseline="0">
              <a:solidFill>
                <a:schemeClr val="tx1"/>
              </a:solidFill>
              <a:effectLst/>
              <a:latin typeface="+mn-lt"/>
              <a:ea typeface="+mn-ea"/>
              <a:cs typeface="+mn-cs"/>
            </a:rPr>
            <a:t> Is</a:t>
          </a:r>
          <a:endParaRPr lang="en-GB" sz="1200"/>
        </a:p>
        <a:p>
          <a:r>
            <a:rPr lang="en-GB" sz="1100" b="0" i="0" u="none" strike="noStrike">
              <a:solidFill>
                <a:schemeClr val="tx1"/>
              </a:solidFill>
              <a:effectLst/>
              <a:latin typeface="+mn-lt"/>
              <a:ea typeface="+mn-ea"/>
              <a:cs typeface="+mn-cs"/>
            </a:rPr>
            <a:t>B</a:t>
          </a:r>
          <a:r>
            <a:rPr lang="en-GB" sz="1200"/>
            <a:t> </a:t>
          </a:r>
          <a:r>
            <a:rPr lang="en-GB" sz="1100" b="0" i="0" u="none" strike="noStrike">
              <a:solidFill>
                <a:schemeClr val="tx1"/>
              </a:solidFill>
              <a:effectLst/>
              <a:latin typeface="+mn-lt"/>
              <a:ea typeface="+mn-ea"/>
              <a:cs typeface="+mn-cs"/>
            </a:rPr>
            <a:t>Scenario 1 - Outsource Management</a:t>
          </a:r>
          <a:r>
            <a:rPr lang="en-GB" sz="1100" b="0" i="0" u="none" strike="noStrike" baseline="0">
              <a:solidFill>
                <a:schemeClr val="tx1"/>
              </a:solidFill>
              <a:effectLst/>
              <a:latin typeface="+mn-lt"/>
              <a:ea typeface="+mn-ea"/>
              <a:cs typeface="+mn-cs"/>
            </a:rPr>
            <a:t> and Sales Administration</a:t>
          </a:r>
          <a:r>
            <a:rPr lang="en-GB" sz="1200"/>
            <a:t> </a:t>
          </a:r>
        </a:p>
        <a:p>
          <a:r>
            <a:rPr lang="en-GB" sz="1200" b="0" i="0" u="none" strike="noStrike">
              <a:solidFill>
                <a:schemeClr val="tx1"/>
              </a:solidFill>
              <a:effectLst/>
              <a:latin typeface="+mn-lt"/>
              <a:ea typeface="+mn-ea"/>
              <a:cs typeface="+mn-cs"/>
            </a:rPr>
            <a:t>C</a:t>
          </a:r>
          <a:r>
            <a:rPr lang="en-GB" sz="1200"/>
            <a:t> </a:t>
          </a:r>
          <a:r>
            <a:rPr lang="en-GB" sz="1100" b="0" i="0" u="none" strike="noStrike">
              <a:solidFill>
                <a:schemeClr val="tx1"/>
              </a:solidFill>
              <a:effectLst/>
              <a:latin typeface="+mn-lt"/>
              <a:ea typeface="+mn-ea"/>
              <a:cs typeface="+mn-cs"/>
            </a:rPr>
            <a:t>Scenario 2 - Accelerate</a:t>
          </a:r>
          <a:r>
            <a:rPr lang="en-GB" sz="1100" b="0" i="0" u="none" strike="noStrike" baseline="0">
              <a:solidFill>
                <a:schemeClr val="tx1"/>
              </a:solidFill>
              <a:effectLst/>
              <a:latin typeface="+mn-lt"/>
              <a:ea typeface="+mn-ea"/>
              <a:cs typeface="+mn-cs"/>
            </a:rPr>
            <a:t> Transfer to Existing Occupants</a:t>
          </a:r>
          <a:r>
            <a:rPr lang="en-GB" sz="1200"/>
            <a:t> </a:t>
          </a:r>
        </a:p>
        <a:p>
          <a:r>
            <a:rPr lang="en-GB" sz="1100" b="0" i="0" u="none" strike="noStrike">
              <a:solidFill>
                <a:schemeClr val="tx1"/>
              </a:solidFill>
              <a:effectLst/>
              <a:latin typeface="+mn-lt"/>
              <a:ea typeface="+mn-ea"/>
              <a:cs typeface="+mn-cs"/>
            </a:rPr>
            <a:t>D</a:t>
          </a:r>
          <a:r>
            <a:rPr lang="en-GB" sz="1200"/>
            <a:t> </a:t>
          </a:r>
          <a:r>
            <a:rPr lang="en-GB" sz="1100" b="0" i="0" u="none" strike="noStrike">
              <a:solidFill>
                <a:schemeClr val="tx1"/>
              </a:solidFill>
              <a:effectLst/>
              <a:latin typeface="+mn-lt"/>
              <a:ea typeface="+mn-ea"/>
              <a:cs typeface="+mn-cs"/>
            </a:rPr>
            <a:t>Scenario 3 - Devolve to Local Municipality</a:t>
          </a:r>
          <a:r>
            <a:rPr lang="en-GB" sz="1200"/>
            <a:t> to Manage and Sell</a:t>
          </a:r>
        </a:p>
        <a:p>
          <a:r>
            <a:rPr lang="en-GB" sz="1100" b="0" i="0" u="none" strike="noStrike">
              <a:solidFill>
                <a:schemeClr val="tx1"/>
              </a:solidFill>
              <a:effectLst/>
              <a:latin typeface="+mn-lt"/>
              <a:ea typeface="+mn-ea"/>
              <a:cs typeface="+mn-cs"/>
            </a:rPr>
            <a:t>E</a:t>
          </a:r>
          <a:r>
            <a:rPr lang="en-GB" sz="1200"/>
            <a:t> </a:t>
          </a:r>
          <a:r>
            <a:rPr lang="en-GB" sz="1100" b="0" i="0" u="none" strike="noStrike">
              <a:solidFill>
                <a:schemeClr val="tx1"/>
              </a:solidFill>
              <a:effectLst/>
              <a:latin typeface="+mn-lt"/>
              <a:ea typeface="+mn-ea"/>
              <a:cs typeface="+mn-cs"/>
            </a:rPr>
            <a:t>Scenario 4 - User</a:t>
          </a:r>
          <a:r>
            <a:rPr lang="en-GB" sz="1100" b="0" i="0" u="none" strike="noStrike" baseline="0">
              <a:solidFill>
                <a:schemeClr val="tx1"/>
              </a:solidFill>
              <a:effectLst/>
              <a:latin typeface="+mn-lt"/>
              <a:ea typeface="+mn-ea"/>
              <a:cs typeface="+mn-cs"/>
            </a:rPr>
            <a:t> Creates Own Scenario</a:t>
          </a:r>
          <a:endParaRPr lang="en-GB" sz="1200"/>
        </a:p>
      </xdr:txBody>
    </xdr:sp>
    <xdr:clientData/>
  </xdr:oneCellAnchor>
  <xdr:twoCellAnchor>
    <xdr:from>
      <xdr:col>6</xdr:col>
      <xdr:colOff>142875</xdr:colOff>
      <xdr:row>8</xdr:row>
      <xdr:rowOff>41275</xdr:rowOff>
    </xdr:from>
    <xdr:to>
      <xdr:col>7</xdr:col>
      <xdr:colOff>447676</xdr:colOff>
      <xdr:row>15</xdr:row>
      <xdr:rowOff>174625</xdr:rowOff>
    </xdr:to>
    <xdr:cxnSp macro="">
      <xdr:nvCxnSpPr>
        <xdr:cNvPr id="12" name="Straight Arrow Connector 11">
          <a:extLst>
            <a:ext uri="{FF2B5EF4-FFF2-40B4-BE49-F238E27FC236}">
              <a16:creationId xmlns:a16="http://schemas.microsoft.com/office/drawing/2014/main" id="{D34A0B36-2F27-41D8-88BB-539277F9EEF7}"/>
            </a:ext>
          </a:extLst>
        </xdr:cNvPr>
        <xdr:cNvCxnSpPr>
          <a:stCxn id="8" idx="3"/>
          <a:endCxn id="9" idx="1"/>
        </xdr:cNvCxnSpPr>
      </xdr:nvCxnSpPr>
      <xdr:spPr>
        <a:xfrm>
          <a:off x="3032125" y="1660525"/>
          <a:ext cx="908051" cy="1466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412750</xdr:colOff>
      <xdr:row>15</xdr:row>
      <xdr:rowOff>174625</xdr:rowOff>
    </xdr:from>
    <xdr:to>
      <xdr:col>14</xdr:col>
      <xdr:colOff>142874</xdr:colOff>
      <xdr:row>23</xdr:row>
      <xdr:rowOff>103187</xdr:rowOff>
    </xdr:to>
    <xdr:cxnSp macro="">
      <xdr:nvCxnSpPr>
        <xdr:cNvPr id="14" name="Straight Arrow Connector 13">
          <a:extLst>
            <a:ext uri="{FF2B5EF4-FFF2-40B4-BE49-F238E27FC236}">
              <a16:creationId xmlns:a16="http://schemas.microsoft.com/office/drawing/2014/main" id="{FE797D5F-97D9-4208-A6B3-EBED1A7B302E}"/>
            </a:ext>
          </a:extLst>
        </xdr:cNvPr>
        <xdr:cNvCxnSpPr>
          <a:stCxn id="9" idx="3"/>
          <a:endCxn id="10" idx="1"/>
        </xdr:cNvCxnSpPr>
      </xdr:nvCxnSpPr>
      <xdr:spPr>
        <a:xfrm>
          <a:off x="6921500" y="3127375"/>
          <a:ext cx="936624" cy="14525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041CA2D0-2A2B-4E71-AAC5-528A73254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E0D7310F-0D40-4642-91B5-978B92CA2A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63240A08-CB72-4C3B-8049-6CF65FC00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13EB4A54-B56F-4C3E-9B09-5D52CAED73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2F0982CF-C870-4EBE-8426-CEAE00148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C6D79E16-7910-43F8-9ACA-1F33E7E95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A2F49965-8A1C-423B-9883-9338C2B33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37F3CDCF-CDBA-4FC3-8E03-D42F3696F7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BDDD1167-C91E-4C1F-9415-9CAD4C7D9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214EA49C-BFCC-48D7-9A75-D6241F2F5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9EF6D97B-9DFF-4E84-B38F-60B78F80C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6D95601D-94DD-438A-A535-C422AAFCD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9826EB7C-48B2-4343-9CE8-D96778FC9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FA39C4E7-ED00-44A0-8882-830CAD39C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9C6A77C4-D7CC-4A36-9B39-5FFF0C8E6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B0104FA1-7566-416A-8873-39F34B5DDB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3D98F509-DB99-4220-9F08-CDA0512F1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3EEA9137-1370-4C08-ABFC-B0A301280B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0C7135BE-3B85-4572-BD17-7EFDCE09F6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D8DF8FB4-3CCE-4A37-BA7F-8E53F69D9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8F616FCF-DC3E-49E3-9507-8BB5E9CF9F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33656248-44CA-4FFE-8D5A-DA31604FD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8CBDFB7F-78F6-41D9-BC1A-0D26F2710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58C4CFDC-1EEB-4877-84C4-DF4646CA7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EBECBCBC-05B2-4DB9-8681-4A1D01D72E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6BB7153E-EACF-49D1-AA8E-1286E06D22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46AAD05D-34C3-46CA-AA38-6BEF30146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88EC3864-A588-4042-9281-AD13AF071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3ED437B3-DB3E-44D0-85E7-34F4C182D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E4B22D9E-C70B-4A6C-A8EA-C95A4EF78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C630DF1D-09F9-4A47-B91C-032B20356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4FDF99A2-7319-4243-9AE1-E09CA60AAE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F20D7E50-3BC4-4FAD-A2A1-A263F41193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AC8DE1FB-C93E-47A7-AA39-4BE9F9DD2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8522F5C7-1611-4670-853C-A548729DF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E238C38A-AF9E-4EB1-B7F7-AE3C7C6BE4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9B913B95-3CD9-4552-82D0-4D35BAE1E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3F9C5B96-85C0-4E80-A9FC-15A9BDDD06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0207A10D-2E62-445F-839D-1963F15F6D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E7933F95-2E75-4536-BFCE-6E8521D4E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15551611-3E12-4D9C-B500-49981AF4B4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B7986465-255D-4B78-A084-947CB054BB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EEBCA02B-F8FF-4E41-AD07-6BFF151193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6017EB29-4585-4A7E-B7F5-873E6DCD4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665F0378-916E-4734-91A5-1162F45ED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C429A076-23FC-410B-8859-FA6055A5A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F19A30D7-E745-4927-B5AF-E8C6F042F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B9D53EC8-6DDC-421A-BDDE-6ECD80020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2D837846-95CC-45CA-81B9-E9EB9CFB7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6576322E-23E7-4253-84FB-9A2E4FBD8D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3671B7BE-FB37-4C76-9007-5D98AF796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F65F1F82-BEAF-4E97-BB87-E3AF3C5E30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1DB56265-087B-45CD-85FA-A4BD9D412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A3FA3DC7-E1AA-417E-8710-9FB204E3E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8F4F89CD-6062-4F4D-9485-A7B519152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CA39C0CB-8525-4B8C-97B4-AA1F97150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7B49D5BA-2269-4642-82A0-399B1C5A7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7F7BCBC1-493E-4689-84B5-A6024F4A8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3946CD55-7890-4028-A244-3755F91E3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8FB2CC85-9E06-4DB7-8B47-26F8462C9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71436</xdr:colOff>
      <xdr:row>198</xdr:row>
      <xdr:rowOff>66674</xdr:rowOff>
    </xdr:from>
    <xdr:to>
      <xdr:col>20</xdr:col>
      <xdr:colOff>666749</xdr:colOff>
      <xdr:row>215</xdr:row>
      <xdr:rowOff>68035</xdr:rowOff>
    </xdr:to>
    <xdr:graphicFrame macro="">
      <xdr:nvGraphicFramePr>
        <xdr:cNvPr id="2" name="Chart 1">
          <a:extLst>
            <a:ext uri="{FF2B5EF4-FFF2-40B4-BE49-F238E27FC236}">
              <a16:creationId xmlns:a16="http://schemas.microsoft.com/office/drawing/2014/main" id="{4A4432A9-EC96-4FE0-B234-8172E40939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221</xdr:row>
      <xdr:rowOff>190499</xdr:rowOff>
    </xdr:from>
    <xdr:to>
      <xdr:col>20</xdr:col>
      <xdr:colOff>595313</xdr:colOff>
      <xdr:row>239</xdr:row>
      <xdr:rowOff>81642</xdr:rowOff>
    </xdr:to>
    <xdr:graphicFrame macro="">
      <xdr:nvGraphicFramePr>
        <xdr:cNvPr id="3" name="Chart 2">
          <a:extLst>
            <a:ext uri="{FF2B5EF4-FFF2-40B4-BE49-F238E27FC236}">
              <a16:creationId xmlns:a16="http://schemas.microsoft.com/office/drawing/2014/main" id="{C9A4EB59-D54F-4E03-9709-4C518DDC1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244</xdr:row>
      <xdr:rowOff>190499</xdr:rowOff>
    </xdr:from>
    <xdr:to>
      <xdr:col>20</xdr:col>
      <xdr:colOff>595313</xdr:colOff>
      <xdr:row>265</xdr:row>
      <xdr:rowOff>122464</xdr:rowOff>
    </xdr:to>
    <xdr:graphicFrame macro="">
      <xdr:nvGraphicFramePr>
        <xdr:cNvPr id="4" name="Chart 3">
          <a:extLst>
            <a:ext uri="{FF2B5EF4-FFF2-40B4-BE49-F238E27FC236}">
              <a16:creationId xmlns:a16="http://schemas.microsoft.com/office/drawing/2014/main" id="{C79F8461-1E67-405C-8AF1-3165A96E6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271</xdr:row>
      <xdr:rowOff>0</xdr:rowOff>
    </xdr:from>
    <xdr:to>
      <xdr:col>20</xdr:col>
      <xdr:colOff>595313</xdr:colOff>
      <xdr:row>288</xdr:row>
      <xdr:rowOff>163286</xdr:rowOff>
    </xdr:to>
    <xdr:graphicFrame macro="">
      <xdr:nvGraphicFramePr>
        <xdr:cNvPr id="5" name="Chart 4">
          <a:extLst>
            <a:ext uri="{FF2B5EF4-FFF2-40B4-BE49-F238E27FC236}">
              <a16:creationId xmlns:a16="http://schemas.microsoft.com/office/drawing/2014/main" id="{65F759E8-3720-4C20-9DBD-765820307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294</xdr:row>
      <xdr:rowOff>190499</xdr:rowOff>
    </xdr:from>
    <xdr:to>
      <xdr:col>20</xdr:col>
      <xdr:colOff>595313</xdr:colOff>
      <xdr:row>312</xdr:row>
      <xdr:rowOff>122464</xdr:rowOff>
    </xdr:to>
    <xdr:graphicFrame macro="">
      <xdr:nvGraphicFramePr>
        <xdr:cNvPr id="6" name="Chart 5">
          <a:extLst>
            <a:ext uri="{FF2B5EF4-FFF2-40B4-BE49-F238E27FC236}">
              <a16:creationId xmlns:a16="http://schemas.microsoft.com/office/drawing/2014/main" id="{9F2998E5-320B-4B27-A055-FA2EDC93A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317</xdr:row>
      <xdr:rowOff>190499</xdr:rowOff>
    </xdr:from>
    <xdr:to>
      <xdr:col>20</xdr:col>
      <xdr:colOff>595313</xdr:colOff>
      <xdr:row>335</xdr:row>
      <xdr:rowOff>149678</xdr:rowOff>
    </xdr:to>
    <xdr:graphicFrame macro="">
      <xdr:nvGraphicFramePr>
        <xdr:cNvPr id="7" name="Chart 6">
          <a:extLst>
            <a:ext uri="{FF2B5EF4-FFF2-40B4-BE49-F238E27FC236}">
              <a16:creationId xmlns:a16="http://schemas.microsoft.com/office/drawing/2014/main" id="{519C2D8F-B112-470A-8272-FC6E4B443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340</xdr:row>
      <xdr:rowOff>190499</xdr:rowOff>
    </xdr:from>
    <xdr:to>
      <xdr:col>20</xdr:col>
      <xdr:colOff>595313</xdr:colOff>
      <xdr:row>359</xdr:row>
      <xdr:rowOff>81642</xdr:rowOff>
    </xdr:to>
    <xdr:graphicFrame macro="">
      <xdr:nvGraphicFramePr>
        <xdr:cNvPr id="8" name="Chart 7">
          <a:extLst>
            <a:ext uri="{FF2B5EF4-FFF2-40B4-BE49-F238E27FC236}">
              <a16:creationId xmlns:a16="http://schemas.microsoft.com/office/drawing/2014/main" id="{5F27F52D-C773-466A-8127-38F7C3803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365</xdr:row>
      <xdr:rowOff>0</xdr:rowOff>
    </xdr:from>
    <xdr:to>
      <xdr:col>20</xdr:col>
      <xdr:colOff>595313</xdr:colOff>
      <xdr:row>383</xdr:row>
      <xdr:rowOff>163286</xdr:rowOff>
    </xdr:to>
    <xdr:graphicFrame macro="">
      <xdr:nvGraphicFramePr>
        <xdr:cNvPr id="9" name="Chart 8">
          <a:extLst>
            <a:ext uri="{FF2B5EF4-FFF2-40B4-BE49-F238E27FC236}">
              <a16:creationId xmlns:a16="http://schemas.microsoft.com/office/drawing/2014/main" id="{E18771E0-A336-4530-B7B9-0CE17C79F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389</xdr:row>
      <xdr:rowOff>0</xdr:rowOff>
    </xdr:from>
    <xdr:to>
      <xdr:col>20</xdr:col>
      <xdr:colOff>595313</xdr:colOff>
      <xdr:row>407</xdr:row>
      <xdr:rowOff>95250</xdr:rowOff>
    </xdr:to>
    <xdr:graphicFrame macro="">
      <xdr:nvGraphicFramePr>
        <xdr:cNvPr id="10" name="Chart 9">
          <a:extLst>
            <a:ext uri="{FF2B5EF4-FFF2-40B4-BE49-F238E27FC236}">
              <a16:creationId xmlns:a16="http://schemas.microsoft.com/office/drawing/2014/main" id="{FFED7E70-02F5-4135-81D0-B9FE39C76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174</xdr:row>
      <xdr:rowOff>0</xdr:rowOff>
    </xdr:from>
    <xdr:to>
      <xdr:col>20</xdr:col>
      <xdr:colOff>595313</xdr:colOff>
      <xdr:row>192</xdr:row>
      <xdr:rowOff>108858</xdr:rowOff>
    </xdr:to>
    <xdr:graphicFrame macro="">
      <xdr:nvGraphicFramePr>
        <xdr:cNvPr id="11" name="Chart 10">
          <a:extLst>
            <a:ext uri="{FF2B5EF4-FFF2-40B4-BE49-F238E27FC236}">
              <a16:creationId xmlns:a16="http://schemas.microsoft.com/office/drawing/2014/main" id="{30CE8389-FA29-4515-8399-1EF2C59BF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149</xdr:row>
      <xdr:rowOff>0</xdr:rowOff>
    </xdr:from>
    <xdr:to>
      <xdr:col>20</xdr:col>
      <xdr:colOff>717178</xdr:colOff>
      <xdr:row>167</xdr:row>
      <xdr:rowOff>11200</xdr:rowOff>
    </xdr:to>
    <xdr:graphicFrame macro="">
      <xdr:nvGraphicFramePr>
        <xdr:cNvPr id="12" name="Chart 11">
          <a:extLst>
            <a:ext uri="{FF2B5EF4-FFF2-40B4-BE49-F238E27FC236}">
              <a16:creationId xmlns:a16="http://schemas.microsoft.com/office/drawing/2014/main" id="{65A37332-A7C0-4BE6-AE53-2FECEE28B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650875</xdr:colOff>
      <xdr:row>26</xdr:row>
      <xdr:rowOff>72836</xdr:rowOff>
    </xdr:from>
    <xdr:to>
      <xdr:col>55</xdr:col>
      <xdr:colOff>95250</xdr:colOff>
      <xdr:row>61</xdr:row>
      <xdr:rowOff>190499</xdr:rowOff>
    </xdr:to>
    <xdr:graphicFrame macro="">
      <xdr:nvGraphicFramePr>
        <xdr:cNvPr id="13" name="Chart 12">
          <a:extLst>
            <a:ext uri="{FF2B5EF4-FFF2-40B4-BE49-F238E27FC236}">
              <a16:creationId xmlns:a16="http://schemas.microsoft.com/office/drawing/2014/main" id="{18E41726-B242-4CC0-878D-70B076873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2</xdr:col>
      <xdr:colOff>0</xdr:colOff>
      <xdr:row>4</xdr:row>
      <xdr:rowOff>114301</xdr:rowOff>
    </xdr:from>
    <xdr:to>
      <xdr:col>25</xdr:col>
      <xdr:colOff>253092</xdr:colOff>
      <xdr:row>25</xdr:row>
      <xdr:rowOff>19050</xdr:rowOff>
    </xdr:to>
    <xdr:graphicFrame macro="">
      <xdr:nvGraphicFramePr>
        <xdr:cNvPr id="2" name="Chart 1">
          <a:extLst>
            <a:ext uri="{FF2B5EF4-FFF2-40B4-BE49-F238E27FC236}">
              <a16:creationId xmlns:a16="http://schemas.microsoft.com/office/drawing/2014/main" id="{E935D69C-5C7C-48A9-BA55-DA8E8710C5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29</xdr:row>
      <xdr:rowOff>0</xdr:rowOff>
    </xdr:from>
    <xdr:to>
      <xdr:col>15</xdr:col>
      <xdr:colOff>423069</xdr:colOff>
      <xdr:row>69</xdr:row>
      <xdr:rowOff>111125</xdr:rowOff>
    </xdr:to>
    <xdr:graphicFrame macro="">
      <xdr:nvGraphicFramePr>
        <xdr:cNvPr id="3" name="Chart 2">
          <a:extLst>
            <a:ext uri="{FF2B5EF4-FFF2-40B4-BE49-F238E27FC236}">
              <a16:creationId xmlns:a16="http://schemas.microsoft.com/office/drawing/2014/main" id="{047BD17F-FDB4-47C2-ACC7-4E6B0765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74</xdr:row>
      <xdr:rowOff>0</xdr:rowOff>
    </xdr:from>
    <xdr:to>
      <xdr:col>22</xdr:col>
      <xdr:colOff>169069</xdr:colOff>
      <xdr:row>114</xdr:row>
      <xdr:rowOff>111125</xdr:rowOff>
    </xdr:to>
    <xdr:graphicFrame macro="">
      <xdr:nvGraphicFramePr>
        <xdr:cNvPr id="4" name="Chart 3">
          <a:extLst>
            <a:ext uri="{FF2B5EF4-FFF2-40B4-BE49-F238E27FC236}">
              <a16:creationId xmlns:a16="http://schemas.microsoft.com/office/drawing/2014/main" id="{D128DE1F-6105-4402-8D6D-A69409407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117</xdr:row>
      <xdr:rowOff>0</xdr:rowOff>
    </xdr:from>
    <xdr:to>
      <xdr:col>15</xdr:col>
      <xdr:colOff>371475</xdr:colOff>
      <xdr:row>144</xdr:row>
      <xdr:rowOff>76199</xdr:rowOff>
    </xdr:to>
    <xdr:graphicFrame macro="">
      <xdr:nvGraphicFramePr>
        <xdr:cNvPr id="5" name="Chart 4">
          <a:extLst>
            <a:ext uri="{FF2B5EF4-FFF2-40B4-BE49-F238E27FC236}">
              <a16:creationId xmlns:a16="http://schemas.microsoft.com/office/drawing/2014/main" id="{3FD3FC66-566B-47E1-95A6-AE81A91239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9" name="Chart 8">
          <a:extLst>
            <a:ext uri="{FF2B5EF4-FFF2-40B4-BE49-F238E27FC236}">
              <a16:creationId xmlns:a16="http://schemas.microsoft.com/office/drawing/2014/main" id="{0558CF03-1298-4946-AF32-D9DFCBB4C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10" name="Chart 9">
          <a:extLst>
            <a:ext uri="{FF2B5EF4-FFF2-40B4-BE49-F238E27FC236}">
              <a16:creationId xmlns:a16="http://schemas.microsoft.com/office/drawing/2014/main" id="{ACBF4593-E6F2-4270-B475-F6A711742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11" name="Chart 10">
          <a:extLst>
            <a:ext uri="{FF2B5EF4-FFF2-40B4-BE49-F238E27FC236}">
              <a16:creationId xmlns:a16="http://schemas.microsoft.com/office/drawing/2014/main" id="{AFF31790-1A23-486E-AA16-77A9D76855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12" name="Chart 11">
          <a:extLst>
            <a:ext uri="{FF2B5EF4-FFF2-40B4-BE49-F238E27FC236}">
              <a16:creationId xmlns:a16="http://schemas.microsoft.com/office/drawing/2014/main" id="{0E5ECF66-6A12-4E18-AD92-77D3CB112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2B94EFAA-668F-4576-9D4E-F1B59C555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193390D5-5716-4D74-B385-6507FD02D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64732C67-6A6E-458A-A12B-36871E3B2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98B63006-CB4F-49D8-8601-99FF9A40E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DE923EC4-9C69-4F22-B6A0-76AA3A8E45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6C83A13A-543C-4BCB-A175-C6E1FD682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75226BE4-312B-46DC-8158-AC54C73E2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35955ACF-9F72-4D05-8EC8-63AB1E3143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937CB5C9-E4E2-40ED-9F4B-CEBD22A93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EB25AC61-8A88-4756-B954-AAA550EA2D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2F7EA4A5-AA36-437C-B0B3-E4CC22A42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878F4EC5-C3AD-45A2-A3B9-8C1E39325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1BBEDB46-7F6D-4203-B215-2B568EDF1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AC73586F-3FCC-4A89-9A9A-890C4C4B1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0030EDCC-4862-45CD-8E67-94FAF98BE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34412BAA-5056-4EBD-A1B2-8E7B5364F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BE0C4062-E364-4CF5-91F8-6B8CF5BD8C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2AD88CAD-0B2A-4E5B-A6D4-330C603B6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4321B8EF-3B21-474A-A5F2-EA32239FA7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5C666132-A87E-4F6D-9D3C-F31DA1B9C4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34635</xdr:colOff>
      <xdr:row>44</xdr:row>
      <xdr:rowOff>0</xdr:rowOff>
    </xdr:from>
    <xdr:to>
      <xdr:col>7</xdr:col>
      <xdr:colOff>1270000</xdr:colOff>
      <xdr:row>71</xdr:row>
      <xdr:rowOff>186267</xdr:rowOff>
    </xdr:to>
    <xdr:graphicFrame macro="">
      <xdr:nvGraphicFramePr>
        <xdr:cNvPr id="2" name="Chart 1">
          <a:extLst>
            <a:ext uri="{FF2B5EF4-FFF2-40B4-BE49-F238E27FC236}">
              <a16:creationId xmlns:a16="http://schemas.microsoft.com/office/drawing/2014/main" id="{24F804FA-B203-45F8-B333-FA9246CBC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34634</xdr:colOff>
      <xdr:row>74</xdr:row>
      <xdr:rowOff>0</xdr:rowOff>
    </xdr:from>
    <xdr:to>
      <xdr:col>7</xdr:col>
      <xdr:colOff>1238251</xdr:colOff>
      <xdr:row>104</xdr:row>
      <xdr:rowOff>177800</xdr:rowOff>
    </xdr:to>
    <xdr:graphicFrame macro="">
      <xdr:nvGraphicFramePr>
        <xdr:cNvPr id="3" name="Chart 2">
          <a:extLst>
            <a:ext uri="{FF2B5EF4-FFF2-40B4-BE49-F238E27FC236}">
              <a16:creationId xmlns:a16="http://schemas.microsoft.com/office/drawing/2014/main" id="{18D1FA57-CB1C-4B67-B1F6-CDC66B498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21167</xdr:colOff>
      <xdr:row>106</xdr:row>
      <xdr:rowOff>98425</xdr:rowOff>
    </xdr:from>
    <xdr:to>
      <xdr:col>3</xdr:col>
      <xdr:colOff>485927</xdr:colOff>
      <xdr:row>129</xdr:row>
      <xdr:rowOff>73025</xdr:rowOff>
    </xdr:to>
    <xdr:graphicFrame macro="">
      <xdr:nvGraphicFramePr>
        <xdr:cNvPr id="4" name="Chart 3">
          <a:extLst>
            <a:ext uri="{FF2B5EF4-FFF2-40B4-BE49-F238E27FC236}">
              <a16:creationId xmlns:a16="http://schemas.microsoft.com/office/drawing/2014/main" id="{7DA9062F-BD13-4B5A-8685-FB2B87A8E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935373</xdr:colOff>
      <xdr:row>106</xdr:row>
      <xdr:rowOff>131762</xdr:rowOff>
    </xdr:from>
    <xdr:to>
      <xdr:col>7</xdr:col>
      <xdr:colOff>1240173</xdr:colOff>
      <xdr:row>129</xdr:row>
      <xdr:rowOff>46567</xdr:rowOff>
    </xdr:to>
    <xdr:graphicFrame macro="">
      <xdr:nvGraphicFramePr>
        <xdr:cNvPr id="5" name="Chart 4">
          <a:extLst>
            <a:ext uri="{FF2B5EF4-FFF2-40B4-BE49-F238E27FC236}">
              <a16:creationId xmlns:a16="http://schemas.microsoft.com/office/drawing/2014/main" id="{45AB3B22-5316-4DF3-BE65-7A0EF699A7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rry%20Hobson/Documents/GTAC/Public%20rental%20stock%20project/Cost%20Model/HS%20Cost%20Model%20v1a%201911017%2020h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ver"/>
      <sheetName val="2.Contents"/>
      <sheetName val="3. User Instructions"/>
      <sheetName val="4. Model Design &amp; Scenario Desc"/>
      <sheetName val="5. Dashboard Live"/>
      <sheetName val="5a. Dashboard Total BC"/>
      <sheetName val="5b. Dashboard Total Sc 1"/>
      <sheetName val="5c. Dashboard Total Sc 2"/>
      <sheetName val="5. Dashboard Sc 3"/>
      <sheetName val="6. Scenario Summary"/>
      <sheetName val="7. Scenario Detailed"/>
      <sheetName val="8. Forecast Results National"/>
      <sheetName val="9. Forecast Results"/>
      <sheetName val="9a. Forecast Results - Total"/>
      <sheetName val="9b. Forecast Results - EC"/>
      <sheetName val="9c. Forecast Results - FS"/>
      <sheetName val="9d. Forecast Results - Gau"/>
      <sheetName val="Sheet1"/>
      <sheetName val="9e. Forecast Results - KZN"/>
      <sheetName val="9f. Forecast Results - WC"/>
      <sheetName val="10. Inputs &amp; Calcs"/>
      <sheetName val="11. Table - Expenditure Review"/>
      <sheetName val="12. Inputs-Props &amp; Debtors 2016"/>
      <sheetName val="6a. Inputs &amp; Calcs - Province"/>
      <sheetName val="13. Logframe HS"/>
      <sheetName val="14. Permanent Info"/>
      <sheetName val="Spa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77">
          <cell r="H77">
            <v>90</v>
          </cell>
        </row>
        <row r="78">
          <cell r="H78">
            <v>48</v>
          </cell>
        </row>
        <row r="79">
          <cell r="H79">
            <v>1694</v>
          </cell>
        </row>
        <row r="80">
          <cell r="H80">
            <v>2563</v>
          </cell>
        </row>
        <row r="81">
          <cell r="H81">
            <v>765</v>
          </cell>
        </row>
      </sheetData>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20.bin"/><Relationship Id="rId4"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F329-0AD2-42B3-B12E-7F34EE461869}">
  <sheetPr codeName="Sheet1">
    <tabColor theme="0" tint="-0.14999847407452621"/>
    <pageSetUpPr fitToPage="1"/>
  </sheetPr>
  <dimension ref="B1:C18"/>
  <sheetViews>
    <sheetView showGridLines="0" tabSelected="1" zoomScaleNormal="100" zoomScaleSheetLayoutView="75" workbookViewId="0">
      <selection activeCell="C6" sqref="C6"/>
    </sheetView>
  </sheetViews>
  <sheetFormatPr defaultRowHeight="14.25" x14ac:dyDescent="0.45"/>
  <cols>
    <col min="1" max="1" width="3" customWidth="1"/>
    <col min="2" max="2" width="14.53125" customWidth="1"/>
    <col min="3" max="3" width="113.73046875" customWidth="1"/>
  </cols>
  <sheetData>
    <row r="1" spans="2:3" ht="14.65" thickBot="1" x14ac:dyDescent="0.5"/>
    <row r="2" spans="2:3" ht="15.75" x14ac:dyDescent="0.5">
      <c r="B2" s="48" t="s">
        <v>68</v>
      </c>
      <c r="C2" s="49" t="s">
        <v>91</v>
      </c>
    </row>
    <row r="3" spans="2:3" ht="15.75" x14ac:dyDescent="0.5">
      <c r="B3" s="50" t="s">
        <v>69</v>
      </c>
      <c r="C3" s="51" t="s">
        <v>70</v>
      </c>
    </row>
    <row r="4" spans="2:3" ht="15.75" x14ac:dyDescent="0.5">
      <c r="B4" s="50" t="s">
        <v>71</v>
      </c>
      <c r="C4" s="52" t="s">
        <v>1585</v>
      </c>
    </row>
    <row r="5" spans="2:3" ht="15.75" x14ac:dyDescent="0.5">
      <c r="B5" s="50" t="s">
        <v>72</v>
      </c>
      <c r="C5" s="52">
        <v>43149</v>
      </c>
    </row>
    <row r="6" spans="2:3" ht="15.75" x14ac:dyDescent="0.5">
      <c r="B6" s="50"/>
      <c r="C6" s="52"/>
    </row>
    <row r="7" spans="2:3" ht="117" customHeight="1" x14ac:dyDescent="0.45">
      <c r="B7" s="53" t="s">
        <v>73</v>
      </c>
      <c r="C7" s="54"/>
    </row>
    <row r="8" spans="2:3" ht="102.7" customHeight="1" x14ac:dyDescent="0.45">
      <c r="B8" s="53" t="s">
        <v>74</v>
      </c>
      <c r="C8" s="54"/>
    </row>
    <row r="9" spans="2:3" ht="15.75" x14ac:dyDescent="0.5">
      <c r="B9" s="50" t="s">
        <v>75</v>
      </c>
      <c r="C9" s="54" t="s">
        <v>76</v>
      </c>
    </row>
    <row r="10" spans="2:3" x14ac:dyDescent="0.45">
      <c r="B10" s="55"/>
      <c r="C10" s="54" t="s">
        <v>77</v>
      </c>
    </row>
    <row r="11" spans="2:3" x14ac:dyDescent="0.45">
      <c r="B11" s="55"/>
      <c r="C11" s="54" t="s">
        <v>78</v>
      </c>
    </row>
    <row r="12" spans="2:3" x14ac:dyDescent="0.45">
      <c r="B12" s="55"/>
      <c r="C12" s="54" t="s">
        <v>79</v>
      </c>
    </row>
    <row r="13" spans="2:3" x14ac:dyDescent="0.45">
      <c r="B13" s="55"/>
      <c r="C13" s="54" t="s">
        <v>80</v>
      </c>
    </row>
    <row r="14" spans="2:3" x14ac:dyDescent="0.45">
      <c r="B14" s="55"/>
      <c r="C14" s="54" t="s">
        <v>81</v>
      </c>
    </row>
    <row r="15" spans="2:3" x14ac:dyDescent="0.45">
      <c r="B15" s="55"/>
      <c r="C15" s="54" t="s">
        <v>82</v>
      </c>
    </row>
    <row r="16" spans="2:3" x14ac:dyDescent="0.45">
      <c r="B16" s="55"/>
      <c r="C16" s="54" t="s">
        <v>83</v>
      </c>
    </row>
    <row r="17" spans="2:3" x14ac:dyDescent="0.45">
      <c r="B17" s="55"/>
      <c r="C17" s="54" t="s">
        <v>84</v>
      </c>
    </row>
    <row r="18" spans="2:3" ht="14.65" thickBot="1" x14ac:dyDescent="0.5">
      <c r="B18" s="56"/>
      <c r="C18" s="57" t="s">
        <v>92</v>
      </c>
    </row>
  </sheetData>
  <sheetProtection formatCells="0" formatColumns="0" formatRows="0"/>
  <pageMargins left="0.43" right="0.31" top="0.74803149606299213" bottom="0.76"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595BB-6DA9-408D-9B6F-FD5FB7545EFE}">
  <sheetPr>
    <tabColor theme="5" tint="0.79998168889431442"/>
  </sheetPr>
  <dimension ref="A1:CE241"/>
  <sheetViews>
    <sheetView showGridLines="0" zoomScale="65" zoomScaleNormal="65" zoomScaleSheetLayoutView="40" workbookViewId="0">
      <selection activeCell="C11" sqref="C1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I2" s="4"/>
      <c r="J2" s="4"/>
      <c r="AB2" s="803">
        <f>'9d. Forecast Results - Gau'!AO19</f>
        <v>0</v>
      </c>
      <c r="AC2" s="803" t="str">
        <f>'9d. Forecast Results - Gau'!AP19</f>
        <v>2013/14</v>
      </c>
      <c r="AD2" s="803" t="str">
        <f>'9d. Forecast Results - Gau'!AQ19</f>
        <v>2014/15</v>
      </c>
      <c r="AE2" s="803" t="str">
        <f>'9d. Forecast Results - Gau'!AR19</f>
        <v>2015/16</v>
      </c>
      <c r="AF2" s="803" t="str">
        <f>'9d. Forecast Results - Gau'!AS19</f>
        <v>2016/17</v>
      </c>
      <c r="AG2" s="803" t="str">
        <f>'9d. Forecast Results - Gau'!AT19</f>
        <v>2017/18</v>
      </c>
      <c r="AH2" s="803" t="str">
        <f>'9d. Forecast Results - Gau'!AU19</f>
        <v>2018/19</v>
      </c>
      <c r="AI2" s="803" t="str">
        <f>'9d. Forecast Results - Gau'!AV19</f>
        <v>2019/20</v>
      </c>
      <c r="AJ2" s="803" t="str">
        <f>'9d. Forecast Results - Gau'!AW19</f>
        <v>2020/21</v>
      </c>
      <c r="AK2" s="803" t="str">
        <f>'9d. Forecast Results - Gau'!AX19</f>
        <v>2021/22</v>
      </c>
      <c r="AL2" s="803" t="str">
        <f>'9d. Forecast Results - Gau'!AY19</f>
        <v>2022/23</v>
      </c>
      <c r="AM2" s="803" t="str">
        <f>'9d. Forecast Results - Gau'!AZ19</f>
        <v>2023/24</v>
      </c>
      <c r="AN2" s="803" t="str">
        <f>'9d. Forecast Results - Gau'!BA19</f>
        <v>2024/25</v>
      </c>
      <c r="AO2" s="803" t="str">
        <f>'9d. Forecast Results - Gau'!BB19</f>
        <v>2025/26</v>
      </c>
      <c r="AP2" s="803" t="str">
        <f>'9d. Forecast Results - Gau'!BC19</f>
        <v>2026/27</v>
      </c>
      <c r="AQ2" s="803" t="str">
        <f>'9d. Forecast Results - Gau'!BD19</f>
        <v>2027/28</v>
      </c>
      <c r="AR2" s="803" t="str">
        <f>'9d. Forecast Results - Gau'!BE19</f>
        <v>2028/29</v>
      </c>
      <c r="AS2" s="803" t="str">
        <f>'9d. Forecast Results - Gau'!BF19</f>
        <v>2029/30</v>
      </c>
      <c r="AT2" s="803" t="str">
        <f>'9d. Forecast Results - Gau'!BG19</f>
        <v>2030/31</v>
      </c>
      <c r="AU2" s="803" t="str">
        <f>'9d. Forecast Results - Gau'!BH19</f>
        <v>2031/32</v>
      </c>
      <c r="AV2" s="803" t="str">
        <f>'9d. Forecast Results - Gau'!BI19</f>
        <v>3032/33</v>
      </c>
      <c r="AW2" s="803" t="str">
        <f>'9d. Forecast Results - Gau'!BJ19</f>
        <v>2033/34</v>
      </c>
      <c r="AX2" s="803" t="str">
        <f>'9d. Forecast Results - Gau'!BK19</f>
        <v>2034/35</v>
      </c>
      <c r="AY2" s="803" t="str">
        <f>'9d. Forecast Results - Gau'!BL19</f>
        <v>2035/36</v>
      </c>
      <c r="AZ2" s="803" t="str">
        <f>'9d. Forecast Results - Gau'!BM19</f>
        <v>2036/37</v>
      </c>
    </row>
    <row r="3" spans="1:83" x14ac:dyDescent="0.45">
      <c r="C3" s="929" t="s">
        <v>1796</v>
      </c>
      <c r="D3" s="553"/>
      <c r="E3" s="553"/>
      <c r="F3" s="553"/>
      <c r="G3" s="553"/>
      <c r="H3" s="796"/>
      <c r="I3" s="4"/>
      <c r="J3" s="4"/>
      <c r="AB3" s="803" t="str">
        <f>'9d. Forecast Results - Gau'!AO20</f>
        <v>Net Deficit funded by HSDG Top Slice</v>
      </c>
      <c r="AC3" s="1105">
        <f>'9d. Forecast Results - Gau'!AP20</f>
        <v>-55014202.235555552</v>
      </c>
      <c r="AD3" s="1105">
        <f>'9d. Forecast Results - Gau'!AQ20</f>
        <v>-57063143.525555551</v>
      </c>
      <c r="AE3" s="1105">
        <f>'9d. Forecast Results - Gau'!AR20</f>
        <v>-51881797.88666667</v>
      </c>
      <c r="AF3" s="1105">
        <f ca="1">'9d. Forecast Results - Gau'!AS20</f>
        <v>-53129566.887620203</v>
      </c>
      <c r="AG3" s="1105">
        <f ca="1">'9d. Forecast Results - Gau'!AT20</f>
        <v>-53274822.587779328</v>
      </c>
      <c r="AH3" s="1105">
        <f ca="1">'9d. Forecast Results - Gau'!AU20</f>
        <v>-53273549.058905281</v>
      </c>
      <c r="AI3" s="1105">
        <f ca="1">'9d. Forecast Results - Gau'!AV20</f>
        <v>-53012444.989874825</v>
      </c>
      <c r="AJ3" s="1105">
        <f ca="1">'9d. Forecast Results - Gau'!AW20</f>
        <v>-52545927.668875955</v>
      </c>
      <c r="AK3" s="1105">
        <f ca="1">'9d. Forecast Results - Gau'!AX20</f>
        <v>-51865897.292090692</v>
      </c>
      <c r="AL3" s="1105">
        <f ca="1">'9d. Forecast Results - Gau'!AY20</f>
        <v>-50950289.584332943</v>
      </c>
      <c r="AM3" s="1105">
        <f ca="1">'9d. Forecast Results - Gau'!AZ20</f>
        <v>-49775259.077139869</v>
      </c>
      <c r="AN3" s="1105">
        <f ca="1">'9d. Forecast Results - Gau'!BA20</f>
        <v>-48315049.921943925</v>
      </c>
      <c r="AO3" s="1105">
        <f ca="1">'9d. Forecast Results - Gau'!BB20</f>
        <v>-46541857.880803443</v>
      </c>
      <c r="AP3" s="1105">
        <f ca="1">'9d. Forecast Results - Gau'!BC20</f>
        <v>-44425682.915013365</v>
      </c>
      <c r="AQ3" s="1105">
        <f ca="1">'9d. Forecast Results - Gau'!BD20</f>
        <v>-41934171.754841045</v>
      </c>
      <c r="AR3" s="1105">
        <f ca="1">'9d. Forecast Results - Gau'!BE20</f>
        <v>-39032449.794230357</v>
      </c>
      <c r="AS3" s="1105">
        <f ca="1">'9d. Forecast Results - Gau'!BF20</f>
        <v>-35682941.612446934</v>
      </c>
      <c r="AT3" s="1105">
        <f ca="1">'9d. Forecast Results - Gau'!BG20</f>
        <v>-31845179.380147036</v>
      </c>
      <c r="AU3" s="1105">
        <f ca="1">'9d. Forecast Results - Gau'!BH20</f>
        <v>-27475598.3600781</v>
      </c>
      <c r="AV3" s="1105">
        <f ca="1">'9d. Forecast Results - Gau'!BI20</f>
        <v>-22527318.662392616</v>
      </c>
      <c r="AW3" s="1105">
        <f ca="1">'9d. Forecast Results - Gau'!BJ20</f>
        <v>-16949912.36119286</v>
      </c>
      <c r="AX3" s="1105">
        <f ca="1">'9d. Forecast Results - Gau'!BK20</f>
        <v>-10689155.022232119</v>
      </c>
      <c r="AY3" s="1105">
        <f ca="1">'9d. Forecast Results - Gau'!BL20</f>
        <v>-219666.00286486489</v>
      </c>
      <c r="AZ3" s="1105">
        <f ca="1">'9d. Forecast Results - Gau'!BM20</f>
        <v>0</v>
      </c>
    </row>
    <row r="4" spans="1:83" x14ac:dyDescent="0.45">
      <c r="C4" s="1170" t="s">
        <v>1797</v>
      </c>
      <c r="D4" s="4"/>
      <c r="F4" s="4"/>
      <c r="G4" s="4"/>
      <c r="H4" s="930"/>
      <c r="I4" s="4"/>
      <c r="J4" s="4"/>
      <c r="AB4" s="803" t="str">
        <f>'9d. Forecast Results - Gau'!AO21</f>
        <v>EEDBS utilised to settle Existing Sales Debtors Balances Owing</v>
      </c>
      <c r="AC4" s="1105">
        <f>'9d. Forecast Results - Gau'!AP21</f>
        <v>-1522381</v>
      </c>
      <c r="AD4" s="1105">
        <f>'9d. Forecast Results - Gau'!AQ21</f>
        <v>-2645202</v>
      </c>
      <c r="AE4" s="1105">
        <f>'9d. Forecast Results - Gau'!AR21</f>
        <v>-1475617</v>
      </c>
      <c r="AF4" s="1105">
        <f ca="1">'9d. Forecast Results - Gau'!AS21</f>
        <v>-1520513.3739093961</v>
      </c>
      <c r="AG4" s="1105">
        <f ca="1">'9d. Forecast Results - Gau'!AT21</f>
        <v>-1520513.3739093961</v>
      </c>
      <c r="AH4" s="1105">
        <f ca="1">'9d. Forecast Results - Gau'!AU21</f>
        <v>-1520513.3739093961</v>
      </c>
      <c r="AI4" s="1105">
        <f ca="1">'9d. Forecast Results - Gau'!AV21</f>
        <v>-1592066.9444463088</v>
      </c>
      <c r="AJ4" s="1105">
        <f ca="1">'9d. Forecast Results - Gau'!AW21</f>
        <v>-1592066.9444463088</v>
      </c>
      <c r="AK4" s="1105">
        <f ca="1">'9d. Forecast Results - Gau'!AX21</f>
        <v>-1592066.9444463088</v>
      </c>
      <c r="AL4" s="1105">
        <f ca="1">'9d. Forecast Results - Gau'!AY21</f>
        <v>-1592066.9444463088</v>
      </c>
      <c r="AM4" s="1105">
        <f ca="1">'9d. Forecast Results - Gau'!AZ21</f>
        <v>-1592066.9444463088</v>
      </c>
      <c r="AN4" s="1105">
        <f ca="1">'9d. Forecast Results - Gau'!BA21</f>
        <v>-1592066.9444463088</v>
      </c>
      <c r="AO4" s="1105">
        <f ca="1">'9d. Forecast Results - Gau'!BB21</f>
        <v>-1592066.9444463088</v>
      </c>
      <c r="AP4" s="1105">
        <f ca="1">'9d. Forecast Results - Gau'!BC21</f>
        <v>-1592066.9444463088</v>
      </c>
      <c r="AQ4" s="1105">
        <f ca="1">'9d. Forecast Results - Gau'!BD21</f>
        <v>-1592066.9444463088</v>
      </c>
      <c r="AR4" s="1105">
        <f ca="1">'9d. Forecast Results - Gau'!BE21</f>
        <v>-1592066.9444463088</v>
      </c>
      <c r="AS4" s="1105">
        <f ca="1">'9d. Forecast Results - Gau'!BF21</f>
        <v>-1592066.9444463088</v>
      </c>
      <c r="AT4" s="1105">
        <f ca="1">'9d. Forecast Results - Gau'!BG21</f>
        <v>-1592066.9444463088</v>
      </c>
      <c r="AU4" s="1105">
        <f ca="1">'9d. Forecast Results - Gau'!BH21</f>
        <v>-1592066.9444463088</v>
      </c>
      <c r="AV4" s="1105">
        <f ca="1">'9d. Forecast Results - Gau'!BI21</f>
        <v>-1592066.9444463088</v>
      </c>
      <c r="AW4" s="1105">
        <f ca="1">'9d. Forecast Results - Gau'!BJ21</f>
        <v>-1592066.9444463088</v>
      </c>
      <c r="AX4" s="1105">
        <f ca="1">'9d. Forecast Results - Gau'!BK21</f>
        <v>-1592066.9444463088</v>
      </c>
      <c r="AY4" s="1105">
        <f ca="1">'9d. Forecast Results - Gau'!BL21</f>
        <v>-328102299.55179405</v>
      </c>
      <c r="AZ4" s="1105">
        <f ca="1">'9d. Forecast Results - Gau'!BM21</f>
        <v>0</v>
      </c>
    </row>
    <row r="5" spans="1:83" x14ac:dyDescent="0.45">
      <c r="C5" s="949"/>
      <c r="D5" s="931"/>
      <c r="E5" s="931"/>
      <c r="F5" s="931"/>
      <c r="G5" s="931"/>
      <c r="H5" s="932"/>
      <c r="I5" s="4"/>
      <c r="J5" s="4"/>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3</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Gau BC</v>
      </c>
      <c r="E15" s="1274" t="str">
        <f>$C$12&amp;" "&amp;'14. Permanent Info'!$D$7</f>
        <v>Gau BC</v>
      </c>
      <c r="F15" s="1274" t="str">
        <f>$C$12&amp;" "&amp;'14. Permanent Info'!$D$8</f>
        <v>Gau Sc1</v>
      </c>
      <c r="G15" s="1274" t="str">
        <f>$C$12&amp;" "&amp;'14. Permanent Info'!$D$9</f>
        <v>Gau Sc2</v>
      </c>
      <c r="H15" s="1274" t="str">
        <f>$C$12&amp;" "&amp;'14. Permanent Info'!$D$10</f>
        <v>Gau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Gau'!C16,0)))))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Gau'!C17,0)))))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Gau'!C18,0)))))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Gau'!C19,0)))))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Gau BC</v>
      </c>
      <c r="D24" s="553"/>
      <c r="E24" s="1294" t="str">
        <f>E15</f>
        <v>Gau BC</v>
      </c>
      <c r="F24" s="1294" t="str">
        <f>F15</f>
        <v>Gau Sc1</v>
      </c>
      <c r="G24" s="1294" t="str">
        <f>G15</f>
        <v>Gau Sc2</v>
      </c>
      <c r="H24" s="1294" t="str">
        <f>H15</f>
        <v>Gau Sc3</v>
      </c>
      <c r="I24" s="4"/>
      <c r="J24" s="4"/>
      <c r="K24" s="4"/>
      <c r="L24" s="4"/>
      <c r="M24" s="4"/>
      <c r="N24" s="4"/>
      <c r="O24" s="4"/>
      <c r="P24" s="4"/>
      <c r="Q24" s="4"/>
      <c r="R24" s="4"/>
      <c r="S24" s="4"/>
      <c r="T24" s="4"/>
      <c r="U24" s="4"/>
      <c r="V24" s="4"/>
      <c r="W24" s="4"/>
    </row>
    <row r="25" spans="1:83" x14ac:dyDescent="0.45">
      <c r="B25" s="1260" t="str">
        <f>B136</f>
        <v>Income (=Rent &amp; Sales Income)</v>
      </c>
      <c r="C25" s="1296">
        <f ca="1">$F$136</f>
        <v>8617295.3720476329</v>
      </c>
      <c r="D25" s="558"/>
      <c r="E25" s="1296">
        <v>8617295.3720476329</v>
      </c>
      <c r="F25" s="1296">
        <v>8521802.2617949769</v>
      </c>
      <c r="G25" s="1296">
        <v>8173313.8927087905</v>
      </c>
      <c r="H25" s="1297">
        <v>8173313.8927087905</v>
      </c>
      <c r="I25" s="4"/>
      <c r="J25" s="4"/>
      <c r="K25" s="4"/>
      <c r="L25" s="4"/>
      <c r="M25" s="4"/>
      <c r="N25" s="4"/>
      <c r="O25" s="4"/>
      <c r="P25" s="4"/>
      <c r="Q25" s="4"/>
      <c r="R25" s="4"/>
      <c r="S25" s="4"/>
      <c r="T25" s="4"/>
      <c r="U25" s="4"/>
      <c r="V25" s="4"/>
      <c r="W25" s="4"/>
    </row>
    <row r="26" spans="1:83" x14ac:dyDescent="0.45">
      <c r="B26" s="1260" t="str">
        <f>B137</f>
        <v>Costs/Expenses</v>
      </c>
      <c r="C26" s="1296">
        <f>$F$137</f>
        <v>792084036.18685341</v>
      </c>
      <c r="D26" s="558"/>
      <c r="E26" s="1296">
        <v>792084036.18685341</v>
      </c>
      <c r="F26" s="1296">
        <v>263381753.7722072</v>
      </c>
      <c r="G26" s="1296">
        <v>173660059.08909607</v>
      </c>
      <c r="H26" s="1298">
        <v>172894316.34250426</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 ca="1">$F$146</f>
        <v>783466740.81480575</v>
      </c>
      <c r="D27" s="558"/>
      <c r="E27" s="1299">
        <v>783466740.81480575</v>
      </c>
      <c r="F27" s="1299">
        <v>254859951.51041222</v>
      </c>
      <c r="G27" s="1299">
        <v>165486745.19638729</v>
      </c>
      <c r="H27" s="1297">
        <v>164721002.44979548</v>
      </c>
      <c r="I27" s="4"/>
      <c r="J27" s="4"/>
      <c r="K27" s="4"/>
      <c r="L27" s="4"/>
      <c r="M27" s="4"/>
      <c r="N27" s="4"/>
      <c r="O27" s="4"/>
      <c r="P27" s="4"/>
      <c r="Q27" s="4"/>
      <c r="R27" s="4"/>
      <c r="S27" s="4"/>
      <c r="T27" s="4"/>
      <c r="U27" s="4"/>
      <c r="V27" s="4"/>
      <c r="W27" s="4"/>
    </row>
    <row r="28" spans="1:83" x14ac:dyDescent="0.45">
      <c r="B28" s="1260" t="str">
        <f>B150</f>
        <v>Total EEDBS utilised</v>
      </c>
      <c r="C28" s="1296">
        <f ca="1">$F$150</f>
        <v>358136910.7846632</v>
      </c>
      <c r="D28" s="558"/>
      <c r="E28" s="1296">
        <v>358136910.7846632</v>
      </c>
      <c r="F28" s="1296">
        <v>358136910.78466326</v>
      </c>
      <c r="G28" s="1296">
        <v>358136910.7846632</v>
      </c>
      <c r="H28" s="1298">
        <v>358136910.7846632</v>
      </c>
      <c r="I28" s="4"/>
      <c r="J28" s="4"/>
      <c r="K28" s="4"/>
      <c r="L28" s="4"/>
      <c r="M28" s="4"/>
      <c r="N28" s="4"/>
      <c r="O28" s="4"/>
      <c r="P28" s="4"/>
      <c r="Q28" s="4"/>
      <c r="R28" s="4"/>
      <c r="S28" s="4"/>
      <c r="T28" s="4"/>
      <c r="U28" s="4"/>
      <c r="V28" s="4"/>
      <c r="W28" s="4"/>
    </row>
    <row r="29" spans="1:83" x14ac:dyDescent="0.45">
      <c r="B29" s="1263" t="s">
        <v>1768</v>
      </c>
      <c r="C29" s="1300">
        <f ca="1">SUM(C27:C28)</f>
        <v>1141603651.5994689</v>
      </c>
      <c r="D29" s="558"/>
      <c r="E29" s="1300">
        <v>1141603651.5994689</v>
      </c>
      <c r="F29" s="1300">
        <v>612996862.29507542</v>
      </c>
      <c r="G29" s="1300">
        <v>523623655.98105049</v>
      </c>
      <c r="H29" s="1301">
        <v>522857913.23445868</v>
      </c>
      <c r="I29" s="4"/>
      <c r="J29" s="4"/>
      <c r="K29" s="4"/>
      <c r="L29" s="4"/>
      <c r="M29" s="4"/>
      <c r="N29" s="4"/>
      <c r="O29" s="4"/>
      <c r="P29" s="4"/>
      <c r="Q29" s="4"/>
      <c r="R29" s="4"/>
      <c r="S29" s="4"/>
      <c r="T29" s="4"/>
      <c r="U29" s="4"/>
      <c r="V29" s="4"/>
      <c r="W29" s="4"/>
    </row>
    <row r="30" spans="1:83" x14ac:dyDescent="0.45">
      <c r="B30" s="1276" t="str">
        <f>B157</f>
        <v>Total HSDG &amp; EEDBS per Base Case</v>
      </c>
      <c r="C30" s="1302">
        <f>$F$157</f>
        <v>1141603651.5994687</v>
      </c>
      <c r="D30" s="558"/>
      <c r="E30" s="1302">
        <v>1141603651.5994687</v>
      </c>
      <c r="F30" s="1302">
        <v>1141603651.5994687</v>
      </c>
      <c r="G30" s="1302">
        <v>1141603651.5994687</v>
      </c>
      <c r="H30" s="1303">
        <v>1141603651.5994687</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 ca="1">C29-$E29</f>
        <v>0</v>
      </c>
      <c r="D31" s="1304"/>
      <c r="E31" s="1293">
        <v>0</v>
      </c>
      <c r="F31" s="1293">
        <v>-528606789.30439353</v>
      </c>
      <c r="G31" s="1293">
        <v>-617979995.61841846</v>
      </c>
      <c r="H31" s="1295">
        <v>-618745738.36501026</v>
      </c>
      <c r="I31" s="4"/>
      <c r="J31" s="4"/>
      <c r="K31" s="4"/>
      <c r="L31" s="4"/>
      <c r="M31" s="4"/>
      <c r="N31" s="4"/>
      <c r="O31" s="4"/>
      <c r="P31" s="4"/>
      <c r="Q31" s="4"/>
      <c r="R31" s="4"/>
      <c r="S31" s="4"/>
      <c r="T31" s="4"/>
      <c r="U31" s="4"/>
      <c r="V31" s="4"/>
      <c r="W31" s="4"/>
    </row>
    <row r="32" spans="1:83" x14ac:dyDescent="0.45">
      <c r="B32" s="1260" t="s">
        <v>155</v>
      </c>
      <c r="C32" s="1305">
        <f>$F$147</f>
        <v>1694</v>
      </c>
      <c r="D32" s="558"/>
      <c r="E32" s="1305">
        <v>5160</v>
      </c>
      <c r="F32" s="1305">
        <v>5160</v>
      </c>
      <c r="G32" s="1305">
        <v>5160</v>
      </c>
      <c r="H32" s="1306">
        <v>5160</v>
      </c>
      <c r="I32" s="4"/>
      <c r="J32" s="4"/>
      <c r="K32" s="4"/>
      <c r="L32" s="4"/>
      <c r="M32" s="4"/>
      <c r="N32" s="4"/>
      <c r="O32" s="4"/>
      <c r="P32" s="4"/>
      <c r="Q32" s="4"/>
      <c r="R32" s="4"/>
      <c r="S32" s="4"/>
      <c r="T32" s="4"/>
      <c r="U32" s="4"/>
      <c r="V32" s="4"/>
      <c r="W32" s="4"/>
    </row>
    <row r="33" spans="1:83" x14ac:dyDescent="0.45">
      <c r="B33" s="1264" t="str">
        <f>B151</f>
        <v>EEDBS per Existing Rental Unit</v>
      </c>
      <c r="C33" s="1296">
        <f ca="1">$F$151</f>
        <v>211414.9414313242</v>
      </c>
      <c r="D33" s="558"/>
      <c r="E33" s="1296">
        <v>69406.378059043258</v>
      </c>
      <c r="F33" s="1296">
        <v>69406.378059043273</v>
      </c>
      <c r="G33" s="1296">
        <v>69406.378059043258</v>
      </c>
      <c r="H33" s="1298">
        <v>69406.378059043258</v>
      </c>
      <c r="I33" s="4"/>
      <c r="J33" s="4"/>
      <c r="K33" s="4"/>
      <c r="L33" s="4"/>
      <c r="M33" s="4"/>
      <c r="N33" s="4"/>
      <c r="O33" s="4"/>
      <c r="P33" s="4"/>
      <c r="Q33" s="4"/>
      <c r="R33" s="4"/>
      <c r="S33" s="4"/>
      <c r="T33" s="4"/>
      <c r="U33" s="4"/>
      <c r="V33" s="4"/>
      <c r="W33" s="4"/>
    </row>
    <row r="34" spans="1:83" x14ac:dyDescent="0.45">
      <c r="B34" s="1264" t="str">
        <f>B148</f>
        <v>HSDG Top Slice per Existing Rental Unit</v>
      </c>
      <c r="C34" s="1296">
        <f ca="1">$F$148</f>
        <v>462495.1244479373</v>
      </c>
      <c r="D34" s="558"/>
      <c r="E34" s="1296">
        <v>151834.63969279182</v>
      </c>
      <c r="F34" s="1296">
        <v>49391.463471010116</v>
      </c>
      <c r="G34" s="1296">
        <v>32071.074650462655</v>
      </c>
      <c r="H34" s="1298">
        <v>31922.674893371219</v>
      </c>
      <c r="I34" s="4"/>
      <c r="J34" s="4"/>
      <c r="K34" s="4"/>
      <c r="L34" s="4"/>
      <c r="M34" s="4"/>
      <c r="N34" s="4"/>
      <c r="O34" s="4"/>
      <c r="P34" s="4"/>
      <c r="Q34" s="4"/>
      <c r="R34" s="4"/>
      <c r="S34" s="4"/>
      <c r="T34" s="4"/>
      <c r="U34" s="4"/>
      <c r="V34" s="4"/>
      <c r="W34" s="4"/>
    </row>
    <row r="35" spans="1:83" x14ac:dyDescent="0.45">
      <c r="B35" s="1264" t="str">
        <f>B153</f>
        <v>Total Government Contribution p.u.</v>
      </c>
      <c r="C35" s="1299">
        <f ca="1">$F$153</f>
        <v>673910.06587926147</v>
      </c>
      <c r="D35" s="558"/>
      <c r="E35" s="1299">
        <v>221241.01775183505</v>
      </c>
      <c r="F35" s="1299">
        <v>118797.84153005338</v>
      </c>
      <c r="G35" s="1299">
        <v>101477.4527095059</v>
      </c>
      <c r="H35" s="1297">
        <v>101329.05295241448</v>
      </c>
      <c r="I35" s="4"/>
      <c r="J35" s="4"/>
      <c r="K35" s="4"/>
      <c r="L35" s="4"/>
      <c r="M35" s="4"/>
      <c r="N35" s="4"/>
      <c r="O35" s="4"/>
      <c r="P35" s="4"/>
      <c r="Q35" s="4"/>
      <c r="R35" s="4"/>
      <c r="S35" s="4"/>
      <c r="T35" s="4"/>
      <c r="U35" s="4"/>
      <c r="V35" s="4"/>
      <c r="W35" s="4"/>
    </row>
    <row r="36" spans="1:83" x14ac:dyDescent="0.45">
      <c r="B36" s="948" t="s">
        <v>1773</v>
      </c>
      <c r="C36" s="1296">
        <f ca="1">C35-$E35</f>
        <v>452669.04812742642</v>
      </c>
      <c r="D36" s="558"/>
      <c r="E36" s="1296">
        <v>0</v>
      </c>
      <c r="F36" s="1296">
        <v>-102443.17622178167</v>
      </c>
      <c r="G36" s="1296">
        <v>-119763.56504232915</v>
      </c>
      <c r="H36" s="1298">
        <v>-119911.96479942057</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 ca="1">$F$161</f>
        <v>309495.1244479373</v>
      </c>
      <c r="D39" s="558"/>
      <c r="E39" s="1307">
        <v>-1165.3603072081751</v>
      </c>
      <c r="F39" s="1307">
        <v>-103608.53652898988</v>
      </c>
      <c r="G39" s="1307">
        <v>-120928.92534953734</v>
      </c>
      <c r="H39" s="1308">
        <v>-121077.32510662878</v>
      </c>
      <c r="I39" s="4"/>
      <c r="J39" s="4"/>
      <c r="K39" s="4"/>
      <c r="L39" s="4"/>
      <c r="M39" s="4"/>
      <c r="N39" s="4"/>
      <c r="O39" s="4"/>
      <c r="P39" s="4"/>
      <c r="Q39" s="4"/>
      <c r="R39" s="4"/>
      <c r="S39" s="4"/>
      <c r="T39" s="4"/>
      <c r="U39" s="4"/>
      <c r="V39" s="4"/>
      <c r="W39" s="4"/>
      <c r="AC39" s="1256" t="str">
        <f>B156</f>
        <v>Cost to the State (HSDG &amp; EEDBS) per Projected Scenario</v>
      </c>
      <c r="AD39" s="1257">
        <f ca="1">$F$156</f>
        <v>1141603651.5994687</v>
      </c>
      <c r="AE39" s="1257"/>
      <c r="AF39" s="1257">
        <f ca="1">$F$156</f>
        <v>1141603651.5994687</v>
      </c>
      <c r="AG39" s="1257">
        <f ca="1">$F$156</f>
        <v>1141603651.5994687</v>
      </c>
      <c r="AH39" s="1257">
        <f ca="1">$F$156</f>
        <v>1141603651.5994687</v>
      </c>
      <c r="AI39" s="1257">
        <f ca="1">$F$156</f>
        <v>1141603651.5994687</v>
      </c>
      <c r="CB39" s="1204"/>
      <c r="CC39" s="1204"/>
      <c r="CD39" s="1204"/>
      <c r="CE39" s="1204"/>
    </row>
    <row r="40" spans="1:83" ht="15.75" x14ac:dyDescent="0.45">
      <c r="A40" s="1262"/>
      <c r="B40" s="1260" t="s">
        <v>1709</v>
      </c>
      <c r="C40" s="1220">
        <f ca="1">$F$162</f>
        <v>307495.1244479373</v>
      </c>
      <c r="D40" s="558"/>
      <c r="E40" s="1307">
        <v>-3165.3603072081751</v>
      </c>
      <c r="F40" s="1307">
        <v>-105608.53652898988</v>
      </c>
      <c r="G40" s="1307">
        <v>-122928.92534953734</v>
      </c>
      <c r="H40" s="1308">
        <v>-123077.32510662878</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 ca="1">$F$163</f>
        <v>197495.1244479373</v>
      </c>
      <c r="D41" s="558"/>
      <c r="E41" s="1307">
        <v>-113165.36030720818</v>
      </c>
      <c r="F41" s="1307">
        <v>-215608.53652898988</v>
      </c>
      <c r="G41" s="1307">
        <v>-232928.92534953734</v>
      </c>
      <c r="H41" s="1308">
        <v>-233077.32510662879</v>
      </c>
      <c r="I41" s="4"/>
      <c r="J41" s="4"/>
      <c r="K41" s="4"/>
      <c r="L41" s="4"/>
      <c r="M41" s="4"/>
      <c r="N41" s="4"/>
      <c r="O41" s="4"/>
      <c r="P41" s="4"/>
      <c r="Q41" s="4"/>
      <c r="R41" s="4"/>
      <c r="S41" s="4"/>
      <c r="T41" s="4"/>
      <c r="U41" s="4"/>
      <c r="V41" s="4"/>
      <c r="W41" s="4"/>
      <c r="AC41" s="1258"/>
      <c r="AD41" s="1257">
        <f ca="1">AD39-AD40</f>
        <v>1141603651.5994687</v>
      </c>
      <c r="AE41" s="1257"/>
      <c r="AF41" s="1257">
        <f ca="1">AF39-AF40</f>
        <v>1141603651.5994687</v>
      </c>
      <c r="AG41" s="1258"/>
      <c r="AH41" s="1257">
        <f ca="1">AH39-AH40</f>
        <v>1141603651.5994687</v>
      </c>
      <c r="AI41" s="1257">
        <f ca="1">AI39-AI40</f>
        <v>1141603651.5994687</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'9d. Forecast Results - Gau'!N5</f>
        <v>2013/14</v>
      </c>
      <c r="AD135" s="803" t="str">
        <f>'9d. Forecast Results - Gau'!O5</f>
        <v>2014/15</v>
      </c>
      <c r="AE135" s="803" t="str">
        <f>'9d. Forecast Results - Gau'!P5</f>
        <v>2015/16</v>
      </c>
      <c r="AF135" s="803" t="str">
        <f>'9d. Forecast Results - Gau'!Q5</f>
        <v>2016/17</v>
      </c>
      <c r="AG135" s="803" t="str">
        <f>'9d. Forecast Results - Gau'!R5</f>
        <v>2017/18</v>
      </c>
      <c r="AH135" s="803" t="str">
        <f>'9d. Forecast Results - Gau'!S5</f>
        <v>2018/19</v>
      </c>
      <c r="AI135" s="803" t="str">
        <f>'9d. Forecast Results - Gau'!T5</f>
        <v>2019/20</v>
      </c>
      <c r="AJ135" s="803" t="str">
        <f>'9d. Forecast Results - Gau'!U5</f>
        <v>2020/21</v>
      </c>
      <c r="AK135" s="803" t="str">
        <f>'9d. Forecast Results - Gau'!V5</f>
        <v>2021/22</v>
      </c>
      <c r="AL135" s="803" t="str">
        <f>'9d. Forecast Results - Gau'!W5</f>
        <v>2022/23</v>
      </c>
      <c r="AM135" s="803" t="str">
        <f>'9d. Forecast Results - Gau'!X5</f>
        <v>2023/24</v>
      </c>
      <c r="AN135" s="803" t="str">
        <f>'9d. Forecast Results - Gau'!Y5</f>
        <v>2024/25</v>
      </c>
      <c r="AO135" s="803" t="str">
        <f>'9d. Forecast Results - Gau'!Z5</f>
        <v>2025/26</v>
      </c>
      <c r="AP135" s="803" t="str">
        <f>'9d. Forecast Results - Gau'!AA5</f>
        <v>2026/27</v>
      </c>
      <c r="AQ135" s="803" t="str">
        <f>'9d. Forecast Results - Gau'!AB5</f>
        <v>2027/28</v>
      </c>
      <c r="AR135" s="803" t="str">
        <f>'9d. Forecast Results - Gau'!AC5</f>
        <v>2028/29</v>
      </c>
      <c r="AS135" s="803" t="str">
        <f>'9d. Forecast Results - Gau'!AD5</f>
        <v>2029/30</v>
      </c>
      <c r="AT135" s="803" t="str">
        <f>'9d. Forecast Results - Gau'!AE5</f>
        <v>2030/31</v>
      </c>
      <c r="AU135" s="803" t="str">
        <f>'9d. Forecast Results - Gau'!AF5</f>
        <v>2031/32</v>
      </c>
      <c r="AV135" s="803" t="str">
        <f>'9d. Forecast Results - Gau'!AG5</f>
        <v>3032/33</v>
      </c>
      <c r="AW135" s="803" t="str">
        <f>'9d. Forecast Results - Gau'!AH5</f>
        <v>2033/34</v>
      </c>
      <c r="AX135" s="803" t="str">
        <f>'9d. Forecast Results - Gau'!AI5</f>
        <v>2034/35</v>
      </c>
      <c r="AY135" s="803" t="str">
        <f>'9d. Forecast Results - Gau'!AJ5</f>
        <v>2035/36</v>
      </c>
      <c r="AZ135" s="803" t="str">
        <f>'9d. Forecast Results - Gau'!AK5</f>
        <v>2036/37</v>
      </c>
    </row>
    <row r="136" spans="1:52" x14ac:dyDescent="0.45">
      <c r="B136" s="1263" t="s">
        <v>1551</v>
      </c>
      <c r="C136" s="558"/>
      <c r="D136" s="558"/>
      <c r="E136" s="971">
        <f ca="1">+SUM('9d. Forecast Results - Gau'!S28:W28)</f>
        <v>2335717.9779444402</v>
      </c>
      <c r="F136" s="971">
        <f ca="1">+'9d. Forecast Results - Gau'!AL28</f>
        <v>8617295.3720476329</v>
      </c>
      <c r="G136" s="971"/>
      <c r="H136" s="1283"/>
      <c r="J136" s="4"/>
      <c r="K136" s="4"/>
      <c r="L136" s="4"/>
      <c r="M136" s="4"/>
      <c r="N136" s="4"/>
      <c r="O136" s="4"/>
      <c r="P136" s="4"/>
      <c r="Q136" s="4"/>
      <c r="R136" s="4"/>
      <c r="S136" s="4"/>
      <c r="T136" s="4"/>
      <c r="U136" s="4"/>
      <c r="V136" s="4"/>
      <c r="W136" s="4"/>
      <c r="AB136" s="803" t="str">
        <f>'9d. Forecast Results - Gau'!D28</f>
        <v>Total Income</v>
      </c>
      <c r="AC136" s="533">
        <f>'9d. Forecast Results - Gau'!N28</f>
        <v>410958.31</v>
      </c>
      <c r="AD136" s="533">
        <f>'9d. Forecast Results - Gau'!O28</f>
        <v>151761.49</v>
      </c>
      <c r="AE136" s="533">
        <f>'9d. Forecast Results - Gau'!P28</f>
        <v>876928.05</v>
      </c>
      <c r="AF136" s="533">
        <f ca="1">'9d. Forecast Results - Gau'!Q28</f>
        <v>466204.04573487316</v>
      </c>
      <c r="AG136" s="533">
        <f ca="1">'9d. Forecast Results - Gau'!R28</f>
        <v>462748.14594148472</v>
      </c>
      <c r="AH136" s="533">
        <f ca="1">'9d. Forecast Results - Gau'!S28</f>
        <v>459292.24614809634</v>
      </c>
      <c r="AI136" s="533">
        <f ca="1">'9d. Forecast Results - Gau'!T28</f>
        <v>474534.22850693727</v>
      </c>
      <c r="AJ136" s="533">
        <f ca="1">'9d. Forecast Results - Gau'!U28</f>
        <v>470915.69813503645</v>
      </c>
      <c r="AK136" s="533">
        <f ca="1">'9d. Forecast Results - Gau'!V28</f>
        <v>467297.16776313563</v>
      </c>
      <c r="AL136" s="533">
        <f ca="1">'9d. Forecast Results - Gau'!W28</f>
        <v>463678.63739123475</v>
      </c>
      <c r="AM136" s="533">
        <f ca="1">'9d. Forecast Results - Gau'!X28</f>
        <v>460060.10701933393</v>
      </c>
      <c r="AN136" s="533">
        <f ca="1">'9d. Forecast Results - Gau'!Y28</f>
        <v>456441.5766474331</v>
      </c>
      <c r="AO136" s="533">
        <f ca="1">'9d. Forecast Results - Gau'!Z28</f>
        <v>452823.04627553228</v>
      </c>
      <c r="AP136" s="533">
        <f ca="1">'9d. Forecast Results - Gau'!AA28</f>
        <v>449204.51590363146</v>
      </c>
      <c r="AQ136" s="533">
        <f ca="1">'9d. Forecast Results - Gau'!AB28</f>
        <v>445585.98553173064</v>
      </c>
      <c r="AR136" s="533">
        <f ca="1">'9d. Forecast Results - Gau'!AC28</f>
        <v>441967.45515982981</v>
      </c>
      <c r="AS136" s="533">
        <f ca="1">'9d. Forecast Results - Gau'!AD28</f>
        <v>438348.92478792899</v>
      </c>
      <c r="AT136" s="533">
        <f ca="1">'9d. Forecast Results - Gau'!AE28</f>
        <v>434730.39441602817</v>
      </c>
      <c r="AU136" s="533">
        <f ca="1">'9d. Forecast Results - Gau'!AF28</f>
        <v>431111.86404412735</v>
      </c>
      <c r="AV136" s="533">
        <f ca="1">'9d. Forecast Results - Gau'!AG28</f>
        <v>427493.33367222652</v>
      </c>
      <c r="AW136" s="533">
        <f ca="1">'9d. Forecast Results - Gau'!AH28</f>
        <v>423874.8033003257</v>
      </c>
      <c r="AX136" s="533">
        <f ca="1">'9d. Forecast Results - Gau'!AI28</f>
        <v>420256.27292842488</v>
      </c>
      <c r="AY136" s="533">
        <f ca="1">'9d. Forecast Results - Gau'!AJ28</f>
        <v>70726.922740281458</v>
      </c>
      <c r="AZ136" s="533">
        <f ca="1">'9d. Forecast Results - Gau'!AK28</f>
        <v>0</v>
      </c>
    </row>
    <row r="137" spans="1:52" x14ac:dyDescent="0.45">
      <c r="B137" s="1263" t="s">
        <v>1510</v>
      </c>
      <c r="C137" s="558"/>
      <c r="D137" s="558"/>
      <c r="E137" s="971">
        <f>+SUM(E138:E143)</f>
        <v>263983826.57202414</v>
      </c>
      <c r="F137" s="971">
        <f>+SUM(F138:F143)</f>
        <v>792084036.18685341</v>
      </c>
      <c r="G137" s="971"/>
      <c r="H137" s="1283"/>
      <c r="J137" s="4"/>
      <c r="K137" s="4"/>
      <c r="L137" s="4"/>
      <c r="M137" s="4"/>
      <c r="N137" s="4"/>
      <c r="O137" s="4"/>
      <c r="P137" s="4"/>
      <c r="Q137" s="4"/>
      <c r="R137" s="4"/>
      <c r="S137" s="4"/>
      <c r="T137" s="4"/>
      <c r="U137" s="4"/>
      <c r="V137" s="4"/>
      <c r="W137" s="4"/>
      <c r="AB137" s="803" t="str">
        <f>'9d. Forecast Results - Gau'!D47</f>
        <v>Total Expenditure</v>
      </c>
      <c r="AC137" s="533">
        <f>-'9d. Forecast Results - Gau'!N47</f>
        <v>-55425160.545555554</v>
      </c>
      <c r="AD137" s="533">
        <f>-'9d. Forecast Results - Gau'!O47</f>
        <v>-57214905.015555553</v>
      </c>
      <c r="AE137" s="533">
        <f>-'9d. Forecast Results - Gau'!P47</f>
        <v>-52758725.936666667</v>
      </c>
      <c r="AF137" s="533">
        <f>-'9d. Forecast Results - Gau'!Q47</f>
        <v>-53595770.933355078</v>
      </c>
      <c r="AG137" s="533">
        <f>-'9d. Forecast Results - Gau'!R47</f>
        <v>-53737570.733720817</v>
      </c>
      <c r="AH137" s="533">
        <f>-'9d. Forecast Results - Gau'!S47</f>
        <v>-53732841.305053376</v>
      </c>
      <c r="AI137" s="533">
        <f>-'9d. Forecast Results - Gau'!T47</f>
        <v>-53486979.218381763</v>
      </c>
      <c r="AJ137" s="533">
        <f>-'9d. Forecast Results - Gau'!U47</f>
        <v>-53016843.367010988</v>
      </c>
      <c r="AK137" s="533">
        <f>-'9d. Forecast Results - Gau'!V47</f>
        <v>-52333194.459853828</v>
      </c>
      <c r="AL137" s="533">
        <f>-'9d. Forecast Results - Gau'!W47</f>
        <v>-51413968.221724175</v>
      </c>
      <c r="AM137" s="533">
        <f>-'9d. Forecast Results - Gau'!X47</f>
        <v>-50235319.184159204</v>
      </c>
      <c r="AN137" s="533">
        <f>-'9d. Forecast Results - Gau'!Y47</f>
        <v>-48771491.498591356</v>
      </c>
      <c r="AO137" s="533">
        <f>-'9d. Forecast Results - Gau'!Z47</f>
        <v>-46994680.927078977</v>
      </c>
      <c r="AP137" s="533">
        <f>-'9d. Forecast Results - Gau'!AA47</f>
        <v>-44874887.430916995</v>
      </c>
      <c r="AQ137" s="533">
        <f>-'9d. Forecast Results - Gau'!AB47</f>
        <v>-42379757.740372777</v>
      </c>
      <c r="AR137" s="533">
        <f>-'9d. Forecast Results - Gau'!AC47</f>
        <v>-39474417.249390185</v>
      </c>
      <c r="AS137" s="533">
        <f>-'9d. Forecast Results - Gau'!AD47</f>
        <v>-36121290.537234865</v>
      </c>
      <c r="AT137" s="533">
        <f>-'9d. Forecast Results - Gau'!AE47</f>
        <v>-32279909.774563063</v>
      </c>
      <c r="AU137" s="533">
        <f>-'9d. Forecast Results - Gau'!AF47</f>
        <v>-27906710.224122226</v>
      </c>
      <c r="AV137" s="533">
        <f>-'9d. Forecast Results - Gau'!AG47</f>
        <v>-22954811.996064842</v>
      </c>
      <c r="AW137" s="533">
        <f>-'9d. Forecast Results - Gau'!AH47</f>
        <v>-17373787.164493185</v>
      </c>
      <c r="AX137" s="533">
        <f>-'9d. Forecast Results - Gau'!AI47</f>
        <v>-11109411.295160543</v>
      </c>
      <c r="AY137" s="533">
        <f>-'9d. Forecast Results - Gau'!AJ47</f>
        <v>-290392.92560514633</v>
      </c>
      <c r="AZ137" s="533">
        <f>-'9d. Forecast Results - Gau'!AK47</f>
        <v>0</v>
      </c>
    </row>
    <row r="138" spans="1:52" x14ac:dyDescent="0.45">
      <c r="B138" s="1284" t="str">
        <f>'9d. Forecast Results - Gau'!D31</f>
        <v>Rates &amp; Taxes</v>
      </c>
      <c r="C138" s="558"/>
      <c r="D138" s="558"/>
      <c r="E138" s="1215">
        <f>+SUM('9d. Forecast Results - Gau'!S31:W31)</f>
        <v>44222329.496086225</v>
      </c>
      <c r="F138" s="1215">
        <f>+'9d. Forecast Results - Gau'!AL31</f>
        <v>123278858.65542018</v>
      </c>
      <c r="G138" s="971"/>
      <c r="H138" s="1283"/>
      <c r="J138" s="4"/>
      <c r="K138" s="4"/>
      <c r="L138" s="4"/>
      <c r="M138" s="4"/>
      <c r="N138" s="4"/>
      <c r="O138" s="4"/>
      <c r="P138" s="4"/>
      <c r="Q138" s="4"/>
      <c r="R138" s="4"/>
      <c r="S138" s="4"/>
      <c r="T138" s="4"/>
      <c r="U138" s="4"/>
      <c r="V138" s="4"/>
      <c r="W138" s="4"/>
      <c r="AB138" s="803" t="str">
        <f>'9d. Forecast Results - Gau'!D48</f>
        <v>Net Surplus / (Deficit)</v>
      </c>
      <c r="AC138" s="533">
        <f>'9d. Forecast Results - Gau'!N48</f>
        <v>-55014202.235555552</v>
      </c>
      <c r="AD138" s="533">
        <f>'9d. Forecast Results - Gau'!O48</f>
        <v>-57063143.525555551</v>
      </c>
      <c r="AE138" s="533">
        <f>'9d. Forecast Results - Gau'!P48</f>
        <v>-51881797.88666667</v>
      </c>
      <c r="AF138" s="533">
        <f ca="1">'9d. Forecast Results - Gau'!Q48</f>
        <v>-53129566.887620203</v>
      </c>
      <c r="AG138" s="533">
        <f ca="1">'9d. Forecast Results - Gau'!R48</f>
        <v>-53274822.587779328</v>
      </c>
      <c r="AH138" s="533">
        <f ca="1">'9d. Forecast Results - Gau'!S48</f>
        <v>-53273549.058905281</v>
      </c>
      <c r="AI138" s="533">
        <f ca="1">'9d. Forecast Results - Gau'!T48</f>
        <v>-53012444.989874825</v>
      </c>
      <c r="AJ138" s="533">
        <f ca="1">'9d. Forecast Results - Gau'!U48</f>
        <v>-52545927.668875955</v>
      </c>
      <c r="AK138" s="533">
        <f ca="1">'9d. Forecast Results - Gau'!V48</f>
        <v>-51865897.292090692</v>
      </c>
      <c r="AL138" s="533">
        <f ca="1">'9d. Forecast Results - Gau'!W48</f>
        <v>-50950289.584332943</v>
      </c>
      <c r="AM138" s="533">
        <f ca="1">'9d. Forecast Results - Gau'!X48</f>
        <v>-49775259.077139869</v>
      </c>
      <c r="AN138" s="533">
        <f ca="1">'9d. Forecast Results - Gau'!Y48</f>
        <v>-48315049.921943925</v>
      </c>
      <c r="AO138" s="533">
        <f ca="1">'9d. Forecast Results - Gau'!Z48</f>
        <v>-46541857.880803443</v>
      </c>
      <c r="AP138" s="533">
        <f ca="1">'9d. Forecast Results - Gau'!AA48</f>
        <v>-44425682.915013365</v>
      </c>
      <c r="AQ138" s="533">
        <f ca="1">'9d. Forecast Results - Gau'!AB48</f>
        <v>-41934171.754841045</v>
      </c>
      <c r="AR138" s="533">
        <f ca="1">'9d. Forecast Results - Gau'!AC48</f>
        <v>-39032449.794230357</v>
      </c>
      <c r="AS138" s="533">
        <f ca="1">'9d. Forecast Results - Gau'!AD48</f>
        <v>-35682941.612446934</v>
      </c>
      <c r="AT138" s="533">
        <f ca="1">'9d. Forecast Results - Gau'!AE48</f>
        <v>-31845179.380147036</v>
      </c>
      <c r="AU138" s="533">
        <f ca="1">'9d. Forecast Results - Gau'!AF48</f>
        <v>-27475598.3600781</v>
      </c>
      <c r="AV138" s="533">
        <f ca="1">'9d. Forecast Results - Gau'!AG48</f>
        <v>-22527318.662392616</v>
      </c>
      <c r="AW138" s="533">
        <f ca="1">'9d. Forecast Results - Gau'!AH48</f>
        <v>-16949912.36119286</v>
      </c>
      <c r="AX138" s="533">
        <f ca="1">'9d. Forecast Results - Gau'!AI48</f>
        <v>-10689155.022232119</v>
      </c>
      <c r="AY138" s="533">
        <f ca="1">'9d. Forecast Results - Gau'!AJ48</f>
        <v>-219666.00286486489</v>
      </c>
      <c r="AZ138" s="533">
        <f ca="1">'9d. Forecast Results - Gau'!AK48</f>
        <v>0</v>
      </c>
    </row>
    <row r="139" spans="1:52" x14ac:dyDescent="0.45">
      <c r="B139" s="1284" t="str">
        <f>'9d. Forecast Results - Gau'!D32</f>
        <v>Municipal Charges</v>
      </c>
      <c r="C139" s="558"/>
      <c r="D139" s="558"/>
      <c r="E139" s="1216">
        <f>+SUM('9d. Forecast Results - Gau'!S32:W32)</f>
        <v>8364236.0360395387</v>
      </c>
      <c r="F139" s="1216">
        <f>+'9d. Forecast Results - Gau'!AL32</f>
        <v>23317032.001644053</v>
      </c>
      <c r="G139" s="971"/>
      <c r="H139" s="1283"/>
      <c r="AB139" s="803" t="s">
        <v>1697</v>
      </c>
      <c r="AC139" s="533">
        <f>SUM($AC138:AC138)</f>
        <v>-55014202.235555552</v>
      </c>
      <c r="AD139" s="533">
        <f>SUM($AC138:AD138)</f>
        <v>-112077345.76111111</v>
      </c>
      <c r="AE139" s="533">
        <f>SUM($AC138:AE138)</f>
        <v>-163959143.6477778</v>
      </c>
      <c r="AF139" s="533">
        <f ca="1">SUM($AC138:AF138)</f>
        <v>-217088710.53539801</v>
      </c>
      <c r="AG139" s="533">
        <f ca="1">SUM($AC138:AG138)</f>
        <v>-270363533.12317735</v>
      </c>
      <c r="AH139" s="533">
        <f ca="1">SUM($AC138:AH138)</f>
        <v>-323637082.18208265</v>
      </c>
      <c r="AI139" s="533">
        <f ca="1">SUM($AC138:AI138)</f>
        <v>-376649527.17195749</v>
      </c>
      <c r="AJ139" s="533">
        <f ca="1">SUM($AC138:AJ138)</f>
        <v>-429195454.84083343</v>
      </c>
      <c r="AK139" s="533">
        <f ca="1">SUM($AC138:AK138)</f>
        <v>-481061352.13292414</v>
      </c>
      <c r="AL139" s="533">
        <f ca="1">SUM($AC138:AL138)</f>
        <v>-532011641.71725708</v>
      </c>
      <c r="AM139" s="533">
        <f ca="1">SUM($AC138:AM138)</f>
        <v>-581786900.794397</v>
      </c>
      <c r="AN139" s="533">
        <f ca="1">SUM($AC138:AN138)</f>
        <v>-630101950.7163409</v>
      </c>
      <c r="AO139" s="533">
        <f ca="1">SUM($AC138:AO138)</f>
        <v>-676643808.59714437</v>
      </c>
      <c r="AP139" s="533">
        <f ca="1">SUM($AC138:AP138)</f>
        <v>-721069491.51215768</v>
      </c>
      <c r="AQ139" s="533">
        <f ca="1">SUM($AC138:AQ138)</f>
        <v>-763003663.26699877</v>
      </c>
      <c r="AR139" s="533">
        <f ca="1">SUM($AC138:AR138)</f>
        <v>-802036113.06122911</v>
      </c>
      <c r="AS139" s="533">
        <f ca="1">SUM($AC138:AS138)</f>
        <v>-837719054.67367601</v>
      </c>
      <c r="AT139" s="533">
        <f ca="1">SUM($AC138:AT138)</f>
        <v>-869564234.05382299</v>
      </c>
      <c r="AU139" s="533">
        <f ca="1">SUM($AC138:AU138)</f>
        <v>-897039832.41390109</v>
      </c>
      <c r="AV139" s="533">
        <f ca="1">SUM($AC138:AV138)</f>
        <v>-919567151.07629371</v>
      </c>
      <c r="AW139" s="533">
        <f ca="1">SUM($AC138:AW138)</f>
        <v>-936517063.43748653</v>
      </c>
      <c r="AX139" s="533">
        <f ca="1">SUM($AC138:AX138)</f>
        <v>-947206218.4597187</v>
      </c>
      <c r="AY139" s="533">
        <f ca="1">SUM($AC138:AY138)</f>
        <v>-947425884.46258354</v>
      </c>
      <c r="AZ139" s="533">
        <f ca="1">SUM($AC138:AZ138)</f>
        <v>-947425884.46258354</v>
      </c>
    </row>
    <row r="140" spans="1:52" x14ac:dyDescent="0.45">
      <c r="B140" s="1284" t="str">
        <f>'9d. Forecast Results - Gau'!D33</f>
        <v>Maintenance</v>
      </c>
      <c r="C140" s="558"/>
      <c r="D140" s="558"/>
      <c r="E140" s="1216">
        <f>+SUM('9d. Forecast Results - Gau'!S33:W33)</f>
        <v>131024904.27450801</v>
      </c>
      <c r="F140" s="1216">
        <f>+'9d. Forecast Results - Gau'!AL33</f>
        <v>365258927.75111675</v>
      </c>
      <c r="G140" s="971"/>
      <c r="H140" s="1283"/>
      <c r="AB140" s="451" t="s">
        <v>1699</v>
      </c>
    </row>
    <row r="141" spans="1:52" x14ac:dyDescent="0.45">
      <c r="B141" s="1284" t="str">
        <f>'9d. Forecast Results - Gau'!D36</f>
        <v>Total Disposal Costs</v>
      </c>
      <c r="C141" s="558"/>
      <c r="D141" s="558"/>
      <c r="E141" s="1216">
        <f>+SUM('9d. Forecast Results - Gau'!S36:W36)</f>
        <v>3838845.1615700736</v>
      </c>
      <c r="F141" s="1216">
        <f>+'9d. Forecast Results - Gau'!AL36</f>
        <v>20201652.321190648</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'9d. Forecast Results - Gau'!D43</f>
        <v>Staff</v>
      </c>
      <c r="C142" s="558"/>
      <c r="D142" s="558"/>
      <c r="E142" s="1216">
        <f>+SUM('9d. Forecast Results - Gau'!S43:W43)</f>
        <v>76533511.603820294</v>
      </c>
      <c r="F142" s="1216">
        <f>+'9d. Forecast Results - Gau'!AL43</f>
        <v>260027565.45748174</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SUM('9d. Forecast Results - Gau'!S47:W47)-SUM(E138:E142)</f>
        <v>0</v>
      </c>
      <c r="F143" s="1217">
        <f>+'9d. Forecast Results - Gau'!AL47-SUM(F138:F142)</f>
        <v>0</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 ca="1">+E136-E137</f>
        <v>-261648108.5940797</v>
      </c>
      <c r="F145" s="1218">
        <f ca="1">+F136-F137</f>
        <v>-783466740.81480575</v>
      </c>
      <c r="G145" s="971"/>
      <c r="H145" s="1283"/>
    </row>
    <row r="146" spans="1:8" ht="14.65" thickTop="1" x14ac:dyDescent="0.45">
      <c r="B146" s="1289" t="s">
        <v>1552</v>
      </c>
      <c r="C146" s="558"/>
      <c r="D146" s="558"/>
      <c r="E146" s="1220">
        <f ca="1">-E145</f>
        <v>261648108.5940797</v>
      </c>
      <c r="F146" s="1220">
        <f ca="1">-F145</f>
        <v>783466740.81480575</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441</v>
      </c>
      <c r="F147" s="1219">
        <f>SUMIF('10. Inputs &amp; Calcs'!$D$51:$D$56,$C$12,'10. Inputs &amp; Calcs'!$AD$51:$AD$56)</f>
        <v>1694</v>
      </c>
      <c r="G147" s="1219"/>
      <c r="H147" s="1283"/>
    </row>
    <row r="148" spans="1:8" x14ac:dyDescent="0.45">
      <c r="B148" s="1261" t="s">
        <v>1559</v>
      </c>
      <c r="C148" s="18"/>
      <c r="D148" s="18"/>
      <c r="E148" s="971">
        <f ca="1">-E145/E147</f>
        <v>593306.36869405827</v>
      </c>
      <c r="F148" s="971">
        <f ca="1">-F145/F147</f>
        <v>462495.1244479373</v>
      </c>
      <c r="G148" s="18"/>
      <c r="H148" s="1283"/>
    </row>
    <row r="149" spans="1:8" x14ac:dyDescent="0.45">
      <c r="B149" s="1260" t="s">
        <v>1503</v>
      </c>
      <c r="C149" s="558"/>
      <c r="D149" s="558"/>
      <c r="E149" s="971">
        <f>IF(E$147&lt;&gt;0,E141/E$147,0)</f>
        <v>8704.8643119502794</v>
      </c>
      <c r="F149" s="971">
        <f>IF(F$147&lt;&gt;0,F141/F$147,0)</f>
        <v>11925.41459338291</v>
      </c>
      <c r="G149" s="971"/>
      <c r="H149" s="1283"/>
    </row>
    <row r="150" spans="1:8" x14ac:dyDescent="0.45">
      <c r="B150" s="1263" t="s">
        <v>1511</v>
      </c>
      <c r="C150" s="558"/>
      <c r="D150" s="558"/>
      <c r="E150" s="1220">
        <f ca="1">SUM('9d. Forecast Results - Gau'!S67:W67)</f>
        <v>7888781.1516946303</v>
      </c>
      <c r="F150" s="1220">
        <f ca="1">'9d. Forecast Results - Gau'!AL67</f>
        <v>358136910.7846632</v>
      </c>
      <c r="G150" s="971"/>
      <c r="H150" s="1283"/>
    </row>
    <row r="151" spans="1:8" x14ac:dyDescent="0.45">
      <c r="B151" s="1260" t="s">
        <v>1558</v>
      </c>
      <c r="C151" s="18"/>
      <c r="D151" s="18"/>
      <c r="E151" s="971">
        <f ca="1">E150/E147</f>
        <v>17888.392634228185</v>
      </c>
      <c r="F151" s="971">
        <f ca="1">F150/F147</f>
        <v>211414.9414313242</v>
      </c>
      <c r="G151" s="971"/>
      <c r="H151" s="1283"/>
    </row>
    <row r="152" spans="1:8" x14ac:dyDescent="0.45">
      <c r="B152" s="1260" t="s">
        <v>1713</v>
      </c>
      <c r="C152" s="18"/>
      <c r="D152" s="18"/>
      <c r="E152" s="971">
        <f ca="1">E150+E146</f>
        <v>269536889.74577433</v>
      </c>
      <c r="F152" s="971">
        <f ca="1">F150+F146</f>
        <v>1141603651.5994689</v>
      </c>
      <c r="G152" s="971"/>
      <c r="H152" s="1283"/>
    </row>
    <row r="153" spans="1:8" x14ac:dyDescent="0.45">
      <c r="B153" s="1260" t="s">
        <v>1712</v>
      </c>
      <c r="C153" s="18"/>
      <c r="D153" s="18"/>
      <c r="E153" s="971">
        <f ca="1">E152/E147</f>
        <v>611194.76132828649</v>
      </c>
      <c r="F153" s="971">
        <f ca="1">F152/F147</f>
        <v>673910.06587926147</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 ca="1">-SUM('9d. Forecast Results - Gau'!S54:W54)</f>
        <v>269536889.74577433</v>
      </c>
      <c r="F156" s="1220">
        <f ca="1">-'9d. Forecast Results - Gau'!AL54</f>
        <v>1141603651.5994687</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269536889.74577433</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1141603651.5994687</v>
      </c>
      <c r="G157" s="558"/>
      <c r="H157" s="1283"/>
    </row>
    <row r="158" spans="1:8" x14ac:dyDescent="0.45">
      <c r="B158" s="1260" t="s">
        <v>1715</v>
      </c>
      <c r="C158" s="558"/>
      <c r="D158" s="558"/>
      <c r="E158" s="1221">
        <f ca="1">E156-E157</f>
        <v>0</v>
      </c>
      <c r="F158" s="1221">
        <f ca="1">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 ca="1">F$148-153000</f>
        <v>309495.1244479373</v>
      </c>
      <c r="G161" s="1286">
        <f ca="1">$F$148/153000</f>
        <v>3.0228439506401132</v>
      </c>
      <c r="H161" s="1283"/>
    </row>
    <row r="162" spans="1:8" x14ac:dyDescent="0.45">
      <c r="B162" s="1260" t="s">
        <v>1709</v>
      </c>
      <c r="C162" s="558"/>
      <c r="D162" s="558"/>
      <c r="E162" s="18"/>
      <c r="F162" s="1221">
        <f ca="1">F$148-155000</f>
        <v>307495.1244479373</v>
      </c>
      <c r="G162" s="1286">
        <f ca="1">$F$148/155000</f>
        <v>2.9838395125673376</v>
      </c>
      <c r="H162" s="1283"/>
    </row>
    <row r="163" spans="1:8" x14ac:dyDescent="0.45">
      <c r="B163" s="1260" t="s">
        <v>1708</v>
      </c>
      <c r="C163" s="558"/>
      <c r="D163" s="558"/>
      <c r="E163" s="18"/>
      <c r="F163" s="1221">
        <f ca="1">F$148-265000</f>
        <v>197495.1244479373</v>
      </c>
      <c r="G163" s="1286">
        <f ca="1">$F$148/265000</f>
        <v>1.745264620558254</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'9d. Forecast Results - Gau'!R$5</f>
        <v>2017/18</v>
      </c>
      <c r="C166" s="18"/>
      <c r="D166" s="18"/>
      <c r="E166" s="971">
        <f ca="1">-SUMIF('9d. Forecast Results - Gau'!$R$5:$W$5,$B166,'9d. Forecast Results - Gau'!$R$51:$W$51)</f>
        <v>53274822.587779328</v>
      </c>
      <c r="F166" s="1136">
        <f>SUMIF('9d. Forecast Results - Gau'!$R$5:$W$5,$B166,'9d. Forecast Results - Gau'!$R$13:$W$13)</f>
        <v>1524</v>
      </c>
      <c r="G166" s="971">
        <f t="shared" ref="G166:G173" ca="1" si="0">IF(F166&lt;&gt;0,E166/F166,0)</f>
        <v>34957.232669146542</v>
      </c>
      <c r="H166" s="1283"/>
    </row>
    <row r="167" spans="1:8" x14ac:dyDescent="0.45">
      <c r="B167" s="1260" t="str">
        <f>'9d. Forecast Results - Gau'!S$5</f>
        <v>2018/19</v>
      </c>
      <c r="C167" s="18"/>
      <c r="D167" s="18"/>
      <c r="E167" s="1215">
        <f ca="1">-SUMIF('9d. Forecast Results - Gau'!$R$5:$W$5,$B167,'9d. Forecast Results - Gau'!$R$51:$W$51)</f>
        <v>53273549.058905281</v>
      </c>
      <c r="F167" s="1222">
        <f>SUMIF('9d. Forecast Results - Gau'!$R$5:$W$5,$B167,'9d. Forecast Results - Gau'!$R$13:$W$13)</f>
        <v>1439</v>
      </c>
      <c r="G167" s="1215">
        <f t="shared" ca="1" si="0"/>
        <v>37021.229366855652</v>
      </c>
      <c r="H167" s="1283"/>
    </row>
    <row r="168" spans="1:8" x14ac:dyDescent="0.45">
      <c r="B168" s="1260" t="str">
        <f>'9d. Forecast Results - Gau'!T$5</f>
        <v>2019/20</v>
      </c>
      <c r="C168" s="18"/>
      <c r="D168" s="18"/>
      <c r="E168" s="1216">
        <f ca="1">-SUMIF('9d. Forecast Results - Gau'!$R$5:$W$5,$B168,'9d. Forecast Results - Gau'!$R$51:$W$51)</f>
        <v>53012444.989874825</v>
      </c>
      <c r="F168" s="1223">
        <f>SUMIF('9d. Forecast Results - Gau'!$R$5:$W$5,$B168,'9d. Forecast Results - Gau'!$R$13:$W$13)</f>
        <v>1350</v>
      </c>
      <c r="G168" s="1216">
        <f t="shared" ca="1" si="0"/>
        <v>39268.477770277648</v>
      </c>
      <c r="H168" s="1283"/>
    </row>
    <row r="169" spans="1:8" x14ac:dyDescent="0.45">
      <c r="B169" s="1260" t="str">
        <f>'9d. Forecast Results - Gau'!U$5</f>
        <v>2020/21</v>
      </c>
      <c r="C169" s="18"/>
      <c r="D169" s="18"/>
      <c r="E169" s="1216">
        <f ca="1">-SUMIF('9d. Forecast Results - Gau'!$R$5:$W$5,$B169,'9d. Forecast Results - Gau'!$R$51:$W$51)</f>
        <v>52545927.668875955</v>
      </c>
      <c r="F169" s="1223">
        <f>SUMIF('9d. Forecast Results - Gau'!$R$5:$W$5,$B169,'9d. Forecast Results - Gau'!$R$13:$W$13)</f>
        <v>1261</v>
      </c>
      <c r="G169" s="1216">
        <f t="shared" ca="1" si="0"/>
        <v>41670.045732653416</v>
      </c>
      <c r="H169" s="1283"/>
    </row>
    <row r="170" spans="1:8" x14ac:dyDescent="0.45">
      <c r="B170" s="1260" t="str">
        <f>'9d. Forecast Results - Gau'!V$5</f>
        <v>2021/22</v>
      </c>
      <c r="C170" s="18"/>
      <c r="D170" s="18"/>
      <c r="E170" s="1216">
        <f ca="1">-SUMIF('9d. Forecast Results - Gau'!$R$5:$W$5,$B170,'9d. Forecast Results - Gau'!$R$51:$W$51)</f>
        <v>51865897.292090692</v>
      </c>
      <c r="F170" s="1223">
        <f>SUMIF('9d. Forecast Results - Gau'!$R$5:$W$5,$B170,'9d. Forecast Results - Gau'!$R$13:$W$13)</f>
        <v>1172</v>
      </c>
      <c r="G170" s="1216">
        <f t="shared" ca="1" si="0"/>
        <v>44254.178576869192</v>
      </c>
      <c r="H170" s="1283"/>
    </row>
    <row r="171" spans="1:8" x14ac:dyDescent="0.45">
      <c r="B171" s="1260" t="str">
        <f>'9d. Forecast Results - Gau'!W$5</f>
        <v>2022/23</v>
      </c>
      <c r="C171" s="18"/>
      <c r="D171" s="18"/>
      <c r="E171" s="1217">
        <f ca="1">-SUMIF('9d. Forecast Results - Gau'!$R$5:$W$5,$B171,'9d. Forecast Results - Gau'!$R$51:$W$51)</f>
        <v>50950289.584332943</v>
      </c>
      <c r="F171" s="1224">
        <f>SUMIF('9d. Forecast Results - Gau'!$R$5:$W$5,$B171,'9d. Forecast Results - Gau'!$R$13:$W$13)</f>
        <v>1083</v>
      </c>
      <c r="G171" s="1217">
        <f t="shared" ca="1" si="0"/>
        <v>47045.512081563196</v>
      </c>
      <c r="H171" s="1283"/>
    </row>
    <row r="172" spans="1:8" x14ac:dyDescent="0.45">
      <c r="B172" s="1263" t="s">
        <v>1516</v>
      </c>
      <c r="C172" s="18"/>
      <c r="D172" s="18"/>
      <c r="E172" s="1220">
        <f ca="1">SUM(E167:E171)</f>
        <v>261648108.5940797</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441</v>
      </c>
      <c r="G172" s="1220">
        <f t="shared" ca="1" si="0"/>
        <v>593306.36869405827</v>
      </c>
      <c r="H172" s="1283"/>
    </row>
    <row r="173" spans="1:8" x14ac:dyDescent="0.45">
      <c r="A173" s="18"/>
      <c r="B173" s="1263" t="s">
        <v>1520</v>
      </c>
      <c r="C173" s="18"/>
      <c r="D173" s="18"/>
      <c r="E173" s="1220">
        <f ca="1">-'9d. Forecast Results - Gau'!AL$51</f>
        <v>783466740.81480563</v>
      </c>
      <c r="F173" s="1290">
        <f>SUMIF('10. Inputs &amp; Calcs'!$D$520:$D$525,$C$12,'10. Inputs &amp; Calcs'!$H$520:$H$525)</f>
        <v>1694</v>
      </c>
      <c r="G173" s="1220">
        <f t="shared" ca="1" si="0"/>
        <v>462495.12444793718</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'9d. Forecast Results - Gau'!R$5</f>
        <v>2017/18</v>
      </c>
      <c r="C176" s="18"/>
      <c r="D176" s="18"/>
      <c r="E176" s="971">
        <f ca="1">-SUMIF('9d. Forecast Results - Gau'!$R$5:$W$5,$B176,'9d. Forecast Results - Gau'!$R$53:$W$53)</f>
        <v>1520513.3739093961</v>
      </c>
      <c r="F176" s="1136">
        <f>SUMIF('10. Inputs &amp; Calcs'!$D$51:$D$56,$C$12,'10. Inputs &amp; Calcs'!$J$51:$J$56)</f>
        <v>85</v>
      </c>
      <c r="G176" s="971">
        <f t="shared" ref="G176:G183" ca="1" si="1">IF(F176&lt;&gt;0,E176/F176,0)</f>
        <v>17888.392634228188</v>
      </c>
      <c r="H176" s="1283"/>
    </row>
    <row r="177" spans="1:8" x14ac:dyDescent="0.45">
      <c r="A177" s="18"/>
      <c r="B177" s="1260" t="str">
        <f>'9d. Forecast Results - Gau'!S$5</f>
        <v>2018/19</v>
      </c>
      <c r="C177" s="18"/>
      <c r="D177" s="18"/>
      <c r="E177" s="1215">
        <f ca="1">-SUMIF('9d. Forecast Results - Gau'!$R$5:$W$5,$B177,'9d. Forecast Results - Gau'!$R$53:$W$53)</f>
        <v>1520513.3739093961</v>
      </c>
      <c r="F177" s="1222">
        <f>IF($AA$19='14. Permanent Info'!$N$7,SUMIF('10. Inputs &amp; Calcs'!$D$51:$D$56,$C$12,'10. Inputs &amp; Calcs'!$K$51:$K$56)-SUMIF('10. Inputs &amp; Calcs'!$D$106:$D$111,$C$12,'10. Inputs &amp; Calcs'!$K$106:$K$111),SUMIF('10. Inputs &amp; Calcs'!$D$51:$D$56,$C$12,'10. Inputs &amp; Calcs'!$K$51:$K$56))</f>
        <v>85</v>
      </c>
      <c r="G177" s="1215">
        <f t="shared" ca="1" si="1"/>
        <v>17888.392634228188</v>
      </c>
      <c r="H177" s="1283"/>
    </row>
    <row r="178" spans="1:8" x14ac:dyDescent="0.45">
      <c r="A178" s="18"/>
      <c r="B178" s="1260" t="str">
        <f>'9d. Forecast Results - Gau'!T$5</f>
        <v>2019/20</v>
      </c>
      <c r="C178" s="18"/>
      <c r="D178" s="18"/>
      <c r="E178" s="1216">
        <f ca="1">-SUMIF('9d. Forecast Results - Gau'!$R$5:$W$5,$B178,'9d. Forecast Results - Gau'!$R$53:$W$53)</f>
        <v>1592066.9444463088</v>
      </c>
      <c r="F178" s="1223">
        <f>IF($AA$19='14. Permanent Info'!$N$7,SUMIF('10. Inputs &amp; Calcs'!$D$51:$D$56,$C$12,'10. Inputs &amp; Calcs'!$L$51:$L$56)-SUMIF('10. Inputs &amp; Calcs'!$D$106:$D$111,$C$12,'10. Inputs &amp; Calcs'!$L$106:$L$111),SUMIF('10. Inputs &amp; Calcs'!$D$51:$D$56,$C$12,'10. Inputs &amp; Calcs'!$L$51:$L$56))</f>
        <v>89</v>
      </c>
      <c r="G178" s="1216">
        <f t="shared" ca="1" si="1"/>
        <v>17888.392634228188</v>
      </c>
      <c r="H178" s="1283"/>
    </row>
    <row r="179" spans="1:8" x14ac:dyDescent="0.45">
      <c r="A179" s="18"/>
      <c r="B179" s="1260" t="str">
        <f>'9d. Forecast Results - Gau'!U$5</f>
        <v>2020/21</v>
      </c>
      <c r="C179" s="18"/>
      <c r="D179" s="18"/>
      <c r="E179" s="1216">
        <f ca="1">-SUMIF('9d. Forecast Results - Gau'!$R$5:$W$5,$B179,'9d. Forecast Results - Gau'!$R$53:$W$53)</f>
        <v>1592066.9444463088</v>
      </c>
      <c r="F179" s="1223">
        <f>IF($AA$19='14. Permanent Info'!$N$7,SUMIF('10. Inputs &amp; Calcs'!$D$51:$D$56,$C$12,'10. Inputs &amp; Calcs'!$M$51:$M$56)-SUMIF('10. Inputs &amp; Calcs'!$D$106:$D$111,$C$12,'10. Inputs &amp; Calcs'!$M$106:$M$111),SUMIF('10. Inputs &amp; Calcs'!$D$51:$D$56,$C$12,'10. Inputs &amp; Calcs'!$M$51:$M$56))</f>
        <v>89</v>
      </c>
      <c r="G179" s="1216">
        <f t="shared" ca="1" si="1"/>
        <v>17888.392634228188</v>
      </c>
      <c r="H179" s="1283"/>
    </row>
    <row r="180" spans="1:8" x14ac:dyDescent="0.45">
      <c r="A180" s="18"/>
      <c r="B180" s="1260" t="str">
        <f>'9d. Forecast Results - Gau'!V$5</f>
        <v>2021/22</v>
      </c>
      <c r="C180" s="18"/>
      <c r="D180" s="18"/>
      <c r="E180" s="1216">
        <f ca="1">-SUMIF('9d. Forecast Results - Gau'!$R$5:$W$5,$B180,'9d. Forecast Results - Gau'!$R$53:$W$53)</f>
        <v>1592066.9444463088</v>
      </c>
      <c r="F180" s="1223">
        <f>IF($AA$19='14. Permanent Info'!$N$7,SUMIF('10. Inputs &amp; Calcs'!$D$51:$D$56,$C$12,'10. Inputs &amp; Calcs'!$N$51:$N$56)-SUMIF('10. Inputs &amp; Calcs'!$D$106:$D$111,$C$12,'10. Inputs &amp; Calcs'!$N$106:$N$111),SUMIF('10. Inputs &amp; Calcs'!$D$51:$D$56,$C$12,'10. Inputs &amp; Calcs'!$N$51:$N$56))</f>
        <v>89</v>
      </c>
      <c r="G180" s="1216">
        <f t="shared" ca="1" si="1"/>
        <v>17888.392634228188</v>
      </c>
      <c r="H180" s="1283"/>
    </row>
    <row r="181" spans="1:8" x14ac:dyDescent="0.45">
      <c r="A181" s="18"/>
      <c r="B181" s="1260" t="str">
        <f>'9d. Forecast Results - Gau'!W$5</f>
        <v>2022/23</v>
      </c>
      <c r="C181" s="18"/>
      <c r="D181" s="18"/>
      <c r="E181" s="1217">
        <f ca="1">-SUMIF('9d. Forecast Results - Gau'!$R$5:$W$5,$B181,'9d. Forecast Results - Gau'!$R$53:$W$53)</f>
        <v>1592066.9444463088</v>
      </c>
      <c r="F181" s="1224">
        <f>IF($AA$19='14. Permanent Info'!$N$7,SUMIF('10. Inputs &amp; Calcs'!$D$51:$D$56,$C$12,'10. Inputs &amp; Calcs'!$O$51:$O$56)-SUMIF('10. Inputs &amp; Calcs'!$D$106:$D$111,$C$12,'10. Inputs &amp; Calcs'!$O$106:$O$111),SUMIF('10. Inputs &amp; Calcs'!$D$51:$D$56,$C$12,'10. Inputs &amp; Calcs'!$O$51:$O$56))</f>
        <v>89</v>
      </c>
      <c r="G181" s="1217">
        <f t="shared" ca="1" si="1"/>
        <v>17888.392634228188</v>
      </c>
      <c r="H181" s="1283"/>
    </row>
    <row r="182" spans="1:8" x14ac:dyDescent="0.45">
      <c r="B182" s="1263" t="s">
        <v>1516</v>
      </c>
      <c r="C182" s="18"/>
      <c r="D182" s="18"/>
      <c r="E182" s="1220">
        <f ca="1">SUM(E177:E181)</f>
        <v>7888781.1516946303</v>
      </c>
      <c r="F182" s="1291">
        <f>SUM(F177:F181)</f>
        <v>441</v>
      </c>
      <c r="G182" s="1220">
        <f t="shared" ca="1" si="1"/>
        <v>17888.392634228185</v>
      </c>
      <c r="H182" s="1283"/>
    </row>
    <row r="183" spans="1:8" x14ac:dyDescent="0.45">
      <c r="B183" s="1263" t="s">
        <v>1521</v>
      </c>
      <c r="C183" s="18"/>
      <c r="D183" s="18"/>
      <c r="E183" s="1220">
        <f ca="1">-'9d. Forecast Results - Gau'!AL$53</f>
        <v>358136910.7846632</v>
      </c>
      <c r="F183" s="1290">
        <f>-SUMIF('10. Inputs &amp; Calcs'!$D$106:$D$111,$C$12,'10. Inputs &amp; Calcs'!$AD$106:$AD$111)+-SUMIF('10. Inputs &amp; Calcs'!$D$60:$D$65,$C$12,'10. Inputs &amp; Calcs'!$AD$60:$AD$65)</f>
        <v>2150</v>
      </c>
      <c r="G183" s="1220">
        <f t="shared" ca="1" si="1"/>
        <v>166575.30734170382</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 ca="1">E136</f>
        <v>2335717.9779444402</v>
      </c>
      <c r="H204" s="1235">
        <f ca="1">F136</f>
        <v>8617295.3720476329</v>
      </c>
    </row>
    <row r="205" spans="1:8" hidden="1" outlineLevel="1" x14ac:dyDescent="0.45">
      <c r="E205" s="1245" t="str">
        <f>B137</f>
        <v>Costs/Expenses</v>
      </c>
      <c r="F205" s="4"/>
      <c r="G205" s="1234">
        <f t="shared" si="2"/>
        <v>263983826.57202414</v>
      </c>
      <c r="H205" s="1236">
        <f t="shared" si="2"/>
        <v>792084036.18685341</v>
      </c>
    </row>
    <row r="206" spans="1:8" hidden="1" outlineLevel="1" x14ac:dyDescent="0.45">
      <c r="E206" s="1245" t="str">
        <f>B145</f>
        <v>Net Surplus / (deficit)</v>
      </c>
      <c r="F206" s="4"/>
      <c r="G206" s="1237">
        <f ca="1">E145</f>
        <v>-261648108.5940797</v>
      </c>
      <c r="H206" s="1235">
        <f ca="1">F145</f>
        <v>-783466740.81480575</v>
      </c>
    </row>
    <row r="207" spans="1:8" hidden="1" outlineLevel="1" x14ac:dyDescent="0.45">
      <c r="E207" s="1245" t="str">
        <f>B146</f>
        <v>Net Surplus / (deficit) funded by HSDG Top Slice</v>
      </c>
      <c r="F207" s="4"/>
      <c r="G207" s="1237">
        <f ca="1">E146</f>
        <v>261648108.5940797</v>
      </c>
      <c r="H207" s="1235">
        <f ca="1">F146</f>
        <v>783466740.81480575</v>
      </c>
    </row>
    <row r="208" spans="1:8" hidden="1" outlineLevel="1" x14ac:dyDescent="0.45">
      <c r="E208" s="1245" t="str">
        <f>B150</f>
        <v>Total EEDBS utilised</v>
      </c>
      <c r="F208" s="4"/>
      <c r="G208" s="1234">
        <f t="shared" ref="G208:H211" ca="1" si="3">E150</f>
        <v>7888781.1516946303</v>
      </c>
      <c r="H208" s="1236">
        <f t="shared" ca="1" si="3"/>
        <v>358136910.7846632</v>
      </c>
    </row>
    <row r="209" spans="2:8" hidden="1" outlineLevel="1" x14ac:dyDescent="0.45">
      <c r="E209" s="1245" t="str">
        <f>B151</f>
        <v>EEDBS per Existing Rental Unit</v>
      </c>
      <c r="F209" s="4"/>
      <c r="G209" s="1234">
        <f t="shared" ca="1" si="3"/>
        <v>17888.392634228185</v>
      </c>
      <c r="H209" s="1236">
        <f t="shared" ca="1" si="3"/>
        <v>211414.9414313242</v>
      </c>
    </row>
    <row r="210" spans="2:8" hidden="1" outlineLevel="1" x14ac:dyDescent="0.45">
      <c r="E210" s="1245" t="str">
        <f>B152</f>
        <v>Total Government Contribution over 20 years</v>
      </c>
      <c r="F210" s="4"/>
      <c r="G210" s="1234">
        <f t="shared" ca="1" si="3"/>
        <v>269536889.74577433</v>
      </c>
      <c r="H210" s="1236">
        <f t="shared" ca="1" si="3"/>
        <v>1141603651.5994689</v>
      </c>
    </row>
    <row r="211" spans="2:8" hidden="1" outlineLevel="1" x14ac:dyDescent="0.45">
      <c r="E211" s="1246" t="str">
        <f>B153</f>
        <v>Total Government Contribution p.u.</v>
      </c>
      <c r="F211" s="931"/>
      <c r="G211" s="1247">
        <f t="shared" ca="1" si="3"/>
        <v>611194.76132828649</v>
      </c>
      <c r="H211" s="1248">
        <f t="shared" ca="1" si="3"/>
        <v>673910.06587926147</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'9d. Forecast Results - Gau'!AL89</f>
        <v>-14237216.261052625</v>
      </c>
    </row>
    <row r="216" spans="2:8" hidden="1" outlineLevel="1" x14ac:dyDescent="0.45">
      <c r="B216" s="1057" t="s">
        <v>1560</v>
      </c>
      <c r="C216" s="1060"/>
      <c r="D216" s="1060"/>
      <c r="E216" s="1070">
        <f>SUM('9d. Forecast Results - Gau'!P12:P13)</f>
        <v>2150</v>
      </c>
    </row>
    <row r="217" spans="2:8" hidden="1" outlineLevel="1" x14ac:dyDescent="0.45">
      <c r="B217" s="1071" t="s">
        <v>1509</v>
      </c>
      <c r="C217" s="1072"/>
      <c r="D217" s="1072"/>
      <c r="E217" s="1073">
        <f>E215/E216</f>
        <v>-6621.9610516523835</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'9d. Forecast Results - Gau'!R$5</f>
        <v>2017/18</v>
      </c>
      <c r="E221" s="552">
        <f>SUMIF('9d. Forecast Results - Gau'!$R$5:$W$5,$B221,'9d. Forecast Results - Gau'!$R$52:$W$52)</f>
        <v>0</v>
      </c>
      <c r="F221" s="785">
        <f>SUMIF('10. Inputs &amp; Calcs'!$D$106:$D$111,$C$12,'10. Inputs &amp; Calcs'!$J$106:$J$111)</f>
        <v>0</v>
      </c>
      <c r="G221" s="552">
        <f>IF(F221&lt;&gt;0,E221/F221,0)</f>
        <v>0</v>
      </c>
    </row>
    <row r="222" spans="2:8" hidden="1" outlineLevel="1" x14ac:dyDescent="0.45">
      <c r="B222" s="948" t="str">
        <f>'9d. Forecast Results - Gau'!S$5</f>
        <v>2018/19</v>
      </c>
      <c r="E222" s="973">
        <f>SUMIF('9d. Forecast Results - Gau'!$R$5:$W$5,$B222,'9d. Forecast Results - Gau'!$R$52:$W$52)</f>
        <v>0</v>
      </c>
      <c r="F222" s="974">
        <f>SUMIF('10. Inputs &amp; Calcs'!$D$106:$D$111,$C$12,'10. Inputs &amp; Calcs'!$K$106:$K$111)</f>
        <v>0</v>
      </c>
      <c r="G222" s="753">
        <f t="shared" ref="G222:G227" si="4">IF(F222&lt;&gt;0,E222/F222,0)</f>
        <v>0</v>
      </c>
    </row>
    <row r="223" spans="2:8" hidden="1" outlineLevel="1" x14ac:dyDescent="0.45">
      <c r="B223" s="948" t="str">
        <f>'9d. Forecast Results - Gau'!T$5</f>
        <v>2019/20</v>
      </c>
      <c r="E223" s="975">
        <f>SUMIF('9d. Forecast Results - Gau'!$R$5:$W$5,$B223,'9d. Forecast Results - Gau'!$R$52:$W$52)</f>
        <v>0</v>
      </c>
      <c r="F223" s="976">
        <f>SUMIF('10. Inputs &amp; Calcs'!$D$106:$D$111,$C$12,'10. Inputs &amp; Calcs'!$L$106:$L$111)</f>
        <v>0</v>
      </c>
      <c r="G223" s="888">
        <f t="shared" si="4"/>
        <v>0</v>
      </c>
    </row>
    <row r="224" spans="2:8" hidden="1" outlineLevel="1" x14ac:dyDescent="0.45">
      <c r="B224" s="948" t="str">
        <f>'9d. Forecast Results - Gau'!U$5</f>
        <v>2020/21</v>
      </c>
      <c r="E224" s="975">
        <f>SUMIF('9d. Forecast Results - Gau'!$R$5:$W$5,$B224,'9d. Forecast Results - Gau'!$R$52:$W$52)</f>
        <v>0</v>
      </c>
      <c r="F224" s="976">
        <f>SUMIF('10. Inputs &amp; Calcs'!$D$106:$D$111,$C$12,'10. Inputs &amp; Calcs'!$M$106:$M$111)</f>
        <v>0</v>
      </c>
      <c r="G224" s="888">
        <f t="shared" si="4"/>
        <v>0</v>
      </c>
    </row>
    <row r="225" spans="2:8" hidden="1" outlineLevel="1" x14ac:dyDescent="0.45">
      <c r="B225" s="948" t="str">
        <f>'9d. Forecast Results - Gau'!V$5</f>
        <v>2021/22</v>
      </c>
      <c r="E225" s="975">
        <f>SUMIF('9d. Forecast Results - Gau'!$R$5:$W$5,$B225,'9d. Forecast Results - Gau'!$R$52:$W$52)</f>
        <v>0</v>
      </c>
      <c r="F225" s="976">
        <f>SUMIF('10. Inputs &amp; Calcs'!$D$106:$D$111,$C$12,'10. Inputs &amp; Calcs'!$N$106:$N$111)</f>
        <v>0</v>
      </c>
      <c r="G225" s="888">
        <f t="shared" si="4"/>
        <v>0</v>
      </c>
    </row>
    <row r="226" spans="2:8" hidden="1" outlineLevel="1" x14ac:dyDescent="0.45">
      <c r="B226" s="948" t="str">
        <f>'9d. Forecast Results - Gau'!W$5</f>
        <v>2022/23</v>
      </c>
      <c r="E226" s="977">
        <f>SUMIF('9d. Forecast Results - Gau'!$R$5:$W$5,$B226,'9d. Forecast Results - Gau'!$R$52:$W$52)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'9d. Forecast Results - Gau'!AL$52</f>
        <v>0</v>
      </c>
      <c r="F228" s="785">
        <f>SUMIF('10. Inputs &amp; Calcs'!$D$106:$D$111,$C$12,'10. Inputs &amp; Calcs'!$AD$106:$AD$111)</f>
        <v>-2150</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'9d. Forecast Results - Gau'!R$5</f>
        <v>2017/18</v>
      </c>
      <c r="E232" s="552">
        <f ca="1">SUMIF('10. Inputs &amp; Calcs'!$D$619:$D$624,$C$12,'10. Inputs &amp; Calcs'!$J$619:$J$629)-E176</f>
        <v>-3300829.5071148272</v>
      </c>
      <c r="F232" s="785">
        <f>SUMIF('10. Inputs &amp; Calcs'!$D$51:$D$56,$C$12,'10. Inputs &amp; Calcs'!$J$51:$J$56)</f>
        <v>85</v>
      </c>
      <c r="G232" s="552">
        <f ca="1">IF(F232&lt;&gt;0,E232/F232,0)</f>
        <v>-38833.288318997969</v>
      </c>
      <c r="H232" s="930"/>
    </row>
    <row r="233" spans="2:8" hidden="1" outlineLevel="1" x14ac:dyDescent="0.45">
      <c r="B233" s="948" t="str">
        <f>'9d. Forecast Results - Gau'!S$5</f>
        <v>2018/19</v>
      </c>
      <c r="E233" s="973">
        <f>SUMIF('10. Inputs &amp; Calcs'!$D$619:$D$624,$C$12,'10. Inputs &amp; Calcs'!$K$619:$K$629)</f>
        <v>-1868031.3979929164</v>
      </c>
      <c r="F233" s="974">
        <f>SUMIF('10. Inputs &amp; Calcs'!$D$51:$D$56,$C$12,'10. Inputs &amp; Calcs'!$K$51:$K$56)</f>
        <v>85</v>
      </c>
      <c r="G233" s="753">
        <f t="shared" ref="G233:G239" si="5">IF(F233&lt;&gt;0,E233/F233,0)</f>
        <v>-21976.839976387251</v>
      </c>
      <c r="H233" s="930"/>
    </row>
    <row r="234" spans="2:8" hidden="1" outlineLevel="1" x14ac:dyDescent="0.45">
      <c r="B234" s="948" t="str">
        <f>'9d. Forecast Results - Gau'!T$5</f>
        <v>2019/20</v>
      </c>
      <c r="E234" s="975">
        <f>SUMIF('10. Inputs &amp; Calcs'!$D$619:$D$624,$C$12,'10. Inputs &amp; Calcs'!$L$619:$L$629)</f>
        <v>-2047781.7998524206</v>
      </c>
      <c r="F234" s="976">
        <f>SUMIF('10. Inputs &amp; Calcs'!$D$51:$D$56,$C$12,'10. Inputs &amp; Calcs'!$L$51:$L$56)</f>
        <v>89</v>
      </c>
      <c r="G234" s="888">
        <f t="shared" si="5"/>
        <v>-23008.784268004725</v>
      </c>
      <c r="H234" s="930"/>
    </row>
    <row r="235" spans="2:8" hidden="1" outlineLevel="1" x14ac:dyDescent="0.45">
      <c r="B235" s="948" t="str">
        <f>'9d. Forecast Results - Gau'!U$5</f>
        <v>2020/21</v>
      </c>
      <c r="E235" s="975">
        <f>SUMIF('10. Inputs &amp; Calcs'!$D$619:$D$624,$C$12,'10. Inputs &amp; Calcs'!$M$619:$M$629)</f>
        <v>-2139624.8418063759</v>
      </c>
      <c r="F235" s="976">
        <f>SUMIF('10. Inputs &amp; Calcs'!$D$51:$D$56,$C$12,'10. Inputs &amp; Calcs'!$M$51:$M$56)</f>
        <v>89</v>
      </c>
      <c r="G235" s="888">
        <f t="shared" si="5"/>
        <v>-24040.728559622203</v>
      </c>
      <c r="H235" s="930"/>
    </row>
    <row r="236" spans="2:8" hidden="1" outlineLevel="1" x14ac:dyDescent="0.45">
      <c r="B236" s="948" t="str">
        <f>'9d. Forecast Results - Gau'!V$5</f>
        <v>2021/22</v>
      </c>
      <c r="E236" s="975">
        <f>SUMIF('10. Inputs &amp; Calcs'!$D$619:$D$624,$C$12,'10. Inputs &amp; Calcs'!$N$619:$N$629)</f>
        <v>-2231467.8837603307</v>
      </c>
      <c r="F236" s="976">
        <f>SUMIF('10. Inputs &amp; Calcs'!$D$51:$D$56,$C$12,'10. Inputs &amp; Calcs'!$N$51:$N$56)</f>
        <v>89</v>
      </c>
      <c r="G236" s="888">
        <f t="shared" si="5"/>
        <v>-25072.672851239669</v>
      </c>
      <c r="H236" s="930"/>
    </row>
    <row r="237" spans="2:8" hidden="1" outlineLevel="1" x14ac:dyDescent="0.45">
      <c r="B237" s="948" t="str">
        <f>'9d. Forecast Results - Gau'!W$5</f>
        <v>2022/23</v>
      </c>
      <c r="E237" s="977">
        <f>SUMIF('10. Inputs &amp; Calcs'!$D$619:$D$624,$C$12,'10. Inputs &amp; Calcs'!$O$619:$O$629)</f>
        <v>-2323310.925714286</v>
      </c>
      <c r="F237" s="978">
        <f>SUMIF('10. Inputs &amp; Calcs'!$D$51:$D$56,$C$12,'10. Inputs &amp; Calcs'!$O$51:$O$56)</f>
        <v>89</v>
      </c>
      <c r="G237" s="754">
        <f t="shared" si="5"/>
        <v>-26104.617142857147</v>
      </c>
      <c r="H237" s="930"/>
    </row>
    <row r="238" spans="2:8" hidden="1" outlineLevel="1" x14ac:dyDescent="0.45">
      <c r="B238" s="948" t="s">
        <v>1516</v>
      </c>
      <c r="E238" s="970">
        <f>SUM(E233:E237)</f>
        <v>-10610216.84912633</v>
      </c>
      <c r="F238" s="972">
        <f>SUM(F233:F237)</f>
        <v>441</v>
      </c>
      <c r="G238" s="552">
        <f t="shared" si="5"/>
        <v>-24059.44863747467</v>
      </c>
      <c r="H238" s="930"/>
    </row>
    <row r="239" spans="2:8" hidden="1" outlineLevel="1" x14ac:dyDescent="0.45">
      <c r="B239" s="948" t="s">
        <v>1519</v>
      </c>
      <c r="E239" s="971">
        <f>SUMIF('10. Inputs &amp; Calcs'!$D$619:$D$624,$C$12, '10. Inputs &amp; Calcs'!$AD$619:$AD$624)</f>
        <v>-49428412.335501783</v>
      </c>
      <c r="F239" s="785">
        <f>SUMIF('10. Inputs &amp; Calcs'!$D$520:$D$525,$C$12,'10. Inputs &amp; Calcs'!$H$520:$H$525)</f>
        <v>1694</v>
      </c>
      <c r="G239" s="552">
        <f t="shared" si="5"/>
        <v>-29178.51967857248</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count="2">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21A9CA6E-BC45-4715-A7E8-A54EBD008929}">
      <formula1>$F$22:$G$22</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D56B394E-0F80-4763-A9FC-49466FC5F0B2}">
      <formula1>$D$22:$E$22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751166BC-96F6-4979-9E51-91EDFB76959B}">
          <x14:formula1>
            <xm:f>'14. Permanent Info'!$M$7:$N$7</xm:f>
          </x14:formula1>
          <xm:sqref>AA19</xm:sqref>
        </x14:dataValidation>
        <x14:dataValidation type="list" allowBlank="1" showInputMessage="1" showErrorMessage="1" promptTitle="Years" prompt="Select the number of years required to close this programme from 2018/19._x000a_" xr:uid="{CB1A21B3-AA19-47F0-98D6-4797A153936A}">
          <x14:formula1>
            <xm:f>'14. Permanent Info'!$J$7:$J$23</xm:f>
          </x14:formula1>
          <xm:sqref>AA16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8045A-901D-4EA1-A87E-4918B4454411}">
  <sheetPr>
    <tabColor theme="5" tint="0.79998168889431442"/>
  </sheetPr>
  <dimension ref="A1:CE241"/>
  <sheetViews>
    <sheetView showGridLines="0" zoomScale="65" zoomScaleNormal="65" zoomScaleSheetLayoutView="40" workbookViewId="0">
      <selection activeCell="C11" sqref="C1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I2" s="4"/>
      <c r="J2" s="4"/>
      <c r="AB2" s="803">
        <f>'9e. Forecast Results - KZN'!AO19</f>
        <v>0</v>
      </c>
      <c r="AC2" s="803" t="str">
        <f>'9e. Forecast Results - KZN'!AP19</f>
        <v>2013/14</v>
      </c>
      <c r="AD2" s="803" t="str">
        <f>'9e. Forecast Results - KZN'!AQ19</f>
        <v>2014/15</v>
      </c>
      <c r="AE2" s="803" t="str">
        <f>'9e. Forecast Results - KZN'!AR19</f>
        <v>2015/16</v>
      </c>
      <c r="AF2" s="803" t="str">
        <f>'9e. Forecast Results - KZN'!AS19</f>
        <v>2016/17</v>
      </c>
      <c r="AG2" s="803" t="str">
        <f>'9e. Forecast Results - KZN'!AT19</f>
        <v>2017/18</v>
      </c>
      <c r="AH2" s="803" t="str">
        <f>'9e. Forecast Results - KZN'!AU19</f>
        <v>2018/19</v>
      </c>
      <c r="AI2" s="803" t="str">
        <f>'9e. Forecast Results - KZN'!AV19</f>
        <v>2019/20</v>
      </c>
      <c r="AJ2" s="803" t="str">
        <f>'9e. Forecast Results - KZN'!AW19</f>
        <v>2020/21</v>
      </c>
      <c r="AK2" s="803" t="str">
        <f>'9e. Forecast Results - KZN'!AX19</f>
        <v>2021/22</v>
      </c>
      <c r="AL2" s="803" t="str">
        <f>'9e. Forecast Results - KZN'!AY19</f>
        <v>2022/23</v>
      </c>
      <c r="AM2" s="803" t="str">
        <f>'9e. Forecast Results - KZN'!AZ19</f>
        <v>2023/24</v>
      </c>
      <c r="AN2" s="803" t="str">
        <f>'9e. Forecast Results - KZN'!BA19</f>
        <v>2024/25</v>
      </c>
      <c r="AO2" s="803" t="str">
        <f>'9e. Forecast Results - KZN'!BB19</f>
        <v>2025/26</v>
      </c>
      <c r="AP2" s="803" t="str">
        <f>'9e. Forecast Results - KZN'!BC19</f>
        <v>2026/27</v>
      </c>
      <c r="AQ2" s="803" t="str">
        <f>'9e. Forecast Results - KZN'!BD19</f>
        <v>2027/28</v>
      </c>
      <c r="AR2" s="803" t="str">
        <f>'9e. Forecast Results - KZN'!BE19</f>
        <v>2028/29</v>
      </c>
      <c r="AS2" s="803" t="str">
        <f>'9e. Forecast Results - KZN'!BF19</f>
        <v>2029/30</v>
      </c>
      <c r="AT2" s="803" t="str">
        <f>'9e. Forecast Results - KZN'!BG19</f>
        <v>2030/31</v>
      </c>
      <c r="AU2" s="803" t="str">
        <f>'9e. Forecast Results - KZN'!BH19</f>
        <v>2031/32</v>
      </c>
      <c r="AV2" s="803" t="str">
        <f>'9e. Forecast Results - KZN'!BI19</f>
        <v>3032/33</v>
      </c>
      <c r="AW2" s="803" t="str">
        <f>'9e. Forecast Results - KZN'!BJ19</f>
        <v>2033/34</v>
      </c>
      <c r="AX2" s="803" t="str">
        <f>'9e. Forecast Results - KZN'!BK19</f>
        <v>2034/35</v>
      </c>
      <c r="AY2" s="803" t="str">
        <f>'9e. Forecast Results - KZN'!BL19</f>
        <v>2035/36</v>
      </c>
      <c r="AZ2" s="803" t="str">
        <f>'9e. Forecast Results - KZN'!BM19</f>
        <v>2036/37</v>
      </c>
    </row>
    <row r="3" spans="1:83" x14ac:dyDescent="0.45">
      <c r="C3" s="929" t="s">
        <v>1796</v>
      </c>
      <c r="D3" s="553"/>
      <c r="E3" s="553"/>
      <c r="F3" s="553"/>
      <c r="G3" s="553"/>
      <c r="H3" s="796"/>
      <c r="I3" s="4"/>
      <c r="J3" s="4"/>
      <c r="AB3" s="803" t="str">
        <f>'9e. Forecast Results - KZN'!AO20</f>
        <v>Net Deficit funded by HSDG Top Slice</v>
      </c>
      <c r="AC3" s="1105">
        <f>'9e. Forecast Results - KZN'!AP20</f>
        <v>-50871121.044444449</v>
      </c>
      <c r="AD3" s="1105">
        <f>'9e. Forecast Results - KZN'!AQ20</f>
        <v>-57558593.629444435</v>
      </c>
      <c r="AE3" s="1105">
        <f>'9e. Forecast Results - KZN'!AR20</f>
        <v>-68664631.99333334</v>
      </c>
      <c r="AF3" s="1105">
        <f ca="1">'9e. Forecast Results - KZN'!AS20</f>
        <v>-68333830.554473817</v>
      </c>
      <c r="AG3" s="1105">
        <f ca="1">'9e. Forecast Results - KZN'!AT20</f>
        <v>-65887506.471090525</v>
      </c>
      <c r="AH3" s="1105">
        <f ca="1">'9e. Forecast Results - KZN'!AU20</f>
        <v>-62946965.58384338</v>
      </c>
      <c r="AI3" s="1105">
        <f ca="1">'9e. Forecast Results - KZN'!AV20</f>
        <v>-62298903.164927401</v>
      </c>
      <c r="AJ3" s="1105">
        <f ca="1">'9e. Forecast Results - KZN'!AW20</f>
        <v>-61848324.272219233</v>
      </c>
      <c r="AK3" s="1105">
        <f ca="1">'9e. Forecast Results - KZN'!AX20</f>
        <v>-61150823.495859824</v>
      </c>
      <c r="AL3" s="1105">
        <f ca="1">'9e. Forecast Results - KZN'!AY20</f>
        <v>-60180743.58734142</v>
      </c>
      <c r="AM3" s="1105">
        <f ca="1">'9e. Forecast Results - KZN'!AZ20</f>
        <v>-58910351.939518437</v>
      </c>
      <c r="AN3" s="1105">
        <f ca="1">'9e. Forecast Results - KZN'!BA20</f>
        <v>-57309689.910334095</v>
      </c>
      <c r="AO3" s="1105">
        <f ca="1">'9e. Forecast Results - KZN'!BB20</f>
        <v>-55346411.850116737</v>
      </c>
      <c r="AP3" s="1105">
        <f ca="1">'9e. Forecast Results - KZN'!BC20</f>
        <v>-52985613.155634455</v>
      </c>
      <c r="AQ3" s="1105">
        <f ca="1">'9e. Forecast Results - KZN'!BD20</f>
        <v>-50189646.630793676</v>
      </c>
      <c r="AR3" s="1105">
        <f ca="1">'9e. Forecast Results - KZN'!BE20</f>
        <v>-46917926.387849219</v>
      </c>
      <c r="AS3" s="1105">
        <f ca="1">'9e. Forecast Results - KZN'!BF20</f>
        <v>-43126718.474090755</v>
      </c>
      <c r="AT3" s="1105">
        <f ca="1">'9e. Forecast Results - KZN'!BG20</f>
        <v>-38768917.357007094</v>
      </c>
      <c r="AU3" s="1105">
        <f ca="1">'9e. Forecast Results - KZN'!BH20</f>
        <v>-33793807.345715009</v>
      </c>
      <c r="AV3" s="1105">
        <f ca="1">'9e. Forecast Results - KZN'!BI20</f>
        <v>-28146807.967774194</v>
      </c>
      <c r="AW3" s="1105">
        <f ca="1">'9e. Forecast Results - KZN'!BJ20</f>
        <v>-21769202.25818086</v>
      </c>
      <c r="AX3" s="1105">
        <f ca="1">'9e. Forecast Results - KZN'!BK20</f>
        <v>-14597846.851114951</v>
      </c>
      <c r="AY3" s="1105">
        <f ca="1">'9e. Forecast Results - KZN'!BL20</f>
        <v>-43469.278956009039</v>
      </c>
      <c r="AZ3" s="1105">
        <f ca="1">'9e. Forecast Results - KZN'!BM20</f>
        <v>0</v>
      </c>
    </row>
    <row r="4" spans="1:83" x14ac:dyDescent="0.45">
      <c r="C4" s="1170" t="s">
        <v>1797</v>
      </c>
      <c r="D4" s="4"/>
      <c r="F4" s="4"/>
      <c r="G4" s="4"/>
      <c r="H4" s="930"/>
      <c r="I4" s="4"/>
      <c r="J4" s="4"/>
      <c r="AB4" s="803" t="str">
        <f>'9e. Forecast Results - KZN'!AO21</f>
        <v>EEDBS utilised to settle Existing Sales Debtors Balances Owing</v>
      </c>
      <c r="AC4" s="1105">
        <f>'9e. Forecast Results - KZN'!AP21</f>
        <v>-10104396</v>
      </c>
      <c r="AD4" s="1105">
        <f>'9e. Forecast Results - KZN'!AQ21</f>
        <v>-13221991</v>
      </c>
      <c r="AE4" s="1105">
        <f>'9e. Forecast Results - KZN'!AR21</f>
        <v>-8660989</v>
      </c>
      <c r="AF4" s="1105">
        <f ca="1">'9e. Forecast Results - KZN'!AS21</f>
        <v>-5046912</v>
      </c>
      <c r="AG4" s="1105">
        <f ca="1">'9e. Forecast Results - KZN'!AT21</f>
        <v>-5046912</v>
      </c>
      <c r="AH4" s="1105">
        <f ca="1">'9e. Forecast Results - KZN'!AU21</f>
        <v>-5046912</v>
      </c>
      <c r="AI4" s="1105">
        <f ca="1">'9e. Forecast Results - KZN'!AV21</f>
        <v>-2208024</v>
      </c>
      <c r="AJ4" s="1105">
        <f ca="1">'9e. Forecast Results - KZN'!AW21</f>
        <v>-2208024</v>
      </c>
      <c r="AK4" s="1105">
        <f ca="1">'9e. Forecast Results - KZN'!AX21</f>
        <v>-2208024</v>
      </c>
      <c r="AL4" s="1105">
        <f ca="1">'9e. Forecast Results - KZN'!AY21</f>
        <v>-2208024</v>
      </c>
      <c r="AM4" s="1105">
        <f ca="1">'9e. Forecast Results - KZN'!AZ21</f>
        <v>-2208024</v>
      </c>
      <c r="AN4" s="1105">
        <f ca="1">'9e. Forecast Results - KZN'!BA21</f>
        <v>-2208024</v>
      </c>
      <c r="AO4" s="1105">
        <f ca="1">'9e. Forecast Results - KZN'!BB21</f>
        <v>-2208024</v>
      </c>
      <c r="AP4" s="1105">
        <f ca="1">'9e. Forecast Results - KZN'!BC21</f>
        <v>-2208024</v>
      </c>
      <c r="AQ4" s="1105">
        <f ca="1">'9e. Forecast Results - KZN'!BD21</f>
        <v>-2208024</v>
      </c>
      <c r="AR4" s="1105">
        <f ca="1">'9e. Forecast Results - KZN'!BE21</f>
        <v>-2208024</v>
      </c>
      <c r="AS4" s="1105">
        <f ca="1">'9e. Forecast Results - KZN'!BF21</f>
        <v>-2208024</v>
      </c>
      <c r="AT4" s="1105">
        <f ca="1">'9e. Forecast Results - KZN'!BG21</f>
        <v>-2208024</v>
      </c>
      <c r="AU4" s="1105">
        <f ca="1">'9e. Forecast Results - KZN'!BH21</f>
        <v>-2208024</v>
      </c>
      <c r="AV4" s="1105">
        <f ca="1">'9e. Forecast Results - KZN'!BI21</f>
        <v>-2208024</v>
      </c>
      <c r="AW4" s="1105">
        <f ca="1">'9e. Forecast Results - KZN'!BJ21</f>
        <v>-2208024</v>
      </c>
      <c r="AX4" s="1105">
        <f ca="1">'9e. Forecast Results - KZN'!BK21</f>
        <v>-2208024</v>
      </c>
      <c r="AY4" s="1105">
        <f ca="1">'9e. Forecast Results - KZN'!BL21</f>
        <v>-305808966.51299489</v>
      </c>
      <c r="AZ4" s="1105">
        <f ca="1">'9e. Forecast Results - KZN'!BM21</f>
        <v>0</v>
      </c>
    </row>
    <row r="5" spans="1:83" x14ac:dyDescent="0.45">
      <c r="C5" s="949"/>
      <c r="D5" s="931"/>
      <c r="E5" s="931"/>
      <c r="F5" s="931"/>
      <c r="G5" s="931"/>
      <c r="H5" s="932"/>
      <c r="I5" s="4"/>
      <c r="J5" s="4"/>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4</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KZN BC</v>
      </c>
      <c r="E15" s="1274" t="str">
        <f>$C$12&amp;" "&amp;'14. Permanent Info'!$D$7</f>
        <v>KZN BC</v>
      </c>
      <c r="F15" s="1274" t="str">
        <f>$C$12&amp;" "&amp;'14. Permanent Info'!$D$8</f>
        <v>KZN Sc1</v>
      </c>
      <c r="G15" s="1274" t="str">
        <f>$C$12&amp;" "&amp;'14. Permanent Info'!$D$9</f>
        <v>KZN Sc2</v>
      </c>
      <c r="H15" s="1274" t="str">
        <f>$C$12&amp;" "&amp;'14. Permanent Info'!$D$10</f>
        <v>KZN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KZN'!C16,0)))))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KZN'!C17,0)))))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KZN'!C18,0)))))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KZN'!C19,0)))))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KZN BC</v>
      </c>
      <c r="D24" s="553"/>
      <c r="E24" s="1294" t="str">
        <f>E15</f>
        <v>KZN BC</v>
      </c>
      <c r="F24" s="1294" t="str">
        <f>F15</f>
        <v>KZN Sc1</v>
      </c>
      <c r="G24" s="1294" t="str">
        <f>G15</f>
        <v>KZN Sc2</v>
      </c>
      <c r="H24" s="1294" t="str">
        <f>H15</f>
        <v>KZN Sc3</v>
      </c>
      <c r="I24" s="4"/>
      <c r="J24" s="4"/>
      <c r="K24" s="4"/>
      <c r="L24" s="4"/>
      <c r="M24" s="4"/>
      <c r="N24" s="4"/>
      <c r="O24" s="4"/>
      <c r="P24" s="4"/>
      <c r="Q24" s="4"/>
      <c r="R24" s="4"/>
      <c r="S24" s="4"/>
      <c r="T24" s="4"/>
      <c r="U24" s="4"/>
      <c r="V24" s="4"/>
      <c r="W24" s="4"/>
    </row>
    <row r="25" spans="1:83" x14ac:dyDescent="0.45">
      <c r="B25" s="1260" t="str">
        <f>B136</f>
        <v>Income (=Rent &amp; Sales Income)</v>
      </c>
      <c r="C25" s="1296">
        <f ca="1">$F$136</f>
        <v>20664438.339247774</v>
      </c>
      <c r="D25" s="558"/>
      <c r="E25" s="1296">
        <v>20664438.339247774</v>
      </c>
      <c r="F25" s="1296">
        <v>16875334.027269684</v>
      </c>
      <c r="G25" s="1296">
        <v>15044801.545178384</v>
      </c>
      <c r="H25" s="1297">
        <v>15044801.545178413</v>
      </c>
      <c r="I25" s="4"/>
      <c r="J25" s="4"/>
      <c r="K25" s="4"/>
      <c r="L25" s="4"/>
      <c r="M25" s="4"/>
      <c r="N25" s="4"/>
      <c r="O25" s="4"/>
      <c r="P25" s="4"/>
      <c r="Q25" s="4"/>
      <c r="R25" s="4"/>
      <c r="S25" s="4"/>
      <c r="T25" s="4"/>
      <c r="U25" s="4"/>
      <c r="V25" s="4"/>
      <c r="W25" s="4"/>
    </row>
    <row r="26" spans="1:83" x14ac:dyDescent="0.45">
      <c r="B26" s="1260" t="str">
        <f>B137</f>
        <v>Costs/Expenses</v>
      </c>
      <c r="C26" s="1296">
        <f>$F$137</f>
        <v>965217944.87608898</v>
      </c>
      <c r="D26" s="558"/>
      <c r="E26" s="1296">
        <v>965217944.87608898</v>
      </c>
      <c r="F26" s="1296">
        <v>326233047.89864761</v>
      </c>
      <c r="G26" s="1296">
        <v>219385223.08986914</v>
      </c>
      <c r="H26" s="1298">
        <v>218226212.17605737</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 ca="1">$F$146</f>
        <v>944553506.53684115</v>
      </c>
      <c r="D27" s="558"/>
      <c r="E27" s="1299">
        <v>944553506.53684115</v>
      </c>
      <c r="F27" s="1299">
        <v>309357713.87137794</v>
      </c>
      <c r="G27" s="1299">
        <v>204340421.54469076</v>
      </c>
      <c r="H27" s="1297">
        <v>203181410.63087896</v>
      </c>
      <c r="I27" s="4"/>
      <c r="J27" s="4"/>
      <c r="K27" s="4"/>
      <c r="L27" s="4"/>
      <c r="M27" s="4"/>
      <c r="N27" s="4"/>
      <c r="O27" s="4"/>
      <c r="P27" s="4"/>
      <c r="Q27" s="4"/>
      <c r="R27" s="4"/>
      <c r="S27" s="4"/>
      <c r="T27" s="4"/>
      <c r="U27" s="4"/>
      <c r="V27" s="4"/>
      <c r="W27" s="4"/>
    </row>
    <row r="28" spans="1:83" x14ac:dyDescent="0.45">
      <c r="B28" s="1260" t="str">
        <f>B150</f>
        <v>Total EEDBS utilised</v>
      </c>
      <c r="C28" s="1296">
        <f ca="1">$F$150</f>
        <v>356278086.51299489</v>
      </c>
      <c r="D28" s="558"/>
      <c r="E28" s="1296">
        <v>356278086.51299489</v>
      </c>
      <c r="F28" s="1296">
        <v>356278086.51299483</v>
      </c>
      <c r="G28" s="1296">
        <v>356278086.51299483</v>
      </c>
      <c r="H28" s="1298">
        <v>356278086.51299489</v>
      </c>
      <c r="I28" s="4"/>
      <c r="J28" s="4"/>
      <c r="K28" s="4"/>
      <c r="L28" s="4"/>
      <c r="M28" s="4"/>
      <c r="N28" s="4"/>
      <c r="O28" s="4"/>
      <c r="P28" s="4"/>
      <c r="Q28" s="4"/>
      <c r="R28" s="4"/>
      <c r="S28" s="4"/>
      <c r="T28" s="4"/>
      <c r="U28" s="4"/>
      <c r="V28" s="4"/>
      <c r="W28" s="4"/>
    </row>
    <row r="29" spans="1:83" x14ac:dyDescent="0.45">
      <c r="B29" s="1263" t="s">
        <v>1768</v>
      </c>
      <c r="C29" s="1300">
        <f ca="1">SUM(C27:C28)</f>
        <v>1300831593.0498362</v>
      </c>
      <c r="D29" s="558"/>
      <c r="E29" s="1300">
        <v>1300831593.0498362</v>
      </c>
      <c r="F29" s="1300">
        <v>665635800.38437271</v>
      </c>
      <c r="G29" s="1300">
        <v>560618508.05768561</v>
      </c>
      <c r="H29" s="1301">
        <v>559459497.14387381</v>
      </c>
      <c r="I29" s="4"/>
      <c r="J29" s="4"/>
      <c r="K29" s="4"/>
      <c r="L29" s="4"/>
      <c r="M29" s="4"/>
      <c r="N29" s="4"/>
      <c r="O29" s="4"/>
      <c r="P29" s="4"/>
      <c r="Q29" s="4"/>
      <c r="R29" s="4"/>
      <c r="S29" s="4"/>
      <c r="T29" s="4"/>
      <c r="U29" s="4"/>
      <c r="V29" s="4"/>
      <c r="W29" s="4"/>
    </row>
    <row r="30" spans="1:83" x14ac:dyDescent="0.45">
      <c r="B30" s="1276" t="str">
        <f>B157</f>
        <v>Total HSDG &amp; EEDBS per Base Case</v>
      </c>
      <c r="C30" s="1302">
        <f>$F$157</f>
        <v>1300831593.0498362</v>
      </c>
      <c r="D30" s="558"/>
      <c r="E30" s="1302">
        <v>1300831593.0498362</v>
      </c>
      <c r="F30" s="1302">
        <v>1300831593.0498362</v>
      </c>
      <c r="G30" s="1302">
        <v>1300831593.0498362</v>
      </c>
      <c r="H30" s="1303">
        <v>1300831593.0498362</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 ca="1">C29-$E29</f>
        <v>0</v>
      </c>
      <c r="D31" s="1304"/>
      <c r="E31" s="1293">
        <v>0</v>
      </c>
      <c r="F31" s="1293">
        <v>-635195792.66546345</v>
      </c>
      <c r="G31" s="1293">
        <v>-740213084.99215055</v>
      </c>
      <c r="H31" s="1295">
        <v>-741372095.90596235</v>
      </c>
      <c r="I31" s="4"/>
      <c r="J31" s="4"/>
      <c r="K31" s="4"/>
      <c r="L31" s="4"/>
      <c r="M31" s="4"/>
      <c r="N31" s="4"/>
      <c r="O31" s="4"/>
      <c r="P31" s="4"/>
      <c r="Q31" s="4"/>
      <c r="R31" s="4"/>
      <c r="S31" s="4"/>
      <c r="T31" s="4"/>
      <c r="U31" s="4"/>
      <c r="V31" s="4"/>
      <c r="W31" s="4"/>
    </row>
    <row r="32" spans="1:83" x14ac:dyDescent="0.45">
      <c r="B32" s="1260" t="s">
        <v>155</v>
      </c>
      <c r="C32" s="1305">
        <f>$F$147</f>
        <v>2563</v>
      </c>
      <c r="D32" s="558"/>
      <c r="E32" s="1305">
        <v>2563</v>
      </c>
      <c r="F32" s="1305">
        <v>2563</v>
      </c>
      <c r="G32" s="1305">
        <v>2563</v>
      </c>
      <c r="H32" s="1306">
        <v>2563</v>
      </c>
      <c r="I32" s="4"/>
      <c r="J32" s="4"/>
      <c r="K32" s="4"/>
      <c r="L32" s="4"/>
      <c r="M32" s="4"/>
      <c r="N32" s="4"/>
      <c r="O32" s="4"/>
      <c r="P32" s="4"/>
      <c r="Q32" s="4"/>
      <c r="R32" s="4"/>
      <c r="S32" s="4"/>
      <c r="T32" s="4"/>
      <c r="U32" s="4"/>
      <c r="V32" s="4"/>
      <c r="W32" s="4"/>
    </row>
    <row r="33" spans="1:83" x14ac:dyDescent="0.45">
      <c r="B33" s="1264" t="str">
        <f>B151</f>
        <v>EEDBS per Existing Rental Unit</v>
      </c>
      <c r="C33" s="1296">
        <f ca="1">$F$151</f>
        <v>139008.22727779747</v>
      </c>
      <c r="D33" s="558"/>
      <c r="E33" s="1296">
        <v>139008.22727779747</v>
      </c>
      <c r="F33" s="1296">
        <v>139008.22727779744</v>
      </c>
      <c r="G33" s="1296">
        <v>139008.22727779744</v>
      </c>
      <c r="H33" s="1298">
        <v>139008.22727779747</v>
      </c>
      <c r="I33" s="4"/>
      <c r="J33" s="4"/>
      <c r="K33" s="4"/>
      <c r="L33" s="4"/>
      <c r="M33" s="4"/>
      <c r="N33" s="4"/>
      <c r="O33" s="4"/>
      <c r="P33" s="4"/>
      <c r="Q33" s="4"/>
      <c r="R33" s="4"/>
      <c r="S33" s="4"/>
      <c r="T33" s="4"/>
      <c r="U33" s="4"/>
      <c r="V33" s="4"/>
      <c r="W33" s="4"/>
    </row>
    <row r="34" spans="1:83" x14ac:dyDescent="0.45">
      <c r="B34" s="1264" t="str">
        <f>B148</f>
        <v>HSDG Top Slice per Existing Rental Unit</v>
      </c>
      <c r="C34" s="1296">
        <f ca="1">$F$148</f>
        <v>368534.33731441322</v>
      </c>
      <c r="D34" s="558"/>
      <c r="E34" s="1296">
        <v>368534.33731441322</v>
      </c>
      <c r="F34" s="1296">
        <v>120701.41001614433</v>
      </c>
      <c r="G34" s="1296">
        <v>79727.047032653441</v>
      </c>
      <c r="H34" s="1298">
        <v>79274.838326523197</v>
      </c>
      <c r="I34" s="4"/>
      <c r="J34" s="4"/>
      <c r="K34" s="4"/>
      <c r="L34" s="4"/>
      <c r="M34" s="4"/>
      <c r="N34" s="4"/>
      <c r="O34" s="4"/>
      <c r="P34" s="4"/>
      <c r="Q34" s="4"/>
      <c r="R34" s="4"/>
      <c r="S34" s="4"/>
      <c r="T34" s="4"/>
      <c r="U34" s="4"/>
      <c r="V34" s="4"/>
      <c r="W34" s="4"/>
    </row>
    <row r="35" spans="1:83" x14ac:dyDescent="0.45">
      <c r="B35" s="1264" t="str">
        <f>B153</f>
        <v>Total Government Contribution p.u.</v>
      </c>
      <c r="C35" s="1299">
        <f ca="1">$F$153</f>
        <v>507542.56459221075</v>
      </c>
      <c r="D35" s="558"/>
      <c r="E35" s="1299">
        <v>507542.56459221075</v>
      </c>
      <c r="F35" s="1299">
        <v>259709.63729394175</v>
      </c>
      <c r="G35" s="1299">
        <v>218735.27431045088</v>
      </c>
      <c r="H35" s="1297">
        <v>218283.06560432064</v>
      </c>
      <c r="I35" s="4"/>
      <c r="J35" s="4"/>
      <c r="K35" s="4"/>
      <c r="L35" s="4"/>
      <c r="M35" s="4"/>
      <c r="N35" s="4"/>
      <c r="O35" s="4"/>
      <c r="P35" s="4"/>
      <c r="Q35" s="4"/>
      <c r="R35" s="4"/>
      <c r="S35" s="4"/>
      <c r="T35" s="4"/>
      <c r="U35" s="4"/>
      <c r="V35" s="4"/>
      <c r="W35" s="4"/>
    </row>
    <row r="36" spans="1:83" x14ac:dyDescent="0.45">
      <c r="B36" s="948" t="s">
        <v>1773</v>
      </c>
      <c r="C36" s="1296">
        <f ca="1">C35-$E35</f>
        <v>0</v>
      </c>
      <c r="D36" s="558"/>
      <c r="E36" s="1296">
        <v>0</v>
      </c>
      <c r="F36" s="1296">
        <v>-247832.927298269</v>
      </c>
      <c r="G36" s="1296">
        <v>-288807.29028175987</v>
      </c>
      <c r="H36" s="1298">
        <v>-289259.49898789008</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 ca="1">$F$161</f>
        <v>215534.33731441322</v>
      </c>
      <c r="D39" s="558"/>
      <c r="E39" s="1307">
        <v>215534.33731441322</v>
      </c>
      <c r="F39" s="1307">
        <v>-32298.589983855665</v>
      </c>
      <c r="G39" s="1307">
        <v>-73272.952967346559</v>
      </c>
      <c r="H39" s="1308">
        <v>-73725.161673476803</v>
      </c>
      <c r="I39" s="4"/>
      <c r="J39" s="4"/>
      <c r="K39" s="4"/>
      <c r="L39" s="4"/>
      <c r="M39" s="4"/>
      <c r="N39" s="4"/>
      <c r="O39" s="4"/>
      <c r="P39" s="4"/>
      <c r="Q39" s="4"/>
      <c r="R39" s="4"/>
      <c r="S39" s="4"/>
      <c r="T39" s="4"/>
      <c r="U39" s="4"/>
      <c r="V39" s="4"/>
      <c r="W39" s="4"/>
      <c r="AC39" s="1256" t="str">
        <f>B156</f>
        <v>Cost to the State (HSDG &amp; EEDBS) per Projected Scenario</v>
      </c>
      <c r="AD39" s="1257">
        <f ca="1">$F$156</f>
        <v>1300831593.0498362</v>
      </c>
      <c r="AE39" s="1257"/>
      <c r="AF39" s="1257">
        <f ca="1">$F$156</f>
        <v>1300831593.0498362</v>
      </c>
      <c r="AG39" s="1257">
        <f ca="1">$F$156</f>
        <v>1300831593.0498362</v>
      </c>
      <c r="AH39" s="1257">
        <f ca="1">$F$156</f>
        <v>1300831593.0498362</v>
      </c>
      <c r="AI39" s="1257">
        <f ca="1">$F$156</f>
        <v>1300831593.0498362</v>
      </c>
      <c r="CB39" s="1204"/>
      <c r="CC39" s="1204"/>
      <c r="CD39" s="1204"/>
      <c r="CE39" s="1204"/>
    </row>
    <row r="40" spans="1:83" ht="15.75" x14ac:dyDescent="0.45">
      <c r="A40" s="1262"/>
      <c r="B40" s="1260" t="s">
        <v>1709</v>
      </c>
      <c r="C40" s="1220">
        <f ca="1">$F$162</f>
        <v>213534.33731441322</v>
      </c>
      <c r="D40" s="558"/>
      <c r="E40" s="1307">
        <v>213534.33731441322</v>
      </c>
      <c r="F40" s="1307">
        <v>-34298.589983855665</v>
      </c>
      <c r="G40" s="1307">
        <v>-75272.952967346559</v>
      </c>
      <c r="H40" s="1308">
        <v>-75725.161673476803</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 ca="1">$F$163</f>
        <v>103534.33731441322</v>
      </c>
      <c r="D41" s="558"/>
      <c r="E41" s="1307">
        <v>103534.33731441322</v>
      </c>
      <c r="F41" s="1307">
        <v>-144298.58998385567</v>
      </c>
      <c r="G41" s="1307">
        <v>-185272.95296734656</v>
      </c>
      <c r="H41" s="1308">
        <v>-185725.1616734768</v>
      </c>
      <c r="I41" s="4"/>
      <c r="J41" s="4"/>
      <c r="K41" s="4"/>
      <c r="L41" s="4"/>
      <c r="M41" s="4"/>
      <c r="N41" s="4"/>
      <c r="O41" s="4"/>
      <c r="P41" s="4"/>
      <c r="Q41" s="4"/>
      <c r="R41" s="4"/>
      <c r="S41" s="4"/>
      <c r="T41" s="4"/>
      <c r="U41" s="4"/>
      <c r="V41" s="4"/>
      <c r="W41" s="4"/>
      <c r="AC41" s="1258"/>
      <c r="AD41" s="1257">
        <f ca="1">AD39-AD40</f>
        <v>1300831593.0498362</v>
      </c>
      <c r="AE41" s="1257"/>
      <c r="AF41" s="1257">
        <f ca="1">AF39-AF40</f>
        <v>1300831593.0498362</v>
      </c>
      <c r="AG41" s="1258"/>
      <c r="AH41" s="1257">
        <f ca="1">AH39-AH40</f>
        <v>1300831593.0498362</v>
      </c>
      <c r="AI41" s="1257">
        <f ca="1">AI39-AI40</f>
        <v>1300831593.0498362</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'9e. Forecast Results - KZN'!N5</f>
        <v>2013/14</v>
      </c>
      <c r="AD135" s="803" t="str">
        <f>'9e. Forecast Results - KZN'!O5</f>
        <v>2014/15</v>
      </c>
      <c r="AE135" s="803" t="str">
        <f>'9e. Forecast Results - KZN'!P5</f>
        <v>2015/16</v>
      </c>
      <c r="AF135" s="803" t="str">
        <f>'9e. Forecast Results - KZN'!Q5</f>
        <v>2016/17</v>
      </c>
      <c r="AG135" s="803" t="str">
        <f>'9e. Forecast Results - KZN'!R5</f>
        <v>2017/18</v>
      </c>
      <c r="AH135" s="803" t="str">
        <f>'9e. Forecast Results - KZN'!S5</f>
        <v>2018/19</v>
      </c>
      <c r="AI135" s="803" t="str">
        <f>'9e. Forecast Results - KZN'!T5</f>
        <v>2019/20</v>
      </c>
      <c r="AJ135" s="803" t="str">
        <f>'9e. Forecast Results - KZN'!U5</f>
        <v>2020/21</v>
      </c>
      <c r="AK135" s="803" t="str">
        <f>'9e. Forecast Results - KZN'!V5</f>
        <v>2021/22</v>
      </c>
      <c r="AL135" s="803" t="str">
        <f>'9e. Forecast Results - KZN'!W5</f>
        <v>2022/23</v>
      </c>
      <c r="AM135" s="803" t="str">
        <f>'9e. Forecast Results - KZN'!X5</f>
        <v>2023/24</v>
      </c>
      <c r="AN135" s="803" t="str">
        <f>'9e. Forecast Results - KZN'!Y5</f>
        <v>2024/25</v>
      </c>
      <c r="AO135" s="803" t="str">
        <f>'9e. Forecast Results - KZN'!Z5</f>
        <v>2025/26</v>
      </c>
      <c r="AP135" s="803" t="str">
        <f>'9e. Forecast Results - KZN'!AA5</f>
        <v>2026/27</v>
      </c>
      <c r="AQ135" s="803" t="str">
        <f>'9e. Forecast Results - KZN'!AB5</f>
        <v>2027/28</v>
      </c>
      <c r="AR135" s="803" t="str">
        <f>'9e. Forecast Results - KZN'!AC5</f>
        <v>2028/29</v>
      </c>
      <c r="AS135" s="803" t="str">
        <f>'9e. Forecast Results - KZN'!AD5</f>
        <v>2029/30</v>
      </c>
      <c r="AT135" s="803" t="str">
        <f>'9e. Forecast Results - KZN'!AE5</f>
        <v>2030/31</v>
      </c>
      <c r="AU135" s="803" t="str">
        <f>'9e. Forecast Results - KZN'!AF5</f>
        <v>2031/32</v>
      </c>
      <c r="AV135" s="803" t="str">
        <f>'9e. Forecast Results - KZN'!AG5</f>
        <v>3032/33</v>
      </c>
      <c r="AW135" s="803" t="str">
        <f>'9e. Forecast Results - KZN'!AH5</f>
        <v>2033/34</v>
      </c>
      <c r="AX135" s="803" t="str">
        <f>'9e. Forecast Results - KZN'!AI5</f>
        <v>2034/35</v>
      </c>
      <c r="AY135" s="803" t="str">
        <f>'9e. Forecast Results - KZN'!AJ5</f>
        <v>2035/36</v>
      </c>
      <c r="AZ135" s="803" t="str">
        <f>'9e. Forecast Results - KZN'!AK5</f>
        <v>2036/37</v>
      </c>
    </row>
    <row r="136" spans="1:52" x14ac:dyDescent="0.45">
      <c r="B136" s="1263" t="s">
        <v>1551</v>
      </c>
      <c r="C136" s="558"/>
      <c r="D136" s="558"/>
      <c r="E136" s="971">
        <f ca="1">+SUM('9e. Forecast Results - KZN'!S28:W28)</f>
        <v>6701022.3266636189</v>
      </c>
      <c r="F136" s="971">
        <f ca="1">+'9e. Forecast Results - KZN'!AL28</f>
        <v>20664438.339247774</v>
      </c>
      <c r="G136" s="971"/>
      <c r="H136" s="1283"/>
      <c r="J136" s="4"/>
      <c r="K136" s="4"/>
      <c r="L136" s="4"/>
      <c r="M136" s="4"/>
      <c r="N136" s="4"/>
      <c r="O136" s="4"/>
      <c r="P136" s="4"/>
      <c r="Q136" s="4"/>
      <c r="R136" s="4"/>
      <c r="S136" s="4"/>
      <c r="T136" s="4"/>
      <c r="U136" s="4"/>
      <c r="V136" s="4"/>
      <c r="W136" s="4"/>
      <c r="AB136" s="803" t="str">
        <f>'9e. Forecast Results - KZN'!D28</f>
        <v>Total Income</v>
      </c>
      <c r="AC136" s="533">
        <f>'9e. Forecast Results - KZN'!N28</f>
        <v>1978999.43</v>
      </c>
      <c r="AD136" s="533">
        <f>'9e. Forecast Results - KZN'!O28</f>
        <v>2694103.1399999997</v>
      </c>
      <c r="AE136" s="533">
        <f>'9e. Forecast Results - KZN'!P28</f>
        <v>2280484.06</v>
      </c>
      <c r="AF136" s="533">
        <f ca="1">'9e. Forecast Results - KZN'!Q28</f>
        <v>2207848.6696699685</v>
      </c>
      <c r="AG136" s="533">
        <f ca="1">'9e. Forecast Results - KZN'!R28</f>
        <v>2101188.8965915451</v>
      </c>
      <c r="AH136" s="533">
        <f ca="1">'9e. Forecast Results - KZN'!S28</f>
        <v>1994529.1235131212</v>
      </c>
      <c r="AI136" s="533">
        <f ca="1">'9e. Forecast Results - KZN'!T28</f>
        <v>1246618.7768703401</v>
      </c>
      <c r="AJ136" s="533">
        <f ca="1">'9e. Forecast Results - KZN'!U28</f>
        <v>1199955.1261485298</v>
      </c>
      <c r="AK136" s="533">
        <f ca="1">'9e. Forecast Results - KZN'!V28</f>
        <v>1153291.4754267195</v>
      </c>
      <c r="AL136" s="533">
        <f ca="1">'9e. Forecast Results - KZN'!W28</f>
        <v>1106627.824704909</v>
      </c>
      <c r="AM136" s="533">
        <f ca="1">'9e. Forecast Results - KZN'!X28</f>
        <v>1059964.1739830987</v>
      </c>
      <c r="AN136" s="533">
        <f ca="1">'9e. Forecast Results - KZN'!Y28</f>
        <v>1013300.5232612882</v>
      </c>
      <c r="AO136" s="533">
        <f ca="1">'9e. Forecast Results - KZN'!Z28</f>
        <v>966636.87253947789</v>
      </c>
      <c r="AP136" s="533">
        <f ca="1">'9e. Forecast Results - KZN'!AA28</f>
        <v>919973.22181766736</v>
      </c>
      <c r="AQ136" s="533">
        <f ca="1">'9e. Forecast Results - KZN'!AB28</f>
        <v>873309.57109585707</v>
      </c>
      <c r="AR136" s="533">
        <f ca="1">'9e. Forecast Results - KZN'!AC28</f>
        <v>826645.92037404666</v>
      </c>
      <c r="AS136" s="533">
        <f ca="1">'9e. Forecast Results - KZN'!AD28</f>
        <v>779982.26965223625</v>
      </c>
      <c r="AT136" s="533">
        <f ca="1">'9e. Forecast Results - KZN'!AE28</f>
        <v>733318.61893042596</v>
      </c>
      <c r="AU136" s="533">
        <f ca="1">'9e. Forecast Results - KZN'!AF28</f>
        <v>686654.96820861567</v>
      </c>
      <c r="AV136" s="533">
        <f ca="1">'9e. Forecast Results - KZN'!AG28</f>
        <v>639991.31748680526</v>
      </c>
      <c r="AW136" s="533">
        <f ca="1">'9e. Forecast Results - KZN'!AH28</f>
        <v>593327.66676499485</v>
      </c>
      <c r="AX136" s="533">
        <f ca="1">'9e. Forecast Results - KZN'!AI28</f>
        <v>546664.01604318444</v>
      </c>
      <c r="AY136" s="533">
        <f ca="1">'9e. Forecast Results - KZN'!AJ28</f>
        <v>14609.306165020222</v>
      </c>
      <c r="AZ136" s="533">
        <f ca="1">'9e. Forecast Results - KZN'!AK28</f>
        <v>0</v>
      </c>
    </row>
    <row r="137" spans="1:52" x14ac:dyDescent="0.45">
      <c r="B137" s="1263" t="s">
        <v>1510</v>
      </c>
      <c r="C137" s="558"/>
      <c r="D137" s="558"/>
      <c r="E137" s="971">
        <f>+SUM(E138:E143)</f>
        <v>315126782.43085486</v>
      </c>
      <c r="F137" s="971">
        <f>+SUM(F138:F143)</f>
        <v>965217944.87608898</v>
      </c>
      <c r="G137" s="971"/>
      <c r="H137" s="1283"/>
      <c r="J137" s="4"/>
      <c r="K137" s="4"/>
      <c r="L137" s="4"/>
      <c r="M137" s="4"/>
      <c r="N137" s="4"/>
      <c r="O137" s="4"/>
      <c r="P137" s="4"/>
      <c r="Q137" s="4"/>
      <c r="R137" s="4"/>
      <c r="S137" s="4"/>
      <c r="T137" s="4"/>
      <c r="U137" s="4"/>
      <c r="V137" s="4"/>
      <c r="W137" s="4"/>
      <c r="AB137" s="803" t="str">
        <f>'9e. Forecast Results - KZN'!D47</f>
        <v>Total Expenditure</v>
      </c>
      <c r="AC137" s="533">
        <f>-'9e. Forecast Results - KZN'!N47</f>
        <v>-52850120.474444449</v>
      </c>
      <c r="AD137" s="533">
        <f>-'9e. Forecast Results - KZN'!O47</f>
        <v>-60252696.769444436</v>
      </c>
      <c r="AE137" s="533">
        <f>-'9e. Forecast Results - KZN'!P47</f>
        <v>-70945116.053333342</v>
      </c>
      <c r="AF137" s="533">
        <f>-'9e. Forecast Results - KZN'!Q47</f>
        <v>-70541679.224143788</v>
      </c>
      <c r="AG137" s="533">
        <f>-'9e. Forecast Results - KZN'!R47</f>
        <v>-67988695.36768207</v>
      </c>
      <c r="AH137" s="533">
        <f>-'9e. Forecast Results - KZN'!S47</f>
        <v>-64941494.707356498</v>
      </c>
      <c r="AI137" s="533">
        <f>-'9e. Forecast Results - KZN'!T47</f>
        <v>-63545521.941797741</v>
      </c>
      <c r="AJ137" s="533">
        <f>-'9e. Forecast Results - KZN'!U47</f>
        <v>-63048279.398367763</v>
      </c>
      <c r="AK137" s="533">
        <f>-'9e. Forecast Results - KZN'!V47</f>
        <v>-62304114.971286543</v>
      </c>
      <c r="AL137" s="533">
        <f>-'9e. Forecast Results - KZN'!W47</f>
        <v>-61287371.412046328</v>
      </c>
      <c r="AM137" s="533">
        <f>-'9e. Forecast Results - KZN'!X47</f>
        <v>-59970316.113501534</v>
      </c>
      <c r="AN137" s="533">
        <f>-'9e. Forecast Results - KZN'!Y47</f>
        <v>-58322990.433595382</v>
      </c>
      <c r="AO137" s="533">
        <f>-'9e. Forecast Results - KZN'!Z47</f>
        <v>-56313048.722656213</v>
      </c>
      <c r="AP137" s="533">
        <f>-'9e. Forecast Results - KZN'!AA47</f>
        <v>-53905586.37745212</v>
      </c>
      <c r="AQ137" s="533">
        <f>-'9e. Forecast Results - KZN'!AB47</f>
        <v>-51062956.20188953</v>
      </c>
      <c r="AR137" s="533">
        <f>-'9e. Forecast Results - KZN'!AC47</f>
        <v>-47744572.308223262</v>
      </c>
      <c r="AS137" s="533">
        <f>-'9e. Forecast Results - KZN'!AD47</f>
        <v>-43906700.743742995</v>
      </c>
      <c r="AT137" s="533">
        <f>-'9e. Forecast Results - KZN'!AE47</f>
        <v>-39502235.975937523</v>
      </c>
      <c r="AU137" s="533">
        <f>-'9e. Forecast Results - KZN'!AF47</f>
        <v>-34480462.313923627</v>
      </c>
      <c r="AV137" s="533">
        <f>-'9e. Forecast Results - KZN'!AG47</f>
        <v>-28786799.285260998</v>
      </c>
      <c r="AW137" s="533">
        <f>-'9e. Forecast Results - KZN'!AH47</f>
        <v>-22362529.924945854</v>
      </c>
      <c r="AX137" s="533">
        <f>-'9e. Forecast Results - KZN'!AI47</f>
        <v>-15144510.867158135</v>
      </c>
      <c r="AY137" s="533">
        <f>-'9e. Forecast Results - KZN'!AJ47</f>
        <v>-58078.58512102926</v>
      </c>
      <c r="AZ137" s="533">
        <f>-'9e. Forecast Results - KZN'!AK47</f>
        <v>0</v>
      </c>
    </row>
    <row r="138" spans="1:52" x14ac:dyDescent="0.45">
      <c r="B138" s="1284" t="str">
        <f>'9e. Forecast Results - KZN'!D31</f>
        <v>Rates &amp; Taxes</v>
      </c>
      <c r="C138" s="558"/>
      <c r="D138" s="558"/>
      <c r="E138" s="1215">
        <f>+SUM('9e. Forecast Results - KZN'!S31:W31)</f>
        <v>50933729.088491425</v>
      </c>
      <c r="F138" s="1215">
        <f>+'9e. Forecast Results - KZN'!AL31</f>
        <v>143148229.71577922</v>
      </c>
      <c r="G138" s="971"/>
      <c r="H138" s="1283"/>
      <c r="J138" s="4"/>
      <c r="K138" s="4"/>
      <c r="L138" s="4"/>
      <c r="M138" s="4"/>
      <c r="N138" s="4"/>
      <c r="O138" s="4"/>
      <c r="P138" s="4"/>
      <c r="Q138" s="4"/>
      <c r="R138" s="4"/>
      <c r="S138" s="4"/>
      <c r="T138" s="4"/>
      <c r="U138" s="4"/>
      <c r="V138" s="4"/>
      <c r="W138" s="4"/>
      <c r="AB138" s="803" t="str">
        <f>'9e. Forecast Results - KZN'!D48</f>
        <v>Net Surplus / (Deficit)</v>
      </c>
      <c r="AC138" s="533">
        <f>'9e. Forecast Results - KZN'!N48</f>
        <v>-50871121.044444449</v>
      </c>
      <c r="AD138" s="533">
        <f>'9e. Forecast Results - KZN'!O48</f>
        <v>-57558593.629444435</v>
      </c>
      <c r="AE138" s="533">
        <f>'9e. Forecast Results - KZN'!P48</f>
        <v>-68664631.99333334</v>
      </c>
      <c r="AF138" s="533">
        <f ca="1">'9e. Forecast Results - KZN'!Q48</f>
        <v>-68333830.554473817</v>
      </c>
      <c r="AG138" s="533">
        <f ca="1">'9e. Forecast Results - KZN'!R48</f>
        <v>-65887506.471090525</v>
      </c>
      <c r="AH138" s="533">
        <f ca="1">'9e. Forecast Results - KZN'!S48</f>
        <v>-62946965.58384338</v>
      </c>
      <c r="AI138" s="533">
        <f ca="1">'9e. Forecast Results - KZN'!T48</f>
        <v>-62298903.164927401</v>
      </c>
      <c r="AJ138" s="533">
        <f ca="1">'9e. Forecast Results - KZN'!U48</f>
        <v>-61848324.272219233</v>
      </c>
      <c r="AK138" s="533">
        <f ca="1">'9e. Forecast Results - KZN'!V48</f>
        <v>-61150823.495859824</v>
      </c>
      <c r="AL138" s="533">
        <f ca="1">'9e. Forecast Results - KZN'!W48</f>
        <v>-60180743.58734142</v>
      </c>
      <c r="AM138" s="533">
        <f ca="1">'9e. Forecast Results - KZN'!X48</f>
        <v>-58910351.939518437</v>
      </c>
      <c r="AN138" s="533">
        <f ca="1">'9e. Forecast Results - KZN'!Y48</f>
        <v>-57309689.910334095</v>
      </c>
      <c r="AO138" s="533">
        <f ca="1">'9e. Forecast Results - KZN'!Z48</f>
        <v>-55346411.850116737</v>
      </c>
      <c r="AP138" s="533">
        <f ca="1">'9e. Forecast Results - KZN'!AA48</f>
        <v>-52985613.155634455</v>
      </c>
      <c r="AQ138" s="533">
        <f ca="1">'9e. Forecast Results - KZN'!AB48</f>
        <v>-50189646.630793676</v>
      </c>
      <c r="AR138" s="533">
        <f ca="1">'9e. Forecast Results - KZN'!AC48</f>
        <v>-46917926.387849219</v>
      </c>
      <c r="AS138" s="533">
        <f ca="1">'9e. Forecast Results - KZN'!AD48</f>
        <v>-43126718.474090755</v>
      </c>
      <c r="AT138" s="533">
        <f ca="1">'9e. Forecast Results - KZN'!AE48</f>
        <v>-38768917.357007094</v>
      </c>
      <c r="AU138" s="533">
        <f ca="1">'9e. Forecast Results - KZN'!AF48</f>
        <v>-33793807.345715009</v>
      </c>
      <c r="AV138" s="533">
        <f ca="1">'9e. Forecast Results - KZN'!AG48</f>
        <v>-28146807.967774194</v>
      </c>
      <c r="AW138" s="533">
        <f ca="1">'9e. Forecast Results - KZN'!AH48</f>
        <v>-21769202.25818086</v>
      </c>
      <c r="AX138" s="533">
        <f ca="1">'9e. Forecast Results - KZN'!AI48</f>
        <v>-14597846.851114951</v>
      </c>
      <c r="AY138" s="533">
        <f ca="1">'9e. Forecast Results - KZN'!AJ48</f>
        <v>-43469.278956009039</v>
      </c>
      <c r="AZ138" s="533">
        <f ca="1">'9e. Forecast Results - KZN'!AK48</f>
        <v>0</v>
      </c>
    </row>
    <row r="139" spans="1:52" x14ac:dyDescent="0.45">
      <c r="B139" s="1284" t="str">
        <f>'9e. Forecast Results - KZN'!D32</f>
        <v>Municipal Charges</v>
      </c>
      <c r="C139" s="558"/>
      <c r="D139" s="558"/>
      <c r="E139" s="1216">
        <f>+SUM('9e. Forecast Results - KZN'!S32:W32)</f>
        <v>22573272.451493017</v>
      </c>
      <c r="F139" s="1216">
        <f>+'9e. Forecast Results - KZN'!AL32</f>
        <v>63441731.994709082</v>
      </c>
      <c r="G139" s="971"/>
      <c r="H139" s="1283"/>
      <c r="AB139" s="803" t="s">
        <v>1697</v>
      </c>
      <c r="AC139" s="533">
        <f>SUM($AC138:AC138)</f>
        <v>-50871121.044444449</v>
      </c>
      <c r="AD139" s="533">
        <f>SUM($AC138:AD138)</f>
        <v>-108429714.67388889</v>
      </c>
      <c r="AE139" s="533">
        <f>SUM($AC138:AE138)</f>
        <v>-177094346.66722223</v>
      </c>
      <c r="AF139" s="533">
        <f ca="1">SUM($AC138:AF138)</f>
        <v>-245428177.22169605</v>
      </c>
      <c r="AG139" s="533">
        <f ca="1">SUM($AC138:AG138)</f>
        <v>-311315683.69278657</v>
      </c>
      <c r="AH139" s="533">
        <f ca="1">SUM($AC138:AH138)</f>
        <v>-374262649.27662992</v>
      </c>
      <c r="AI139" s="533">
        <f ca="1">SUM($AC138:AI138)</f>
        <v>-436561552.44155735</v>
      </c>
      <c r="AJ139" s="533">
        <f ca="1">SUM($AC138:AJ138)</f>
        <v>-498409876.71377659</v>
      </c>
      <c r="AK139" s="533">
        <f ca="1">SUM($AC138:AK138)</f>
        <v>-559560700.20963645</v>
      </c>
      <c r="AL139" s="533">
        <f ca="1">SUM($AC138:AL138)</f>
        <v>-619741443.79697788</v>
      </c>
      <c r="AM139" s="533">
        <f ca="1">SUM($AC138:AM138)</f>
        <v>-678651795.73649633</v>
      </c>
      <c r="AN139" s="533">
        <f ca="1">SUM($AC138:AN138)</f>
        <v>-735961485.64683044</v>
      </c>
      <c r="AO139" s="533">
        <f ca="1">SUM($AC138:AO138)</f>
        <v>-791307897.49694717</v>
      </c>
      <c r="AP139" s="533">
        <f ca="1">SUM($AC138:AP138)</f>
        <v>-844293510.65258157</v>
      </c>
      <c r="AQ139" s="533">
        <f ca="1">SUM($AC138:AQ138)</f>
        <v>-894483157.28337526</v>
      </c>
      <c r="AR139" s="533">
        <f ca="1">SUM($AC138:AR138)</f>
        <v>-941401083.67122447</v>
      </c>
      <c r="AS139" s="533">
        <f ca="1">SUM($AC138:AS138)</f>
        <v>-984527802.14531517</v>
      </c>
      <c r="AT139" s="533">
        <f ca="1">SUM($AC138:AT138)</f>
        <v>-1023296719.5023223</v>
      </c>
      <c r="AU139" s="533">
        <f ca="1">SUM($AC138:AU138)</f>
        <v>-1057090526.8480374</v>
      </c>
      <c r="AV139" s="533">
        <f ca="1">SUM($AC138:AV138)</f>
        <v>-1085237334.8158116</v>
      </c>
      <c r="AW139" s="533">
        <f ca="1">SUM($AC138:AW138)</f>
        <v>-1107006537.0739925</v>
      </c>
      <c r="AX139" s="533">
        <f ca="1">SUM($AC138:AX138)</f>
        <v>-1121604383.9251075</v>
      </c>
      <c r="AY139" s="533">
        <f ca="1">SUM($AC138:AY138)</f>
        <v>-1121647853.2040634</v>
      </c>
      <c r="AZ139" s="533">
        <f ca="1">SUM($AC138:AZ138)</f>
        <v>-1121647853.2040634</v>
      </c>
    </row>
    <row r="140" spans="1:52" x14ac:dyDescent="0.45">
      <c r="B140" s="1284" t="str">
        <f>'9e. Forecast Results - KZN'!D33</f>
        <v>Maintenance</v>
      </c>
      <c r="C140" s="558"/>
      <c r="D140" s="558"/>
      <c r="E140" s="1216">
        <f>+SUM('9e. Forecast Results - KZN'!S33:W33)</f>
        <v>119833517.80638319</v>
      </c>
      <c r="F140" s="1216">
        <f>+'9e. Forecast Results - KZN'!AL33</f>
        <v>336789711.68192005</v>
      </c>
      <c r="G140" s="971"/>
      <c r="H140" s="1283"/>
      <c r="AB140" s="451" t="s">
        <v>1699</v>
      </c>
    </row>
    <row r="141" spans="1:52" x14ac:dyDescent="0.45">
      <c r="B141" s="1284" t="str">
        <f>'9e. Forecast Results - KZN'!D36</f>
        <v>Total Disposal Costs</v>
      </c>
      <c r="C141" s="558"/>
      <c r="D141" s="558"/>
      <c r="E141" s="1216">
        <f>+SUM('9e. Forecast Results - KZN'!S36:W36)</f>
        <v>5992053.9696162716</v>
      </c>
      <c r="F141" s="1216">
        <f>+'9e. Forecast Results - KZN'!AL36</f>
        <v>28419941.92788031</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'9e. Forecast Results - KZN'!D43</f>
        <v>Staff</v>
      </c>
      <c r="C142" s="558"/>
      <c r="D142" s="558"/>
      <c r="E142" s="1216">
        <f>+SUM('9e. Forecast Results - KZN'!S43:W43)</f>
        <v>115794209.11487095</v>
      </c>
      <c r="F142" s="1216">
        <f>+'9e. Forecast Results - KZN'!AL43</f>
        <v>393418329.55580032</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SUM('9e. Forecast Results - KZN'!S47:W47)-SUM(E138:E142)</f>
        <v>0</v>
      </c>
      <c r="F143" s="1217">
        <f>+'9e. Forecast Results - KZN'!AL47-SUM(F138:F142)</f>
        <v>0</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 ca="1">+E136-E137</f>
        <v>-308425760.10419124</v>
      </c>
      <c r="F145" s="1218">
        <f ca="1">+F136-F137</f>
        <v>-944553506.53684115</v>
      </c>
      <c r="G145" s="971"/>
      <c r="H145" s="1283"/>
    </row>
    <row r="146" spans="1:8" ht="14.65" thickTop="1" x14ac:dyDescent="0.45">
      <c r="B146" s="1289" t="s">
        <v>1552</v>
      </c>
      <c r="C146" s="558"/>
      <c r="D146" s="558"/>
      <c r="E146" s="1220">
        <f ca="1">-E145</f>
        <v>308425760.10419124</v>
      </c>
      <c r="F146" s="1220">
        <f ca="1">-F145</f>
        <v>944553506.53684115</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704</v>
      </c>
      <c r="F147" s="1219">
        <f>SUMIF('10. Inputs &amp; Calcs'!$D$51:$D$56,$C$12,'10. Inputs &amp; Calcs'!$AD$51:$AD$56)</f>
        <v>2563</v>
      </c>
      <c r="G147" s="1219"/>
      <c r="H147" s="1283"/>
    </row>
    <row r="148" spans="1:8" x14ac:dyDescent="0.45">
      <c r="B148" s="1261" t="s">
        <v>1559</v>
      </c>
      <c r="C148" s="18"/>
      <c r="D148" s="18"/>
      <c r="E148" s="971">
        <f ca="1">-E145/E147</f>
        <v>438104.77287527168</v>
      </c>
      <c r="F148" s="971">
        <f ca="1">-F145/F147</f>
        <v>368534.33731441322</v>
      </c>
      <c r="G148" s="18"/>
      <c r="H148" s="1283"/>
    </row>
    <row r="149" spans="1:8" x14ac:dyDescent="0.45">
      <c r="B149" s="1260" t="s">
        <v>1503</v>
      </c>
      <c r="C149" s="558"/>
      <c r="D149" s="558"/>
      <c r="E149" s="971">
        <f>IF(E$147&lt;&gt;0,E141/E$147,0)</f>
        <v>8511.4402977503851</v>
      </c>
      <c r="F149" s="971">
        <f>IF(F$147&lt;&gt;0,F141/F$147,0)</f>
        <v>11088.545426406676</v>
      </c>
      <c r="G149" s="971"/>
      <c r="H149" s="1283"/>
    </row>
    <row r="150" spans="1:8" x14ac:dyDescent="0.45">
      <c r="B150" s="1263" t="s">
        <v>1511</v>
      </c>
      <c r="C150" s="558"/>
      <c r="D150" s="558"/>
      <c r="E150" s="1220">
        <f ca="1">SUM('9e. Forecast Results - KZN'!S67:W67)</f>
        <v>13879008</v>
      </c>
      <c r="F150" s="1220">
        <f ca="1">'9e. Forecast Results - KZN'!AL67</f>
        <v>356278086.51299489</v>
      </c>
      <c r="G150" s="971"/>
      <c r="H150" s="1283"/>
    </row>
    <row r="151" spans="1:8" x14ac:dyDescent="0.45">
      <c r="B151" s="1260" t="s">
        <v>1558</v>
      </c>
      <c r="C151" s="18"/>
      <c r="D151" s="18"/>
      <c r="E151" s="971">
        <f ca="1">E150/E147</f>
        <v>19714.5</v>
      </c>
      <c r="F151" s="971">
        <f ca="1">F150/F147</f>
        <v>139008.22727779747</v>
      </c>
      <c r="G151" s="971"/>
      <c r="H151" s="1283"/>
    </row>
    <row r="152" spans="1:8" x14ac:dyDescent="0.45">
      <c r="B152" s="1260" t="s">
        <v>1713</v>
      </c>
      <c r="C152" s="18"/>
      <c r="D152" s="18"/>
      <c r="E152" s="971">
        <f ca="1">E150+E146</f>
        <v>322304768.10419124</v>
      </c>
      <c r="F152" s="971">
        <f ca="1">F150+F146</f>
        <v>1300831593.0498362</v>
      </c>
      <c r="G152" s="971"/>
      <c r="H152" s="1283"/>
    </row>
    <row r="153" spans="1:8" x14ac:dyDescent="0.45">
      <c r="B153" s="1260" t="s">
        <v>1712</v>
      </c>
      <c r="C153" s="18"/>
      <c r="D153" s="18"/>
      <c r="E153" s="971">
        <f ca="1">E152/E147</f>
        <v>457819.27287527168</v>
      </c>
      <c r="F153" s="971">
        <f ca="1">F152/F147</f>
        <v>507542.56459221075</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 ca="1">-SUM('9e. Forecast Results - KZN'!S54:W54)</f>
        <v>322304768.10419124</v>
      </c>
      <c r="F156" s="1220">
        <f ca="1">-'9e. Forecast Results - KZN'!AL54</f>
        <v>1300831593.0498362</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322304768.10419124</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1300831593.0498362</v>
      </c>
      <c r="G157" s="558"/>
      <c r="H157" s="1283"/>
    </row>
    <row r="158" spans="1:8" x14ac:dyDescent="0.45">
      <c r="B158" s="1260" t="s">
        <v>1715</v>
      </c>
      <c r="C158" s="558"/>
      <c r="D158" s="558"/>
      <c r="E158" s="1221">
        <f ca="1">E156-E157</f>
        <v>0</v>
      </c>
      <c r="F158" s="1221">
        <f ca="1">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 ca="1">F$148-153000</f>
        <v>215534.33731441322</v>
      </c>
      <c r="G161" s="1286">
        <f ca="1">$F$148/153000</f>
        <v>2.4087211589177335</v>
      </c>
      <c r="H161" s="1283"/>
    </row>
    <row r="162" spans="1:8" x14ac:dyDescent="0.45">
      <c r="B162" s="1260" t="s">
        <v>1709</v>
      </c>
      <c r="C162" s="558"/>
      <c r="D162" s="558"/>
      <c r="E162" s="18"/>
      <c r="F162" s="1221">
        <f ca="1">F$148-155000</f>
        <v>213534.33731441322</v>
      </c>
      <c r="G162" s="1286">
        <f ca="1">$F$148/155000</f>
        <v>2.37764088589944</v>
      </c>
      <c r="H162" s="1283"/>
    </row>
    <row r="163" spans="1:8" x14ac:dyDescent="0.45">
      <c r="B163" s="1260" t="s">
        <v>1708</v>
      </c>
      <c r="C163" s="558"/>
      <c r="D163" s="558"/>
      <c r="E163" s="18"/>
      <c r="F163" s="1221">
        <f ca="1">F$148-265000</f>
        <v>103534.33731441322</v>
      </c>
      <c r="G163" s="1286">
        <f ca="1">$F$148/265000</f>
        <v>1.3906956125072196</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'9e. Forecast Results - KZN'!R$5</f>
        <v>2017/18</v>
      </c>
      <c r="C166" s="18"/>
      <c r="D166" s="18"/>
      <c r="E166" s="971">
        <f ca="1">-SUMIF('9e. Forecast Results - KZN'!$R$5:$W$5,$B166,'9e. Forecast Results - KZN'!$R$51:$W$51)</f>
        <v>65887506.471090525</v>
      </c>
      <c r="F166" s="1136">
        <f>SUMIF('9e. Forecast Results - KZN'!$R$5:$W$5,$B166,'9e. Forecast Results - KZN'!$R$13:$W$13)</f>
        <v>2051</v>
      </c>
      <c r="G166" s="971">
        <f t="shared" ref="G166:G173" ca="1" si="0">IF(F166&lt;&gt;0,E166/F166,0)</f>
        <v>32124.576533930045</v>
      </c>
      <c r="H166" s="1283"/>
    </row>
    <row r="167" spans="1:8" x14ac:dyDescent="0.45">
      <c r="B167" s="1260" t="str">
        <f>'9e. Forecast Results - KZN'!S$5</f>
        <v>2018/19</v>
      </c>
      <c r="C167" s="18"/>
      <c r="D167" s="18"/>
      <c r="E167" s="1215">
        <f ca="1">-SUMIF('9e. Forecast Results - KZN'!$R$5:$W$5,$B167,'9e. Forecast Results - KZN'!$R$51:$W$51)</f>
        <v>62946965.58384338</v>
      </c>
      <c r="F167" s="1222">
        <f>SUMIF('9e. Forecast Results - KZN'!$R$5:$W$5,$B167,'9e. Forecast Results - KZN'!$R$13:$W$13)</f>
        <v>1795</v>
      </c>
      <c r="G167" s="1215">
        <f t="shared" ca="1" si="0"/>
        <v>35067.94740046985</v>
      </c>
      <c r="H167" s="1283"/>
    </row>
    <row r="168" spans="1:8" x14ac:dyDescent="0.45">
      <c r="B168" s="1260" t="str">
        <f>'9e. Forecast Results - KZN'!T$5</f>
        <v>2019/20</v>
      </c>
      <c r="C168" s="18"/>
      <c r="D168" s="18"/>
      <c r="E168" s="1216">
        <f ca="1">-SUMIF('9e. Forecast Results - KZN'!$R$5:$W$5,$B168,'9e. Forecast Results - KZN'!$R$51:$W$51)</f>
        <v>62298903.164927401</v>
      </c>
      <c r="F168" s="1223">
        <f>SUMIF('9e. Forecast Results - KZN'!$R$5:$W$5,$B168,'9e. Forecast Results - KZN'!$R$13:$W$13)</f>
        <v>1683</v>
      </c>
      <c r="G168" s="1216">
        <f t="shared" ca="1" si="0"/>
        <v>37016.579420634225</v>
      </c>
      <c r="H168" s="1283"/>
    </row>
    <row r="169" spans="1:8" x14ac:dyDescent="0.45">
      <c r="B169" s="1260" t="str">
        <f>'9e. Forecast Results - KZN'!U$5</f>
        <v>2020/21</v>
      </c>
      <c r="C169" s="18"/>
      <c r="D169" s="18"/>
      <c r="E169" s="1216">
        <f ca="1">-SUMIF('9e. Forecast Results - KZN'!$R$5:$W$5,$B169,'9e. Forecast Results - KZN'!$R$51:$W$51)</f>
        <v>61848324.272219233</v>
      </c>
      <c r="F169" s="1223">
        <f>SUMIF('9e. Forecast Results - KZN'!$R$5:$W$5,$B169,'9e. Forecast Results - KZN'!$R$13:$W$13)</f>
        <v>1571</v>
      </c>
      <c r="G169" s="1216">
        <f t="shared" ca="1" si="0"/>
        <v>39368.761471813646</v>
      </c>
      <c r="H169" s="1283"/>
    </row>
    <row r="170" spans="1:8" x14ac:dyDescent="0.45">
      <c r="B170" s="1260" t="str">
        <f>'9e. Forecast Results - KZN'!V$5</f>
        <v>2021/22</v>
      </c>
      <c r="C170" s="18"/>
      <c r="D170" s="18"/>
      <c r="E170" s="1216">
        <f ca="1">-SUMIF('9e. Forecast Results - KZN'!$R$5:$W$5,$B170,'9e. Forecast Results - KZN'!$R$51:$W$51)</f>
        <v>61150823.495859824</v>
      </c>
      <c r="F170" s="1223">
        <f>SUMIF('9e. Forecast Results - KZN'!$R$5:$W$5,$B170,'9e. Forecast Results - KZN'!$R$13:$W$13)</f>
        <v>1459</v>
      </c>
      <c r="G170" s="1216">
        <f t="shared" ca="1" si="0"/>
        <v>41912.833102028664</v>
      </c>
      <c r="H170" s="1283"/>
    </row>
    <row r="171" spans="1:8" x14ac:dyDescent="0.45">
      <c r="B171" s="1260" t="str">
        <f>'9e. Forecast Results - KZN'!W$5</f>
        <v>2022/23</v>
      </c>
      <c r="C171" s="18"/>
      <c r="D171" s="18"/>
      <c r="E171" s="1217">
        <f ca="1">-SUMIF('9e. Forecast Results - KZN'!$R$5:$W$5,$B171,'9e. Forecast Results - KZN'!$R$51:$W$51)</f>
        <v>60180743.58734142</v>
      </c>
      <c r="F171" s="1224">
        <f>SUMIF('9e. Forecast Results - KZN'!$R$5:$W$5,$B171,'9e. Forecast Results - KZN'!$R$13:$W$13)</f>
        <v>1347</v>
      </c>
      <c r="G171" s="1217">
        <f t="shared" ca="1" si="0"/>
        <v>44677.612165806546</v>
      </c>
      <c r="H171" s="1283"/>
    </row>
    <row r="172" spans="1:8" x14ac:dyDescent="0.45">
      <c r="B172" s="1263" t="s">
        <v>1516</v>
      </c>
      <c r="C172" s="18"/>
      <c r="D172" s="18"/>
      <c r="E172" s="1220">
        <f ca="1">SUM(E167:E171)</f>
        <v>308425760.10419124</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704</v>
      </c>
      <c r="G172" s="1220">
        <f t="shared" ca="1" si="0"/>
        <v>438104.77287527168</v>
      </c>
      <c r="H172" s="1283"/>
    </row>
    <row r="173" spans="1:8" x14ac:dyDescent="0.45">
      <c r="A173" s="18"/>
      <c r="B173" s="1263" t="s">
        <v>1520</v>
      </c>
      <c r="C173" s="18"/>
      <c r="D173" s="18"/>
      <c r="E173" s="1220">
        <f ca="1">-'9e. Forecast Results - KZN'!AL$51</f>
        <v>944553506.53684115</v>
      </c>
      <c r="F173" s="1290">
        <f>SUMIF('10. Inputs &amp; Calcs'!$D$520:$D$525,$C$12,'10. Inputs &amp; Calcs'!$H$520:$H$525)</f>
        <v>2563</v>
      </c>
      <c r="G173" s="1220">
        <f t="shared" ca="1" si="0"/>
        <v>368534.33731441322</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'9e. Forecast Results - KZN'!R$5</f>
        <v>2017/18</v>
      </c>
      <c r="C176" s="18"/>
      <c r="D176" s="18"/>
      <c r="E176" s="971">
        <f ca="1">-SUMIF('9e. Forecast Results - KZN'!$R$5:$W$5,$B176,'9e. Forecast Results - KZN'!$R$53:$W$53)</f>
        <v>5046912</v>
      </c>
      <c r="F176" s="1136">
        <f>SUMIF('10. Inputs &amp; Calcs'!$D$51:$D$56,$C$12,'10. Inputs &amp; Calcs'!$J$51:$J$56)</f>
        <v>256</v>
      </c>
      <c r="G176" s="971">
        <f t="shared" ref="G176:G183" ca="1" si="1">IF(F176&lt;&gt;0,E176/F176,0)</f>
        <v>19714.5</v>
      </c>
      <c r="H176" s="1283"/>
    </row>
    <row r="177" spans="1:8" x14ac:dyDescent="0.45">
      <c r="A177" s="18"/>
      <c r="B177" s="1260" t="str">
        <f>'9e. Forecast Results - KZN'!S$5</f>
        <v>2018/19</v>
      </c>
      <c r="C177" s="18"/>
      <c r="D177" s="18"/>
      <c r="E177" s="1215">
        <f ca="1">-SUMIF('9e. Forecast Results - KZN'!$R$5:$W$5,$B177,'9e. Forecast Results - KZN'!$R$53:$W$53)</f>
        <v>5046912</v>
      </c>
      <c r="F177" s="1222">
        <f>IF($AA$19='14. Permanent Info'!$N$7,SUMIF('10. Inputs &amp; Calcs'!$D$51:$D$56,$C$12,'10. Inputs &amp; Calcs'!$K$51:$K$56)-SUMIF('10. Inputs &amp; Calcs'!$D$106:$D$111,$C$12,'10. Inputs &amp; Calcs'!$K$106:$K$111),SUMIF('10. Inputs &amp; Calcs'!$D$51:$D$56,$C$12,'10. Inputs &amp; Calcs'!$K$51:$K$56))</f>
        <v>256</v>
      </c>
      <c r="G177" s="1215">
        <f t="shared" ca="1" si="1"/>
        <v>19714.5</v>
      </c>
      <c r="H177" s="1283"/>
    </row>
    <row r="178" spans="1:8" x14ac:dyDescent="0.45">
      <c r="A178" s="18"/>
      <c r="B178" s="1260" t="str">
        <f>'9e. Forecast Results - KZN'!T$5</f>
        <v>2019/20</v>
      </c>
      <c r="C178" s="18"/>
      <c r="D178" s="18"/>
      <c r="E178" s="1216">
        <f ca="1">-SUMIF('9e. Forecast Results - KZN'!$R$5:$W$5,$B178,'9e. Forecast Results - KZN'!$R$53:$W$53)</f>
        <v>2208024</v>
      </c>
      <c r="F178" s="1223">
        <f>IF($AA$19='14. Permanent Info'!$N$7,SUMIF('10. Inputs &amp; Calcs'!$D$51:$D$56,$C$12,'10. Inputs &amp; Calcs'!$L$51:$L$56)-SUMIF('10. Inputs &amp; Calcs'!$D$106:$D$111,$C$12,'10. Inputs &amp; Calcs'!$L$106:$L$111),SUMIF('10. Inputs &amp; Calcs'!$D$51:$D$56,$C$12,'10. Inputs &amp; Calcs'!$L$51:$L$56))</f>
        <v>112</v>
      </c>
      <c r="G178" s="1216">
        <f t="shared" ca="1" si="1"/>
        <v>19714.5</v>
      </c>
      <c r="H178" s="1283"/>
    </row>
    <row r="179" spans="1:8" x14ac:dyDescent="0.45">
      <c r="A179" s="18"/>
      <c r="B179" s="1260" t="str">
        <f>'9e. Forecast Results - KZN'!U$5</f>
        <v>2020/21</v>
      </c>
      <c r="C179" s="18"/>
      <c r="D179" s="18"/>
      <c r="E179" s="1216">
        <f ca="1">-SUMIF('9e. Forecast Results - KZN'!$R$5:$W$5,$B179,'9e. Forecast Results - KZN'!$R$53:$W$53)</f>
        <v>2208024</v>
      </c>
      <c r="F179" s="1223">
        <f>IF($AA$19='14. Permanent Info'!$N$7,SUMIF('10. Inputs &amp; Calcs'!$D$51:$D$56,$C$12,'10. Inputs &amp; Calcs'!$M$51:$M$56)-SUMIF('10. Inputs &amp; Calcs'!$D$106:$D$111,$C$12,'10. Inputs &amp; Calcs'!$M$106:$M$111),SUMIF('10. Inputs &amp; Calcs'!$D$51:$D$56,$C$12,'10. Inputs &amp; Calcs'!$M$51:$M$56))</f>
        <v>112</v>
      </c>
      <c r="G179" s="1216">
        <f t="shared" ca="1" si="1"/>
        <v>19714.5</v>
      </c>
      <c r="H179" s="1283"/>
    </row>
    <row r="180" spans="1:8" x14ac:dyDescent="0.45">
      <c r="A180" s="18"/>
      <c r="B180" s="1260" t="str">
        <f>'9e. Forecast Results - KZN'!V$5</f>
        <v>2021/22</v>
      </c>
      <c r="C180" s="18"/>
      <c r="D180" s="18"/>
      <c r="E180" s="1216">
        <f ca="1">-SUMIF('9e. Forecast Results - KZN'!$R$5:$W$5,$B180,'9e. Forecast Results - KZN'!$R$53:$W$53)</f>
        <v>2208024</v>
      </c>
      <c r="F180" s="1223">
        <f>IF($AA$19='14. Permanent Info'!$N$7,SUMIF('10. Inputs &amp; Calcs'!$D$51:$D$56,$C$12,'10. Inputs &amp; Calcs'!$N$51:$N$56)-SUMIF('10. Inputs &amp; Calcs'!$D$106:$D$111,$C$12,'10. Inputs &amp; Calcs'!$N$106:$N$111),SUMIF('10. Inputs &amp; Calcs'!$D$51:$D$56,$C$12,'10. Inputs &amp; Calcs'!$N$51:$N$56))</f>
        <v>112</v>
      </c>
      <c r="G180" s="1216">
        <f t="shared" ca="1" si="1"/>
        <v>19714.5</v>
      </c>
      <c r="H180" s="1283"/>
    </row>
    <row r="181" spans="1:8" x14ac:dyDescent="0.45">
      <c r="A181" s="18"/>
      <c r="B181" s="1260" t="str">
        <f>'9e. Forecast Results - KZN'!W$5</f>
        <v>2022/23</v>
      </c>
      <c r="C181" s="18"/>
      <c r="D181" s="18"/>
      <c r="E181" s="1217">
        <f ca="1">-SUMIF('9e. Forecast Results - KZN'!$R$5:$W$5,$B181,'9e. Forecast Results - KZN'!$R$53:$W$53)</f>
        <v>2208024</v>
      </c>
      <c r="F181" s="1224">
        <f>IF($AA$19='14. Permanent Info'!$N$7,SUMIF('10. Inputs &amp; Calcs'!$D$51:$D$56,$C$12,'10. Inputs &amp; Calcs'!$O$51:$O$56)-SUMIF('10. Inputs &amp; Calcs'!$D$106:$D$111,$C$12,'10. Inputs &amp; Calcs'!$O$106:$O$111),SUMIF('10. Inputs &amp; Calcs'!$D$51:$D$56,$C$12,'10. Inputs &amp; Calcs'!$O$51:$O$56))</f>
        <v>112</v>
      </c>
      <c r="G181" s="1217">
        <f t="shared" ca="1" si="1"/>
        <v>19714.5</v>
      </c>
      <c r="H181" s="1283"/>
    </row>
    <row r="182" spans="1:8" x14ac:dyDescent="0.45">
      <c r="B182" s="1263" t="s">
        <v>1516</v>
      </c>
      <c r="C182" s="18"/>
      <c r="D182" s="18"/>
      <c r="E182" s="1220">
        <f ca="1">SUM(E177:E181)</f>
        <v>13879008</v>
      </c>
      <c r="F182" s="1291">
        <f>SUM(F177:F181)</f>
        <v>704</v>
      </c>
      <c r="G182" s="1220">
        <f t="shared" ca="1" si="1"/>
        <v>19714.5</v>
      </c>
      <c r="H182" s="1283"/>
    </row>
    <row r="183" spans="1:8" x14ac:dyDescent="0.45">
      <c r="B183" s="1263" t="s">
        <v>1521</v>
      </c>
      <c r="C183" s="18"/>
      <c r="D183" s="18"/>
      <c r="E183" s="1220">
        <f ca="1">-'9e. Forecast Results - KZN'!AL$53</f>
        <v>356278086.51299489</v>
      </c>
      <c r="F183" s="1290">
        <f>-SUMIF('10. Inputs &amp; Calcs'!$D$106:$D$111,$C$12,'10. Inputs &amp; Calcs'!$AD$106:$AD$111)+-SUMIF('10. Inputs &amp; Calcs'!$D$60:$D$65,$C$12,'10. Inputs &amp; Calcs'!$AD$60:$AD$65)</f>
        <v>3341</v>
      </c>
      <c r="G183" s="1220">
        <f t="shared" ca="1" si="1"/>
        <v>106638.15819006132</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 ca="1">E136</f>
        <v>6701022.3266636189</v>
      </c>
      <c r="H204" s="1235">
        <f ca="1">F136</f>
        <v>20664438.339247774</v>
      </c>
    </row>
    <row r="205" spans="1:8" hidden="1" outlineLevel="1" x14ac:dyDescent="0.45">
      <c r="E205" s="1245" t="str">
        <f>B137</f>
        <v>Costs/Expenses</v>
      </c>
      <c r="F205" s="4"/>
      <c r="G205" s="1234">
        <f t="shared" si="2"/>
        <v>315126782.43085486</v>
      </c>
      <c r="H205" s="1236">
        <f t="shared" si="2"/>
        <v>965217944.87608898</v>
      </c>
    </row>
    <row r="206" spans="1:8" hidden="1" outlineLevel="1" x14ac:dyDescent="0.45">
      <c r="E206" s="1245" t="str">
        <f>B145</f>
        <v>Net Surplus / (deficit)</v>
      </c>
      <c r="F206" s="4"/>
      <c r="G206" s="1237">
        <f ca="1">E145</f>
        <v>-308425760.10419124</v>
      </c>
      <c r="H206" s="1235">
        <f ca="1">F145</f>
        <v>-944553506.53684115</v>
      </c>
    </row>
    <row r="207" spans="1:8" hidden="1" outlineLevel="1" x14ac:dyDescent="0.45">
      <c r="E207" s="1245" t="str">
        <f>B146</f>
        <v>Net Surplus / (deficit) funded by HSDG Top Slice</v>
      </c>
      <c r="F207" s="4"/>
      <c r="G207" s="1237">
        <f ca="1">E146</f>
        <v>308425760.10419124</v>
      </c>
      <c r="H207" s="1235">
        <f ca="1">F146</f>
        <v>944553506.53684115</v>
      </c>
    </row>
    <row r="208" spans="1:8" hidden="1" outlineLevel="1" x14ac:dyDescent="0.45">
      <c r="E208" s="1245" t="str">
        <f>B150</f>
        <v>Total EEDBS utilised</v>
      </c>
      <c r="F208" s="4"/>
      <c r="G208" s="1234">
        <f t="shared" ref="G208:H211" ca="1" si="3">E150</f>
        <v>13879008</v>
      </c>
      <c r="H208" s="1236">
        <f t="shared" ca="1" si="3"/>
        <v>356278086.51299489</v>
      </c>
    </row>
    <row r="209" spans="2:8" hidden="1" outlineLevel="1" x14ac:dyDescent="0.45">
      <c r="E209" s="1245" t="str">
        <f>B151</f>
        <v>EEDBS per Existing Rental Unit</v>
      </c>
      <c r="F209" s="4"/>
      <c r="G209" s="1234">
        <f t="shared" ca="1" si="3"/>
        <v>19714.5</v>
      </c>
      <c r="H209" s="1236">
        <f t="shared" ca="1" si="3"/>
        <v>139008.22727779747</v>
      </c>
    </row>
    <row r="210" spans="2:8" hidden="1" outlineLevel="1" x14ac:dyDescent="0.45">
      <c r="E210" s="1245" t="str">
        <f>B152</f>
        <v>Total Government Contribution over 20 years</v>
      </c>
      <c r="F210" s="4"/>
      <c r="G210" s="1234">
        <f t="shared" ca="1" si="3"/>
        <v>322304768.10419124</v>
      </c>
      <c r="H210" s="1236">
        <f t="shared" ca="1" si="3"/>
        <v>1300831593.0498362</v>
      </c>
    </row>
    <row r="211" spans="2:8" hidden="1" outlineLevel="1" x14ac:dyDescent="0.45">
      <c r="E211" s="1246" t="str">
        <f>B153</f>
        <v>Total Government Contribution p.u.</v>
      </c>
      <c r="F211" s="931"/>
      <c r="G211" s="1247">
        <f t="shared" ca="1" si="3"/>
        <v>457819.27287527168</v>
      </c>
      <c r="H211" s="1248">
        <f t="shared" ca="1" si="3"/>
        <v>507542.56459221075</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'9e. Forecast Results - KZN'!AL89</f>
        <v>-7051844.2610526253</v>
      </c>
    </row>
    <row r="216" spans="2:8" hidden="1" outlineLevel="1" x14ac:dyDescent="0.45">
      <c r="B216" s="1057" t="s">
        <v>1560</v>
      </c>
      <c r="C216" s="1060"/>
      <c r="D216" s="1060"/>
      <c r="E216" s="1070">
        <f>SUM('9e. Forecast Results - KZN'!P12:P13)</f>
        <v>3341</v>
      </c>
    </row>
    <row r="217" spans="2:8" hidden="1" outlineLevel="1" x14ac:dyDescent="0.45">
      <c r="B217" s="1071" t="s">
        <v>1509</v>
      </c>
      <c r="C217" s="1072"/>
      <c r="D217" s="1072"/>
      <c r="E217" s="1073">
        <f>E215/E216</f>
        <v>-2110.6986713716328</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'9e. Forecast Results - KZN'!R$5</f>
        <v>2017/18</v>
      </c>
      <c r="E221" s="552">
        <f>SUMIF('9e. Forecast Results - KZN'!$R$5:$W$5,$B221,'9e. Forecast Results - KZN'!$R$52:$W$52)</f>
        <v>0</v>
      </c>
      <c r="F221" s="785">
        <f>SUMIF('10. Inputs &amp; Calcs'!$D$106:$D$111,$C$12,'10. Inputs &amp; Calcs'!$J$106:$J$111)</f>
        <v>0</v>
      </c>
      <c r="G221" s="552">
        <f>IF(F221&lt;&gt;0,E221/F221,0)</f>
        <v>0</v>
      </c>
    </row>
    <row r="222" spans="2:8" hidden="1" outlineLevel="1" x14ac:dyDescent="0.45">
      <c r="B222" s="948" t="str">
        <f>'9e. Forecast Results - KZN'!S$5</f>
        <v>2018/19</v>
      </c>
      <c r="E222" s="973">
        <f>SUMIF('9e. Forecast Results - KZN'!$R$5:$W$5,$B222,'9e. Forecast Results - KZN'!$R$52:$W$52)</f>
        <v>0</v>
      </c>
      <c r="F222" s="974">
        <f>SUMIF('10. Inputs &amp; Calcs'!$D$106:$D$111,$C$12,'10. Inputs &amp; Calcs'!$K$106:$K$111)</f>
        <v>0</v>
      </c>
      <c r="G222" s="753">
        <f t="shared" ref="G222:G227" si="4">IF(F222&lt;&gt;0,E222/F222,0)</f>
        <v>0</v>
      </c>
    </row>
    <row r="223" spans="2:8" hidden="1" outlineLevel="1" x14ac:dyDescent="0.45">
      <c r="B223" s="948" t="str">
        <f>'9e. Forecast Results - KZN'!T$5</f>
        <v>2019/20</v>
      </c>
      <c r="E223" s="975">
        <f>SUMIF('9e. Forecast Results - KZN'!$R$5:$W$5,$B223,'9e. Forecast Results - KZN'!$R$52:$W$52)</f>
        <v>0</v>
      </c>
      <c r="F223" s="976">
        <f>SUMIF('10. Inputs &amp; Calcs'!$D$106:$D$111,$C$12,'10. Inputs &amp; Calcs'!$L$106:$L$111)</f>
        <v>0</v>
      </c>
      <c r="G223" s="888">
        <f t="shared" si="4"/>
        <v>0</v>
      </c>
    </row>
    <row r="224" spans="2:8" hidden="1" outlineLevel="1" x14ac:dyDescent="0.45">
      <c r="B224" s="948" t="str">
        <f>'9e. Forecast Results - KZN'!U$5</f>
        <v>2020/21</v>
      </c>
      <c r="E224" s="975">
        <f>SUMIF('9e. Forecast Results - KZN'!$R$5:$W$5,$B224,'9e. Forecast Results - KZN'!$R$52:$W$52)</f>
        <v>0</v>
      </c>
      <c r="F224" s="976">
        <f>SUMIF('10. Inputs &amp; Calcs'!$D$106:$D$111,$C$12,'10. Inputs &amp; Calcs'!$M$106:$M$111)</f>
        <v>0</v>
      </c>
      <c r="G224" s="888">
        <f t="shared" si="4"/>
        <v>0</v>
      </c>
    </row>
    <row r="225" spans="2:8" hidden="1" outlineLevel="1" x14ac:dyDescent="0.45">
      <c r="B225" s="948" t="str">
        <f>'9e. Forecast Results - KZN'!V$5</f>
        <v>2021/22</v>
      </c>
      <c r="E225" s="975">
        <f>SUMIF('9e. Forecast Results - KZN'!$R$5:$W$5,$B225,'9e. Forecast Results - KZN'!$R$52:$W$52)</f>
        <v>0</v>
      </c>
      <c r="F225" s="976">
        <f>SUMIF('10. Inputs &amp; Calcs'!$D$106:$D$111,$C$12,'10. Inputs &amp; Calcs'!$N$106:$N$111)</f>
        <v>0</v>
      </c>
      <c r="G225" s="888">
        <f t="shared" si="4"/>
        <v>0</v>
      </c>
    </row>
    <row r="226" spans="2:8" hidden="1" outlineLevel="1" x14ac:dyDescent="0.45">
      <c r="B226" s="948" t="str">
        <f>'9e. Forecast Results - KZN'!W$5</f>
        <v>2022/23</v>
      </c>
      <c r="E226" s="977">
        <f>SUMIF('9e. Forecast Results - KZN'!$R$5:$W$5,$B226,'9e. Forecast Results - KZN'!$R$52:$W$52)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'9e. Forecast Results - KZN'!AL$52</f>
        <v>0</v>
      </c>
      <c r="F228" s="785">
        <f>SUMIF('10. Inputs &amp; Calcs'!$D$106:$D$111,$C$12,'10. Inputs &amp; Calcs'!$AD$106:$AD$111)</f>
        <v>-3341</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'9e. Forecast Results - KZN'!R$5</f>
        <v>2017/18</v>
      </c>
      <c r="E232" s="552">
        <f ca="1">SUMIF('10. Inputs &amp; Calcs'!$D$619:$D$624,$C$12,'10. Inputs &amp; Calcs'!$J$619:$J$629)-E176</f>
        <v>-10568180.69025361</v>
      </c>
      <c r="F232" s="785">
        <f>SUMIF('10. Inputs &amp; Calcs'!$D$51:$D$56,$C$12,'10. Inputs &amp; Calcs'!$J$51:$J$56)</f>
        <v>256</v>
      </c>
      <c r="G232" s="552">
        <f ca="1">IF(F232&lt;&gt;0,E232/F232,0)</f>
        <v>-41281.955821303163</v>
      </c>
      <c r="H232" s="930"/>
    </row>
    <row r="233" spans="2:8" hidden="1" outlineLevel="1" x14ac:dyDescent="0.45">
      <c r="B233" s="948" t="str">
        <f>'9e. Forecast Results - KZN'!S$5</f>
        <v>2018/19</v>
      </c>
      <c r="E233" s="973">
        <f>SUMIF('10. Inputs &amp; Calcs'!$D$619:$D$624,$C$12,'10. Inputs &amp; Calcs'!$K$619:$K$629)</f>
        <v>-5800301.357846275</v>
      </c>
      <c r="F233" s="974">
        <f>SUMIF('10. Inputs &amp; Calcs'!$D$51:$D$56,$C$12,'10. Inputs &amp; Calcs'!$K$51:$K$56)</f>
        <v>256</v>
      </c>
      <c r="G233" s="753">
        <f t="shared" ref="G233:G239" si="5">IF(F233&lt;&gt;0,E233/F233,0)</f>
        <v>-22657.427179087012</v>
      </c>
      <c r="H233" s="930"/>
    </row>
    <row r="234" spans="2:8" hidden="1" outlineLevel="1" x14ac:dyDescent="0.45">
      <c r="B234" s="948" t="str">
        <f>'9e. Forecast Results - KZN'!T$5</f>
        <v>2019/20</v>
      </c>
      <c r="E234" s="975">
        <f>SUMIF('10. Inputs &amp; Calcs'!$D$619:$D$624,$C$12,'10. Inputs &amp; Calcs'!$L$619:$L$629)</f>
        <v>-2659708.6361295362</v>
      </c>
      <c r="F234" s="976">
        <f>SUMIF('10. Inputs &amp; Calcs'!$D$51:$D$56,$C$12,'10. Inputs &amp; Calcs'!$L$51:$L$56)</f>
        <v>112</v>
      </c>
      <c r="G234" s="888">
        <f t="shared" si="5"/>
        <v>-23747.39853687086</v>
      </c>
      <c r="H234" s="930"/>
    </row>
    <row r="235" spans="2:8" hidden="1" outlineLevel="1" x14ac:dyDescent="0.45">
      <c r="B235" s="948" t="str">
        <f>'9e. Forecast Results - KZN'!U$5</f>
        <v>2020/21</v>
      </c>
      <c r="E235" s="975">
        <f>SUMIF('10. Inputs &amp; Calcs'!$D$619:$D$624,$C$12,'10. Inputs &amp; Calcs'!$M$619:$M$629)</f>
        <v>-2781785.4282013271</v>
      </c>
      <c r="F235" s="976">
        <f>SUMIF('10. Inputs &amp; Calcs'!$D$51:$D$56,$C$12,'10. Inputs &amp; Calcs'!$M$51:$M$56)</f>
        <v>112</v>
      </c>
      <c r="G235" s="888">
        <f t="shared" si="5"/>
        <v>-24837.369894654705</v>
      </c>
      <c r="H235" s="930"/>
    </row>
    <row r="236" spans="2:8" hidden="1" outlineLevel="1" x14ac:dyDescent="0.45">
      <c r="B236" s="948" t="str">
        <f>'9e. Forecast Results - KZN'!V$5</f>
        <v>2021/22</v>
      </c>
      <c r="E236" s="975">
        <f>SUMIF('10. Inputs &amp; Calcs'!$D$619:$D$624,$C$12,'10. Inputs &amp; Calcs'!$N$619:$N$629)</f>
        <v>-2903862.2202731185</v>
      </c>
      <c r="F236" s="976">
        <f>SUMIF('10. Inputs &amp; Calcs'!$D$51:$D$56,$C$12,'10. Inputs &amp; Calcs'!$N$51:$N$56)</f>
        <v>112</v>
      </c>
      <c r="G236" s="888">
        <f t="shared" si="5"/>
        <v>-25927.341252438557</v>
      </c>
      <c r="H236" s="930"/>
    </row>
    <row r="237" spans="2:8" hidden="1" outlineLevel="1" x14ac:dyDescent="0.45">
      <c r="B237" s="948" t="str">
        <f>'9e. Forecast Results - KZN'!W$5</f>
        <v>2022/23</v>
      </c>
      <c r="E237" s="977">
        <f>SUMIF('10. Inputs &amp; Calcs'!$D$619:$D$624,$C$12,'10. Inputs &amp; Calcs'!$O$619:$O$629)</f>
        <v>-3025939.0123449094</v>
      </c>
      <c r="F237" s="978">
        <f>SUMIF('10. Inputs &amp; Calcs'!$D$51:$D$56,$C$12,'10. Inputs &amp; Calcs'!$O$51:$O$56)</f>
        <v>112</v>
      </c>
      <c r="G237" s="754">
        <f t="shared" si="5"/>
        <v>-27017.312610222405</v>
      </c>
      <c r="H237" s="930"/>
    </row>
    <row r="238" spans="2:8" hidden="1" outlineLevel="1" x14ac:dyDescent="0.45">
      <c r="B238" s="948" t="s">
        <v>1516</v>
      </c>
      <c r="E238" s="970">
        <f>SUM(E233:E237)</f>
        <v>-17171596.654795166</v>
      </c>
      <c r="F238" s="972">
        <f>SUM(F233:F237)</f>
        <v>704</v>
      </c>
      <c r="G238" s="552">
        <f t="shared" si="5"/>
        <v>-24391.472521015861</v>
      </c>
      <c r="H238" s="930"/>
    </row>
    <row r="239" spans="2:8" hidden="1" outlineLevel="1" x14ac:dyDescent="0.45">
      <c r="B239" s="948" t="s">
        <v>1519</v>
      </c>
      <c r="E239" s="971">
        <f>SUMIF('10. Inputs &amp; Calcs'!$D$619:$D$624,$C$12, '10. Inputs &amp; Calcs'!$AD$619:$AD$624)</f>
        <v>-73522419.827943832</v>
      </c>
      <c r="F239" s="785">
        <f>SUMIF('10. Inputs &amp; Calcs'!$D$520:$D$525,$C$12,'10. Inputs &amp; Calcs'!$H$520:$H$525)</f>
        <v>2563</v>
      </c>
      <c r="G239" s="552">
        <f t="shared" si="5"/>
        <v>-28686.078746759202</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count="2">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61675E12-04E4-4500-9E8C-07C40486594C}">
      <formula1>$F$22:$G$22</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0E592CA7-BFD2-475F-932B-A34EC3AD2C3B}">
      <formula1>$D$22:$E$22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64C7FE9A-9DD6-48DC-986E-FFE0169D33AF}">
          <x14:formula1>
            <xm:f>'14. Permanent Info'!$M$7:$N$7</xm:f>
          </x14:formula1>
          <xm:sqref>AA19</xm:sqref>
        </x14:dataValidation>
        <x14:dataValidation type="list" allowBlank="1" showInputMessage="1" showErrorMessage="1" promptTitle="Years" prompt="Select the number of years required to close this programme from 2018/19._x000a_" xr:uid="{2911C2DE-A6E4-4B23-9D0D-B4530D43C344}">
          <x14:formula1>
            <xm:f>'14. Permanent Info'!$J$7:$J$23</xm:f>
          </x14:formula1>
          <xm:sqref>AA16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FD108-D715-4084-89D5-A464F135A14A}">
  <sheetPr>
    <tabColor theme="5" tint="0.79998168889431442"/>
  </sheetPr>
  <dimension ref="A1:CE241"/>
  <sheetViews>
    <sheetView showGridLines="0" zoomScale="65" zoomScaleNormal="65" zoomScaleSheetLayoutView="40" workbookViewId="0">
      <selection activeCell="C11" sqref="C1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I2" s="4"/>
      <c r="J2" s="4"/>
      <c r="AB2" s="803">
        <f>'9f. Forecast Results - WC'!AO19</f>
        <v>0</v>
      </c>
      <c r="AC2" s="803" t="str">
        <f>'9f. Forecast Results - WC'!AP19</f>
        <v>2013/14</v>
      </c>
      <c r="AD2" s="803" t="str">
        <f>'9f. Forecast Results - WC'!AQ19</f>
        <v>2014/15</v>
      </c>
      <c r="AE2" s="803" t="str">
        <f>'9f. Forecast Results - WC'!AR19</f>
        <v>2015/16</v>
      </c>
      <c r="AF2" s="803" t="str">
        <f>'9f. Forecast Results - WC'!AS19</f>
        <v>2016/17</v>
      </c>
      <c r="AG2" s="803" t="str">
        <f>'9f. Forecast Results - WC'!AT19</f>
        <v>2017/18</v>
      </c>
      <c r="AH2" s="803" t="str">
        <f>'9f. Forecast Results - WC'!AU19</f>
        <v>2018/19</v>
      </c>
      <c r="AI2" s="803" t="str">
        <f>'9f. Forecast Results - WC'!AV19</f>
        <v>2019/20</v>
      </c>
      <c r="AJ2" s="803" t="str">
        <f>'9f. Forecast Results - WC'!AW19</f>
        <v>2020/21</v>
      </c>
      <c r="AK2" s="803" t="str">
        <f>'9f. Forecast Results - WC'!AX19</f>
        <v>2021/22</v>
      </c>
      <c r="AL2" s="803" t="str">
        <f>'9f. Forecast Results - WC'!AY19</f>
        <v>2022/23</v>
      </c>
      <c r="AM2" s="803" t="str">
        <f>'9f. Forecast Results - WC'!AZ19</f>
        <v>2023/24</v>
      </c>
      <c r="AN2" s="803" t="str">
        <f>'9f. Forecast Results - WC'!BA19</f>
        <v>2024/25</v>
      </c>
      <c r="AO2" s="803" t="str">
        <f>'9f. Forecast Results - WC'!BB19</f>
        <v>2025/26</v>
      </c>
      <c r="AP2" s="803" t="str">
        <f>'9f. Forecast Results - WC'!BC19</f>
        <v>2026/27</v>
      </c>
      <c r="AQ2" s="803" t="str">
        <f>'9f. Forecast Results - WC'!BD19</f>
        <v>2027/28</v>
      </c>
      <c r="AR2" s="803" t="str">
        <f>'9f. Forecast Results - WC'!BE19</f>
        <v>2028/29</v>
      </c>
      <c r="AS2" s="803" t="str">
        <f>'9f. Forecast Results - WC'!BF19</f>
        <v>2029/30</v>
      </c>
      <c r="AT2" s="803" t="str">
        <f>'9f. Forecast Results - WC'!BG19</f>
        <v>2030/31</v>
      </c>
      <c r="AU2" s="803" t="str">
        <f>'9f. Forecast Results - WC'!BH19</f>
        <v>2031/32</v>
      </c>
      <c r="AV2" s="803" t="str">
        <f>'9f. Forecast Results - WC'!BI19</f>
        <v>3032/33</v>
      </c>
      <c r="AW2" s="803" t="str">
        <f>'9f. Forecast Results - WC'!BJ19</f>
        <v>2033/34</v>
      </c>
      <c r="AX2" s="803" t="str">
        <f>'9f. Forecast Results - WC'!BK19</f>
        <v>2034/35</v>
      </c>
      <c r="AY2" s="803" t="str">
        <f>'9f. Forecast Results - WC'!BL19</f>
        <v>2035/36</v>
      </c>
      <c r="AZ2" s="803" t="str">
        <f>'9f. Forecast Results - WC'!BM19</f>
        <v>2036/37</v>
      </c>
    </row>
    <row r="3" spans="1:83" x14ac:dyDescent="0.45">
      <c r="C3" s="929" t="s">
        <v>1796</v>
      </c>
      <c r="D3" s="553"/>
      <c r="E3" s="553"/>
      <c r="F3" s="553"/>
      <c r="G3" s="553"/>
      <c r="H3" s="796"/>
      <c r="I3" s="4"/>
      <c r="J3" s="4"/>
      <c r="AB3" s="803" t="str">
        <f>'9f. Forecast Results - WC'!AO20</f>
        <v>Net Deficit funded by HSDG Top Slice</v>
      </c>
      <c r="AC3" s="1105">
        <f>'9f. Forecast Results - WC'!AP20</f>
        <v>0</v>
      </c>
      <c r="AD3" s="1105">
        <f>'9f. Forecast Results - WC'!AQ20</f>
        <v>0</v>
      </c>
      <c r="AE3" s="1105">
        <f>'9f. Forecast Results - WC'!AR20</f>
        <v>0</v>
      </c>
      <c r="AF3" s="1105">
        <f ca="1">'9f. Forecast Results - WC'!AS20</f>
        <v>-296981.87305132486</v>
      </c>
      <c r="AG3" s="1105">
        <f ca="1">'9f. Forecast Results - WC'!AT20</f>
        <v>-1185226.4662995497</v>
      </c>
      <c r="AH3" s="1105">
        <f ca="1">'9f. Forecast Results - WC'!AU20</f>
        <v>-2701993.0889131185</v>
      </c>
      <c r="AI3" s="1105">
        <f ca="1">'9f. Forecast Results - WC'!AV20</f>
        <v>-4919996.0517974235</v>
      </c>
      <c r="AJ3" s="1105">
        <f ca="1">'9f. Forecast Results - WC'!AW20</f>
        <v>-5058942.7246914273</v>
      </c>
      <c r="AK3" s="1105">
        <f ca="1">'9f. Forecast Results - WC'!AX20</f>
        <v>-5178018.2435189942</v>
      </c>
      <c r="AL3" s="1105">
        <f ca="1">'9f. Forecast Results - WC'!AY20</f>
        <v>-5274971.7583163055</v>
      </c>
      <c r="AM3" s="1105">
        <f ca="1">'9f. Forecast Results - WC'!AZ20</f>
        <v>-5347364.9358645715</v>
      </c>
      <c r="AN3" s="1105">
        <f ca="1">'9f. Forecast Results - WC'!BA20</f>
        <v>-5392558.1453531226</v>
      </c>
      <c r="AO3" s="1105">
        <f ca="1">'9f. Forecast Results - WC'!BB20</f>
        <v>-5407695.6916023027</v>
      </c>
      <c r="AP3" s="1105">
        <f ca="1">'9f. Forecast Results - WC'!BC20</f>
        <v>-5389690.0328660645</v>
      </c>
      <c r="AQ3" s="1105">
        <f ca="1">'9f. Forecast Results - WC'!BD20</f>
        <v>-5335204.9161876012</v>
      </c>
      <c r="AR3" s="1105">
        <f ca="1">'9f. Forecast Results - WC'!BE20</f>
        <v>-5240637.3589799376</v>
      </c>
      <c r="AS3" s="1105">
        <f ca="1">'9f. Forecast Results - WC'!BF20</f>
        <v>-5102098.4009318044</v>
      </c>
      <c r="AT3" s="1105">
        <f ca="1">'9f. Forecast Results - WC'!BG20</f>
        <v>-4915392.5454802923</v>
      </c>
      <c r="AU3" s="1105">
        <f ca="1">'9f. Forecast Results - WC'!BH20</f>
        <v>-4675995.8049281193</v>
      </c>
      <c r="AV3" s="1105">
        <f ca="1">'9f. Forecast Results - WC'!BI20</f>
        <v>-4379032.257795942</v>
      </c>
      <c r="AW3" s="1105">
        <f ca="1">'9f. Forecast Results - WC'!BJ20</f>
        <v>-4019249.0211691251</v>
      </c>
      <c r="AX3" s="1105">
        <f ca="1">'9f. Forecast Results - WC'!BK20</f>
        <v>-3590989.5346023208</v>
      </c>
      <c r="AY3" s="1105">
        <f ca="1">'9f. Forecast Results - WC'!BL20</f>
        <v>0</v>
      </c>
      <c r="AZ3" s="1105">
        <f ca="1">'9f. Forecast Results - WC'!BM20</f>
        <v>0</v>
      </c>
    </row>
    <row r="4" spans="1:83" x14ac:dyDescent="0.45">
      <c r="C4" s="1170" t="s">
        <v>1797</v>
      </c>
      <c r="D4" s="4"/>
      <c r="F4" s="4"/>
      <c r="G4" s="4"/>
      <c r="H4" s="930"/>
      <c r="I4" s="4"/>
      <c r="J4" s="4"/>
      <c r="AB4" s="803" t="str">
        <f>'9f. Forecast Results - WC'!AO21</f>
        <v>EEDBS utilised to settle Existing Sales Debtors Balances Owing</v>
      </c>
      <c r="AC4" s="1105">
        <f>'9f. Forecast Results - WC'!AP21</f>
        <v>-562843</v>
      </c>
      <c r="AD4" s="1105">
        <f>'9f. Forecast Results - WC'!AQ21</f>
        <v>-358439</v>
      </c>
      <c r="AE4" s="1105">
        <f>'9f. Forecast Results - WC'!AR21</f>
        <v>-267958</v>
      </c>
      <c r="AF4" s="1105">
        <f ca="1">'9f. Forecast Results - WC'!AS21</f>
        <v>-2811433.6077560242</v>
      </c>
      <c r="AG4" s="1105">
        <f ca="1">'9f. Forecast Results - WC'!AT21</f>
        <v>-2811433.6077560242</v>
      </c>
      <c r="AH4" s="1105">
        <f ca="1">'9f. Forecast Results - WC'!AU21</f>
        <v>-2113169.0515813255</v>
      </c>
      <c r="AI4" s="1105">
        <f ca="1">'9f. Forecast Results - WC'!AV21</f>
        <v>-385883.04420180724</v>
      </c>
      <c r="AJ4" s="1105">
        <f ca="1">'9f. Forecast Results - WC'!AW21</f>
        <v>-385883.04420180724</v>
      </c>
      <c r="AK4" s="1105">
        <f ca="1">'9f. Forecast Results - WC'!AX21</f>
        <v>-385883.04420180724</v>
      </c>
      <c r="AL4" s="1105">
        <f ca="1">'9f. Forecast Results - WC'!AY21</f>
        <v>-385883.04420180724</v>
      </c>
      <c r="AM4" s="1105">
        <f ca="1">'9f. Forecast Results - WC'!AZ21</f>
        <v>-385883.04420180724</v>
      </c>
      <c r="AN4" s="1105">
        <f ca="1">'9f. Forecast Results - WC'!BA21</f>
        <v>-385883.04420180724</v>
      </c>
      <c r="AO4" s="1105">
        <f ca="1">'9f. Forecast Results - WC'!BB21</f>
        <v>-385883.04420180724</v>
      </c>
      <c r="AP4" s="1105">
        <f ca="1">'9f. Forecast Results - WC'!BC21</f>
        <v>-385883.04420180724</v>
      </c>
      <c r="AQ4" s="1105">
        <f ca="1">'9f. Forecast Results - WC'!BD21</f>
        <v>-385883.04420180724</v>
      </c>
      <c r="AR4" s="1105">
        <f ca="1">'9f. Forecast Results - WC'!BE21</f>
        <v>-385883.04420180724</v>
      </c>
      <c r="AS4" s="1105">
        <f ca="1">'9f. Forecast Results - WC'!BF21</f>
        <v>-385883.04420180724</v>
      </c>
      <c r="AT4" s="1105">
        <f ca="1">'9f. Forecast Results - WC'!BG21</f>
        <v>-385883.04420180724</v>
      </c>
      <c r="AU4" s="1105">
        <f ca="1">'9f. Forecast Results - WC'!BH21</f>
        <v>-385883.04420180724</v>
      </c>
      <c r="AV4" s="1105">
        <f ca="1">'9f. Forecast Results - WC'!BI21</f>
        <v>-385883.04420180724</v>
      </c>
      <c r="AW4" s="1105">
        <f ca="1">'9f. Forecast Results - WC'!BJ21</f>
        <v>-385883.04420180724</v>
      </c>
      <c r="AX4" s="1105">
        <f ca="1">'9f. Forecast Results - WC'!BK21</f>
        <v>-385883.04420180724</v>
      </c>
      <c r="AY4" s="1105">
        <f ca="1">'9f. Forecast Results - WC'!BL21</f>
        <v>-86073415.425300524</v>
      </c>
      <c r="AZ4" s="1105">
        <f ca="1">'9f. Forecast Results - WC'!BM21</f>
        <v>0</v>
      </c>
    </row>
    <row r="5" spans="1:83" x14ac:dyDescent="0.45">
      <c r="C5" s="949"/>
      <c r="D5" s="931"/>
      <c r="E5" s="931"/>
      <c r="F5" s="931"/>
      <c r="G5" s="931"/>
      <c r="H5" s="932"/>
      <c r="I5" s="4"/>
      <c r="J5" s="4"/>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5</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WC BC</v>
      </c>
      <c r="E15" s="1274" t="str">
        <f>$C$12&amp;" "&amp;'14. Permanent Info'!$D$7</f>
        <v>WC BC</v>
      </c>
      <c r="F15" s="1274" t="str">
        <f>$C$12&amp;" "&amp;'14. Permanent Info'!$D$8</f>
        <v>WC Sc1</v>
      </c>
      <c r="G15" s="1274" t="str">
        <f>$C$12&amp;" "&amp;'14. Permanent Info'!$D$9</f>
        <v>WC Sc2</v>
      </c>
      <c r="H15" s="1274" t="str">
        <f>$C$12&amp;" "&amp;'14. Permanent Info'!$D$10</f>
        <v>WC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WC'!C16,0)))))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WC'!C17,0)))))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WC'!C18,0)))))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WC'!C19,0)))))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WC BC</v>
      </c>
      <c r="D24" s="553"/>
      <c r="E24" s="1294" t="str">
        <f>E15</f>
        <v>WC BC</v>
      </c>
      <c r="F24" s="1294" t="str">
        <f>F15</f>
        <v>WC Sc1</v>
      </c>
      <c r="G24" s="1294" t="str">
        <f>G15</f>
        <v>WC Sc2</v>
      </c>
      <c r="H24" s="1294" t="str">
        <f>H15</f>
        <v>WC Sc3</v>
      </c>
      <c r="I24" s="4"/>
      <c r="J24" s="4"/>
      <c r="K24" s="4"/>
      <c r="L24" s="4"/>
      <c r="M24" s="4"/>
      <c r="N24" s="4"/>
      <c r="O24" s="4"/>
      <c r="P24" s="4"/>
      <c r="Q24" s="4"/>
      <c r="R24" s="4"/>
      <c r="S24" s="4"/>
      <c r="T24" s="4"/>
      <c r="U24" s="4"/>
      <c r="V24" s="4"/>
      <c r="W24" s="4"/>
    </row>
    <row r="25" spans="1:83" x14ac:dyDescent="0.45">
      <c r="B25" s="1260" t="str">
        <f>B136</f>
        <v>Income (=Rent &amp; Sales Income)</v>
      </c>
      <c r="C25" s="1296">
        <f ca="1">$F$136</f>
        <v>45459469.539855853</v>
      </c>
      <c r="D25" s="558"/>
      <c r="E25" s="1296">
        <v>45459469.539855853</v>
      </c>
      <c r="F25" s="1296">
        <v>33854080.557479396</v>
      </c>
      <c r="G25" s="1296">
        <v>30649399.622679401</v>
      </c>
      <c r="H25" s="1297">
        <v>30649399.622679401</v>
      </c>
      <c r="I25" s="4"/>
      <c r="J25" s="4"/>
      <c r="K25" s="4"/>
      <c r="L25" s="4"/>
      <c r="M25" s="4"/>
      <c r="N25" s="4"/>
      <c r="O25" s="4"/>
      <c r="P25" s="4"/>
      <c r="Q25" s="4"/>
      <c r="R25" s="4"/>
      <c r="S25" s="4"/>
      <c r="T25" s="4"/>
      <c r="U25" s="4"/>
      <c r="V25" s="4"/>
      <c r="W25" s="4"/>
    </row>
    <row r="26" spans="1:83" x14ac:dyDescent="0.45">
      <c r="B26" s="1260" t="str">
        <f>B137</f>
        <v>Costs/Expenses</v>
      </c>
      <c r="C26" s="1296">
        <f>$F$137</f>
        <v>128788628.71504971</v>
      </c>
      <c r="D26" s="558"/>
      <c r="E26" s="1296">
        <v>128788628.71504971</v>
      </c>
      <c r="F26" s="1296">
        <v>40374913.918899924</v>
      </c>
      <c r="G26" s="1296">
        <v>27783475.126937531</v>
      </c>
      <c r="H26" s="1298">
        <v>27437670.403712779</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 ca="1">$F$146</f>
        <v>83329159.175193861</v>
      </c>
      <c r="D27" s="558"/>
      <c r="E27" s="1299">
        <v>83329159.175193861</v>
      </c>
      <c r="F27" s="1299">
        <v>6520833.3614205271</v>
      </c>
      <c r="G27" s="1299">
        <v>-2865924.4957418703</v>
      </c>
      <c r="H27" s="1297">
        <v>-3211729.2189666219</v>
      </c>
      <c r="I27" s="4"/>
      <c r="J27" s="4"/>
      <c r="K27" s="4"/>
      <c r="L27" s="4"/>
      <c r="M27" s="4"/>
      <c r="N27" s="4"/>
      <c r="O27" s="4"/>
      <c r="P27" s="4"/>
      <c r="Q27" s="4"/>
      <c r="R27" s="4"/>
      <c r="S27" s="4"/>
      <c r="T27" s="4"/>
      <c r="U27" s="4"/>
      <c r="V27" s="4"/>
      <c r="W27" s="4"/>
    </row>
    <row r="28" spans="1:83" x14ac:dyDescent="0.45">
      <c r="B28" s="1260" t="str">
        <f>B150</f>
        <v>Total EEDBS utilised</v>
      </c>
      <c r="C28" s="1296">
        <f ca="1">$F$150</f>
        <v>99983580.399622828</v>
      </c>
      <c r="D28" s="558"/>
      <c r="E28" s="1296">
        <v>99983580.399622828</v>
      </c>
      <c r="F28" s="1296">
        <v>99983580.399622813</v>
      </c>
      <c r="G28" s="1296">
        <v>99983580.399622828</v>
      </c>
      <c r="H28" s="1298">
        <v>99983580.399622813</v>
      </c>
      <c r="I28" s="4"/>
      <c r="J28" s="4"/>
      <c r="K28" s="4"/>
      <c r="L28" s="4"/>
      <c r="M28" s="4"/>
      <c r="N28" s="4"/>
      <c r="O28" s="4"/>
      <c r="P28" s="4"/>
      <c r="Q28" s="4"/>
      <c r="R28" s="4"/>
      <c r="S28" s="4"/>
      <c r="T28" s="4"/>
      <c r="U28" s="4"/>
      <c r="V28" s="4"/>
      <c r="W28" s="4"/>
    </row>
    <row r="29" spans="1:83" x14ac:dyDescent="0.45">
      <c r="B29" s="1263" t="s">
        <v>1768</v>
      </c>
      <c r="C29" s="1300">
        <f ca="1">SUM(C27:C28)</f>
        <v>183312739.5748167</v>
      </c>
      <c r="D29" s="558"/>
      <c r="E29" s="1300">
        <v>183312739.5748167</v>
      </c>
      <c r="F29" s="1300">
        <v>106504413.76104334</v>
      </c>
      <c r="G29" s="1300">
        <v>97117655.903880954</v>
      </c>
      <c r="H29" s="1301">
        <v>96771851.180656195</v>
      </c>
      <c r="I29" s="4"/>
      <c r="J29" s="4"/>
      <c r="K29" s="4"/>
      <c r="L29" s="4"/>
      <c r="M29" s="4"/>
      <c r="N29" s="4"/>
      <c r="O29" s="4"/>
      <c r="P29" s="4"/>
      <c r="Q29" s="4"/>
      <c r="R29" s="4"/>
      <c r="S29" s="4"/>
      <c r="T29" s="4"/>
      <c r="U29" s="4"/>
      <c r="V29" s="4"/>
      <c r="W29" s="4"/>
    </row>
    <row r="30" spans="1:83" x14ac:dyDescent="0.45">
      <c r="B30" s="1276" t="str">
        <f>B157</f>
        <v>Total HSDG &amp; EEDBS per Base Case</v>
      </c>
      <c r="C30" s="1302">
        <f>$F$157</f>
        <v>183395619.2519722</v>
      </c>
      <c r="D30" s="558"/>
      <c r="E30" s="1302">
        <v>183395619.2519722</v>
      </c>
      <c r="F30" s="1302">
        <v>183395619.2519722</v>
      </c>
      <c r="G30" s="1302">
        <v>183395619.2519722</v>
      </c>
      <c r="H30" s="1303">
        <v>183395619.2519722</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 ca="1">C29-$E29</f>
        <v>0</v>
      </c>
      <c r="D31" s="1304"/>
      <c r="E31" s="1293">
        <v>0</v>
      </c>
      <c r="F31" s="1293">
        <v>-76808325.813773364</v>
      </c>
      <c r="G31" s="1293">
        <v>-86195083.67093575</v>
      </c>
      <c r="H31" s="1295">
        <v>-86540888.394160509</v>
      </c>
      <c r="I31" s="4"/>
      <c r="J31" s="4"/>
      <c r="K31" s="4"/>
      <c r="L31" s="4"/>
      <c r="M31" s="4"/>
      <c r="N31" s="4"/>
      <c r="O31" s="4"/>
      <c r="P31" s="4"/>
      <c r="Q31" s="4"/>
      <c r="R31" s="4"/>
      <c r="S31" s="4"/>
      <c r="T31" s="4"/>
      <c r="U31" s="4"/>
      <c r="V31" s="4"/>
      <c r="W31" s="4"/>
    </row>
    <row r="32" spans="1:83" x14ac:dyDescent="0.45">
      <c r="B32" s="1260" t="s">
        <v>155</v>
      </c>
      <c r="C32" s="1305">
        <f>$F$147</f>
        <v>765</v>
      </c>
      <c r="D32" s="558"/>
      <c r="E32" s="1305">
        <v>5160</v>
      </c>
      <c r="F32" s="1305">
        <v>765</v>
      </c>
      <c r="G32" s="1305">
        <v>765</v>
      </c>
      <c r="H32" s="1306">
        <v>765</v>
      </c>
      <c r="I32" s="4"/>
      <c r="J32" s="4"/>
      <c r="K32" s="4"/>
      <c r="L32" s="4"/>
      <c r="M32" s="4"/>
      <c r="N32" s="4"/>
      <c r="O32" s="4"/>
      <c r="P32" s="4"/>
      <c r="Q32" s="4"/>
      <c r="R32" s="4"/>
      <c r="S32" s="4"/>
      <c r="T32" s="4"/>
      <c r="U32" s="4"/>
      <c r="V32" s="4"/>
      <c r="W32" s="4"/>
    </row>
    <row r="33" spans="1:83" x14ac:dyDescent="0.45">
      <c r="B33" s="1264" t="str">
        <f>B151</f>
        <v>EEDBS per Existing Rental Unit</v>
      </c>
      <c r="C33" s="1296">
        <f ca="1">$F$151</f>
        <v>130697.49071846121</v>
      </c>
      <c r="D33" s="558"/>
      <c r="E33" s="1296">
        <v>19376.662868143958</v>
      </c>
      <c r="F33" s="1296">
        <v>130697.49071846119</v>
      </c>
      <c r="G33" s="1296">
        <v>130697.49071846121</v>
      </c>
      <c r="H33" s="1298">
        <v>130697.49071846119</v>
      </c>
      <c r="I33" s="4"/>
      <c r="J33" s="4"/>
      <c r="K33" s="4"/>
      <c r="L33" s="4"/>
      <c r="M33" s="4"/>
      <c r="N33" s="4"/>
      <c r="O33" s="4"/>
      <c r="P33" s="4"/>
      <c r="Q33" s="4"/>
      <c r="R33" s="4"/>
      <c r="S33" s="4"/>
      <c r="T33" s="4"/>
      <c r="U33" s="4"/>
      <c r="V33" s="4"/>
      <c r="W33" s="4"/>
    </row>
    <row r="34" spans="1:83" x14ac:dyDescent="0.45">
      <c r="B34" s="1264" t="str">
        <f>B148</f>
        <v>HSDG Top Slice per Existing Rental Unit</v>
      </c>
      <c r="C34" s="1296">
        <f ca="1">$F$148</f>
        <v>108927.00545776976</v>
      </c>
      <c r="D34" s="558"/>
      <c r="E34" s="1296">
        <v>16149.061855657725</v>
      </c>
      <c r="F34" s="1296">
        <v>8523.9651783274858</v>
      </c>
      <c r="G34" s="1296">
        <v>-3746.3065303815297</v>
      </c>
      <c r="H34" s="1298">
        <v>-4198.3388483223816</v>
      </c>
      <c r="I34" s="4"/>
      <c r="J34" s="4"/>
      <c r="K34" s="4"/>
      <c r="L34" s="4"/>
      <c r="M34" s="4"/>
      <c r="N34" s="4"/>
      <c r="O34" s="4"/>
      <c r="P34" s="4"/>
      <c r="Q34" s="4"/>
      <c r="R34" s="4"/>
      <c r="S34" s="4"/>
      <c r="T34" s="4"/>
      <c r="U34" s="4"/>
      <c r="V34" s="4"/>
      <c r="W34" s="4"/>
    </row>
    <row r="35" spans="1:83" x14ac:dyDescent="0.45">
      <c r="B35" s="1264" t="str">
        <f>B153</f>
        <v>Total Government Contribution p.u.</v>
      </c>
      <c r="C35" s="1299">
        <f ca="1">$F$153</f>
        <v>239624.49617623098</v>
      </c>
      <c r="D35" s="558"/>
      <c r="E35" s="1299">
        <v>35525.724723801686</v>
      </c>
      <c r="F35" s="1299">
        <v>139221.45589678868</v>
      </c>
      <c r="G35" s="1299">
        <v>126951.18418807967</v>
      </c>
      <c r="H35" s="1297">
        <v>126499.15187013881</v>
      </c>
      <c r="I35" s="4"/>
      <c r="J35" s="4"/>
      <c r="K35" s="4"/>
      <c r="L35" s="4"/>
      <c r="M35" s="4"/>
      <c r="N35" s="4"/>
      <c r="O35" s="4"/>
      <c r="P35" s="4"/>
      <c r="Q35" s="4"/>
      <c r="R35" s="4"/>
      <c r="S35" s="4"/>
      <c r="T35" s="4"/>
      <c r="U35" s="4"/>
      <c r="V35" s="4"/>
      <c r="W35" s="4"/>
    </row>
    <row r="36" spans="1:83" x14ac:dyDescent="0.45">
      <c r="B36" s="948" t="s">
        <v>1773</v>
      </c>
      <c r="C36" s="1296">
        <f ca="1">C35-$E35</f>
        <v>204098.7714524293</v>
      </c>
      <c r="D36" s="558"/>
      <c r="E36" s="1296">
        <v>0</v>
      </c>
      <c r="F36" s="1296">
        <v>103695.731172987</v>
      </c>
      <c r="G36" s="1296">
        <v>91425.459464277985</v>
      </c>
      <c r="H36" s="1298">
        <v>90973.427146337126</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 ca="1">$F$161</f>
        <v>-44072.994542230241</v>
      </c>
      <c r="D39" s="558"/>
      <c r="E39" s="1307">
        <v>-136850.93814434228</v>
      </c>
      <c r="F39" s="1307">
        <v>-144476.03482167251</v>
      </c>
      <c r="G39" s="1307">
        <v>-156746.30653038152</v>
      </c>
      <c r="H39" s="1308">
        <v>-157198.33884832237</v>
      </c>
      <c r="I39" s="4"/>
      <c r="J39" s="4"/>
      <c r="K39" s="4"/>
      <c r="L39" s="4"/>
      <c r="M39" s="4"/>
      <c r="N39" s="4"/>
      <c r="O39" s="4"/>
      <c r="P39" s="4"/>
      <c r="Q39" s="4"/>
      <c r="R39" s="4"/>
      <c r="S39" s="4"/>
      <c r="T39" s="4"/>
      <c r="U39" s="4"/>
      <c r="V39" s="4"/>
      <c r="W39" s="4"/>
      <c r="AC39" s="1256" t="str">
        <f>B156</f>
        <v>Cost to the State (HSDG &amp; EEDBS) per Projected Scenario</v>
      </c>
      <c r="AD39" s="1257">
        <f ca="1">$F$156</f>
        <v>183395619.2519722</v>
      </c>
      <c r="AE39" s="1257"/>
      <c r="AF39" s="1257">
        <f ca="1">$F$156</f>
        <v>183395619.2519722</v>
      </c>
      <c r="AG39" s="1257">
        <f ca="1">$F$156</f>
        <v>183395619.2519722</v>
      </c>
      <c r="AH39" s="1257">
        <f ca="1">$F$156</f>
        <v>183395619.2519722</v>
      </c>
      <c r="AI39" s="1257">
        <f ca="1">$F$156</f>
        <v>183395619.2519722</v>
      </c>
      <c r="CB39" s="1204"/>
      <c r="CC39" s="1204"/>
      <c r="CD39" s="1204"/>
      <c r="CE39" s="1204"/>
    </row>
    <row r="40" spans="1:83" ht="15.75" x14ac:dyDescent="0.45">
      <c r="A40" s="1262"/>
      <c r="B40" s="1260" t="s">
        <v>1709</v>
      </c>
      <c r="C40" s="1220">
        <f ca="1">$F$162</f>
        <v>-46072.994542230241</v>
      </c>
      <c r="D40" s="558"/>
      <c r="E40" s="1307">
        <v>-138850.93814434228</v>
      </c>
      <c r="F40" s="1307">
        <v>-146476.03482167251</v>
      </c>
      <c r="G40" s="1307">
        <v>-158746.30653038152</v>
      </c>
      <c r="H40" s="1308">
        <v>-159198.33884832237</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 ca="1">$F$163</f>
        <v>-156072.99454223024</v>
      </c>
      <c r="D41" s="558"/>
      <c r="E41" s="1307">
        <v>-248850.93814434228</v>
      </c>
      <c r="F41" s="1307">
        <v>-256476.03482167251</v>
      </c>
      <c r="G41" s="1307">
        <v>-268746.30653038155</v>
      </c>
      <c r="H41" s="1308">
        <v>-269198.3388483224</v>
      </c>
      <c r="I41" s="4"/>
      <c r="J41" s="4"/>
      <c r="K41" s="4"/>
      <c r="L41" s="4"/>
      <c r="M41" s="4"/>
      <c r="N41" s="4"/>
      <c r="O41" s="4"/>
      <c r="P41" s="4"/>
      <c r="Q41" s="4"/>
      <c r="R41" s="4"/>
      <c r="S41" s="4"/>
      <c r="T41" s="4"/>
      <c r="U41" s="4"/>
      <c r="V41" s="4"/>
      <c r="W41" s="4"/>
      <c r="AC41" s="1258"/>
      <c r="AD41" s="1257">
        <f ca="1">AD39-AD40</f>
        <v>183395619.2519722</v>
      </c>
      <c r="AE41" s="1257"/>
      <c r="AF41" s="1257">
        <f ca="1">AF39-AF40</f>
        <v>183395619.2519722</v>
      </c>
      <c r="AG41" s="1258"/>
      <c r="AH41" s="1257">
        <f ca="1">AH39-AH40</f>
        <v>183395619.2519722</v>
      </c>
      <c r="AI41" s="1257">
        <f ca="1">AI39-AI40</f>
        <v>183395619.2519722</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'9f. Forecast Results - WC'!N5</f>
        <v>2013/14</v>
      </c>
      <c r="AD135" s="803" t="str">
        <f>'9f. Forecast Results - WC'!O5</f>
        <v>2014/15</v>
      </c>
      <c r="AE135" s="803" t="str">
        <f>'9f. Forecast Results - WC'!P5</f>
        <v>2015/16</v>
      </c>
      <c r="AF135" s="803" t="str">
        <f>'9f. Forecast Results - WC'!Q5</f>
        <v>2016/17</v>
      </c>
      <c r="AG135" s="803" t="str">
        <f>'9f. Forecast Results - WC'!R5</f>
        <v>2017/18</v>
      </c>
      <c r="AH135" s="803" t="str">
        <f>'9f. Forecast Results - WC'!S5</f>
        <v>2018/19</v>
      </c>
      <c r="AI135" s="803" t="str">
        <f>'9f. Forecast Results - WC'!T5</f>
        <v>2019/20</v>
      </c>
      <c r="AJ135" s="803" t="str">
        <f>'9f. Forecast Results - WC'!U5</f>
        <v>2020/21</v>
      </c>
      <c r="AK135" s="803" t="str">
        <f>'9f. Forecast Results - WC'!V5</f>
        <v>2021/22</v>
      </c>
      <c r="AL135" s="803" t="str">
        <f>'9f. Forecast Results - WC'!W5</f>
        <v>2022/23</v>
      </c>
      <c r="AM135" s="803" t="str">
        <f>'9f. Forecast Results - WC'!X5</f>
        <v>2023/24</v>
      </c>
      <c r="AN135" s="803" t="str">
        <f>'9f. Forecast Results - WC'!Y5</f>
        <v>2024/25</v>
      </c>
      <c r="AO135" s="803" t="str">
        <f>'9f. Forecast Results - WC'!Z5</f>
        <v>2025/26</v>
      </c>
      <c r="AP135" s="803" t="str">
        <f>'9f. Forecast Results - WC'!AA5</f>
        <v>2026/27</v>
      </c>
      <c r="AQ135" s="803" t="str">
        <f>'9f. Forecast Results - WC'!AB5</f>
        <v>2027/28</v>
      </c>
      <c r="AR135" s="803" t="str">
        <f>'9f. Forecast Results - WC'!AC5</f>
        <v>2028/29</v>
      </c>
      <c r="AS135" s="803" t="str">
        <f>'9f. Forecast Results - WC'!AD5</f>
        <v>2029/30</v>
      </c>
      <c r="AT135" s="803" t="str">
        <f>'9f. Forecast Results - WC'!AE5</f>
        <v>2030/31</v>
      </c>
      <c r="AU135" s="803" t="str">
        <f>'9f. Forecast Results - WC'!AF5</f>
        <v>2031/32</v>
      </c>
      <c r="AV135" s="803" t="str">
        <f>'9f. Forecast Results - WC'!AG5</f>
        <v>3032/33</v>
      </c>
      <c r="AW135" s="803" t="str">
        <f>'9f. Forecast Results - WC'!AH5</f>
        <v>2033/34</v>
      </c>
      <c r="AX135" s="803" t="str">
        <f>'9f. Forecast Results - WC'!AI5</f>
        <v>2034/35</v>
      </c>
      <c r="AY135" s="803" t="str">
        <f>'9f. Forecast Results - WC'!AJ5</f>
        <v>2035/36</v>
      </c>
      <c r="AZ135" s="803" t="str">
        <f>'9f. Forecast Results - WC'!AK5</f>
        <v>2036/37</v>
      </c>
    </row>
    <row r="136" spans="1:52" x14ac:dyDescent="0.45">
      <c r="B136" s="1263" t="s">
        <v>1551</v>
      </c>
      <c r="C136" s="558"/>
      <c r="D136" s="558"/>
      <c r="E136" s="971">
        <f ca="1">+SUM('9f. Forecast Results - WC'!S28:W28)</f>
        <v>14359497.44148669</v>
      </c>
      <c r="F136" s="971">
        <f ca="1">+'9f. Forecast Results - WC'!AL28</f>
        <v>45459469.539855853</v>
      </c>
      <c r="G136" s="971"/>
      <c r="H136" s="1283"/>
      <c r="J136" s="4"/>
      <c r="K136" s="4"/>
      <c r="L136" s="4"/>
      <c r="M136" s="4"/>
      <c r="N136" s="4"/>
      <c r="O136" s="4"/>
      <c r="P136" s="4"/>
      <c r="Q136" s="4"/>
      <c r="R136" s="4"/>
      <c r="S136" s="4"/>
      <c r="T136" s="4"/>
      <c r="U136" s="4"/>
      <c r="V136" s="4"/>
      <c r="W136" s="4"/>
      <c r="AB136" s="803" t="str">
        <f>'9f. Forecast Results - WC'!D28</f>
        <v>Total Income</v>
      </c>
      <c r="AC136" s="533">
        <f>'9f. Forecast Results - WC'!N28</f>
        <v>10462974.060000001</v>
      </c>
      <c r="AD136" s="533">
        <f>'9f. Forecast Results - WC'!O28</f>
        <v>12848850.120000001</v>
      </c>
      <c r="AE136" s="533">
        <f>'9f. Forecast Results - WC'!P28</f>
        <v>10993737.510000002</v>
      </c>
      <c r="AF136" s="533">
        <f ca="1">'9f. Forecast Results - WC'!Q28</f>
        <v>7969952.8107711747</v>
      </c>
      <c r="AG136" s="533">
        <f ca="1">'9f. Forecast Results - WC'!R28</f>
        <v>7114235.0247711744</v>
      </c>
      <c r="AH136" s="533">
        <f ca="1">'9f. Forecast Results - WC'!S28</f>
        <v>5341707.9089064375</v>
      </c>
      <c r="AI136" s="533">
        <f ca="1">'9f. Forecast Results - WC'!T28</f>
        <v>2430624.5743803568</v>
      </c>
      <c r="AJ136" s="533">
        <f ca="1">'9f. Forecast Results - WC'!U28</f>
        <v>2313173.1135568274</v>
      </c>
      <c r="AK136" s="533">
        <f ca="1">'9f. Forecast Results - WC'!V28</f>
        <v>2195721.652733298</v>
      </c>
      <c r="AL136" s="533">
        <f ca="1">'9f. Forecast Results - WC'!W28</f>
        <v>2078270.1919097686</v>
      </c>
      <c r="AM136" s="533">
        <f ca="1">'9f. Forecast Results - WC'!X28</f>
        <v>1960818.7310862388</v>
      </c>
      <c r="AN136" s="533">
        <f ca="1">'9f. Forecast Results - WC'!Y28</f>
        <v>1843367.2702627098</v>
      </c>
      <c r="AO136" s="533">
        <f ca="1">'9f. Forecast Results - WC'!Z28</f>
        <v>1725915.8094391804</v>
      </c>
      <c r="AP136" s="533">
        <f ca="1">'9f. Forecast Results - WC'!AA28</f>
        <v>1608464.348615651</v>
      </c>
      <c r="AQ136" s="533">
        <f ca="1">'9f. Forecast Results - WC'!AB28</f>
        <v>1491012.8877921216</v>
      </c>
      <c r="AR136" s="533">
        <f ca="1">'9f. Forecast Results - WC'!AC28</f>
        <v>1373561.4269685922</v>
      </c>
      <c r="AS136" s="533">
        <f ca="1">'9f. Forecast Results - WC'!AD28</f>
        <v>1256109.9661450628</v>
      </c>
      <c r="AT136" s="533">
        <f ca="1">'9f. Forecast Results - WC'!AE28</f>
        <v>1138658.5053215334</v>
      </c>
      <c r="AU136" s="533">
        <f ca="1">'9f. Forecast Results - WC'!AF28</f>
        <v>1021207.0444980043</v>
      </c>
      <c r="AV136" s="533">
        <f ca="1">'9f. Forecast Results - WC'!AG28</f>
        <v>903755.58367447485</v>
      </c>
      <c r="AW136" s="533">
        <f ca="1">'9f. Forecast Results - WC'!AH28</f>
        <v>786304.12285094545</v>
      </c>
      <c r="AX136" s="533">
        <f ca="1">'9f. Forecast Results - WC'!AI28</f>
        <v>668852.66202741605</v>
      </c>
      <c r="AY136" s="533">
        <f ca="1">'9f. Forecast Results - WC'!AJ28</f>
        <v>237755.90414489803</v>
      </c>
      <c r="AZ136" s="533">
        <f ca="1">'9f. Forecast Results - WC'!AK28</f>
        <v>0</v>
      </c>
    </row>
    <row r="137" spans="1:52" x14ac:dyDescent="0.45">
      <c r="B137" s="1263" t="s">
        <v>1510</v>
      </c>
      <c r="C137" s="558"/>
      <c r="D137" s="558"/>
      <c r="E137" s="971">
        <f>+SUM(E138:E143)</f>
        <v>37493419.308723956</v>
      </c>
      <c r="F137" s="971">
        <f>+SUM(F138:F143)</f>
        <v>128788628.71504971</v>
      </c>
      <c r="G137" s="971"/>
      <c r="H137" s="1283"/>
      <c r="J137" s="4"/>
      <c r="K137" s="4"/>
      <c r="L137" s="4"/>
      <c r="M137" s="4"/>
      <c r="N137" s="4"/>
      <c r="O137" s="4"/>
      <c r="P137" s="4"/>
      <c r="Q137" s="4"/>
      <c r="R137" s="4"/>
      <c r="S137" s="4"/>
      <c r="T137" s="4"/>
      <c r="U137" s="4"/>
      <c r="V137" s="4"/>
      <c r="W137" s="4"/>
      <c r="AB137" s="803" t="str">
        <f>'9f. Forecast Results - WC'!D47</f>
        <v>Total Expenditure</v>
      </c>
      <c r="AC137" s="533">
        <f>-'9f. Forecast Results - WC'!N47</f>
        <v>-6816394.1699999999</v>
      </c>
      <c r="AD137" s="533">
        <f>-'9f. Forecast Results - WC'!O47</f>
        <v>-6934326.7449999992</v>
      </c>
      <c r="AE137" s="533">
        <f>-'9f. Forecast Results - WC'!P47</f>
        <v>-7200076.9899999993</v>
      </c>
      <c r="AF137" s="533">
        <f>-'9f. Forecast Results - WC'!Q47</f>
        <v>-8266934.6838224996</v>
      </c>
      <c r="AG137" s="533">
        <f>-'9f. Forecast Results - WC'!R47</f>
        <v>-8299461.4910707241</v>
      </c>
      <c r="AH137" s="533">
        <f>-'9f. Forecast Results - WC'!S47</f>
        <v>-8043700.9978195559</v>
      </c>
      <c r="AI137" s="533">
        <f>-'9f. Forecast Results - WC'!T47</f>
        <v>-7350620.6261777803</v>
      </c>
      <c r="AJ137" s="533">
        <f>-'9f. Forecast Results - WC'!U47</f>
        <v>-7372115.8382482547</v>
      </c>
      <c r="AK137" s="533">
        <f>-'9f. Forecast Results - WC'!V47</f>
        <v>-7373739.8962522922</v>
      </c>
      <c r="AL137" s="533">
        <f>-'9f. Forecast Results - WC'!W47</f>
        <v>-7353241.9502260741</v>
      </c>
      <c r="AM137" s="533">
        <f>-'9f. Forecast Results - WC'!X47</f>
        <v>-7308183.6669508098</v>
      </c>
      <c r="AN137" s="533">
        <f>-'9f. Forecast Results - WC'!Y47</f>
        <v>-7235925.4156158324</v>
      </c>
      <c r="AO137" s="533">
        <f>-'9f. Forecast Results - WC'!Z47</f>
        <v>-7133611.5010414831</v>
      </c>
      <c r="AP137" s="533">
        <f>-'9f. Forecast Results - WC'!AA47</f>
        <v>-6998154.3814817155</v>
      </c>
      <c r="AQ137" s="533">
        <f>-'9f. Forecast Results - WC'!AB47</f>
        <v>-6826217.8039797228</v>
      </c>
      <c r="AR137" s="533">
        <f>-'9f. Forecast Results - WC'!AC47</f>
        <v>-6614198.7859485298</v>
      </c>
      <c r="AS137" s="533">
        <f>-'9f. Forecast Results - WC'!AD47</f>
        <v>-6358208.3670768673</v>
      </c>
      <c r="AT137" s="533">
        <f>-'9f. Forecast Results - WC'!AE47</f>
        <v>-6054051.0508018257</v>
      </c>
      <c r="AU137" s="533">
        <f>-'9f. Forecast Results - WC'!AF47</f>
        <v>-5697202.8494261233</v>
      </c>
      <c r="AV137" s="533">
        <f>-'9f. Forecast Results - WC'!AG47</f>
        <v>-5282787.8414704166</v>
      </c>
      <c r="AW137" s="533">
        <f>-'9f. Forecast Results - WC'!AH47</f>
        <v>-4805553.1440200703</v>
      </c>
      <c r="AX137" s="533">
        <f>-'9f. Forecast Results - WC'!AI47</f>
        <v>-4259842.1966297366</v>
      </c>
      <c r="AY137" s="533">
        <f>-'9f. Forecast Results - WC'!AJ47</f>
        <v>-154876.22698941137</v>
      </c>
      <c r="AZ137" s="533">
        <f>-'9f. Forecast Results - WC'!AK47</f>
        <v>0</v>
      </c>
    </row>
    <row r="138" spans="1:52" x14ac:dyDescent="0.45">
      <c r="B138" s="1284" t="str">
        <f>'9f. Forecast Results - WC'!D31</f>
        <v>Rates &amp; Taxes</v>
      </c>
      <c r="C138" s="558"/>
      <c r="D138" s="558"/>
      <c r="E138" s="1215">
        <f>+SUM('9f. Forecast Results - WC'!S31:W31)</f>
        <v>513408.64185672469</v>
      </c>
      <c r="F138" s="1215">
        <f>+'9f. Forecast Results - WC'!AL31</f>
        <v>1539869.6698596224</v>
      </c>
      <c r="G138" s="971"/>
      <c r="H138" s="1283"/>
      <c r="J138" s="4"/>
      <c r="K138" s="4"/>
      <c r="L138" s="4"/>
      <c r="M138" s="4"/>
      <c r="N138" s="4"/>
      <c r="O138" s="4"/>
      <c r="P138" s="4"/>
      <c r="Q138" s="4"/>
      <c r="R138" s="4"/>
      <c r="S138" s="4"/>
      <c r="T138" s="4"/>
      <c r="U138" s="4"/>
      <c r="V138" s="4"/>
      <c r="W138" s="4"/>
      <c r="AB138" s="803" t="str">
        <f>'9f. Forecast Results - WC'!D48</f>
        <v>Net Surplus / (Deficit)</v>
      </c>
      <c r="AC138" s="533">
        <f>'9f. Forecast Results - WC'!N48</f>
        <v>3646579.8900000006</v>
      </c>
      <c r="AD138" s="533">
        <f>'9f. Forecast Results - WC'!O48</f>
        <v>5914523.3750000019</v>
      </c>
      <c r="AE138" s="533">
        <f>'9f. Forecast Results - WC'!P48</f>
        <v>3793660.5200000023</v>
      </c>
      <c r="AF138" s="533">
        <f ca="1">'9f. Forecast Results - WC'!Q48</f>
        <v>-296981.87305132486</v>
      </c>
      <c r="AG138" s="533">
        <f ca="1">'9f. Forecast Results - WC'!R48</f>
        <v>-1185226.4662995497</v>
      </c>
      <c r="AH138" s="533">
        <f ca="1">'9f. Forecast Results - WC'!S48</f>
        <v>-2701993.0889131185</v>
      </c>
      <c r="AI138" s="533">
        <f ca="1">'9f. Forecast Results - WC'!T48</f>
        <v>-4919996.0517974235</v>
      </c>
      <c r="AJ138" s="533">
        <f ca="1">'9f. Forecast Results - WC'!U48</f>
        <v>-5058942.7246914273</v>
      </c>
      <c r="AK138" s="533">
        <f ca="1">'9f. Forecast Results - WC'!V48</f>
        <v>-5178018.2435189942</v>
      </c>
      <c r="AL138" s="533">
        <f ca="1">'9f. Forecast Results - WC'!W48</f>
        <v>-5274971.7583163055</v>
      </c>
      <c r="AM138" s="533">
        <f ca="1">'9f. Forecast Results - WC'!X48</f>
        <v>-5347364.9358645715</v>
      </c>
      <c r="AN138" s="533">
        <f ca="1">'9f. Forecast Results - WC'!Y48</f>
        <v>-5392558.1453531226</v>
      </c>
      <c r="AO138" s="533">
        <f ca="1">'9f. Forecast Results - WC'!Z48</f>
        <v>-5407695.6916023027</v>
      </c>
      <c r="AP138" s="533">
        <f ca="1">'9f. Forecast Results - WC'!AA48</f>
        <v>-5389690.0328660645</v>
      </c>
      <c r="AQ138" s="533">
        <f ca="1">'9f. Forecast Results - WC'!AB48</f>
        <v>-5335204.9161876012</v>
      </c>
      <c r="AR138" s="533">
        <f ca="1">'9f. Forecast Results - WC'!AC48</f>
        <v>-5240637.3589799376</v>
      </c>
      <c r="AS138" s="533">
        <f ca="1">'9f. Forecast Results - WC'!AD48</f>
        <v>-5102098.4009318044</v>
      </c>
      <c r="AT138" s="533">
        <f ca="1">'9f. Forecast Results - WC'!AE48</f>
        <v>-4915392.5454802923</v>
      </c>
      <c r="AU138" s="533">
        <f ca="1">'9f. Forecast Results - WC'!AF48</f>
        <v>-4675995.8049281193</v>
      </c>
      <c r="AV138" s="533">
        <f ca="1">'9f. Forecast Results - WC'!AG48</f>
        <v>-4379032.257795942</v>
      </c>
      <c r="AW138" s="533">
        <f ca="1">'9f. Forecast Results - WC'!AH48</f>
        <v>-4019249.0211691251</v>
      </c>
      <c r="AX138" s="533">
        <f ca="1">'9f. Forecast Results - WC'!AI48</f>
        <v>-3590989.5346023208</v>
      </c>
      <c r="AY138" s="533">
        <f ca="1">'9f. Forecast Results - WC'!AJ48</f>
        <v>82879.677155486657</v>
      </c>
      <c r="AZ138" s="533">
        <f ca="1">'9f. Forecast Results - WC'!AK48</f>
        <v>0</v>
      </c>
    </row>
    <row r="139" spans="1:52" x14ac:dyDescent="0.45">
      <c r="B139" s="1284" t="str">
        <f>'9f. Forecast Results - WC'!D32</f>
        <v>Municipal Charges</v>
      </c>
      <c r="C139" s="558"/>
      <c r="D139" s="558"/>
      <c r="E139" s="1216">
        <f>+SUM('9f. Forecast Results - WC'!S32:W32)</f>
        <v>0</v>
      </c>
      <c r="F139" s="1216">
        <f>+'9f. Forecast Results - WC'!AL32</f>
        <v>0</v>
      </c>
      <c r="G139" s="971"/>
      <c r="H139" s="1283"/>
      <c r="AB139" s="803" t="s">
        <v>1697</v>
      </c>
      <c r="AC139" s="533">
        <f>SUM($AC138:AC138)</f>
        <v>3646579.8900000006</v>
      </c>
      <c r="AD139" s="533">
        <f>SUM($AC138:AD138)</f>
        <v>9561103.2650000025</v>
      </c>
      <c r="AE139" s="533">
        <f>SUM($AC138:AE138)</f>
        <v>13354763.785000004</v>
      </c>
      <c r="AF139" s="533">
        <f ca="1">SUM($AC138:AF138)</f>
        <v>13057781.911948679</v>
      </c>
      <c r="AG139" s="533">
        <f ca="1">SUM($AC138:AG138)</f>
        <v>11872555.445649128</v>
      </c>
      <c r="AH139" s="533">
        <f ca="1">SUM($AC138:AH138)</f>
        <v>9170562.3567360099</v>
      </c>
      <c r="AI139" s="533">
        <f ca="1">SUM($AC138:AI138)</f>
        <v>4250566.3049385864</v>
      </c>
      <c r="AJ139" s="533">
        <f ca="1">SUM($AC138:AJ138)</f>
        <v>-808376.41975284088</v>
      </c>
      <c r="AK139" s="533">
        <f ca="1">SUM($AC138:AK138)</f>
        <v>-5986394.6632718351</v>
      </c>
      <c r="AL139" s="533">
        <f ca="1">SUM($AC138:AL138)</f>
        <v>-11261366.421588141</v>
      </c>
      <c r="AM139" s="533">
        <f ca="1">SUM($AC138:AM138)</f>
        <v>-16608731.357452713</v>
      </c>
      <c r="AN139" s="533">
        <f ca="1">SUM($AC138:AN138)</f>
        <v>-22001289.502805836</v>
      </c>
      <c r="AO139" s="533">
        <f ca="1">SUM($AC138:AO138)</f>
        <v>-27408985.194408141</v>
      </c>
      <c r="AP139" s="533">
        <f ca="1">SUM($AC138:AP138)</f>
        <v>-32798675.227274206</v>
      </c>
      <c r="AQ139" s="533">
        <f ca="1">SUM($AC138:AQ138)</f>
        <v>-38133880.143461809</v>
      </c>
      <c r="AR139" s="533">
        <f ca="1">SUM($AC138:AR138)</f>
        <v>-43374517.502441749</v>
      </c>
      <c r="AS139" s="533">
        <f ca="1">SUM($AC138:AS138)</f>
        <v>-48476615.903373554</v>
      </c>
      <c r="AT139" s="533">
        <f ca="1">SUM($AC138:AT138)</f>
        <v>-53392008.44885385</v>
      </c>
      <c r="AU139" s="533">
        <f ca="1">SUM($AC138:AU138)</f>
        <v>-58068004.253781967</v>
      </c>
      <c r="AV139" s="533">
        <f ca="1">SUM($AC138:AV138)</f>
        <v>-62447036.511577912</v>
      </c>
      <c r="AW139" s="533">
        <f ca="1">SUM($AC138:AW138)</f>
        <v>-66466285.532747038</v>
      </c>
      <c r="AX139" s="533">
        <f ca="1">SUM($AC138:AX138)</f>
        <v>-70057275.067349359</v>
      </c>
      <c r="AY139" s="533">
        <f ca="1">SUM($AC138:AY138)</f>
        <v>-69974395.39019388</v>
      </c>
      <c r="AZ139" s="533">
        <f ca="1">SUM($AC138:AZ138)</f>
        <v>-69974395.39019388</v>
      </c>
    </row>
    <row r="140" spans="1:52" x14ac:dyDescent="0.45">
      <c r="B140" s="1284" t="str">
        <f>'9f. Forecast Results - WC'!D33</f>
        <v>Maintenance</v>
      </c>
      <c r="C140" s="558"/>
      <c r="D140" s="558"/>
      <c r="E140" s="1216">
        <f>+SUM('9f. Forecast Results - WC'!S33:W33)</f>
        <v>772427.84563235519</v>
      </c>
      <c r="F140" s="1216">
        <f>+'9f. Forecast Results - WC'!AL33</f>
        <v>2316747.5470274747</v>
      </c>
      <c r="G140" s="971"/>
      <c r="H140" s="1283"/>
      <c r="AB140" s="451" t="s">
        <v>1699</v>
      </c>
    </row>
    <row r="141" spans="1:52" x14ac:dyDescent="0.45">
      <c r="B141" s="1284" t="str">
        <f>'9f. Forecast Results - WC'!D36</f>
        <v>Total Disposal Costs</v>
      </c>
      <c r="C141" s="558"/>
      <c r="D141" s="558"/>
      <c r="E141" s="1216">
        <f>+SUM('9f. Forecast Results - WC'!S36:W36)</f>
        <v>1645518.8443030512</v>
      </c>
      <c r="F141" s="1216">
        <f>+'9f. Forecast Results - WC'!AL36</f>
        <v>7505159.3287567794</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'9f. Forecast Results - WC'!D43</f>
        <v>Staff</v>
      </c>
      <c r="C142" s="558"/>
      <c r="D142" s="558"/>
      <c r="E142" s="1216">
        <f>+SUM('9f. Forecast Results - WC'!S43:W43)</f>
        <v>34562063.976931825</v>
      </c>
      <c r="F142" s="1216">
        <f>+'9f. Forecast Results - WC'!AL43</f>
        <v>117426852.16940583</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SUM('9f. Forecast Results - WC'!S47:W47)-SUM(E138:E142)</f>
        <v>0</v>
      </c>
      <c r="F143" s="1217">
        <f>+'9f. Forecast Results - WC'!AL47-SUM(F138:F142)</f>
        <v>0</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 ca="1">+E136-E137</f>
        <v>-23133921.867237266</v>
      </c>
      <c r="F145" s="1218">
        <f ca="1">+F136-F137</f>
        <v>-83329159.175193861</v>
      </c>
      <c r="G145" s="971"/>
      <c r="H145" s="1283"/>
    </row>
    <row r="146" spans="1:8" ht="14.65" thickTop="1" x14ac:dyDescent="0.45">
      <c r="B146" s="1289" t="s">
        <v>1552</v>
      </c>
      <c r="C146" s="558"/>
      <c r="D146" s="558"/>
      <c r="E146" s="1220">
        <f ca="1">-E145</f>
        <v>23133921.867237266</v>
      </c>
      <c r="F146" s="1220">
        <f ca="1">-F145</f>
        <v>83329159.175193861</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199</v>
      </c>
      <c r="F147" s="1219">
        <f>SUMIF('10. Inputs &amp; Calcs'!$D$51:$D$56,$C$12,'10. Inputs &amp; Calcs'!$AD$51:$AD$56)</f>
        <v>765</v>
      </c>
      <c r="G147" s="1219"/>
      <c r="H147" s="1283"/>
    </row>
    <row r="148" spans="1:8" x14ac:dyDescent="0.45">
      <c r="B148" s="1261" t="s">
        <v>1559</v>
      </c>
      <c r="C148" s="18"/>
      <c r="D148" s="18"/>
      <c r="E148" s="971">
        <f ca="1">-E145/E147</f>
        <v>116250.86365445862</v>
      </c>
      <c r="F148" s="971">
        <f ca="1">-F145/F147</f>
        <v>108927.00545776976</v>
      </c>
      <c r="G148" s="18"/>
      <c r="H148" s="1283"/>
    </row>
    <row r="149" spans="1:8" x14ac:dyDescent="0.45">
      <c r="B149" s="1260" t="s">
        <v>1503</v>
      </c>
      <c r="C149" s="558"/>
      <c r="D149" s="558"/>
      <c r="E149" s="971">
        <f>IF(E$147&lt;&gt;0,E141/E$147,0)</f>
        <v>8268.9389160957344</v>
      </c>
      <c r="F149" s="971">
        <f>IF(F$147&lt;&gt;0,F141/F$147,0)</f>
        <v>9810.6657892245476</v>
      </c>
      <c r="G149" s="971"/>
      <c r="H149" s="1283"/>
    </row>
    <row r="150" spans="1:8" x14ac:dyDescent="0.45">
      <c r="B150" s="1263" t="s">
        <v>1511</v>
      </c>
      <c r="C150" s="558"/>
      <c r="D150" s="558"/>
      <c r="E150" s="1220">
        <f ca="1">SUM('9f. Forecast Results - WC'!S67:W67)</f>
        <v>3656701.228388554</v>
      </c>
      <c r="F150" s="1220">
        <f ca="1">'9f. Forecast Results - WC'!AL67</f>
        <v>99983580.399622828</v>
      </c>
      <c r="G150" s="971"/>
      <c r="H150" s="1283"/>
    </row>
    <row r="151" spans="1:8" x14ac:dyDescent="0.45">
      <c r="B151" s="1260" t="s">
        <v>1558</v>
      </c>
      <c r="C151" s="18"/>
      <c r="D151" s="18"/>
      <c r="E151" s="971">
        <f ca="1">E150/E147</f>
        <v>18375.383057228915</v>
      </c>
      <c r="F151" s="971">
        <f ca="1">F150/F147</f>
        <v>130697.49071846121</v>
      </c>
      <c r="G151" s="971"/>
      <c r="H151" s="1283"/>
    </row>
    <row r="152" spans="1:8" x14ac:dyDescent="0.45">
      <c r="B152" s="1260" t="s">
        <v>1713</v>
      </c>
      <c r="C152" s="18"/>
      <c r="D152" s="18"/>
      <c r="E152" s="971">
        <f ca="1">E150+E146</f>
        <v>26790623.095625822</v>
      </c>
      <c r="F152" s="971">
        <f ca="1">F150+F146</f>
        <v>183312739.5748167</v>
      </c>
      <c r="G152" s="971"/>
      <c r="H152" s="1283"/>
    </row>
    <row r="153" spans="1:8" x14ac:dyDescent="0.45">
      <c r="B153" s="1260" t="s">
        <v>1712</v>
      </c>
      <c r="C153" s="18"/>
      <c r="D153" s="18"/>
      <c r="E153" s="971">
        <f ca="1">E152/E147</f>
        <v>134626.24671168753</v>
      </c>
      <c r="F153" s="971">
        <f ca="1">F152/F147</f>
        <v>239624.49617623098</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 ca="1">-SUM('9f. Forecast Results - WC'!S54:W54)</f>
        <v>26790623.095625825</v>
      </c>
      <c r="F156" s="1220">
        <f ca="1">-'9f. Forecast Results - WC'!AL54</f>
        <v>183395619.2519722</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26790623.095625822</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183395619.2519722</v>
      </c>
      <c r="G157" s="558"/>
      <c r="H157" s="1283"/>
    </row>
    <row r="158" spans="1:8" x14ac:dyDescent="0.45">
      <c r="B158" s="1260" t="s">
        <v>1715</v>
      </c>
      <c r="C158" s="558"/>
      <c r="D158" s="558"/>
      <c r="E158" s="1221">
        <f ca="1">E156-E157</f>
        <v>0</v>
      </c>
      <c r="F158" s="1221">
        <f ca="1">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 ca="1">F$148-153000</f>
        <v>-44072.994542230241</v>
      </c>
      <c r="G161" s="1286">
        <f ca="1">$F$148/153000</f>
        <v>0.71194121214228601</v>
      </c>
      <c r="H161" s="1283"/>
    </row>
    <row r="162" spans="1:8" x14ac:dyDescent="0.45">
      <c r="B162" s="1260" t="s">
        <v>1709</v>
      </c>
      <c r="C162" s="558"/>
      <c r="D162" s="558"/>
      <c r="E162" s="18"/>
      <c r="F162" s="1221">
        <f ca="1">F$148-155000</f>
        <v>-46072.994542230241</v>
      </c>
      <c r="G162" s="1286">
        <f ca="1">$F$148/155000</f>
        <v>0.70275487392109526</v>
      </c>
      <c r="H162" s="1283"/>
    </row>
    <row r="163" spans="1:8" x14ac:dyDescent="0.45">
      <c r="B163" s="1260" t="s">
        <v>1708</v>
      </c>
      <c r="C163" s="558"/>
      <c r="D163" s="558"/>
      <c r="E163" s="18"/>
      <c r="F163" s="1221">
        <f ca="1">F$148-265000</f>
        <v>-156072.99454223024</v>
      </c>
      <c r="G163" s="1286">
        <f ca="1">$F$148/265000</f>
        <v>0.41104530361422553</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'9f. Forecast Results - WC'!R$5</f>
        <v>2017/18</v>
      </c>
      <c r="C166" s="18"/>
      <c r="D166" s="18"/>
      <c r="E166" s="971">
        <f ca="1">-SUMIF('9f. Forecast Results - WC'!$R$5:$W$5,$B166,'9f. Forecast Results - WC'!$R$51:$W$51)</f>
        <v>1185226.4662995497</v>
      </c>
      <c r="F166" s="1136">
        <f>SUMIF('9f. Forecast Results - WC'!$R$5:$W$5,$B166,'9f. Forecast Results - WC'!$R$13:$W$13)</f>
        <v>459</v>
      </c>
      <c r="G166" s="971">
        <f t="shared" ref="G166:G173" ca="1" si="0">IF(F166&lt;&gt;0,E166/F166,0)</f>
        <v>2582.1927370360559</v>
      </c>
      <c r="H166" s="1283"/>
    </row>
    <row r="167" spans="1:8" x14ac:dyDescent="0.45">
      <c r="B167" s="1260" t="str">
        <f>'9f. Forecast Results - WC'!S$5</f>
        <v>2018/19</v>
      </c>
      <c r="C167" s="18"/>
      <c r="D167" s="18"/>
      <c r="E167" s="1215">
        <f ca="1">-SUMIF('9f. Forecast Results - WC'!$R$5:$W$5,$B167,'9f. Forecast Results - WC'!$R$51:$W$51)</f>
        <v>2701993.0889131185</v>
      </c>
      <c r="F167" s="1222">
        <f>SUMIF('9f. Forecast Results - WC'!$R$5:$W$5,$B167,'9f. Forecast Results - WC'!$R$13:$W$13)</f>
        <v>344</v>
      </c>
      <c r="G167" s="1215">
        <f t="shared" ca="1" si="0"/>
        <v>7854.6310724218556</v>
      </c>
      <c r="H167" s="1283"/>
    </row>
    <row r="168" spans="1:8" x14ac:dyDescent="0.45">
      <c r="B168" s="1260" t="str">
        <f>'9f. Forecast Results - WC'!T$5</f>
        <v>2019/20</v>
      </c>
      <c r="C168" s="18"/>
      <c r="D168" s="18"/>
      <c r="E168" s="1216">
        <f ca="1">-SUMIF('9f. Forecast Results - WC'!$R$5:$W$5,$B168,'9f. Forecast Results - WC'!$R$51:$W$51)</f>
        <v>4919996.0517974235</v>
      </c>
      <c r="F168" s="1223">
        <f>SUMIF('9f. Forecast Results - WC'!$R$5:$W$5,$B168,'9f. Forecast Results - WC'!$R$13:$W$13)</f>
        <v>323</v>
      </c>
      <c r="G168" s="1216">
        <f t="shared" ca="1" si="0"/>
        <v>15232.185918877472</v>
      </c>
      <c r="H168" s="1283"/>
    </row>
    <row r="169" spans="1:8" x14ac:dyDescent="0.45">
      <c r="B169" s="1260" t="str">
        <f>'9f. Forecast Results - WC'!U$5</f>
        <v>2020/21</v>
      </c>
      <c r="C169" s="18"/>
      <c r="D169" s="18"/>
      <c r="E169" s="1216">
        <f ca="1">-SUMIF('9f. Forecast Results - WC'!$R$5:$W$5,$B169,'9f. Forecast Results - WC'!$R$51:$W$51)</f>
        <v>5058942.7246914273</v>
      </c>
      <c r="F169" s="1223">
        <f>SUMIF('9f. Forecast Results - WC'!$R$5:$W$5,$B169,'9f. Forecast Results - WC'!$R$13:$W$13)</f>
        <v>302</v>
      </c>
      <c r="G169" s="1216">
        <f t="shared" ca="1" si="0"/>
        <v>16751.465975799427</v>
      </c>
      <c r="H169" s="1283"/>
    </row>
    <row r="170" spans="1:8" x14ac:dyDescent="0.45">
      <c r="B170" s="1260" t="str">
        <f>'9f. Forecast Results - WC'!V$5</f>
        <v>2021/22</v>
      </c>
      <c r="C170" s="18"/>
      <c r="D170" s="18"/>
      <c r="E170" s="1216">
        <f ca="1">-SUMIF('9f. Forecast Results - WC'!$R$5:$W$5,$B170,'9f. Forecast Results - WC'!$R$51:$W$51)</f>
        <v>5178018.2435189942</v>
      </c>
      <c r="F170" s="1223">
        <f>SUMIF('9f. Forecast Results - WC'!$R$5:$W$5,$B170,'9f. Forecast Results - WC'!$R$13:$W$13)</f>
        <v>281</v>
      </c>
      <c r="G170" s="1216">
        <f t="shared" ca="1" si="0"/>
        <v>18427.111186900336</v>
      </c>
      <c r="H170" s="1283"/>
    </row>
    <row r="171" spans="1:8" x14ac:dyDescent="0.45">
      <c r="B171" s="1260" t="str">
        <f>'9f. Forecast Results - WC'!W$5</f>
        <v>2022/23</v>
      </c>
      <c r="C171" s="18"/>
      <c r="D171" s="18"/>
      <c r="E171" s="1217">
        <f ca="1">-SUMIF('9f. Forecast Results - WC'!$R$5:$W$5,$B171,'9f. Forecast Results - WC'!$R$51:$W$51)</f>
        <v>5274971.7583163055</v>
      </c>
      <c r="F171" s="1224">
        <f>SUMIF('9f. Forecast Results - WC'!$R$5:$W$5,$B171,'9f. Forecast Results - WC'!$R$13:$W$13)</f>
        <v>260</v>
      </c>
      <c r="G171" s="1217">
        <f t="shared" ca="1" si="0"/>
        <v>20288.352916601176</v>
      </c>
      <c r="H171" s="1283"/>
    </row>
    <row r="172" spans="1:8" x14ac:dyDescent="0.45">
      <c r="B172" s="1263" t="s">
        <v>1516</v>
      </c>
      <c r="C172" s="18"/>
      <c r="D172" s="18"/>
      <c r="E172" s="1220">
        <f ca="1">SUM(E167:E171)</f>
        <v>23133921.867237266</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199</v>
      </c>
      <c r="G172" s="1220">
        <f t="shared" ca="1" si="0"/>
        <v>116250.86365445862</v>
      </c>
      <c r="H172" s="1283"/>
    </row>
    <row r="173" spans="1:8" x14ac:dyDescent="0.45">
      <c r="A173" s="18"/>
      <c r="B173" s="1263" t="s">
        <v>1520</v>
      </c>
      <c r="C173" s="18"/>
      <c r="D173" s="18"/>
      <c r="E173" s="1220">
        <f ca="1">-'9f. Forecast Results - WC'!AL$51</f>
        <v>83412038.852349356</v>
      </c>
      <c r="F173" s="1290">
        <f>SUMIF('10. Inputs &amp; Calcs'!$D$520:$D$525,$C$12,'10. Inputs &amp; Calcs'!$H$520:$H$525)</f>
        <v>765</v>
      </c>
      <c r="G173" s="1220">
        <f t="shared" ca="1" si="0"/>
        <v>109035.34490503183</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'9f. Forecast Results - WC'!R$5</f>
        <v>2017/18</v>
      </c>
      <c r="C176" s="18"/>
      <c r="D176" s="18"/>
      <c r="E176" s="971">
        <f ca="1">-SUMIF('9f. Forecast Results - WC'!$R$5:$W$5,$B176,'9f. Forecast Results - WC'!$R$53:$W$53)</f>
        <v>2811433.6077560242</v>
      </c>
      <c r="F176" s="1136">
        <f>SUMIF('10. Inputs &amp; Calcs'!$D$51:$D$56,$C$12,'10. Inputs &amp; Calcs'!$J$51:$J$56)</f>
        <v>153</v>
      </c>
      <c r="G176" s="971">
        <f t="shared" ref="G176:G183" ca="1" si="1">IF(F176&lt;&gt;0,E176/F176,0)</f>
        <v>18375.383057228915</v>
      </c>
      <c r="H176" s="1283"/>
    </row>
    <row r="177" spans="1:8" x14ac:dyDescent="0.45">
      <c r="A177" s="18"/>
      <c r="B177" s="1260" t="str">
        <f>'9f. Forecast Results - WC'!S$5</f>
        <v>2018/19</v>
      </c>
      <c r="C177" s="18"/>
      <c r="D177" s="18"/>
      <c r="E177" s="1215">
        <f ca="1">-SUMIF('9f. Forecast Results - WC'!$R$5:$W$5,$B177,'9f. Forecast Results - WC'!$R$53:$W$53)</f>
        <v>2113169.0515813255</v>
      </c>
      <c r="F177" s="1222">
        <f>IF($AA$19='14. Permanent Info'!$N$7,SUMIF('10. Inputs &amp; Calcs'!$D$51:$D$56,$C$12,'10. Inputs &amp; Calcs'!$K$51:$K$56)-SUMIF('10. Inputs &amp; Calcs'!$D$106:$D$111,$C$12,'10. Inputs &amp; Calcs'!$K$106:$K$111),SUMIF('10. Inputs &amp; Calcs'!$D$51:$D$56,$C$12,'10. Inputs &amp; Calcs'!$K$51:$K$56))</f>
        <v>115</v>
      </c>
      <c r="G177" s="1215">
        <f t="shared" ca="1" si="1"/>
        <v>18375.383057228919</v>
      </c>
      <c r="H177" s="1283"/>
    </row>
    <row r="178" spans="1:8" x14ac:dyDescent="0.45">
      <c r="A178" s="18"/>
      <c r="B178" s="1260" t="str">
        <f>'9f. Forecast Results - WC'!T$5</f>
        <v>2019/20</v>
      </c>
      <c r="C178" s="18"/>
      <c r="D178" s="18"/>
      <c r="E178" s="1216">
        <f ca="1">-SUMIF('9f. Forecast Results - WC'!$R$5:$W$5,$B178,'9f. Forecast Results - WC'!$R$53:$W$53)</f>
        <v>385883.04420180724</v>
      </c>
      <c r="F178" s="1223">
        <f>IF($AA$19='14. Permanent Info'!$N$7,SUMIF('10. Inputs &amp; Calcs'!$D$51:$D$56,$C$12,'10. Inputs &amp; Calcs'!$L$51:$L$56)-SUMIF('10. Inputs &amp; Calcs'!$D$106:$D$111,$C$12,'10. Inputs &amp; Calcs'!$L$106:$L$111),SUMIF('10. Inputs &amp; Calcs'!$D$51:$D$56,$C$12,'10. Inputs &amp; Calcs'!$L$51:$L$56))</f>
        <v>21</v>
      </c>
      <c r="G178" s="1216">
        <f t="shared" ca="1" si="1"/>
        <v>18375.383057228915</v>
      </c>
      <c r="H178" s="1283"/>
    </row>
    <row r="179" spans="1:8" x14ac:dyDescent="0.45">
      <c r="A179" s="18"/>
      <c r="B179" s="1260" t="str">
        <f>'9f. Forecast Results - WC'!U$5</f>
        <v>2020/21</v>
      </c>
      <c r="C179" s="18"/>
      <c r="D179" s="18"/>
      <c r="E179" s="1216">
        <f ca="1">-SUMIF('9f. Forecast Results - WC'!$R$5:$W$5,$B179,'9f. Forecast Results - WC'!$R$53:$W$53)</f>
        <v>385883.04420180724</v>
      </c>
      <c r="F179" s="1223">
        <f>IF($AA$19='14. Permanent Info'!$N$7,SUMIF('10. Inputs &amp; Calcs'!$D$51:$D$56,$C$12,'10. Inputs &amp; Calcs'!$M$51:$M$56)-SUMIF('10. Inputs &amp; Calcs'!$D$106:$D$111,$C$12,'10. Inputs &amp; Calcs'!$M$106:$M$111),SUMIF('10. Inputs &amp; Calcs'!$D$51:$D$56,$C$12,'10. Inputs &amp; Calcs'!$M$51:$M$56))</f>
        <v>21</v>
      </c>
      <c r="G179" s="1216">
        <f t="shared" ca="1" si="1"/>
        <v>18375.383057228915</v>
      </c>
      <c r="H179" s="1283"/>
    </row>
    <row r="180" spans="1:8" x14ac:dyDescent="0.45">
      <c r="A180" s="18"/>
      <c r="B180" s="1260" t="str">
        <f>'9f. Forecast Results - WC'!V$5</f>
        <v>2021/22</v>
      </c>
      <c r="C180" s="18"/>
      <c r="D180" s="18"/>
      <c r="E180" s="1216">
        <f ca="1">-SUMIF('9f. Forecast Results - WC'!$R$5:$W$5,$B180,'9f. Forecast Results - WC'!$R$53:$W$53)</f>
        <v>385883.04420180724</v>
      </c>
      <c r="F180" s="1223">
        <f>IF($AA$19='14. Permanent Info'!$N$7,SUMIF('10. Inputs &amp; Calcs'!$D$51:$D$56,$C$12,'10. Inputs &amp; Calcs'!$N$51:$N$56)-SUMIF('10. Inputs &amp; Calcs'!$D$106:$D$111,$C$12,'10. Inputs &amp; Calcs'!$N$106:$N$111),SUMIF('10. Inputs &amp; Calcs'!$D$51:$D$56,$C$12,'10. Inputs &amp; Calcs'!$N$51:$N$56))</f>
        <v>21</v>
      </c>
      <c r="G180" s="1216">
        <f t="shared" ca="1" si="1"/>
        <v>18375.383057228915</v>
      </c>
      <c r="H180" s="1283"/>
    </row>
    <row r="181" spans="1:8" x14ac:dyDescent="0.45">
      <c r="A181" s="18"/>
      <c r="B181" s="1260" t="str">
        <f>'9f. Forecast Results - WC'!W$5</f>
        <v>2022/23</v>
      </c>
      <c r="C181" s="18"/>
      <c r="D181" s="18"/>
      <c r="E181" s="1217">
        <f ca="1">-SUMIF('9f. Forecast Results - WC'!$R$5:$W$5,$B181,'9f. Forecast Results - WC'!$R$53:$W$53)</f>
        <v>385883.04420180724</v>
      </c>
      <c r="F181" s="1224">
        <f>IF($AA$19='14. Permanent Info'!$N$7,SUMIF('10. Inputs &amp; Calcs'!$D$51:$D$56,$C$12,'10. Inputs &amp; Calcs'!$O$51:$O$56)-SUMIF('10. Inputs &amp; Calcs'!$D$106:$D$111,$C$12,'10. Inputs &amp; Calcs'!$O$106:$O$111),SUMIF('10. Inputs &amp; Calcs'!$D$51:$D$56,$C$12,'10. Inputs &amp; Calcs'!$O$51:$O$56))</f>
        <v>21</v>
      </c>
      <c r="G181" s="1217">
        <f t="shared" ca="1" si="1"/>
        <v>18375.383057228915</v>
      </c>
      <c r="H181" s="1283"/>
    </row>
    <row r="182" spans="1:8" x14ac:dyDescent="0.45">
      <c r="B182" s="1263" t="s">
        <v>1516</v>
      </c>
      <c r="C182" s="18"/>
      <c r="D182" s="18"/>
      <c r="E182" s="1220">
        <f ca="1">SUM(E177:E181)</f>
        <v>3656701.228388554</v>
      </c>
      <c r="F182" s="1291">
        <f>SUM(F177:F181)</f>
        <v>199</v>
      </c>
      <c r="G182" s="1220">
        <f t="shared" ca="1" si="1"/>
        <v>18375.383057228915</v>
      </c>
      <c r="H182" s="1283"/>
    </row>
    <row r="183" spans="1:8" x14ac:dyDescent="0.45">
      <c r="B183" s="1263" t="s">
        <v>1521</v>
      </c>
      <c r="C183" s="18"/>
      <c r="D183" s="18"/>
      <c r="E183" s="1220">
        <f ca="1">-'9f. Forecast Results - WC'!AL$53</f>
        <v>99983580.399622828</v>
      </c>
      <c r="F183" s="1290">
        <f>-SUMIF('10. Inputs &amp; Calcs'!$D$106:$D$111,$C$12,'10. Inputs &amp; Calcs'!$AD$106:$AD$111)+-SUMIF('10. Inputs &amp; Calcs'!$D$60:$D$65,$C$12,'10. Inputs &amp; Calcs'!$AD$60:$AD$65)</f>
        <v>1655</v>
      </c>
      <c r="G183" s="1220">
        <f t="shared" ca="1" si="1"/>
        <v>60413.039516388417</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 ca="1">E136</f>
        <v>14359497.44148669</v>
      </c>
      <c r="H204" s="1235">
        <f ca="1">F136</f>
        <v>45459469.539855853</v>
      </c>
    </row>
    <row r="205" spans="1:8" hidden="1" outlineLevel="1" x14ac:dyDescent="0.45">
      <c r="E205" s="1245" t="str">
        <f>B137</f>
        <v>Costs/Expenses</v>
      </c>
      <c r="F205" s="4"/>
      <c r="G205" s="1234">
        <f t="shared" si="2"/>
        <v>37493419.308723956</v>
      </c>
      <c r="H205" s="1236">
        <f t="shared" si="2"/>
        <v>128788628.71504971</v>
      </c>
    </row>
    <row r="206" spans="1:8" hidden="1" outlineLevel="1" x14ac:dyDescent="0.45">
      <c r="E206" s="1245" t="str">
        <f>B145</f>
        <v>Net Surplus / (deficit)</v>
      </c>
      <c r="F206" s="4"/>
      <c r="G206" s="1237">
        <f ca="1">E145</f>
        <v>-23133921.867237266</v>
      </c>
      <c r="H206" s="1235">
        <f ca="1">F145</f>
        <v>-83329159.175193861</v>
      </c>
    </row>
    <row r="207" spans="1:8" hidden="1" outlineLevel="1" x14ac:dyDescent="0.45">
      <c r="E207" s="1245" t="str">
        <f>B146</f>
        <v>Net Surplus / (deficit) funded by HSDG Top Slice</v>
      </c>
      <c r="F207" s="4"/>
      <c r="G207" s="1237">
        <f ca="1">E146</f>
        <v>23133921.867237266</v>
      </c>
      <c r="H207" s="1235">
        <f ca="1">F146</f>
        <v>83329159.175193861</v>
      </c>
    </row>
    <row r="208" spans="1:8" hidden="1" outlineLevel="1" x14ac:dyDescent="0.45">
      <c r="E208" s="1245" t="str">
        <f>B150</f>
        <v>Total EEDBS utilised</v>
      </c>
      <c r="F208" s="4"/>
      <c r="G208" s="1234">
        <f t="shared" ref="G208:H211" ca="1" si="3">E150</f>
        <v>3656701.228388554</v>
      </c>
      <c r="H208" s="1236">
        <f t="shared" ca="1" si="3"/>
        <v>99983580.399622828</v>
      </c>
    </row>
    <row r="209" spans="2:8" hidden="1" outlineLevel="1" x14ac:dyDescent="0.45">
      <c r="E209" s="1245" t="str">
        <f>B151</f>
        <v>EEDBS per Existing Rental Unit</v>
      </c>
      <c r="F209" s="4"/>
      <c r="G209" s="1234">
        <f t="shared" ca="1" si="3"/>
        <v>18375.383057228915</v>
      </c>
      <c r="H209" s="1236">
        <f t="shared" ca="1" si="3"/>
        <v>130697.49071846121</v>
      </c>
    </row>
    <row r="210" spans="2:8" hidden="1" outlineLevel="1" x14ac:dyDescent="0.45">
      <c r="E210" s="1245" t="str">
        <f>B152</f>
        <v>Total Government Contribution over 20 years</v>
      </c>
      <c r="F210" s="4"/>
      <c r="G210" s="1234">
        <f t="shared" ca="1" si="3"/>
        <v>26790623.095625822</v>
      </c>
      <c r="H210" s="1236">
        <f t="shared" ca="1" si="3"/>
        <v>183312739.5748167</v>
      </c>
    </row>
    <row r="211" spans="2:8" hidden="1" outlineLevel="1" x14ac:dyDescent="0.45">
      <c r="E211" s="1246" t="str">
        <f>B153</f>
        <v>Total Government Contribution p.u.</v>
      </c>
      <c r="F211" s="931"/>
      <c r="G211" s="1247">
        <f t="shared" ca="1" si="3"/>
        <v>134626.24671168753</v>
      </c>
      <c r="H211" s="1248">
        <f t="shared" ca="1" si="3"/>
        <v>239624.49617623098</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'9f. Forecast Results - WC'!AL89</f>
        <v>-15444875.261052625</v>
      </c>
    </row>
    <row r="216" spans="2:8" hidden="1" outlineLevel="1" x14ac:dyDescent="0.45">
      <c r="B216" s="1057" t="s">
        <v>1560</v>
      </c>
      <c r="C216" s="1060"/>
      <c r="D216" s="1060"/>
      <c r="E216" s="1070">
        <f>SUM('9f. Forecast Results - WC'!P12:P13)</f>
        <v>1655</v>
      </c>
    </row>
    <row r="217" spans="2:8" hidden="1" outlineLevel="1" x14ac:dyDescent="0.45">
      <c r="B217" s="1071" t="s">
        <v>1509</v>
      </c>
      <c r="C217" s="1072"/>
      <c r="D217" s="1072"/>
      <c r="E217" s="1073">
        <f>E215/E216</f>
        <v>-9332.2509130227336</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'9f. Forecast Results - WC'!R$5</f>
        <v>2017/18</v>
      </c>
      <c r="E221" s="552">
        <f>SUMIF('9f. Forecast Results - WC'!$R$5:$W$5,$B221,'9f. Forecast Results - WC'!$R$52:$W$52)</f>
        <v>0</v>
      </c>
      <c r="F221" s="785">
        <f>SUMIF('10. Inputs &amp; Calcs'!$D$106:$D$111,$C$12,'10. Inputs &amp; Calcs'!$J$106:$J$111)</f>
        <v>0</v>
      </c>
      <c r="G221" s="552">
        <f>IF(F221&lt;&gt;0,E221/F221,0)</f>
        <v>0</v>
      </c>
    </row>
    <row r="222" spans="2:8" hidden="1" outlineLevel="1" x14ac:dyDescent="0.45">
      <c r="B222" s="948" t="str">
        <f>'9f. Forecast Results - WC'!S$5</f>
        <v>2018/19</v>
      </c>
      <c r="E222" s="973">
        <f>SUMIF('9f. Forecast Results - WC'!$R$5:$W$5,$B222,'9f. Forecast Results - WC'!$R$52:$W$52)</f>
        <v>0</v>
      </c>
      <c r="F222" s="974">
        <f>SUMIF('10. Inputs &amp; Calcs'!$D$106:$D$111,$C$12,'10. Inputs &amp; Calcs'!$K$106:$K$111)</f>
        <v>0</v>
      </c>
      <c r="G222" s="753">
        <f t="shared" ref="G222:G227" si="4">IF(F222&lt;&gt;0,E222/F222,0)</f>
        <v>0</v>
      </c>
    </row>
    <row r="223" spans="2:8" hidden="1" outlineLevel="1" x14ac:dyDescent="0.45">
      <c r="B223" s="948" t="str">
        <f>'9f. Forecast Results - WC'!T$5</f>
        <v>2019/20</v>
      </c>
      <c r="E223" s="975">
        <f>SUMIF('9f. Forecast Results - WC'!$R$5:$W$5,$B223,'9f. Forecast Results - WC'!$R$52:$W$52)</f>
        <v>0</v>
      </c>
      <c r="F223" s="976">
        <f>SUMIF('10. Inputs &amp; Calcs'!$D$106:$D$111,$C$12,'10. Inputs &amp; Calcs'!$L$106:$L$111)</f>
        <v>0</v>
      </c>
      <c r="G223" s="888">
        <f t="shared" si="4"/>
        <v>0</v>
      </c>
    </row>
    <row r="224" spans="2:8" hidden="1" outlineLevel="1" x14ac:dyDescent="0.45">
      <c r="B224" s="948" t="str">
        <f>'9f. Forecast Results - WC'!U$5</f>
        <v>2020/21</v>
      </c>
      <c r="E224" s="975">
        <f>SUMIF('9f. Forecast Results - WC'!$R$5:$W$5,$B224,'9f. Forecast Results - WC'!$R$52:$W$52)</f>
        <v>0</v>
      </c>
      <c r="F224" s="976">
        <f>SUMIF('10. Inputs &amp; Calcs'!$D$106:$D$111,$C$12,'10. Inputs &amp; Calcs'!$M$106:$M$111)</f>
        <v>0</v>
      </c>
      <c r="G224" s="888">
        <f t="shared" si="4"/>
        <v>0</v>
      </c>
    </row>
    <row r="225" spans="2:8" hidden="1" outlineLevel="1" x14ac:dyDescent="0.45">
      <c r="B225" s="948" t="str">
        <f>'9f. Forecast Results - WC'!V$5</f>
        <v>2021/22</v>
      </c>
      <c r="E225" s="975">
        <f>SUMIF('9f. Forecast Results - WC'!$R$5:$W$5,$B225,'9f. Forecast Results - WC'!$R$52:$W$52)</f>
        <v>0</v>
      </c>
      <c r="F225" s="976">
        <f>SUMIF('10. Inputs &amp; Calcs'!$D$106:$D$111,$C$12,'10. Inputs &amp; Calcs'!$N$106:$N$111)</f>
        <v>0</v>
      </c>
      <c r="G225" s="888">
        <f t="shared" si="4"/>
        <v>0</v>
      </c>
    </row>
    <row r="226" spans="2:8" hidden="1" outlineLevel="1" x14ac:dyDescent="0.45">
      <c r="B226" s="948" t="str">
        <f>'9f. Forecast Results - WC'!W$5</f>
        <v>2022/23</v>
      </c>
      <c r="E226" s="977">
        <f>SUMIF('9f. Forecast Results - WC'!$R$5:$W$5,$B226,'9f. Forecast Results - WC'!$R$52:$W$52)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'9f. Forecast Results - WC'!AL$52</f>
        <v>0</v>
      </c>
      <c r="F228" s="785">
        <f>SUMIF('10. Inputs &amp; Calcs'!$D$106:$D$111,$C$12,'10. Inputs &amp; Calcs'!$AD$106:$AD$111)</f>
        <v>-1655</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'9f. Forecast Results - WC'!R$5</f>
        <v>2017/18</v>
      </c>
      <c r="E232" s="552">
        <f ca="1">SUMIF('10. Inputs &amp; Calcs'!$D$619:$D$624,$C$12,'10. Inputs &amp; Calcs'!$J$619:$J$629)-E176</f>
        <v>-5775969.4157560254</v>
      </c>
      <c r="F232" s="785">
        <f>SUMIF('10. Inputs &amp; Calcs'!$D$51:$D$56,$C$12,'10. Inputs &amp; Calcs'!$J$51:$J$56)</f>
        <v>153</v>
      </c>
      <c r="G232" s="552">
        <f ca="1">IF(F232&lt;&gt;0,E232/F232,0)</f>
        <v>-37751.43408990866</v>
      </c>
      <c r="H232" s="930"/>
    </row>
    <row r="233" spans="2:8" hidden="1" outlineLevel="1" x14ac:dyDescent="0.45">
      <c r="B233" s="948" t="str">
        <f>'9f. Forecast Results - WC'!S$5</f>
        <v>2018/19</v>
      </c>
      <c r="E233" s="973">
        <f>SUMIF('10. Inputs &amp; Calcs'!$D$619:$D$624,$C$12,'10. Inputs &amp; Calcs'!$K$619:$K$629)</f>
        <v>-2425319.9166013082</v>
      </c>
      <c r="F233" s="974">
        <f>SUMIF('10. Inputs &amp; Calcs'!$D$51:$D$56,$C$12,'10. Inputs &amp; Calcs'!$K$51:$K$56)</f>
        <v>115</v>
      </c>
      <c r="G233" s="753">
        <f t="shared" ref="G233:G239" si="5">IF(F233&lt;&gt;0,E233/F233,0)</f>
        <v>-21089.738405228767</v>
      </c>
      <c r="H233" s="930"/>
    </row>
    <row r="234" spans="2:8" hidden="1" outlineLevel="1" x14ac:dyDescent="0.45">
      <c r="B234" s="948" t="str">
        <f>'9f. Forecast Results - WC'!T$5</f>
        <v>2019/20</v>
      </c>
      <c r="E234" s="975">
        <f>SUMIF('10. Inputs &amp; Calcs'!$D$619:$D$624,$C$12,'10. Inputs &amp; Calcs'!$L$619:$L$629)</f>
        <v>-478871.94133333355</v>
      </c>
      <c r="F234" s="976">
        <f>SUMIF('10. Inputs &amp; Calcs'!$D$51:$D$56,$C$12,'10. Inputs &amp; Calcs'!$L$51:$L$56)</f>
        <v>21</v>
      </c>
      <c r="G234" s="888">
        <f t="shared" si="5"/>
        <v>-22803.425777777789</v>
      </c>
      <c r="H234" s="930"/>
    </row>
    <row r="235" spans="2:8" hidden="1" outlineLevel="1" x14ac:dyDescent="0.45">
      <c r="B235" s="948" t="str">
        <f>'9f. Forecast Results - WC'!U$5</f>
        <v>2020/21</v>
      </c>
      <c r="E235" s="975">
        <f>SUMIF('10. Inputs &amp; Calcs'!$D$619:$D$624,$C$12,'10. Inputs &amp; Calcs'!$M$619:$M$629)</f>
        <v>-514859.37615686306</v>
      </c>
      <c r="F235" s="976">
        <f>SUMIF('10. Inputs &amp; Calcs'!$D$51:$D$56,$C$12,'10. Inputs &amp; Calcs'!$M$51:$M$56)</f>
        <v>21</v>
      </c>
      <c r="G235" s="888">
        <f t="shared" si="5"/>
        <v>-24517.113150326812</v>
      </c>
      <c r="H235" s="930"/>
    </row>
    <row r="236" spans="2:8" hidden="1" outlineLevel="1" x14ac:dyDescent="0.45">
      <c r="B236" s="948" t="str">
        <f>'9f. Forecast Results - WC'!V$5</f>
        <v>2021/22</v>
      </c>
      <c r="E236" s="975">
        <f>SUMIF('10. Inputs &amp; Calcs'!$D$619:$D$624,$C$12,'10. Inputs &amp; Calcs'!$N$619:$N$629)</f>
        <v>-550846.8109803925</v>
      </c>
      <c r="F236" s="976">
        <f>SUMIF('10. Inputs &amp; Calcs'!$D$51:$D$56,$C$12,'10. Inputs &amp; Calcs'!$N$51:$N$56)</f>
        <v>21</v>
      </c>
      <c r="G236" s="888">
        <f t="shared" si="5"/>
        <v>-26230.800522875834</v>
      </c>
      <c r="H236" s="930"/>
    </row>
    <row r="237" spans="2:8" hidden="1" outlineLevel="1" x14ac:dyDescent="0.45">
      <c r="B237" s="948" t="str">
        <f>'9f. Forecast Results - WC'!W$5</f>
        <v>2022/23</v>
      </c>
      <c r="E237" s="977">
        <f>SUMIF('10. Inputs &amp; Calcs'!$D$619:$D$624,$C$12,'10. Inputs &amp; Calcs'!$O$619:$O$629)</f>
        <v>-586834.24580392195</v>
      </c>
      <c r="F237" s="978">
        <f>SUMIF('10. Inputs &amp; Calcs'!$D$51:$D$56,$C$12,'10. Inputs &amp; Calcs'!$O$51:$O$56)</f>
        <v>21</v>
      </c>
      <c r="G237" s="754">
        <f t="shared" si="5"/>
        <v>-27944.487895424856</v>
      </c>
      <c r="H237" s="930"/>
    </row>
    <row r="238" spans="2:8" hidden="1" outlineLevel="1" x14ac:dyDescent="0.45">
      <c r="B238" s="948" t="s">
        <v>1516</v>
      </c>
      <c r="E238" s="970">
        <f>SUM(E233:E237)</f>
        <v>-4556732.2908758186</v>
      </c>
      <c r="F238" s="972">
        <f>SUM(F233:F237)</f>
        <v>199</v>
      </c>
      <c r="G238" s="552">
        <f t="shared" si="5"/>
        <v>-22898.152215456375</v>
      </c>
      <c r="H238" s="930"/>
    </row>
    <row r="239" spans="2:8" hidden="1" outlineLevel="1" x14ac:dyDescent="0.45">
      <c r="B239" s="948" t="s">
        <v>1519</v>
      </c>
      <c r="E239" s="971">
        <f>SUMIF('10. Inputs &amp; Calcs'!$D$619:$D$624,$C$12, '10. Inputs &amp; Calcs'!$AD$619:$AD$624)</f>
        <v>-20352748.191215698</v>
      </c>
      <c r="F239" s="785">
        <f>SUMIF('10. Inputs &amp; Calcs'!$D$520:$D$525,$C$12,'10. Inputs &amp; Calcs'!$H$520:$H$525)</f>
        <v>765</v>
      </c>
      <c r="G239" s="552">
        <f t="shared" si="5"/>
        <v>-26604.899596360388</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count="2">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A5D36262-0C03-4BF8-891A-C9287A861B89}">
      <formula1>$F$22:$G$22</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6D10CE43-D92D-4293-9F2E-E66E4C7C985A}">
      <formula1>$D$22:$E$22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2359604F-7895-4C73-8A9F-607163A46FA0}">
          <x14:formula1>
            <xm:f>'14. Permanent Info'!$M$7:$N$7</xm:f>
          </x14:formula1>
          <xm:sqref>AA19</xm:sqref>
        </x14:dataValidation>
        <x14:dataValidation type="list" allowBlank="1" showInputMessage="1" showErrorMessage="1" promptTitle="Years" prompt="Select the number of years required to close this programme from 2018/19._x000a_" xr:uid="{67932ED0-1ACD-4D9F-B215-AE27B7E95DFD}">
          <x14:formula1>
            <xm:f>'14. Permanent Info'!$J$7:$J$23</xm:f>
          </x14:formula1>
          <xm:sqref>AA16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907E-C461-441D-994E-E7E96BD38B16}">
  <sheetPr>
    <tabColor rgb="FFCCFFFF"/>
  </sheetPr>
  <dimension ref="B1:AB16"/>
  <sheetViews>
    <sheetView showGridLines="0" workbookViewId="0">
      <selection activeCell="C6" sqref="C6"/>
    </sheetView>
  </sheetViews>
  <sheetFormatPr defaultRowHeight="14.25" x14ac:dyDescent="0.45"/>
  <cols>
    <col min="1" max="1" width="3.53125" customWidth="1"/>
    <col min="2" max="2" width="49.46484375" customWidth="1"/>
    <col min="3" max="3" width="12.53125" customWidth="1"/>
    <col min="4" max="7" width="11.59765625" customWidth="1"/>
    <col min="28" max="28" width="17.06640625" customWidth="1"/>
  </cols>
  <sheetData>
    <row r="1" spans="2:28" ht="21" x14ac:dyDescent="0.65">
      <c r="B1" s="60" t="s">
        <v>91</v>
      </c>
    </row>
    <row r="2" spans="2:28" ht="21" x14ac:dyDescent="0.65">
      <c r="B2" s="60" t="s">
        <v>1778</v>
      </c>
    </row>
    <row r="3" spans="2:28" ht="21" x14ac:dyDescent="0.65">
      <c r="B3" s="60" t="s">
        <v>1779</v>
      </c>
    </row>
    <row r="4" spans="2:28" x14ac:dyDescent="0.45">
      <c r="C4" s="926" t="s">
        <v>1781</v>
      </c>
      <c r="D4" s="4"/>
      <c r="G4" s="4"/>
      <c r="H4" s="1172"/>
    </row>
    <row r="6" spans="2:28" ht="21" x14ac:dyDescent="0.65">
      <c r="B6" s="516" t="s">
        <v>1770</v>
      </c>
    </row>
    <row r="7" spans="2:28" x14ac:dyDescent="0.45">
      <c r="B7" s="795" t="s">
        <v>1771</v>
      </c>
      <c r="C7" s="796"/>
      <c r="D7" s="1344" t="s">
        <v>1425</v>
      </c>
      <c r="E7" s="1345"/>
      <c r="F7" s="1344" t="s">
        <v>1426</v>
      </c>
      <c r="G7" s="1345"/>
      <c r="H7" s="796"/>
    </row>
    <row r="8" spans="2:28" x14ac:dyDescent="0.45">
      <c r="B8" s="948"/>
      <c r="C8" s="4"/>
      <c r="D8" s="1250" t="s">
        <v>1435</v>
      </c>
      <c r="E8" s="1250" t="s">
        <v>1437</v>
      </c>
      <c r="F8" s="1250" t="s">
        <v>1436</v>
      </c>
      <c r="G8" s="1249" t="s">
        <v>1439</v>
      </c>
      <c r="H8" s="930"/>
      <c r="AB8" s="1314" t="s">
        <v>1437</v>
      </c>
    </row>
    <row r="9" spans="2:28" ht="57" x14ac:dyDescent="0.45">
      <c r="B9" s="948"/>
      <c r="C9" s="4"/>
      <c r="D9" s="841" t="s">
        <v>1440</v>
      </c>
      <c r="E9" s="841" t="s">
        <v>1432</v>
      </c>
      <c r="F9" s="841" t="s">
        <v>1427</v>
      </c>
      <c r="G9" s="841" t="s">
        <v>1433</v>
      </c>
      <c r="H9" s="930"/>
      <c r="AB9" s="841" t="s">
        <v>1432</v>
      </c>
    </row>
    <row r="10" spans="2:28" x14ac:dyDescent="0.45">
      <c r="B10" s="948" t="str">
        <f>'14. Permanent Info'!C7</f>
        <v>EC</v>
      </c>
      <c r="C10" s="4"/>
      <c r="D10" s="843">
        <f>'10. Inputs &amp; Calcs'!H565</f>
        <v>0.64104385848248757</v>
      </c>
      <c r="E10" s="1160">
        <v>0.75</v>
      </c>
      <c r="F10" s="843">
        <f>'10. Inputs &amp; Calcs'!I529</f>
        <v>0</v>
      </c>
      <c r="G10" s="1162">
        <v>0.05</v>
      </c>
      <c r="H10" s="930"/>
      <c r="AA10" s="894" t="s">
        <v>1463</v>
      </c>
      <c r="AB10" s="1160">
        <v>0.75</v>
      </c>
    </row>
    <row r="11" spans="2:28" x14ac:dyDescent="0.45">
      <c r="B11" s="948" t="str">
        <f>'14. Permanent Info'!C8</f>
        <v>FS</v>
      </c>
      <c r="C11" s="4"/>
      <c r="D11" s="843">
        <f>'10. Inputs &amp; Calcs'!H566</f>
        <v>0</v>
      </c>
      <c r="E11" s="1160">
        <v>0.3</v>
      </c>
      <c r="F11" s="843">
        <f>'10. Inputs &amp; Calcs'!I530</f>
        <v>0</v>
      </c>
      <c r="G11" s="1162">
        <v>0.05</v>
      </c>
      <c r="H11" s="930"/>
      <c r="AA11" s="894" t="s">
        <v>1463</v>
      </c>
      <c r="AB11" s="1160">
        <v>0.3</v>
      </c>
    </row>
    <row r="12" spans="2:28" x14ac:dyDescent="0.45">
      <c r="B12" s="948" t="str">
        <f>'14. Permanent Info'!C9</f>
        <v>Gau</v>
      </c>
      <c r="C12" s="4"/>
      <c r="D12" s="843">
        <f>'10. Inputs &amp; Calcs'!H567</f>
        <v>3.7905623003453709E-2</v>
      </c>
      <c r="E12" s="1160">
        <v>0.15</v>
      </c>
      <c r="F12" s="843">
        <f>'10. Inputs &amp; Calcs'!I531</f>
        <v>0</v>
      </c>
      <c r="G12" s="1162">
        <v>0.05</v>
      </c>
      <c r="H12" s="930"/>
      <c r="AA12" s="894" t="s">
        <v>1463</v>
      </c>
      <c r="AB12" s="1160">
        <v>0.15</v>
      </c>
    </row>
    <row r="13" spans="2:28" x14ac:dyDescent="0.45">
      <c r="B13" s="948" t="str">
        <f>'14. Permanent Info'!C10</f>
        <v>KZN</v>
      </c>
      <c r="C13" s="4"/>
      <c r="D13" s="843">
        <f>'10. Inputs &amp; Calcs'!H568</f>
        <v>0.2765409995924219</v>
      </c>
      <c r="E13" s="1160">
        <v>0.45</v>
      </c>
      <c r="F13" s="843">
        <f>'10. Inputs &amp; Calcs'!I532</f>
        <v>0</v>
      </c>
      <c r="G13" s="1162">
        <v>0.05</v>
      </c>
      <c r="H13" s="930"/>
      <c r="AA13" s="894" t="s">
        <v>1463</v>
      </c>
      <c r="AB13" s="1160">
        <v>0.45</v>
      </c>
    </row>
    <row r="14" spans="2:28" x14ac:dyDescent="0.45">
      <c r="B14" s="948" t="str">
        <f>'14. Permanent Info'!C11</f>
        <v>WC</v>
      </c>
      <c r="C14" s="4"/>
      <c r="D14" s="844">
        <f>'10. Inputs &amp; Calcs'!H569</f>
        <v>0.76546080658513083</v>
      </c>
      <c r="E14" s="1161">
        <v>0.85</v>
      </c>
      <c r="F14" s="844">
        <f>'10. Inputs &amp; Calcs'!I533</f>
        <v>0</v>
      </c>
      <c r="G14" s="1163">
        <v>0.05</v>
      </c>
      <c r="H14" s="930"/>
      <c r="AA14" s="894" t="s">
        <v>1463</v>
      </c>
      <c r="AB14" s="1161">
        <v>0.85</v>
      </c>
    </row>
    <row r="15" spans="2:28" ht="14.65" thickBot="1" x14ac:dyDescent="0.5">
      <c r="B15" s="948"/>
      <c r="C15" s="4"/>
      <c r="D15" s="842">
        <f>ROUND('10. Inputs &amp; Calcs'!H570,2)</f>
        <v>0.27</v>
      </c>
      <c r="E15" s="842">
        <f>ROUND(SUMPRODUCT('10. Inputs &amp; Calcs'!L565:L569,'10. Inputs &amp; Calcs'!$H$520:$H$524)/'10. Inputs &amp; Calcs'!$H$525,2)</f>
        <v>0.27</v>
      </c>
      <c r="F15" s="842">
        <f>ROUND('10. Inputs &amp; Calcs'!I534,0)</f>
        <v>0</v>
      </c>
      <c r="G15" s="845">
        <f>ROUND(SUMPRODUCT('10. Inputs &amp; Calcs'!L529:L533,'10. Inputs &amp; Calcs'!$H$520:$H$524)/'10. Inputs &amp; Calcs'!$H$525,2)</f>
        <v>0</v>
      </c>
      <c r="H15" s="930"/>
      <c r="AB15" s="842">
        <f>ROUND(SUMPRODUCT('10. Inputs &amp; Calcs'!L565:L569,'10. Inputs &amp; Calcs'!$H$520:$H$524)/'10. Inputs &amp; Calcs'!$H$525,2)</f>
        <v>0.27</v>
      </c>
    </row>
    <row r="16" spans="2:28" ht="14.65" thickTop="1" x14ac:dyDescent="0.45">
      <c r="B16" s="949"/>
      <c r="C16" s="931"/>
      <c r="D16" s="931" t="s">
        <v>1462</v>
      </c>
      <c r="E16" s="986">
        <f>'10. Inputs &amp; Calcs'!L570</f>
        <v>0.27446863791168158</v>
      </c>
      <c r="F16" s="931"/>
      <c r="G16" s="986">
        <f>'10. Inputs &amp; Calcs'!L534</f>
        <v>0</v>
      </c>
      <c r="H16" s="932"/>
      <c r="AB16" s="986">
        <f>'10. Inputs &amp; Calcs'!L570</f>
        <v>0.27446863791168158</v>
      </c>
    </row>
  </sheetData>
  <mergeCells count="2">
    <mergeCell ref="F7:G7"/>
    <mergeCell ref="D7:E7"/>
  </mergeCells>
  <dataValidations xWindow="1208" yWindow="814" count="1">
    <dataValidation allowBlank="1" showInputMessage="1" showErrorMessage="1" promptTitle="Rent Increase?" prompt="If a rent increase is proposed, enter the % increase from cell F17 to F21 below." sqref="G10" xr:uid="{D6BA3125-40E6-4A2B-8CB2-6441A03A3DB9}"/>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9104F-E43E-478F-88B9-98AC2B68B2C1}">
  <sheetPr>
    <tabColor rgb="FFC00000"/>
    <pageSetUpPr fitToPage="1"/>
  </sheetPr>
  <dimension ref="A1:BG140"/>
  <sheetViews>
    <sheetView showGridLines="0" zoomScale="75" zoomScaleNormal="75" zoomScaleSheetLayoutView="75" workbookViewId="0">
      <selection activeCell="E11" sqref="E11"/>
    </sheetView>
  </sheetViews>
  <sheetFormatPr defaultRowHeight="14.25" outlineLevelRow="1" x14ac:dyDescent="0.45"/>
  <cols>
    <col min="1" max="1" width="4" customWidth="1"/>
    <col min="2" max="2" width="50.796875" customWidth="1"/>
    <col min="3" max="3" width="11.265625" customWidth="1"/>
    <col min="4" max="4" width="19.46484375" customWidth="1"/>
    <col min="5" max="5" width="21.53125" customWidth="1"/>
    <col min="6" max="6" width="13.73046875" bestFit="1" customWidth="1"/>
    <col min="7" max="7" width="19.265625" customWidth="1"/>
    <col min="8" max="8" width="16.53125" customWidth="1"/>
    <col min="9" max="9" width="13.73046875" customWidth="1"/>
    <col min="10" max="10" width="15" customWidth="1"/>
    <col min="11" max="11" width="16.73046875" customWidth="1"/>
    <col min="12" max="12" width="13.73046875" customWidth="1"/>
    <col min="13" max="13" width="17.73046875" customWidth="1"/>
    <col min="14" max="14" width="16.53125" customWidth="1"/>
    <col min="15" max="15" width="13.73046875" customWidth="1"/>
    <col min="32" max="32" width="21.265625" customWidth="1"/>
    <col min="36" max="42" width="14.46484375" bestFit="1" customWidth="1"/>
    <col min="43" max="59" width="16.265625" bestFit="1" customWidth="1"/>
  </cols>
  <sheetData>
    <row r="1" spans="1:59" ht="21" x14ac:dyDescent="0.65">
      <c r="B1" s="60" t="s">
        <v>91</v>
      </c>
      <c r="Q1" s="4"/>
      <c r="R1" s="4"/>
      <c r="S1" s="4"/>
      <c r="T1" s="4"/>
      <c r="U1" s="4"/>
      <c r="V1" s="4"/>
      <c r="W1" s="4"/>
      <c r="X1" s="4"/>
      <c r="Y1" s="4"/>
      <c r="Z1" s="4"/>
      <c r="AA1" s="4"/>
      <c r="AB1" s="4"/>
      <c r="AC1" s="4"/>
      <c r="AD1" s="4"/>
    </row>
    <row r="2" spans="1:59" ht="21" x14ac:dyDescent="0.65">
      <c r="B2" s="60" t="s">
        <v>1496</v>
      </c>
      <c r="Q2" s="4"/>
      <c r="R2" s="4"/>
      <c r="S2" s="4"/>
      <c r="T2" s="4"/>
      <c r="U2" s="4"/>
      <c r="V2" s="4"/>
      <c r="W2" s="4"/>
      <c r="X2" s="4"/>
      <c r="Y2" s="4"/>
      <c r="Z2" s="4"/>
      <c r="AA2" s="4"/>
      <c r="AB2" s="4"/>
      <c r="AC2" s="4"/>
      <c r="AD2" s="4"/>
      <c r="AI2" s="803">
        <v>0</v>
      </c>
      <c r="AJ2" s="803" t="s">
        <v>102</v>
      </c>
      <c r="AK2" s="803" t="s">
        <v>103</v>
      </c>
      <c r="AL2" s="803" t="s">
        <v>104</v>
      </c>
      <c r="AM2" s="803" t="s">
        <v>1345</v>
      </c>
      <c r="AN2" s="803" t="s">
        <v>1346</v>
      </c>
      <c r="AO2" s="803" t="s">
        <v>1347</v>
      </c>
      <c r="AP2" s="803" t="s">
        <v>1348</v>
      </c>
      <c r="AQ2" s="803" t="s">
        <v>1349</v>
      </c>
      <c r="AR2" s="803" t="s">
        <v>1350</v>
      </c>
      <c r="AS2" s="803" t="s">
        <v>1351</v>
      </c>
      <c r="AT2" s="803" t="s">
        <v>1352</v>
      </c>
      <c r="AU2" s="803" t="s">
        <v>1353</v>
      </c>
      <c r="AV2" s="803" t="s">
        <v>1354</v>
      </c>
      <c r="AW2" s="803" t="s">
        <v>1355</v>
      </c>
      <c r="AX2" s="803" t="s">
        <v>1410</v>
      </c>
      <c r="AY2" s="803" t="s">
        <v>1411</v>
      </c>
      <c r="AZ2" s="803" t="s">
        <v>1412</v>
      </c>
      <c r="BA2" s="803" t="s">
        <v>1413</v>
      </c>
      <c r="BB2" s="803" t="s">
        <v>1414</v>
      </c>
      <c r="BC2" s="803" t="s">
        <v>1415</v>
      </c>
      <c r="BD2" s="803" t="s">
        <v>1416</v>
      </c>
      <c r="BE2" s="803" t="s">
        <v>1417</v>
      </c>
      <c r="BF2" s="803" t="s">
        <v>1418</v>
      </c>
      <c r="BG2" s="803" t="s">
        <v>1419</v>
      </c>
    </row>
    <row r="3" spans="1:59" x14ac:dyDescent="0.45">
      <c r="C3" s="1106" t="s">
        <v>1608</v>
      </c>
      <c r="D3" s="553"/>
      <c r="E3" s="553"/>
      <c r="F3" s="796"/>
      <c r="G3" s="4"/>
      <c r="H3" s="4"/>
      <c r="I3" s="4"/>
      <c r="J3" s="4"/>
      <c r="K3" s="4"/>
      <c r="L3" s="4"/>
      <c r="M3" s="4"/>
      <c r="N3" s="4"/>
      <c r="O3" s="4"/>
      <c r="Q3" s="4"/>
      <c r="R3" s="4"/>
      <c r="S3" s="4"/>
      <c r="T3" s="4"/>
      <c r="U3" s="4"/>
      <c r="V3" s="4"/>
      <c r="W3" s="4"/>
      <c r="X3" s="4"/>
      <c r="Y3" s="4"/>
      <c r="Z3" s="4"/>
      <c r="AA3" s="4"/>
      <c r="AB3" s="4"/>
      <c r="AC3" s="4"/>
      <c r="AD3" s="4"/>
      <c r="AI3" s="803" t="s">
        <v>1538</v>
      </c>
      <c r="AJ3" s="1105">
        <v>-112639142.49333334</v>
      </c>
      <c r="AK3" s="1105">
        <v>-120020127.89333332</v>
      </c>
      <c r="AL3" s="1105">
        <v>-128289183.36000001</v>
      </c>
      <c r="AM3" s="1105">
        <v>-131948176.67010787</v>
      </c>
      <c r="AN3" s="1105">
        <v>-128772071.22519906</v>
      </c>
      <c r="AO3" s="1105">
        <v>-125352126.05131693</v>
      </c>
      <c r="AP3" s="1105">
        <v>-126956932.24841155</v>
      </c>
      <c r="AQ3" s="1105">
        <v>-126155549.41692396</v>
      </c>
      <c r="AR3" s="1105">
        <v>-124849979.70312493</v>
      </c>
      <c r="AS3" s="1105">
        <v>-122987708.90222576</v>
      </c>
      <c r="AT3" s="1105">
        <v>-120511971.41223007</v>
      </c>
      <c r="AU3" s="1105">
        <v>-117361441.43571034</v>
      </c>
      <c r="AV3" s="1105">
        <v>-113469903.07425649</v>
      </c>
      <c r="AW3" s="1105">
        <v>-108765897.92790511</v>
      </c>
      <c r="AX3" s="1105">
        <v>-103172348.7230612</v>
      </c>
      <c r="AY3" s="1105">
        <v>-96606157.398058683</v>
      </c>
      <c r="AZ3" s="1105">
        <v>-88977775.975225061</v>
      </c>
      <c r="BA3" s="1105">
        <v>-80190748.441757485</v>
      </c>
      <c r="BB3" s="1105">
        <v>-70141221.748490617</v>
      </c>
      <c r="BC3" s="1105">
        <v>-58717423.915335566</v>
      </c>
      <c r="BD3" s="1105">
        <v>-45799107.104352199</v>
      </c>
      <c r="BE3" s="1105">
        <v>-31256953.38562502</v>
      </c>
      <c r="BF3" s="1105">
        <v>-292672.82400684012</v>
      </c>
      <c r="BG3" s="1105">
        <v>0</v>
      </c>
    </row>
    <row r="4" spans="1:59" x14ac:dyDescent="0.45">
      <c r="C4" s="1107" t="s">
        <v>1612</v>
      </c>
      <c r="D4" s="931"/>
      <c r="E4" s="931"/>
      <c r="F4" s="932"/>
      <c r="G4" s="4"/>
      <c r="H4" s="4"/>
      <c r="I4" s="4"/>
      <c r="J4" s="4"/>
      <c r="K4" s="4"/>
      <c r="L4" s="4"/>
      <c r="M4" s="4"/>
      <c r="N4" s="4"/>
      <c r="O4" s="4"/>
      <c r="AI4" s="803" t="s">
        <v>1575</v>
      </c>
      <c r="AJ4" s="1105">
        <v>-17923184</v>
      </c>
      <c r="AK4" s="1105">
        <v>-17604545</v>
      </c>
      <c r="AL4" s="1105">
        <v>-10717984</v>
      </c>
      <c r="AM4" s="1105">
        <v>-3855000</v>
      </c>
      <c r="AN4" s="1105">
        <v>-3855000</v>
      </c>
      <c r="AO4" s="1105">
        <v>-3570000</v>
      </c>
      <c r="AP4" s="1105">
        <v>-1695000</v>
      </c>
      <c r="AQ4" s="1105">
        <v>-1695000</v>
      </c>
      <c r="AR4" s="1105">
        <v>-1695000</v>
      </c>
      <c r="AS4" s="1105">
        <v>-1695000</v>
      </c>
      <c r="AT4" s="1105">
        <v>-1695000</v>
      </c>
      <c r="AU4" s="1105">
        <v>-1695000</v>
      </c>
      <c r="AV4" s="1105">
        <v>-1695000</v>
      </c>
      <c r="AW4" s="1105">
        <v>-1695000</v>
      </c>
      <c r="AX4" s="1105">
        <v>-1695000</v>
      </c>
      <c r="AY4" s="1105">
        <v>-1695000</v>
      </c>
      <c r="AZ4" s="1105">
        <v>-1695000</v>
      </c>
      <c r="BA4" s="1105">
        <v>-1695000</v>
      </c>
      <c r="BB4" s="1105">
        <v>-1695000</v>
      </c>
      <c r="BC4" s="1105">
        <v>-1695000</v>
      </c>
      <c r="BD4" s="1105">
        <v>-1695000</v>
      </c>
      <c r="BE4" s="1105">
        <v>-1695000</v>
      </c>
      <c r="BF4" s="1105">
        <v>-737241641.34717083</v>
      </c>
      <c r="BG4" s="1105">
        <v>0</v>
      </c>
    </row>
    <row r="5" spans="1:59" ht="21" x14ac:dyDescent="0.65">
      <c r="B5" s="60" t="s">
        <v>1095</v>
      </c>
      <c r="Q5" s="60"/>
    </row>
    <row r="6" spans="1:59" x14ac:dyDescent="0.45">
      <c r="A6" s="4"/>
      <c r="B6" s="950" t="s">
        <v>1561</v>
      </c>
      <c r="C6" s="1083" t="s">
        <v>11</v>
      </c>
      <c r="D6" s="553"/>
      <c r="E6" s="553"/>
      <c r="F6" s="553"/>
      <c r="G6" s="553"/>
      <c r="H6" s="553"/>
      <c r="I6" s="553"/>
      <c r="J6" s="553"/>
      <c r="K6" s="553"/>
      <c r="L6" s="553"/>
      <c r="M6" s="553"/>
      <c r="N6" s="553"/>
      <c r="O6" s="553"/>
      <c r="Q6" s="795"/>
      <c r="R6" s="553"/>
      <c r="S6" s="553"/>
      <c r="T6" s="553"/>
      <c r="U6" s="553"/>
      <c r="V6" s="553"/>
      <c r="W6" s="553"/>
      <c r="X6" s="553"/>
      <c r="Y6" s="553"/>
      <c r="Z6" s="553"/>
      <c r="AA6" s="553"/>
      <c r="AB6" s="553"/>
      <c r="AC6" s="553"/>
      <c r="AD6" s="796"/>
    </row>
    <row r="7" spans="1:59" x14ac:dyDescent="0.45">
      <c r="A7" s="4"/>
      <c r="B7" s="304" t="s">
        <v>1484</v>
      </c>
      <c r="C7" s="1083" t="s">
        <v>1406</v>
      </c>
      <c r="D7" s="1346" t="str">
        <f>IF($C$7='14. Permanent Info'!$D$7,'14. Permanent Info'!$E$7,IF($C$7='14. Permanent Info'!$D$8,'14. Permanent Info'!$E$8,IF($C$7='14. Permanent Info'!$D$9,'14. Permanent Info'!$E$9,IF($C$7='14. Permanent Info'!$D$10,'14. Permanent Info'!$E$10,IF($C$7='14. Permanent Info'!$D$11,'14. Permanent Info'!$E$11,0)))))</f>
        <v>Base Case</v>
      </c>
      <c r="E7" s="1346"/>
      <c r="F7" s="1346"/>
      <c r="G7" s="1346"/>
      <c r="H7" s="1346"/>
      <c r="I7" s="1346"/>
      <c r="J7" s="1346"/>
      <c r="K7" s="1346"/>
      <c r="L7" s="1346"/>
      <c r="M7" s="1346"/>
      <c r="N7" s="1346"/>
      <c r="O7" s="1346"/>
      <c r="Q7" s="948"/>
      <c r="R7" s="4"/>
      <c r="S7" s="4"/>
      <c r="T7" s="4"/>
      <c r="U7" s="4"/>
      <c r="V7" s="4"/>
      <c r="W7" s="4"/>
      <c r="X7" s="4"/>
      <c r="Y7" s="4"/>
      <c r="Z7" s="4"/>
      <c r="AA7" s="4"/>
      <c r="AB7" s="4"/>
      <c r="AC7" s="4"/>
      <c r="AD7" s="930"/>
    </row>
    <row r="8" spans="1:59" x14ac:dyDescent="0.45">
      <c r="A8" s="4"/>
      <c r="B8" s="304" t="s">
        <v>1497</v>
      </c>
      <c r="C8" s="558"/>
      <c r="D8" s="4"/>
      <c r="E8" s="4"/>
      <c r="F8" s="4"/>
      <c r="G8" s="4"/>
      <c r="H8" s="4"/>
      <c r="I8" s="4"/>
      <c r="J8" s="4"/>
      <c r="K8" s="4"/>
      <c r="L8" s="4"/>
      <c r="M8" s="4"/>
      <c r="N8" s="4"/>
      <c r="O8" s="4"/>
      <c r="Q8" s="948"/>
      <c r="R8" s="4"/>
      <c r="S8" s="4"/>
      <c r="T8" s="4"/>
      <c r="U8" s="4"/>
      <c r="V8" s="4"/>
      <c r="W8" s="4"/>
      <c r="X8" s="4"/>
      <c r="Y8" s="4"/>
      <c r="Z8" s="4"/>
      <c r="AA8" s="4"/>
      <c r="AB8" s="4"/>
      <c r="AC8" s="4"/>
      <c r="AD8" s="930"/>
    </row>
    <row r="9" spans="1:59" x14ac:dyDescent="0.45">
      <c r="A9" s="4"/>
      <c r="B9" s="964" t="s">
        <v>1507</v>
      </c>
      <c r="C9" s="17">
        <v>17</v>
      </c>
      <c r="D9" s="962"/>
      <c r="E9" s="963"/>
      <c r="F9" s="963"/>
      <c r="G9" s="963"/>
      <c r="H9" s="963"/>
      <c r="I9" s="963"/>
      <c r="J9" s="963"/>
      <c r="K9" s="963"/>
      <c r="L9" s="963"/>
      <c r="M9" s="963"/>
      <c r="N9" s="963"/>
      <c r="O9" s="963"/>
      <c r="Q9" s="948"/>
      <c r="R9" s="4"/>
      <c r="S9" s="4"/>
      <c r="T9" s="4"/>
      <c r="U9" s="4"/>
      <c r="V9" s="4"/>
      <c r="W9" s="4"/>
      <c r="X9" s="4"/>
      <c r="Y9" s="4"/>
      <c r="Z9" s="4"/>
      <c r="AA9" s="4"/>
      <c r="AB9" s="4"/>
      <c r="AC9" s="4"/>
      <c r="AD9" s="930"/>
    </row>
    <row r="10" spans="1:59" ht="15.75" x14ac:dyDescent="0.45">
      <c r="A10" s="4"/>
      <c r="B10" s="964" t="s">
        <v>1438</v>
      </c>
      <c r="C10" s="1032" t="s">
        <v>1435</v>
      </c>
      <c r="D10" s="962"/>
      <c r="E10" s="963"/>
      <c r="F10" s="963"/>
      <c r="G10" s="963"/>
      <c r="H10" s="963"/>
      <c r="I10" s="963"/>
      <c r="J10" s="963"/>
      <c r="K10" s="963"/>
      <c r="L10" s="963"/>
      <c r="M10" s="963"/>
      <c r="N10" s="963"/>
      <c r="O10" s="963"/>
      <c r="Q10" s="948"/>
      <c r="R10" s="4"/>
      <c r="S10" s="4"/>
      <c r="T10" s="4"/>
      <c r="U10" s="4"/>
      <c r="V10" s="4"/>
      <c r="W10" s="4"/>
      <c r="X10" s="4"/>
      <c r="Y10" s="4"/>
      <c r="Z10" s="4"/>
      <c r="AA10" s="4"/>
      <c r="AB10" s="4"/>
      <c r="AC10" s="4"/>
      <c r="AD10" s="930"/>
    </row>
    <row r="11" spans="1:59" ht="15.75" x14ac:dyDescent="0.45">
      <c r="A11" s="4"/>
      <c r="B11" s="964" t="s">
        <v>1426</v>
      </c>
      <c r="C11" s="1032" t="s">
        <v>1436</v>
      </c>
      <c r="D11" s="962"/>
      <c r="E11" s="963"/>
      <c r="F11" s="963"/>
      <c r="G11" s="963"/>
      <c r="H11" s="963"/>
      <c r="I11" s="963"/>
      <c r="J11" s="963"/>
      <c r="K11" s="963"/>
      <c r="L11" s="963"/>
      <c r="M11" s="963"/>
      <c r="N11" s="963"/>
      <c r="O11" s="963"/>
      <c r="Q11" s="948"/>
      <c r="R11" s="4"/>
      <c r="S11" s="4"/>
      <c r="T11" s="4"/>
      <c r="U11" s="4"/>
      <c r="V11" s="4"/>
      <c r="W11" s="4"/>
      <c r="X11" s="4"/>
      <c r="Y11" s="4"/>
      <c r="Z11" s="4"/>
      <c r="AA11" s="4"/>
      <c r="AB11" s="4"/>
      <c r="AC11" s="4"/>
      <c r="AD11" s="930"/>
    </row>
    <row r="12" spans="1:59" ht="15.75" x14ac:dyDescent="0.45">
      <c r="A12" s="4"/>
      <c r="B12" s="964" t="s">
        <v>1446</v>
      </c>
      <c r="C12" s="1033" t="s">
        <v>1447</v>
      </c>
      <c r="D12" s="962"/>
      <c r="E12" s="963"/>
      <c r="F12" s="963"/>
      <c r="G12" s="963"/>
      <c r="H12" s="963"/>
      <c r="I12" s="963"/>
      <c r="J12" s="963"/>
      <c r="K12" s="963"/>
      <c r="L12" s="963"/>
      <c r="M12" s="963"/>
      <c r="N12" s="963"/>
      <c r="O12" s="963"/>
      <c r="Q12" s="948"/>
      <c r="R12" s="4"/>
      <c r="S12" s="4"/>
      <c r="T12" s="4"/>
      <c r="U12" s="4"/>
      <c r="V12" s="4"/>
      <c r="W12" s="4"/>
      <c r="X12" s="4"/>
      <c r="Y12" s="4"/>
      <c r="Z12" s="4"/>
      <c r="AA12" s="4"/>
      <c r="AB12" s="4"/>
      <c r="AC12" s="4"/>
      <c r="AD12" s="930"/>
    </row>
    <row r="13" spans="1:59" x14ac:dyDescent="0.45">
      <c r="A13" s="930"/>
      <c r="B13" s="949"/>
      <c r="C13" s="931"/>
      <c r="D13" s="931"/>
      <c r="E13" s="931"/>
      <c r="F13" s="931"/>
      <c r="G13" s="963"/>
      <c r="H13" s="963"/>
      <c r="I13" s="963"/>
      <c r="J13" s="963"/>
      <c r="K13" s="963"/>
      <c r="L13" s="963"/>
      <c r="M13" s="963"/>
      <c r="N13" s="963"/>
      <c r="O13" s="963"/>
      <c r="Q13" s="948"/>
      <c r="R13" s="4"/>
      <c r="S13" s="4"/>
      <c r="T13" s="4"/>
      <c r="U13" s="4"/>
      <c r="V13" s="4"/>
      <c r="W13" s="4"/>
      <c r="X13" s="4"/>
      <c r="Y13" s="4"/>
      <c r="Z13" s="4"/>
      <c r="AA13" s="4"/>
      <c r="AB13" s="4"/>
      <c r="AC13" s="4"/>
      <c r="AD13" s="930"/>
    </row>
    <row r="14" spans="1:59" x14ac:dyDescent="0.45">
      <c r="A14" s="930"/>
      <c r="B14" s="795"/>
      <c r="C14" s="1344" t="s">
        <v>1425</v>
      </c>
      <c r="D14" s="1345"/>
      <c r="E14" s="1344" t="s">
        <v>1426</v>
      </c>
      <c r="F14" s="1345"/>
      <c r="G14" s="963"/>
      <c r="H14" s="963"/>
      <c r="I14" s="963"/>
      <c r="J14" s="963"/>
      <c r="K14" s="963"/>
      <c r="L14" s="963"/>
      <c r="M14" s="963"/>
      <c r="N14" s="963"/>
      <c r="O14" s="963"/>
      <c r="Q14" s="948"/>
      <c r="R14" s="4"/>
      <c r="S14" s="4"/>
      <c r="T14" s="4"/>
      <c r="U14" s="4"/>
      <c r="V14" s="4"/>
      <c r="W14" s="4"/>
      <c r="X14" s="4"/>
      <c r="Y14" s="4"/>
      <c r="Z14" s="4"/>
      <c r="AA14" s="4"/>
      <c r="AB14" s="4"/>
      <c r="AC14" s="4"/>
      <c r="AD14" s="930"/>
    </row>
    <row r="15" spans="1:59" x14ac:dyDescent="0.45">
      <c r="A15" s="4"/>
      <c r="B15" s="948"/>
      <c r="C15" s="1203" t="s">
        <v>1435</v>
      </c>
      <c r="D15" s="1203" t="s">
        <v>1437</v>
      </c>
      <c r="E15" s="1203" t="s">
        <v>1436</v>
      </c>
      <c r="F15" s="1202" t="s">
        <v>1439</v>
      </c>
      <c r="G15" s="963"/>
      <c r="H15" s="963"/>
      <c r="I15" s="963"/>
      <c r="J15" s="963"/>
      <c r="K15" s="963"/>
      <c r="L15" s="963"/>
      <c r="M15" s="963"/>
      <c r="N15" s="963"/>
      <c r="O15" s="963"/>
      <c r="Q15" s="948"/>
      <c r="R15" s="4"/>
      <c r="S15" s="4"/>
      <c r="T15" s="4"/>
      <c r="U15" s="4"/>
      <c r="V15" s="4"/>
      <c r="W15" s="4"/>
      <c r="X15" s="4"/>
      <c r="Y15" s="4"/>
      <c r="Z15" s="4"/>
      <c r="AA15" s="4"/>
      <c r="AB15" s="4"/>
      <c r="AC15" s="4"/>
      <c r="AD15" s="930"/>
    </row>
    <row r="16" spans="1:59" ht="57" x14ac:dyDescent="0.45">
      <c r="A16" s="4"/>
      <c r="B16" s="948"/>
      <c r="C16" s="841" t="s">
        <v>1440</v>
      </c>
      <c r="D16" s="841" t="s">
        <v>1432</v>
      </c>
      <c r="E16" s="841" t="s">
        <v>1427</v>
      </c>
      <c r="F16" s="841" t="s">
        <v>1433</v>
      </c>
      <c r="G16" s="963"/>
      <c r="H16" s="963"/>
      <c r="I16" s="963"/>
      <c r="J16" s="963"/>
      <c r="K16" s="963"/>
      <c r="L16" s="963"/>
      <c r="M16" s="963"/>
      <c r="N16" s="963"/>
      <c r="O16" s="963"/>
      <c r="Q16" s="948"/>
      <c r="R16" s="4"/>
      <c r="S16" s="4"/>
      <c r="T16" s="4"/>
      <c r="U16" s="4"/>
      <c r="V16" s="4"/>
      <c r="W16" s="4"/>
      <c r="X16" s="4"/>
      <c r="Y16" s="4"/>
      <c r="Z16" s="4"/>
      <c r="AA16" s="4"/>
      <c r="AB16" s="4"/>
      <c r="AC16" s="4"/>
      <c r="AD16" s="930"/>
    </row>
    <row r="17" spans="1:59" x14ac:dyDescent="0.45">
      <c r="A17" s="4"/>
      <c r="B17" s="948" t="str">
        <f>'14. Permanent Info'!C7</f>
        <v>EC</v>
      </c>
      <c r="C17" s="843">
        <f>'10. Inputs &amp; Calcs'!H565</f>
        <v>0.64104385848248757</v>
      </c>
      <c r="D17" s="1034">
        <v>0.75</v>
      </c>
      <c r="E17" s="1035">
        <f>'10. Inputs &amp; Calcs'!I529</f>
        <v>0</v>
      </c>
      <c r="F17" s="1036">
        <v>0.05</v>
      </c>
      <c r="G17" s="963"/>
      <c r="H17" s="963"/>
      <c r="I17" s="963"/>
      <c r="J17" s="963"/>
      <c r="K17" s="963"/>
      <c r="L17" s="963"/>
      <c r="M17" s="963"/>
      <c r="N17" s="963"/>
      <c r="O17" s="963"/>
      <c r="Q17" s="948"/>
      <c r="R17" s="4"/>
      <c r="S17" s="4"/>
      <c r="T17" s="4"/>
      <c r="U17" s="4"/>
      <c r="V17" s="4"/>
      <c r="W17" s="4"/>
      <c r="X17" s="4"/>
      <c r="Y17" s="4"/>
      <c r="Z17" s="4"/>
      <c r="AA17" s="4"/>
      <c r="AB17" s="4"/>
      <c r="AC17" s="4"/>
      <c r="AD17" s="930"/>
    </row>
    <row r="18" spans="1:59" x14ac:dyDescent="0.45">
      <c r="A18" s="4"/>
      <c r="B18" s="948" t="str">
        <f>'14. Permanent Info'!C8</f>
        <v>FS</v>
      </c>
      <c r="C18" s="843">
        <f>'10. Inputs &amp; Calcs'!H566</f>
        <v>0</v>
      </c>
      <c r="D18" s="1034">
        <v>0.3</v>
      </c>
      <c r="E18" s="1035">
        <f>'10. Inputs &amp; Calcs'!I530</f>
        <v>0</v>
      </c>
      <c r="F18" s="1036">
        <v>0.05</v>
      </c>
      <c r="G18" s="963"/>
      <c r="H18" s="963"/>
      <c r="I18" s="963"/>
      <c r="J18" s="963"/>
      <c r="K18" s="963"/>
      <c r="L18" s="963"/>
      <c r="M18" s="963"/>
      <c r="N18" s="963"/>
      <c r="O18" s="963"/>
      <c r="Q18" s="948"/>
      <c r="R18" s="4"/>
      <c r="S18" s="4"/>
      <c r="T18" s="4"/>
      <c r="U18" s="4"/>
      <c r="V18" s="4"/>
      <c r="W18" s="4"/>
      <c r="X18" s="4"/>
      <c r="Y18" s="4"/>
      <c r="Z18" s="4"/>
      <c r="AA18" s="4"/>
      <c r="AB18" s="4"/>
      <c r="AC18" s="4"/>
      <c r="AD18" s="930"/>
    </row>
    <row r="19" spans="1:59" x14ac:dyDescent="0.45">
      <c r="A19" s="4"/>
      <c r="B19" s="948" t="str">
        <f>'14. Permanent Info'!C9</f>
        <v>Gau</v>
      </c>
      <c r="C19" s="843">
        <f>'10. Inputs &amp; Calcs'!H567</f>
        <v>3.7905623003453709E-2</v>
      </c>
      <c r="D19" s="1034">
        <v>0.15</v>
      </c>
      <c r="E19" s="1035">
        <f>'10. Inputs &amp; Calcs'!I531</f>
        <v>0</v>
      </c>
      <c r="F19" s="1036">
        <v>0.05</v>
      </c>
      <c r="G19" s="963"/>
      <c r="H19" s="963"/>
      <c r="I19" s="963"/>
      <c r="J19" s="963"/>
      <c r="K19" s="963"/>
      <c r="L19" s="963"/>
      <c r="M19" s="963"/>
      <c r="N19" s="963"/>
      <c r="O19" s="963"/>
      <c r="Q19" s="948"/>
      <c r="R19" s="4"/>
      <c r="S19" s="4"/>
      <c r="T19" s="4"/>
      <c r="U19" s="4"/>
      <c r="V19" s="4"/>
      <c r="W19" s="4"/>
      <c r="X19" s="4"/>
      <c r="Y19" s="4"/>
      <c r="Z19" s="4"/>
      <c r="AA19" s="4"/>
      <c r="AB19" s="4"/>
      <c r="AC19" s="4"/>
      <c r="AD19" s="930"/>
    </row>
    <row r="20" spans="1:59" x14ac:dyDescent="0.45">
      <c r="A20" s="4"/>
      <c r="B20" s="948" t="str">
        <f>'14. Permanent Info'!C10</f>
        <v>KZN</v>
      </c>
      <c r="C20" s="843">
        <f>'10. Inputs &amp; Calcs'!H568</f>
        <v>0.2765409995924219</v>
      </c>
      <c r="D20" s="1034">
        <v>0.45</v>
      </c>
      <c r="E20" s="1035">
        <f>'10. Inputs &amp; Calcs'!I532</f>
        <v>0</v>
      </c>
      <c r="F20" s="1036">
        <v>0.05</v>
      </c>
      <c r="G20" s="963"/>
      <c r="H20" s="963"/>
      <c r="I20" s="963"/>
      <c r="J20" s="963"/>
      <c r="K20" s="963"/>
      <c r="L20" s="963"/>
      <c r="M20" s="963"/>
      <c r="N20" s="963"/>
      <c r="O20" s="963"/>
      <c r="Q20" s="948"/>
      <c r="R20" s="4"/>
      <c r="S20" s="4"/>
      <c r="T20" s="4"/>
      <c r="U20" s="4"/>
      <c r="V20" s="4"/>
      <c r="W20" s="4"/>
      <c r="X20" s="4"/>
      <c r="Y20" s="4"/>
      <c r="Z20" s="4"/>
      <c r="AA20" s="4"/>
      <c r="AB20" s="4"/>
      <c r="AC20" s="4"/>
      <c r="AD20" s="930"/>
    </row>
    <row r="21" spans="1:59" x14ac:dyDescent="0.45">
      <c r="A21" s="4"/>
      <c r="B21" s="948" t="str">
        <f>'14. Permanent Info'!C11</f>
        <v>WC</v>
      </c>
      <c r="C21" s="844">
        <f>'10. Inputs &amp; Calcs'!H569</f>
        <v>0.76546080658513083</v>
      </c>
      <c r="D21" s="1037">
        <v>0.85</v>
      </c>
      <c r="E21" s="1038">
        <f>'10. Inputs &amp; Calcs'!I533</f>
        <v>0</v>
      </c>
      <c r="F21" s="1039">
        <v>0.05</v>
      </c>
      <c r="G21" s="963"/>
      <c r="H21" s="963"/>
      <c r="I21" s="963"/>
      <c r="J21" s="963"/>
      <c r="K21" s="963"/>
      <c r="L21" s="963"/>
      <c r="M21" s="963"/>
      <c r="N21" s="963"/>
      <c r="O21" s="963"/>
      <c r="Q21" s="948"/>
      <c r="R21" s="4"/>
      <c r="S21" s="4"/>
      <c r="T21" s="4"/>
      <c r="U21" s="4"/>
      <c r="V21" s="4"/>
      <c r="W21" s="4"/>
      <c r="X21" s="4"/>
      <c r="Y21" s="4"/>
      <c r="Z21" s="4"/>
      <c r="AA21" s="4"/>
      <c r="AB21" s="4"/>
      <c r="AC21" s="4"/>
      <c r="AD21" s="930"/>
    </row>
    <row r="22" spans="1:59" ht="14.65" thickBot="1" x14ac:dyDescent="0.5">
      <c r="A22" s="4"/>
      <c r="B22" s="948"/>
      <c r="C22" s="842">
        <f>ROUND('10. Inputs &amp; Calcs'!H570,2)</f>
        <v>0.27</v>
      </c>
      <c r="D22" s="1108">
        <f>ROUND(SUMPRODUCT('10. Inputs &amp; Calcs'!L565:L569,'10. Inputs &amp; Calcs'!$H$520:$H$524)/'10. Inputs &amp; Calcs'!$H$525,2)</f>
        <v>0.27</v>
      </c>
      <c r="E22" s="1108">
        <f>ROUND('10. Inputs &amp; Calcs'!I534,0)</f>
        <v>0</v>
      </c>
      <c r="F22" s="1109">
        <f>ROUND(SUMPRODUCT('10. Inputs &amp; Calcs'!L529:L533,'10. Inputs &amp; Calcs'!$H$520:$H$524)/'10. Inputs &amp; Calcs'!$H$525,2)</f>
        <v>0</v>
      </c>
      <c r="G22" s="1205"/>
      <c r="H22" s="1205"/>
      <c r="I22" s="1205"/>
      <c r="J22" s="1205"/>
      <c r="K22" s="1205"/>
      <c r="L22" s="1205"/>
      <c r="M22" s="1205"/>
      <c r="N22" s="1205"/>
      <c r="O22" s="1205"/>
      <c r="Q22" s="948"/>
      <c r="R22" s="4"/>
      <c r="S22" s="4"/>
      <c r="T22" s="4"/>
      <c r="U22" s="4"/>
      <c r="V22" s="4"/>
      <c r="W22" s="4"/>
      <c r="X22" s="4"/>
      <c r="Y22" s="4"/>
      <c r="Z22" s="4"/>
      <c r="AA22" s="4"/>
      <c r="AB22" s="4"/>
      <c r="AC22" s="4"/>
      <c r="AD22" s="930"/>
    </row>
    <row r="23" spans="1:59" ht="14.65" thickTop="1" x14ac:dyDescent="0.45">
      <c r="A23" s="4"/>
      <c r="B23" s="949"/>
      <c r="C23" s="931" t="s">
        <v>1462</v>
      </c>
      <c r="D23" s="986">
        <f>'10. Inputs &amp; Calcs'!L570</f>
        <v>0.27446863791168158</v>
      </c>
      <c r="E23" s="931"/>
      <c r="F23" s="986">
        <f>'10. Inputs &amp; Calcs'!L534</f>
        <v>0</v>
      </c>
      <c r="G23" s="986"/>
      <c r="H23" s="986"/>
      <c r="I23" s="986"/>
      <c r="J23" s="986"/>
      <c r="K23" s="986"/>
      <c r="L23" s="986"/>
      <c r="M23" s="986"/>
      <c r="N23" s="986"/>
      <c r="O23" s="986"/>
      <c r="Q23" s="948"/>
      <c r="R23" s="4"/>
      <c r="S23" s="4"/>
      <c r="T23" s="4"/>
      <c r="U23" s="4"/>
      <c r="V23" s="4"/>
      <c r="W23" s="4"/>
      <c r="X23" s="4"/>
      <c r="Y23" s="4"/>
      <c r="Z23" s="4"/>
      <c r="AA23" s="4"/>
      <c r="AB23" s="4"/>
      <c r="AC23" s="4"/>
      <c r="AD23" s="930"/>
    </row>
    <row r="24" spans="1:59" x14ac:dyDescent="0.45">
      <c r="Q24" s="948"/>
      <c r="R24" s="4"/>
      <c r="S24" s="4"/>
      <c r="T24" s="4"/>
      <c r="U24" s="4"/>
      <c r="V24" s="4"/>
      <c r="W24" s="4"/>
      <c r="X24" s="4"/>
      <c r="Y24" s="4"/>
      <c r="Z24" s="4"/>
      <c r="AA24" s="4"/>
      <c r="AB24" s="4"/>
      <c r="AC24" s="4"/>
      <c r="AD24" s="930"/>
    </row>
    <row r="25" spans="1:59" ht="4.5" customHeight="1" x14ac:dyDescent="0.45">
      <c r="Q25" s="948"/>
      <c r="R25" s="4"/>
      <c r="S25" s="4"/>
      <c r="T25" s="4"/>
      <c r="U25" s="4"/>
      <c r="V25" s="4"/>
      <c r="W25" s="4"/>
      <c r="X25" s="4"/>
      <c r="Y25" s="4"/>
      <c r="Z25" s="4"/>
      <c r="AA25" s="4"/>
      <c r="AB25" s="4"/>
      <c r="AC25" s="4"/>
      <c r="AD25" s="930"/>
    </row>
    <row r="26" spans="1:59" ht="21" x14ac:dyDescent="0.65">
      <c r="B26" s="60" t="s">
        <v>1098</v>
      </c>
      <c r="D26" s="1347" t="s">
        <v>1405</v>
      </c>
      <c r="E26" s="1347"/>
      <c r="F26" s="1347"/>
      <c r="G26" s="1348" t="s">
        <v>1700</v>
      </c>
      <c r="H26" s="1348"/>
      <c r="I26" s="1348"/>
      <c r="J26" s="1347" t="s">
        <v>1701</v>
      </c>
      <c r="K26" s="1347"/>
      <c r="L26" s="1347"/>
      <c r="M26" s="1348" t="s">
        <v>1702</v>
      </c>
      <c r="N26" s="1348"/>
      <c r="O26" s="1348"/>
      <c r="Q26" s="948"/>
      <c r="R26" s="4"/>
      <c r="S26" s="4"/>
      <c r="T26" s="4"/>
      <c r="U26" s="4"/>
      <c r="V26" s="4"/>
      <c r="W26" s="4"/>
      <c r="X26" s="4"/>
      <c r="Y26" s="4"/>
      <c r="Z26" s="4"/>
      <c r="AA26" s="4"/>
      <c r="AB26" s="4"/>
      <c r="AC26" s="4"/>
      <c r="AD26" s="930"/>
      <c r="AI26" s="451" t="s">
        <v>1698</v>
      </c>
    </row>
    <row r="27" spans="1:59" ht="42.75" x14ac:dyDescent="0.45">
      <c r="B27" s="1043"/>
      <c r="C27" s="1044"/>
      <c r="D27" s="1212" t="s">
        <v>1514</v>
      </c>
      <c r="E27" s="1213" t="s">
        <v>1498</v>
      </c>
      <c r="F27" s="1214"/>
      <c r="G27" s="1045" t="str">
        <f>'5a. Dashboard Total BC'!D27</f>
        <v>MTEF Cycle 2018/19 to 2022/23</v>
      </c>
      <c r="H27" s="1046" t="str">
        <f>'5a. Dashboard Total BC'!E27</f>
        <v>20 year Total</v>
      </c>
      <c r="I27" s="1047"/>
      <c r="J27" s="1212" t="str">
        <f>'5c. Dashboard Total Sc 2'!D27</f>
        <v>MTEF Cycle 2018/19 to 2022/23</v>
      </c>
      <c r="K27" s="1213" t="str">
        <f>'5c. Dashboard Total Sc 2'!E27</f>
        <v>20 year Total</v>
      </c>
      <c r="L27" s="1214"/>
      <c r="M27" s="1045" t="str">
        <f>'5d. Dashboard Total Sc 3'!D27</f>
        <v>MTEF Cycle 2018/19 to 2022/23</v>
      </c>
      <c r="N27" s="1046" t="str">
        <f>'5d. Dashboard Total Sc 3'!E27</f>
        <v>20 year Total</v>
      </c>
      <c r="O27" s="1210"/>
      <c r="Q27" s="948"/>
      <c r="R27" s="4"/>
      <c r="S27" s="4"/>
      <c r="T27" s="4"/>
      <c r="U27" s="4"/>
      <c r="V27" s="4"/>
      <c r="W27" s="4"/>
      <c r="X27" s="4"/>
      <c r="Y27" s="4"/>
      <c r="Z27" s="4"/>
      <c r="AA27" s="4"/>
      <c r="AB27" s="4"/>
      <c r="AC27" s="4"/>
      <c r="AD27" s="930"/>
      <c r="AI27" s="803"/>
      <c r="AJ27" s="803" t="s">
        <v>102</v>
      </c>
      <c r="AK27" s="803" t="s">
        <v>103</v>
      </c>
      <c r="AL27" s="803" t="s">
        <v>104</v>
      </c>
      <c r="AM27" s="803" t="s">
        <v>1345</v>
      </c>
      <c r="AN27" s="803" t="s">
        <v>1346</v>
      </c>
      <c r="AO27" s="803" t="s">
        <v>1347</v>
      </c>
      <c r="AP27" s="803" t="s">
        <v>1348</v>
      </c>
      <c r="AQ27" s="803" t="s">
        <v>1349</v>
      </c>
      <c r="AR27" s="803" t="s">
        <v>1350</v>
      </c>
      <c r="AS27" s="803" t="s">
        <v>1351</v>
      </c>
      <c r="AT27" s="803" t="s">
        <v>1352</v>
      </c>
      <c r="AU27" s="803" t="s">
        <v>1353</v>
      </c>
      <c r="AV27" s="803" t="s">
        <v>1354</v>
      </c>
      <c r="AW27" s="803" t="s">
        <v>1355</v>
      </c>
      <c r="AX27" s="803" t="s">
        <v>1410</v>
      </c>
      <c r="AY27" s="803" t="s">
        <v>1411</v>
      </c>
      <c r="AZ27" s="803" t="s">
        <v>1412</v>
      </c>
      <c r="BA27" s="803" t="s">
        <v>1413</v>
      </c>
      <c r="BB27" s="803" t="s">
        <v>1414</v>
      </c>
      <c r="BC27" s="803" t="s">
        <v>1415</v>
      </c>
      <c r="BD27" s="803" t="s">
        <v>1416</v>
      </c>
      <c r="BE27" s="803" t="s">
        <v>1417</v>
      </c>
      <c r="BF27" s="803" t="s">
        <v>1418</v>
      </c>
      <c r="BG27" s="803" t="s">
        <v>1419</v>
      </c>
    </row>
    <row r="28" spans="1:59" x14ac:dyDescent="0.45">
      <c r="B28" s="1049" t="s">
        <v>1551</v>
      </c>
      <c r="C28" s="1050"/>
      <c r="D28" s="971">
        <v>24526299.226172131</v>
      </c>
      <c r="E28" s="971">
        <v>78509405.775295377</v>
      </c>
      <c r="F28" s="971"/>
      <c r="G28" s="1051">
        <f>'5a. Dashboard Total BC'!D28</f>
        <v>24526299.226172131</v>
      </c>
      <c r="H28" s="1051">
        <f>'5a. Dashboard Total BC'!E28</f>
        <v>78509405.775295377</v>
      </c>
      <c r="I28" s="1051"/>
      <c r="J28" s="971">
        <f>'5c. Dashboard Total Sc 2'!D28</f>
        <v>35291965.545340739</v>
      </c>
      <c r="K28" s="971">
        <f>'5c. Dashboard Total Sc 2'!E28</f>
        <v>56893307.700266004</v>
      </c>
      <c r="L28" s="971"/>
      <c r="M28" s="1051">
        <f>'5d. Dashboard Total Sc 3'!D28</f>
        <v>35291965.545340732</v>
      </c>
      <c r="N28" s="1051">
        <f>'5d. Dashboard Total Sc 3'!E28</f>
        <v>56893307.700265884</v>
      </c>
      <c r="O28" s="1206"/>
      <c r="Q28" s="948"/>
      <c r="R28" s="4"/>
      <c r="S28" s="4"/>
      <c r="T28" s="4"/>
      <c r="U28" s="4"/>
      <c r="V28" s="4"/>
      <c r="W28" s="4"/>
      <c r="X28" s="4"/>
      <c r="Y28" s="4"/>
      <c r="Z28" s="4"/>
      <c r="AA28" s="4"/>
      <c r="AB28" s="4"/>
      <c r="AC28" s="4"/>
      <c r="AD28" s="930"/>
      <c r="AI28" s="803" t="s">
        <v>330</v>
      </c>
      <c r="AJ28" s="533">
        <v>13847741.82</v>
      </c>
      <c r="AK28" s="533">
        <v>16595915.43</v>
      </c>
      <c r="AL28" s="533">
        <v>14925625.75</v>
      </c>
      <c r="AM28" s="533">
        <v>11305567.046898484</v>
      </c>
      <c r="AN28" s="533">
        <v>10295775.108026672</v>
      </c>
      <c r="AO28" s="533">
        <v>8369173.8392901234</v>
      </c>
      <c r="AP28" s="533">
        <v>4298208.2229296956</v>
      </c>
      <c r="AQ28" s="533">
        <v>4125590.3054568996</v>
      </c>
      <c r="AR28" s="533">
        <v>3952972.3879841031</v>
      </c>
      <c r="AS28" s="533">
        <v>3780354.470511307</v>
      </c>
      <c r="AT28" s="533">
        <v>3607736.5530385105</v>
      </c>
      <c r="AU28" s="533">
        <v>3435118.6355657149</v>
      </c>
      <c r="AV28" s="533">
        <v>3262500.7180929184</v>
      </c>
      <c r="AW28" s="533">
        <v>3089882.8006201228</v>
      </c>
      <c r="AX28" s="533">
        <v>2917264.8831473263</v>
      </c>
      <c r="AY28" s="533">
        <v>2744646.9656745302</v>
      </c>
      <c r="AZ28" s="533">
        <v>2572029.0482017342</v>
      </c>
      <c r="BA28" s="533">
        <v>2399411.1307289382</v>
      </c>
      <c r="BB28" s="533">
        <v>2226793.2132561421</v>
      </c>
      <c r="BC28" s="533">
        <v>2054175.2957833458</v>
      </c>
      <c r="BD28" s="533">
        <v>1881557.3783105498</v>
      </c>
      <c r="BE28" s="533">
        <v>1708939.4608377537</v>
      </c>
      <c r="BF28" s="533">
        <v>481708.31094021688</v>
      </c>
      <c r="BG28" s="533">
        <v>0</v>
      </c>
    </row>
    <row r="29" spans="1:59" x14ac:dyDescent="0.45">
      <c r="B29" s="1049" t="s">
        <v>1510</v>
      </c>
      <c r="C29" s="1050"/>
      <c r="D29" s="971">
        <v>650828595.54817533</v>
      </c>
      <c r="E29" s="971">
        <v>2000795573.3586197</v>
      </c>
      <c r="F29" s="971"/>
      <c r="G29" s="1051">
        <f>'5a. Dashboard Total BC'!D29</f>
        <v>650828595.54817533</v>
      </c>
      <c r="H29" s="1051">
        <f>'5a. Dashboard Total BC'!E29</f>
        <v>2000795573.3586197</v>
      </c>
      <c r="I29" s="1051"/>
      <c r="J29" s="971">
        <f>'5c. Dashboard Total Sc 2'!D29</f>
        <v>184519794.62921959</v>
      </c>
      <c r="K29" s="971">
        <f>'5c. Dashboard Total Sc 2'!E29</f>
        <v>466841384.67945164</v>
      </c>
      <c r="L29" s="971"/>
      <c r="M29" s="1051">
        <f>'5d. Dashboard Total Sc 3'!D29</f>
        <v>163772485.15960705</v>
      </c>
      <c r="N29" s="1051">
        <f>'5d. Dashboard Total Sc 3'!E29</f>
        <v>446094075.20983911</v>
      </c>
      <c r="O29" s="1206"/>
      <c r="Q29" s="948"/>
      <c r="R29" s="4"/>
      <c r="S29" s="4"/>
      <c r="T29" s="4"/>
      <c r="U29" s="4"/>
      <c r="V29" s="4"/>
      <c r="W29" s="4"/>
      <c r="X29" s="4"/>
      <c r="Y29" s="4"/>
      <c r="Z29" s="4"/>
      <c r="AA29" s="4"/>
      <c r="AB29" s="4"/>
      <c r="AC29" s="4"/>
      <c r="AD29" s="930"/>
      <c r="AI29" s="803" t="s">
        <v>369</v>
      </c>
      <c r="AJ29" s="533">
        <v>-126486884.31333333</v>
      </c>
      <c r="AK29" s="533">
        <v>-136616043.32333332</v>
      </c>
      <c r="AL29" s="533">
        <v>-143214809.11000001</v>
      </c>
      <c r="AM29" s="533">
        <v>-143253743.71700636</v>
      </c>
      <c r="AN29" s="533">
        <v>-139067846.33322573</v>
      </c>
      <c r="AO29" s="533">
        <v>-133721299.89060706</v>
      </c>
      <c r="AP29" s="533">
        <v>-131255140.47134125</v>
      </c>
      <c r="AQ29" s="533">
        <v>-130281139.72238086</v>
      </c>
      <c r="AR29" s="533">
        <v>-128802952.09110902</v>
      </c>
      <c r="AS29" s="533">
        <v>-126768063.37273706</v>
      </c>
      <c r="AT29" s="533">
        <v>-124119707.96526858</v>
      </c>
      <c r="AU29" s="533">
        <v>-120796560.07127605</v>
      </c>
      <c r="AV29" s="533">
        <v>-116732403.79234941</v>
      </c>
      <c r="AW29" s="533">
        <v>-111855780.72852524</v>
      </c>
      <c r="AX29" s="533">
        <v>-106089613.60620853</v>
      </c>
      <c r="AY29" s="533">
        <v>-99350804.363733217</v>
      </c>
      <c r="AZ29" s="533">
        <v>-91549805.023426801</v>
      </c>
      <c r="BA29" s="533">
        <v>-82590159.57248643</v>
      </c>
      <c r="BB29" s="533">
        <v>-72368014.961746752</v>
      </c>
      <c r="BC29" s="533">
        <v>-60771599.211118914</v>
      </c>
      <c r="BD29" s="533">
        <v>-47680664.482662745</v>
      </c>
      <c r="BE29" s="533">
        <v>-32965892.846462775</v>
      </c>
      <c r="BF29" s="533">
        <v>-774381.134947057</v>
      </c>
      <c r="BG29" s="533">
        <v>0</v>
      </c>
    </row>
    <row r="30" spans="1:59" x14ac:dyDescent="0.45">
      <c r="B30" s="1053" t="s">
        <v>336</v>
      </c>
      <c r="C30" s="1050"/>
      <c r="D30" s="1215">
        <v>95921468.892369315</v>
      </c>
      <c r="E30" s="1215">
        <v>268801320.53464037</v>
      </c>
      <c r="F30" s="971"/>
      <c r="G30" s="1054">
        <f>'5a. Dashboard Total BC'!D30</f>
        <v>95921468.892369315</v>
      </c>
      <c r="H30" s="1054">
        <f>'5a. Dashboard Total BC'!E30</f>
        <v>268801320.53464037</v>
      </c>
      <c r="I30" s="1051"/>
      <c r="J30" s="1215">
        <f>'5c. Dashboard Total Sc 2'!D30</f>
        <v>19775038.803618848</v>
      </c>
      <c r="K30" s="1215">
        <f>'5c. Dashboard Total Sc 2'!E30</f>
        <v>62053962.399215385</v>
      </c>
      <c r="L30" s="971"/>
      <c r="M30" s="1054">
        <f>'5d. Dashboard Total Sc 3'!D30</f>
        <v>19775038.803618848</v>
      </c>
      <c r="N30" s="1054">
        <f>'5d. Dashboard Total Sc 3'!E30</f>
        <v>62053962.399215385</v>
      </c>
      <c r="O30" s="1206"/>
      <c r="Q30" s="949"/>
      <c r="R30" s="931"/>
      <c r="S30" s="931"/>
      <c r="T30" s="931"/>
      <c r="U30" s="931"/>
      <c r="V30" s="931"/>
      <c r="W30" s="931"/>
      <c r="X30" s="931"/>
      <c r="Y30" s="931"/>
      <c r="Z30" s="931"/>
      <c r="AA30" s="931"/>
      <c r="AB30" s="931"/>
      <c r="AC30" s="931"/>
      <c r="AD30" s="932"/>
      <c r="AI30" s="803" t="s">
        <v>371</v>
      </c>
      <c r="AJ30" s="533">
        <v>-112639142.49333334</v>
      </c>
      <c r="AK30" s="533">
        <v>-120020127.89333332</v>
      </c>
      <c r="AL30" s="533">
        <v>-128289183.36000001</v>
      </c>
      <c r="AM30" s="533">
        <v>-131948176.67010787</v>
      </c>
      <c r="AN30" s="533">
        <v>-128772071.22519906</v>
      </c>
      <c r="AO30" s="533">
        <v>-125352126.05131693</v>
      </c>
      <c r="AP30" s="533">
        <v>-126956932.24841155</v>
      </c>
      <c r="AQ30" s="533">
        <v>-126155549.41692396</v>
      </c>
      <c r="AR30" s="533">
        <v>-124849979.70312493</v>
      </c>
      <c r="AS30" s="533">
        <v>-122987708.90222576</v>
      </c>
      <c r="AT30" s="533">
        <v>-120511971.41223007</v>
      </c>
      <c r="AU30" s="533">
        <v>-117361441.43571034</v>
      </c>
      <c r="AV30" s="533">
        <v>-113469903.07425649</v>
      </c>
      <c r="AW30" s="533">
        <v>-108765897.92790511</v>
      </c>
      <c r="AX30" s="533">
        <v>-103172348.7230612</v>
      </c>
      <c r="AY30" s="533">
        <v>-96606157.398058683</v>
      </c>
      <c r="AZ30" s="533">
        <v>-88977775.975225061</v>
      </c>
      <c r="BA30" s="533">
        <v>-80190748.441757485</v>
      </c>
      <c r="BB30" s="533">
        <v>-70141221.748490617</v>
      </c>
      <c r="BC30" s="533">
        <v>-58717423.915335566</v>
      </c>
      <c r="BD30" s="533">
        <v>-45799107.104352199</v>
      </c>
      <c r="BE30" s="533">
        <v>-31256953.38562502</v>
      </c>
      <c r="BF30" s="533">
        <v>-292672.82400684012</v>
      </c>
      <c r="BG30" s="533">
        <v>0</v>
      </c>
    </row>
    <row r="31" spans="1:59" x14ac:dyDescent="0.45">
      <c r="B31" s="1053" t="s">
        <v>340</v>
      </c>
      <c r="C31" s="1050"/>
      <c r="D31" s="1216">
        <v>33446331.680249237</v>
      </c>
      <c r="E31" s="1216">
        <v>95065328.031410933</v>
      </c>
      <c r="F31" s="971"/>
      <c r="G31" s="1055">
        <f>'5a. Dashboard Total BC'!D31</f>
        <v>33446331.680249237</v>
      </c>
      <c r="H31" s="1055">
        <f>'5a. Dashboard Total BC'!E31</f>
        <v>95065328.031410933</v>
      </c>
      <c r="I31" s="1051"/>
      <c r="J31" s="1216">
        <f>'5c. Dashboard Total Sc 2'!D31</f>
        <v>6889147.5907620508</v>
      </c>
      <c r="K31" s="1216">
        <f>'5c. Dashboard Total Sc 2'!E31</f>
        <v>22409735.466863006</v>
      </c>
      <c r="L31" s="971"/>
      <c r="M31" s="1055">
        <f>'5d. Dashboard Total Sc 3'!D31</f>
        <v>6889147.5907620508</v>
      </c>
      <c r="N31" s="1055">
        <f>'5d. Dashboard Total Sc 3'!E31</f>
        <v>22409735.466863006</v>
      </c>
      <c r="O31" s="1206"/>
      <c r="AI31" s="803" t="s">
        <v>1697</v>
      </c>
      <c r="AJ31" s="533">
        <v>-112639142.49333334</v>
      </c>
      <c r="AK31" s="533">
        <v>-232659270.38666666</v>
      </c>
      <c r="AL31" s="533">
        <v>-360948453.74666667</v>
      </c>
      <c r="AM31" s="533">
        <v>-492896630.41677451</v>
      </c>
      <c r="AN31" s="533">
        <v>-621668701.64197361</v>
      </c>
      <c r="AO31" s="533">
        <v>-747020827.69329059</v>
      </c>
      <c r="AP31" s="533">
        <v>-873977759.94170213</v>
      </c>
      <c r="AQ31" s="533">
        <v>-1000133309.3586261</v>
      </c>
      <c r="AR31" s="533">
        <v>-1124983289.0617511</v>
      </c>
      <c r="AS31" s="533">
        <v>-1247970997.9639769</v>
      </c>
      <c r="AT31" s="533">
        <v>-1368482969.3762069</v>
      </c>
      <c r="AU31" s="533">
        <v>-1485844410.8119173</v>
      </c>
      <c r="AV31" s="533">
        <v>-1599314313.8861737</v>
      </c>
      <c r="AW31" s="533">
        <v>-1708080211.8140788</v>
      </c>
      <c r="AX31" s="533">
        <v>-1811252560.5371399</v>
      </c>
      <c r="AY31" s="533">
        <v>-1907858717.9351985</v>
      </c>
      <c r="AZ31" s="533">
        <v>-1996836493.9104235</v>
      </c>
      <c r="BA31" s="533">
        <v>-2077027242.352181</v>
      </c>
      <c r="BB31" s="533">
        <v>-2147168464.1006715</v>
      </c>
      <c r="BC31" s="533">
        <v>-2205885888.0160069</v>
      </c>
      <c r="BD31" s="533">
        <v>-2251684995.1203589</v>
      </c>
      <c r="BE31" s="533">
        <v>-2282941948.5059838</v>
      </c>
      <c r="BF31" s="533">
        <v>-2283234621.3299909</v>
      </c>
      <c r="BG31" s="533">
        <v>-2283234621.3299909</v>
      </c>
    </row>
    <row r="32" spans="1:59" x14ac:dyDescent="0.45">
      <c r="B32" s="1053" t="s">
        <v>342</v>
      </c>
      <c r="C32" s="1050"/>
      <c r="D32" s="1216">
        <v>251630849.92652357</v>
      </c>
      <c r="E32" s="1216">
        <v>704365386.98006427</v>
      </c>
      <c r="F32" s="971"/>
      <c r="G32" s="1055">
        <f>'5a. Dashboard Total BC'!D32</f>
        <v>251630849.92652357</v>
      </c>
      <c r="H32" s="1055">
        <f>'5a. Dashboard Total BC'!E32</f>
        <v>704365386.98006427</v>
      </c>
      <c r="I32" s="1051"/>
      <c r="J32" s="1216">
        <f>'5c. Dashboard Total Sc 2'!D32</f>
        <v>51874378.762447283</v>
      </c>
      <c r="K32" s="1216">
        <f>'5c. Dashboard Total Sc 2'!E32</f>
        <v>161866436.23129702</v>
      </c>
      <c r="L32" s="971"/>
      <c r="M32" s="1055">
        <f>'5d. Dashboard Total Sc 3'!D32</f>
        <v>51874378.762447283</v>
      </c>
      <c r="N32" s="1055">
        <f>'5d. Dashboard Total Sc 3'!E32</f>
        <v>161866436.23129702</v>
      </c>
      <c r="O32" s="1206"/>
      <c r="AI32" s="451" t="s">
        <v>1699</v>
      </c>
    </row>
    <row r="33" spans="2:59" x14ac:dyDescent="0.45">
      <c r="B33" s="1053" t="s">
        <v>1042</v>
      </c>
      <c r="C33" s="1050"/>
      <c r="D33" s="1216">
        <v>11775009.802975692</v>
      </c>
      <c r="E33" s="1216">
        <v>57651480.565872036</v>
      </c>
      <c r="F33" s="971"/>
      <c r="G33" s="1055">
        <f>'5a. Dashboard Total BC'!D33</f>
        <v>11775009.802975692</v>
      </c>
      <c r="H33" s="1055">
        <f>'5a. Dashboard Total BC'!E33</f>
        <v>57651480.565872036</v>
      </c>
      <c r="I33" s="1051"/>
      <c r="J33" s="1216">
        <f>'5c. Dashboard Total Sc 2'!D33</f>
        <v>33761140.817788117</v>
      </c>
      <c r="K33" s="1216">
        <f>'5c. Dashboard Total Sc 2'!E33</f>
        <v>41155030.817788117</v>
      </c>
      <c r="L33" s="971"/>
      <c r="M33" s="1055">
        <f>'5d. Dashboard Total Sc 3'!D33</f>
        <v>33759784.568999991</v>
      </c>
      <c r="N33" s="1055">
        <f>'5d. Dashboard Total Sc 3'!E33</f>
        <v>41153674.568999991</v>
      </c>
      <c r="O33" s="1206"/>
      <c r="AI33" s="803" t="s">
        <v>330</v>
      </c>
      <c r="AJ33" s="533">
        <v>13847741.82</v>
      </c>
      <c r="AK33" s="533">
        <v>16595915.43</v>
      </c>
      <c r="AL33" s="533">
        <v>14925625.75</v>
      </c>
      <c r="AM33" s="533">
        <v>11305567.046898484</v>
      </c>
      <c r="AN33" s="533">
        <v>10295775.108026672</v>
      </c>
      <c r="AO33" s="533">
        <v>8369173.8392901234</v>
      </c>
      <c r="AP33" s="533">
        <v>4298208.2229296956</v>
      </c>
      <c r="AQ33" s="533">
        <v>4125590.3054568996</v>
      </c>
      <c r="AR33" s="533">
        <v>3952972.3879841031</v>
      </c>
      <c r="AS33" s="533">
        <v>3780354.470511307</v>
      </c>
      <c r="AT33" s="533">
        <v>3607736.5530385105</v>
      </c>
      <c r="AU33" s="533">
        <v>3435118.6355657149</v>
      </c>
      <c r="AV33" s="533">
        <v>3262500.7180929184</v>
      </c>
      <c r="AW33" s="533">
        <v>3089882.8006201228</v>
      </c>
      <c r="AX33" s="533">
        <v>2917264.8831473263</v>
      </c>
      <c r="AY33" s="533">
        <v>2744646.9656745302</v>
      </c>
      <c r="AZ33" s="533">
        <v>2572029.0482017342</v>
      </c>
      <c r="BA33" s="533">
        <v>2399411.1307289382</v>
      </c>
      <c r="BB33" s="533">
        <v>2226793.2132561421</v>
      </c>
      <c r="BC33" s="533">
        <v>2054175.2957833458</v>
      </c>
      <c r="BD33" s="533">
        <v>1881557.3783105498</v>
      </c>
      <c r="BE33" s="533">
        <v>1708939.4608377537</v>
      </c>
      <c r="BF33" s="533">
        <v>481708.31094021688</v>
      </c>
      <c r="BG33" s="533">
        <v>0</v>
      </c>
    </row>
    <row r="34" spans="2:59" x14ac:dyDescent="0.45">
      <c r="B34" s="1053" t="s">
        <v>360</v>
      </c>
      <c r="C34" s="1050"/>
      <c r="D34" s="1216">
        <v>233124509.96204996</v>
      </c>
      <c r="E34" s="1216">
        <v>792055630.31912971</v>
      </c>
      <c r="F34" s="971"/>
      <c r="G34" s="1055">
        <f>'5a. Dashboard Total BC'!D34</f>
        <v>233124509.96204996</v>
      </c>
      <c r="H34" s="1055">
        <f>'5a. Dashboard Total BC'!E34</f>
        <v>792055630.31912971</v>
      </c>
      <c r="I34" s="1051"/>
      <c r="J34" s="1216">
        <f>'5c. Dashboard Total Sc 2'!D34</f>
        <v>47594889.799311213</v>
      </c>
      <c r="K34" s="1216">
        <f>'5c. Dashboard Total Sc 2'!E34</f>
        <v>139385398.54897955</v>
      </c>
      <c r="L34" s="971"/>
      <c r="M34" s="1055">
        <f>'5d. Dashboard Total Sc 3'!D34</f>
        <v>46428646.419023827</v>
      </c>
      <c r="N34" s="1055">
        <f>'5d. Dashboard Total Sc 3'!E34</f>
        <v>138219155.16869217</v>
      </c>
      <c r="O34" s="1206"/>
      <c r="AI34" s="803" t="s">
        <v>369</v>
      </c>
      <c r="AJ34" s="533">
        <v>126486884.31333333</v>
      </c>
      <c r="AK34" s="533">
        <v>136616043.32333332</v>
      </c>
      <c r="AL34" s="533">
        <v>143214809.11000001</v>
      </c>
      <c r="AM34" s="533">
        <v>143253743.71700636</v>
      </c>
      <c r="AN34" s="533">
        <v>139067846.33322573</v>
      </c>
      <c r="AO34" s="533">
        <v>133721299.89060707</v>
      </c>
      <c r="AP34" s="533">
        <v>131255140.47134125</v>
      </c>
      <c r="AQ34" s="533">
        <v>130281139.72238086</v>
      </c>
      <c r="AR34" s="533">
        <v>128802952.09110901</v>
      </c>
      <c r="AS34" s="533">
        <v>126768063.37273705</v>
      </c>
      <c r="AT34" s="533">
        <v>124119707.96526858</v>
      </c>
      <c r="AU34" s="533">
        <v>120796560.07127605</v>
      </c>
      <c r="AV34" s="533">
        <v>116732403.79234941</v>
      </c>
      <c r="AW34" s="533">
        <v>111855780.72852524</v>
      </c>
      <c r="AX34" s="533">
        <v>106089613.60620853</v>
      </c>
      <c r="AY34" s="533">
        <v>99350804.363733202</v>
      </c>
      <c r="AZ34" s="533">
        <v>91549805.023426801</v>
      </c>
      <c r="BA34" s="533">
        <v>82590159.57248643</v>
      </c>
      <c r="BB34" s="533">
        <v>72368014.961746752</v>
      </c>
      <c r="BC34" s="533">
        <v>60771599.211118922</v>
      </c>
      <c r="BD34" s="533">
        <v>47680664.482662752</v>
      </c>
      <c r="BE34" s="533">
        <v>32965892.846462775</v>
      </c>
      <c r="BF34" s="533">
        <v>774381.134947057</v>
      </c>
      <c r="BG34" s="533">
        <v>0</v>
      </c>
    </row>
    <row r="35" spans="2:59" x14ac:dyDescent="0.45">
      <c r="B35" s="1053" t="s">
        <v>444</v>
      </c>
      <c r="C35" s="1050"/>
      <c r="D35" s="1217">
        <v>24930425.284007549</v>
      </c>
      <c r="E35" s="1217">
        <v>82856426.927502394</v>
      </c>
      <c r="F35" s="971"/>
      <c r="G35" s="1056">
        <f>'5a. Dashboard Total BC'!D35</f>
        <v>24930425.284007549</v>
      </c>
      <c r="H35" s="1056">
        <f>'5a. Dashboard Total BC'!E35</f>
        <v>82856426.927502394</v>
      </c>
      <c r="I35" s="1051"/>
      <c r="J35" s="1217">
        <f>'5c. Dashboard Total Sc 2'!D35</f>
        <v>24625198.855292082</v>
      </c>
      <c r="K35" s="1217">
        <f>'5c. Dashboard Total Sc 2'!E35</f>
        <v>39970821.215308607</v>
      </c>
      <c r="L35" s="971"/>
      <c r="M35" s="1056">
        <f>'5d. Dashboard Total Sc 3'!D35</f>
        <v>5045489.0147550702</v>
      </c>
      <c r="N35" s="1056">
        <f>'5d. Dashboard Total Sc 3'!E35</f>
        <v>20391111.374771535</v>
      </c>
      <c r="O35" s="1206"/>
      <c r="AI35" s="803" t="s">
        <v>371</v>
      </c>
      <c r="AJ35" s="533">
        <v>-112639142.49333334</v>
      </c>
      <c r="AK35" s="533">
        <v>-120020127.89333332</v>
      </c>
      <c r="AL35" s="533">
        <v>-128289183.36000001</v>
      </c>
      <c r="AM35" s="533">
        <v>-131948176.67010787</v>
      </c>
      <c r="AN35" s="533">
        <v>-128772071.22519906</v>
      </c>
      <c r="AO35" s="533">
        <v>-125352126.05131695</v>
      </c>
      <c r="AP35" s="533">
        <v>-126956932.24841155</v>
      </c>
      <c r="AQ35" s="533">
        <v>-126155549.41692396</v>
      </c>
      <c r="AR35" s="533">
        <v>-124849979.70312491</v>
      </c>
      <c r="AS35" s="533">
        <v>-122987708.90222575</v>
      </c>
      <c r="AT35" s="533">
        <v>-120511971.41223007</v>
      </c>
      <c r="AU35" s="533">
        <v>-117361441.43571034</v>
      </c>
      <c r="AV35" s="533">
        <v>-113469903.07425649</v>
      </c>
      <c r="AW35" s="533">
        <v>-108765897.92790511</v>
      </c>
      <c r="AX35" s="533">
        <v>-103172348.7230612</v>
      </c>
      <c r="AY35" s="533">
        <v>-96606157.398058668</v>
      </c>
      <c r="AZ35" s="533">
        <v>-88977775.975225061</v>
      </c>
      <c r="BA35" s="533">
        <v>-80190748.441757485</v>
      </c>
      <c r="BB35" s="533">
        <v>-70141221.748490617</v>
      </c>
      <c r="BC35" s="533">
        <v>-58717423.915335573</v>
      </c>
      <c r="BD35" s="533">
        <v>-45799107.104352206</v>
      </c>
      <c r="BE35" s="533">
        <v>-31256953.38562502</v>
      </c>
      <c r="BF35" s="533">
        <v>-292672.82400684012</v>
      </c>
      <c r="BG35" s="533">
        <v>0</v>
      </c>
    </row>
    <row r="36" spans="2:59" x14ac:dyDescent="0.45">
      <c r="B36" s="1057"/>
      <c r="C36" s="1050"/>
      <c r="D36" s="558"/>
      <c r="E36" s="558"/>
      <c r="F36" s="558"/>
      <c r="G36" s="1050">
        <f>'5a. Dashboard Total BC'!D36</f>
        <v>0</v>
      </c>
      <c r="H36" s="1050">
        <f>'5a. Dashboard Total BC'!E36</f>
        <v>0</v>
      </c>
      <c r="I36" s="1050"/>
      <c r="J36" s="558">
        <f>'5c. Dashboard Total Sc 2'!D36</f>
        <v>0</v>
      </c>
      <c r="K36" s="558">
        <f>'5c. Dashboard Total Sc 2'!E36</f>
        <v>0</v>
      </c>
      <c r="L36" s="558"/>
      <c r="M36" s="1050">
        <f>'5d. Dashboard Total Sc 3'!D36</f>
        <v>0</v>
      </c>
      <c r="N36" s="1050">
        <f>'5d. Dashboard Total Sc 3'!E36</f>
        <v>0</v>
      </c>
      <c r="O36" s="1052"/>
      <c r="AI36" s="803" t="s">
        <v>1697</v>
      </c>
      <c r="AJ36" s="533">
        <v>-112639142.49333334</v>
      </c>
      <c r="AK36" s="533">
        <v>-232659270.38666666</v>
      </c>
      <c r="AL36" s="533">
        <v>-360948453.74666667</v>
      </c>
      <c r="AM36" s="533">
        <v>-492896630.41677451</v>
      </c>
      <c r="AN36" s="533">
        <v>-621668701.64197361</v>
      </c>
      <c r="AO36" s="533">
        <v>-747020827.69329059</v>
      </c>
      <c r="AP36" s="533">
        <v>-873977759.94170213</v>
      </c>
      <c r="AQ36" s="533">
        <v>-1000133309.3586261</v>
      </c>
      <c r="AR36" s="533">
        <v>-1124983289.0617511</v>
      </c>
      <c r="AS36" s="533">
        <v>-1247970997.9639769</v>
      </c>
      <c r="AT36" s="533">
        <v>-1368482969.3762069</v>
      </c>
      <c r="AU36" s="533">
        <v>-1485844410.8119173</v>
      </c>
      <c r="AV36" s="533">
        <v>-1599314313.8861737</v>
      </c>
      <c r="AW36" s="533">
        <v>-1708080211.8140788</v>
      </c>
      <c r="AX36" s="533">
        <v>-1811252560.5371399</v>
      </c>
      <c r="AY36" s="533">
        <v>-1907858717.9351985</v>
      </c>
      <c r="AZ36" s="533">
        <v>-1996836493.9104235</v>
      </c>
      <c r="BA36" s="533">
        <v>-2077027242.352181</v>
      </c>
      <c r="BB36" s="533">
        <v>-2147168464.1006715</v>
      </c>
      <c r="BC36" s="533">
        <v>-2205885888.0160069</v>
      </c>
      <c r="BD36" s="533">
        <v>-2251684995.1203589</v>
      </c>
      <c r="BE36" s="533">
        <v>-2282941948.5059838</v>
      </c>
      <c r="BF36" s="533">
        <v>-2283234621.3299909</v>
      </c>
      <c r="BG36" s="533">
        <v>-2283234621.3299909</v>
      </c>
    </row>
    <row r="37" spans="2:59" ht="14.65" thickBot="1" x14ac:dyDescent="0.5">
      <c r="B37" s="1053" t="s">
        <v>1552</v>
      </c>
      <c r="C37" s="1050"/>
      <c r="D37" s="1218">
        <v>-626302296.32200325</v>
      </c>
      <c r="E37" s="1218">
        <v>-1922286167.5833244</v>
      </c>
      <c r="F37" s="971"/>
      <c r="G37" s="1058">
        <f>'5a. Dashboard Total BC'!D37</f>
        <v>-626302296.32200325</v>
      </c>
      <c r="H37" s="1058">
        <f>'5a. Dashboard Total BC'!E37</f>
        <v>-1922286167.5833244</v>
      </c>
      <c r="I37" s="1051"/>
      <c r="J37" s="1218">
        <f>'5c. Dashboard Total Sc 2'!D37</f>
        <v>-149227829.08387884</v>
      </c>
      <c r="K37" s="1218">
        <f>'5c. Dashboard Total Sc 2'!E37</f>
        <v>-409948076.97918564</v>
      </c>
      <c r="L37" s="971"/>
      <c r="M37" s="1058">
        <f>'5d. Dashboard Total Sc 3'!D37</f>
        <v>-128480519.61426632</v>
      </c>
      <c r="N37" s="1058">
        <f>'5d. Dashboard Total Sc 3'!E37</f>
        <v>-389200767.50957322</v>
      </c>
      <c r="O37" s="1206"/>
    </row>
    <row r="38" spans="2:59" ht="14.65" thickTop="1" x14ac:dyDescent="0.45">
      <c r="B38" s="1059" t="s">
        <v>1557</v>
      </c>
      <c r="C38" s="1060"/>
      <c r="D38" s="1219">
        <v>1380</v>
      </c>
      <c r="E38" s="1219">
        <v>5160</v>
      </c>
      <c r="F38" s="1219"/>
      <c r="G38" s="1061">
        <f>'5a. Dashboard Total BC'!D38</f>
        <v>1380</v>
      </c>
      <c r="H38" s="1061">
        <f>'5a. Dashboard Total BC'!E38</f>
        <v>5160</v>
      </c>
      <c r="I38" s="1061"/>
      <c r="J38" s="1219">
        <f>'5c. Dashboard Total Sc 2'!D38</f>
        <v>4132</v>
      </c>
      <c r="K38" s="1219">
        <f>'5c. Dashboard Total Sc 2'!E38</f>
        <v>5160</v>
      </c>
      <c r="L38" s="1219"/>
      <c r="M38" s="1061">
        <f>'5d. Dashboard Total Sc 3'!D38</f>
        <v>4132</v>
      </c>
      <c r="N38" s="1061">
        <f>'5d. Dashboard Total Sc 3'!E38</f>
        <v>5160</v>
      </c>
      <c r="O38" s="1211"/>
    </row>
    <row r="39" spans="2:59" x14ac:dyDescent="0.45">
      <c r="B39" s="1059" t="s">
        <v>1559</v>
      </c>
      <c r="C39" s="1060"/>
      <c r="D39" s="971">
        <v>453842.24371159653</v>
      </c>
      <c r="E39" s="971">
        <v>372536.07898901636</v>
      </c>
      <c r="F39" s="18"/>
      <c r="G39" s="1051">
        <f>'5a. Dashboard Total BC'!D39</f>
        <v>453842.24371159653</v>
      </c>
      <c r="H39" s="1051">
        <f>'5a. Dashboard Total BC'!E39</f>
        <v>372536.07898901636</v>
      </c>
      <c r="I39" s="1060"/>
      <c r="J39" s="971">
        <f>'5c. Dashboard Total Sc 2'!D39</f>
        <v>36115.157087095555</v>
      </c>
      <c r="K39" s="971">
        <f>'5c. Dashboard Total Sc 2'!E39</f>
        <v>79447.301740152252</v>
      </c>
      <c r="L39" s="18"/>
      <c r="M39" s="1051">
        <f>'5d. Dashboard Total Sc 3'!D39</f>
        <v>31094.02701216513</v>
      </c>
      <c r="N39" s="1051">
        <f>'5d. Dashboard Total Sc 3'!E39</f>
        <v>75426.505331312641</v>
      </c>
      <c r="O39" s="1052"/>
    </row>
    <row r="40" spans="2:59" x14ac:dyDescent="0.45">
      <c r="B40" s="1057" t="s">
        <v>1503</v>
      </c>
      <c r="C40" s="1050"/>
      <c r="D40" s="971">
        <v>8532.6157992577482</v>
      </c>
      <c r="E40" s="971">
        <v>11172.767551525589</v>
      </c>
      <c r="F40" s="971"/>
      <c r="G40" s="1051">
        <f>'5a. Dashboard Total BC'!D40</f>
        <v>8532.6157992577482</v>
      </c>
      <c r="H40" s="1051">
        <f>'5a. Dashboard Total BC'!E40</f>
        <v>11172.767551525589</v>
      </c>
      <c r="I40" s="1051"/>
      <c r="J40" s="971">
        <f>'5c. Dashboard Total Sc 2'!D40</f>
        <v>8170.6536345082568</v>
      </c>
      <c r="K40" s="971">
        <f>'5c. Dashboard Total Sc 2'!E40</f>
        <v>7975.7811662380072</v>
      </c>
      <c r="L40" s="971"/>
      <c r="M40" s="1051">
        <f>'5d. Dashboard Total Sc 3'!D40</f>
        <v>8170.3254039206176</v>
      </c>
      <c r="N40" s="1051">
        <f>'5d. Dashboard Total Sc 3'!E40</f>
        <v>7975.5183273255798</v>
      </c>
      <c r="O40" s="1206"/>
    </row>
    <row r="41" spans="2:59" x14ac:dyDescent="0.45">
      <c r="B41" s="1057" t="s">
        <v>1511</v>
      </c>
      <c r="C41" s="1050"/>
      <c r="D41" s="1220">
        <v>-25925560.768902078</v>
      </c>
      <c r="E41" s="1220">
        <v>-833828355.43116808</v>
      </c>
      <c r="F41" s="971"/>
      <c r="G41" s="1062">
        <f>'5a. Dashboard Total BC'!D41</f>
        <v>-25925560.768902078</v>
      </c>
      <c r="H41" s="1062">
        <f>'5a. Dashboard Total BC'!E41</f>
        <v>-833828355.43116808</v>
      </c>
      <c r="I41" s="1051"/>
      <c r="J41" s="1220">
        <f>'5c. Dashboard Total Sc 2'!D41</f>
        <v>-814570959.69870353</v>
      </c>
      <c r="K41" s="1220">
        <f>'5c. Dashboard Total Sc 2'!E41</f>
        <v>-833828355.43116832</v>
      </c>
      <c r="L41" s="971"/>
      <c r="M41" s="1062">
        <f>'5d. Dashboard Total Sc 3'!D41</f>
        <v>-814570959.69870353</v>
      </c>
      <c r="N41" s="1062">
        <f>'5d. Dashboard Total Sc 3'!E41</f>
        <v>-833828355.4311682</v>
      </c>
      <c r="O41" s="1206"/>
    </row>
    <row r="42" spans="2:59" x14ac:dyDescent="0.45">
      <c r="B42" s="1057" t="s">
        <v>1558</v>
      </c>
      <c r="C42" s="1060"/>
      <c r="D42" s="971">
        <v>-18786.638238334839</v>
      </c>
      <c r="E42" s="971">
        <v>-161594.64252542017</v>
      </c>
      <c r="F42" s="971"/>
      <c r="G42" s="1051">
        <f>'5a. Dashboard Total BC'!D42</f>
        <v>-18786.638238334839</v>
      </c>
      <c r="H42" s="1051">
        <f>'5a. Dashboard Total BC'!E42</f>
        <v>-161594.64252542017</v>
      </c>
      <c r="I42" s="1051"/>
      <c r="J42" s="971">
        <f>'5c. Dashboard Total Sc 2'!D42</f>
        <v>-197137.21193095439</v>
      </c>
      <c r="K42" s="971">
        <f>'5c. Dashboard Total Sc 2'!E42</f>
        <v>-161594.6425254202</v>
      </c>
      <c r="L42" s="971"/>
      <c r="M42" s="1051">
        <f>'5d. Dashboard Total Sc 3'!D42</f>
        <v>-197137.21193095439</v>
      </c>
      <c r="N42" s="1051">
        <f>'5d. Dashboard Total Sc 3'!E42</f>
        <v>-161594.6425254202</v>
      </c>
      <c r="O42" s="1206"/>
    </row>
    <row r="43" spans="2:59" x14ac:dyDescent="0.45">
      <c r="B43" s="1057" t="s">
        <v>1505</v>
      </c>
      <c r="C43" s="1050"/>
      <c r="D43" s="1220">
        <v>-652227857.09090519</v>
      </c>
      <c r="E43" s="1220">
        <v>-2756114523.0144925</v>
      </c>
      <c r="F43" s="971"/>
      <c r="G43" s="1062">
        <f>'5a. Dashboard Total BC'!D43</f>
        <v>-652227857.09090519</v>
      </c>
      <c r="H43" s="1062">
        <f>'5a. Dashboard Total BC'!E43</f>
        <v>-2756114523.0144925</v>
      </c>
      <c r="I43" s="1051"/>
      <c r="J43" s="1220">
        <f>'5c. Dashboard Total Sc 2'!D43</f>
        <v>-963798788.78258252</v>
      </c>
      <c r="K43" s="1220">
        <f>'5c. Dashboard Total Sc 2'!E43</f>
        <v>-1243776432.4103541</v>
      </c>
      <c r="L43" s="971"/>
      <c r="M43" s="1062">
        <f>'5d. Dashboard Total Sc 3'!D43</f>
        <v>-943051479.31296992</v>
      </c>
      <c r="N43" s="1062">
        <f>'5d. Dashboard Total Sc 3'!E43</f>
        <v>-1223029122.9407415</v>
      </c>
      <c r="O43" s="1206"/>
    </row>
    <row r="44" spans="2:59" x14ac:dyDescent="0.45">
      <c r="B44" s="1057" t="s">
        <v>1504</v>
      </c>
      <c r="C44" s="1050"/>
      <c r="D44" s="1220">
        <v>-652227857.09090519</v>
      </c>
      <c r="E44" s="1220">
        <v>-2756114523.0144925</v>
      </c>
      <c r="F44" s="558"/>
      <c r="G44" s="1062">
        <f>'5a. Dashboard Total BC'!D44</f>
        <v>-652227857.09090519</v>
      </c>
      <c r="H44" s="1062">
        <f>'5a. Dashboard Total BC'!E44</f>
        <v>-2756114523.0144925</v>
      </c>
      <c r="I44" s="1050"/>
      <c r="J44" s="1220">
        <f>'5c. Dashboard Total Sc 2'!D44</f>
        <v>-652227857.09090519</v>
      </c>
      <c r="K44" s="1220">
        <f>'5c. Dashboard Total Sc 2'!E44</f>
        <v>-2756114523.0144925</v>
      </c>
      <c r="L44" s="558"/>
      <c r="M44" s="1062">
        <f>'5d. Dashboard Total Sc 3'!D44</f>
        <v>-652227857.09090519</v>
      </c>
      <c r="N44" s="1062">
        <f>'5d. Dashboard Total Sc 3'!E44</f>
        <v>-2756114523.0144925</v>
      </c>
      <c r="O44" s="1052"/>
    </row>
    <row r="45" spans="2:59" x14ac:dyDescent="0.45">
      <c r="B45" s="1057" t="s">
        <v>1584</v>
      </c>
      <c r="C45" s="1050"/>
      <c r="D45" s="1221">
        <v>0</v>
      </c>
      <c r="E45" s="1221">
        <v>0</v>
      </c>
      <c r="F45" s="801"/>
      <c r="G45" s="1063">
        <f>'5a. Dashboard Total BC'!D45</f>
        <v>0</v>
      </c>
      <c r="H45" s="1063">
        <f>'5a. Dashboard Total BC'!E45</f>
        <v>0</v>
      </c>
      <c r="I45" s="1064"/>
      <c r="J45" s="1221">
        <f>'5c. Dashboard Total Sc 2'!D45</f>
        <v>-311570931.69167733</v>
      </c>
      <c r="K45" s="1221">
        <f>'5c. Dashboard Total Sc 2'!E45</f>
        <v>1512338090.6041384</v>
      </c>
      <c r="L45" s="801"/>
      <c r="M45" s="1063">
        <f>'5d. Dashboard Total Sc 3'!D45</f>
        <v>-290823622.22206473</v>
      </c>
      <c r="N45" s="1063">
        <f>'5d. Dashboard Total Sc 3'!E45</f>
        <v>1533085400.073751</v>
      </c>
      <c r="O45" s="1206"/>
    </row>
    <row r="46" spans="2:59" x14ac:dyDescent="0.45">
      <c r="B46" s="1057"/>
      <c r="C46" s="1060"/>
      <c r="D46" s="18"/>
      <c r="E46" s="18"/>
      <c r="F46" s="18"/>
      <c r="G46" s="1060"/>
      <c r="H46" s="1060"/>
      <c r="I46" s="1060"/>
      <c r="J46" s="18"/>
      <c r="K46" s="18"/>
      <c r="L46" s="18"/>
      <c r="M46" s="1060"/>
      <c r="N46" s="1060"/>
      <c r="O46" s="1052"/>
    </row>
    <row r="47" spans="2:59" ht="36" customHeight="1" x14ac:dyDescent="0.45">
      <c r="B47" s="1049" t="s">
        <v>1508</v>
      </c>
      <c r="C47" s="1060"/>
      <c r="D47" s="1212" t="s">
        <v>1512</v>
      </c>
      <c r="E47" s="1212" t="s">
        <v>1515</v>
      </c>
      <c r="F47" s="1212" t="s">
        <v>1523</v>
      </c>
      <c r="G47" s="1045" t="str">
        <f>'5a. Dashboard Total BC'!D47</f>
        <v>R</v>
      </c>
      <c r="H47" s="1045" t="str">
        <f>'5a. Dashboard Total BC'!E47</f>
        <v>Rental Units Held</v>
      </c>
      <c r="I47" s="1045" t="str">
        <f>'5a. Dashboard Total BC'!F47</f>
        <v>HSDG p.u.</v>
      </c>
      <c r="J47" s="1212" t="str">
        <f>'5c. Dashboard Total Sc 2'!D47</f>
        <v>R</v>
      </c>
      <c r="K47" s="1212" t="str">
        <f>'5c. Dashboard Total Sc 2'!E47</f>
        <v>Rental Units Held</v>
      </c>
      <c r="L47" s="1212" t="str">
        <f>'5c. Dashboard Total Sc 2'!F47</f>
        <v>HSDG p.u.</v>
      </c>
      <c r="M47" s="1045" t="str">
        <f>'5d. Dashboard Total Sc 3'!D47</f>
        <v>R</v>
      </c>
      <c r="N47" s="1045" t="str">
        <f>'5d. Dashboard Total Sc 3'!E47</f>
        <v>Rental Units Held</v>
      </c>
      <c r="O47" s="1045" t="str">
        <f>'5d. Dashboard Total Sc 3'!F47</f>
        <v>HSDG p.u.</v>
      </c>
    </row>
    <row r="48" spans="2:59" x14ac:dyDescent="0.45">
      <c r="B48" s="1057" t="s">
        <v>1346</v>
      </c>
      <c r="C48" s="1060"/>
      <c r="D48" s="971">
        <v>-128772071.22519906</v>
      </c>
      <c r="E48" s="1136">
        <v>4132</v>
      </c>
      <c r="F48" s="971">
        <v>-31164.586453339558</v>
      </c>
      <c r="G48" s="1051">
        <f>'5a. Dashboard Total BC'!D48</f>
        <v>-128772071.22519906</v>
      </c>
      <c r="H48" s="1065">
        <f>'5a. Dashboard Total BC'!E48</f>
        <v>4132</v>
      </c>
      <c r="I48" s="1051">
        <f>'5a. Dashboard Total BC'!F48</f>
        <v>-31164.586453339558</v>
      </c>
      <c r="J48" s="971">
        <f>'5c. Dashboard Total Sc 2'!D48</f>
        <v>-128772071.22519906</v>
      </c>
      <c r="K48" s="1136">
        <f>'5c. Dashboard Total Sc 2'!E48</f>
        <v>4132</v>
      </c>
      <c r="L48" s="971">
        <f>'5c. Dashboard Total Sc 2'!F48</f>
        <v>-31164.586453339558</v>
      </c>
      <c r="M48" s="1051">
        <f>'5d. Dashboard Total Sc 3'!D48</f>
        <v>-128772071.22519906</v>
      </c>
      <c r="N48" s="1065">
        <f>'5d. Dashboard Total Sc 3'!E48</f>
        <v>4132</v>
      </c>
      <c r="O48" s="1206">
        <f>'5d. Dashboard Total Sc 3'!F48</f>
        <v>-31164.586453339558</v>
      </c>
    </row>
    <row r="49" spans="1:15" x14ac:dyDescent="0.45">
      <c r="B49" s="1057" t="s">
        <v>1347</v>
      </c>
      <c r="C49" s="1060"/>
      <c r="D49" s="1215">
        <v>-125352126.05131693</v>
      </c>
      <c r="E49" s="1222">
        <v>3656</v>
      </c>
      <c r="F49" s="1215">
        <v>-34286.686556705943</v>
      </c>
      <c r="G49" s="1054">
        <f>'5a. Dashboard Total BC'!D49</f>
        <v>-125352126.05131693</v>
      </c>
      <c r="H49" s="1066">
        <f>'5a. Dashboard Total BC'!E49</f>
        <v>3656</v>
      </c>
      <c r="I49" s="1054">
        <f>'5a. Dashboard Total BC'!F49</f>
        <v>-34286.686556705943</v>
      </c>
      <c r="J49" s="1215">
        <f>'5c. Dashboard Total Sc 2'!D49</f>
        <v>-144884379.17131695</v>
      </c>
      <c r="K49" s="1222">
        <f>'5c. Dashboard Total Sc 2'!E49</f>
        <v>3656</v>
      </c>
      <c r="L49" s="1215">
        <f>'5c. Dashboard Total Sc 2'!F49</f>
        <v>-39629.206556705947</v>
      </c>
      <c r="M49" s="1054">
        <f>'5d. Dashboard Total Sc 3'!D49</f>
        <v>-125352126.05131693</v>
      </c>
      <c r="N49" s="1066">
        <f>'5d. Dashboard Total Sc 3'!E49</f>
        <v>3656</v>
      </c>
      <c r="O49" s="1054">
        <f>'5d. Dashboard Total Sc 3'!F49</f>
        <v>-34286.686556705943</v>
      </c>
    </row>
    <row r="50" spans="1:15" x14ac:dyDescent="0.45">
      <c r="B50" s="1057" t="s">
        <v>1348</v>
      </c>
      <c r="C50" s="1060"/>
      <c r="D50" s="1216">
        <v>-126956932.24841155</v>
      </c>
      <c r="E50" s="1223">
        <v>3430</v>
      </c>
      <c r="F50" s="1216">
        <v>-37013.682871257013</v>
      </c>
      <c r="G50" s="1055">
        <f>'5a. Dashboard Total BC'!D50</f>
        <v>-126956932.24841155</v>
      </c>
      <c r="H50" s="1067">
        <f>'5a. Dashboard Total BC'!E50</f>
        <v>3430</v>
      </c>
      <c r="I50" s="1055">
        <f>'5a. Dashboard Total BC'!F50</f>
        <v>-37013.682871257013</v>
      </c>
      <c r="J50" s="1216">
        <f>'5c. Dashboard Total Sc 2'!D50</f>
        <v>-4332911.1170987077</v>
      </c>
      <c r="K50" s="1223">
        <f>'5c. Dashboard Total Sc 2'!E50</f>
        <v>2</v>
      </c>
      <c r="L50" s="1216">
        <f>'5c. Dashboard Total Sc 2'!F50</f>
        <v>-2166455.5585493539</v>
      </c>
      <c r="M50" s="1055">
        <f>'5d. Dashboard Total Sc 3'!D50</f>
        <v>-3128393.5629493855</v>
      </c>
      <c r="N50" s="1067">
        <f>'5d. Dashboard Total Sc 3'!E50</f>
        <v>0</v>
      </c>
      <c r="O50" s="1055">
        <f>'5d. Dashboard Total Sc 3'!F50</f>
        <v>0</v>
      </c>
    </row>
    <row r="51" spans="1:15" x14ac:dyDescent="0.45">
      <c r="B51" s="1057" t="s">
        <v>1349</v>
      </c>
      <c r="C51" s="1060"/>
      <c r="D51" s="1216">
        <v>-126155549.41692396</v>
      </c>
      <c r="E51" s="1223">
        <v>3204</v>
      </c>
      <c r="F51" s="1216">
        <v>-39374.391203784005</v>
      </c>
      <c r="G51" s="1055">
        <f>'5a. Dashboard Total BC'!D51</f>
        <v>-126155549.41692396</v>
      </c>
      <c r="H51" s="1067">
        <f>'5a. Dashboard Total BC'!E51</f>
        <v>3204</v>
      </c>
      <c r="I51" s="1055">
        <f>'5a. Dashboard Total BC'!F51</f>
        <v>-39374.391203784005</v>
      </c>
      <c r="J51" s="1216">
        <f>'5c. Dashboard Total Sc 2'!D51</f>
        <v>-10538.795463190727</v>
      </c>
      <c r="K51" s="1223">
        <f>'5c. Dashboard Total Sc 2'!E51</f>
        <v>0</v>
      </c>
      <c r="L51" s="1216">
        <f>'5c. Dashboard Total Sc 2'!F51</f>
        <v>0</v>
      </c>
      <c r="M51" s="1055">
        <f>'5d. Dashboard Total Sc 3'!D51</f>
        <v>0</v>
      </c>
      <c r="N51" s="1067">
        <f>'5d. Dashboard Total Sc 3'!E51</f>
        <v>0</v>
      </c>
      <c r="O51" s="1055">
        <f>'5d. Dashboard Total Sc 3'!F51</f>
        <v>0</v>
      </c>
    </row>
    <row r="52" spans="1:15" x14ac:dyDescent="0.45">
      <c r="B52" s="1057" t="s">
        <v>1350</v>
      </c>
      <c r="C52" s="1060"/>
      <c r="D52" s="1216">
        <v>-124849979.70312493</v>
      </c>
      <c r="E52" s="1223">
        <v>2978</v>
      </c>
      <c r="F52" s="1216">
        <v>-41924.103325428114</v>
      </c>
      <c r="G52" s="1055">
        <f>'5a. Dashboard Total BC'!D52</f>
        <v>-124849979.70312493</v>
      </c>
      <c r="H52" s="1067">
        <f>'5a. Dashboard Total BC'!E52</f>
        <v>2978</v>
      </c>
      <c r="I52" s="1055">
        <f>'5a. Dashboard Total BC'!F52</f>
        <v>-41924.103325428114</v>
      </c>
      <c r="J52" s="1216">
        <f>'5c. Dashboard Total Sc 2'!D52</f>
        <v>0</v>
      </c>
      <c r="K52" s="1223">
        <f>'5c. Dashboard Total Sc 2'!E52</f>
        <v>0</v>
      </c>
      <c r="L52" s="1216">
        <f>'5c. Dashboard Total Sc 2'!F52</f>
        <v>0</v>
      </c>
      <c r="M52" s="1055">
        <f>'5d. Dashboard Total Sc 3'!D52</f>
        <v>0</v>
      </c>
      <c r="N52" s="1067">
        <f>'5d. Dashboard Total Sc 3'!E52</f>
        <v>0</v>
      </c>
      <c r="O52" s="1055">
        <f>'5d. Dashboard Total Sc 3'!F52</f>
        <v>0</v>
      </c>
    </row>
    <row r="53" spans="1:15" x14ac:dyDescent="0.45">
      <c r="B53" s="1057" t="s">
        <v>1351</v>
      </c>
      <c r="C53" s="1060"/>
      <c r="D53" s="1217">
        <v>-122987708.90222576</v>
      </c>
      <c r="E53" s="1224">
        <v>2752</v>
      </c>
      <c r="F53" s="1217">
        <v>-44690.301199936686</v>
      </c>
      <c r="G53" s="1056">
        <f>'5a. Dashboard Total BC'!D53</f>
        <v>-122987708.90222576</v>
      </c>
      <c r="H53" s="1068">
        <f>'5a. Dashboard Total BC'!E53</f>
        <v>2752</v>
      </c>
      <c r="I53" s="1056">
        <f>'5a. Dashboard Total BC'!F53</f>
        <v>-44690.301199936686</v>
      </c>
      <c r="J53" s="1217">
        <f>'5c. Dashboard Total Sc 2'!D53</f>
        <v>0</v>
      </c>
      <c r="K53" s="1224">
        <f>'5c. Dashboard Total Sc 2'!E53</f>
        <v>0</v>
      </c>
      <c r="L53" s="1217">
        <f>'5c. Dashboard Total Sc 2'!F53</f>
        <v>0</v>
      </c>
      <c r="M53" s="1056">
        <f>'5d. Dashboard Total Sc 3'!D53</f>
        <v>0</v>
      </c>
      <c r="N53" s="1068">
        <f>'5d. Dashboard Total Sc 3'!E53</f>
        <v>0</v>
      </c>
      <c r="O53" s="1056">
        <f>'5d. Dashboard Total Sc 3'!F53</f>
        <v>0</v>
      </c>
    </row>
    <row r="54" spans="1:15" x14ac:dyDescent="0.45">
      <c r="B54" s="1057" t="s">
        <v>1516</v>
      </c>
      <c r="C54" s="1060"/>
      <c r="D54" s="971">
        <v>-626302296.32200313</v>
      </c>
      <c r="E54" s="18"/>
      <c r="F54" s="18"/>
      <c r="G54" s="1051">
        <f>'5a. Dashboard Total BC'!D54</f>
        <v>-626302296.32200313</v>
      </c>
      <c r="H54" s="1060">
        <f>'5a. Dashboard Total BC'!E54</f>
        <v>0</v>
      </c>
      <c r="I54" s="1060">
        <f>'5a. Dashboard Total BC'!F54</f>
        <v>0</v>
      </c>
      <c r="J54" s="971">
        <f>'5c. Dashboard Total Sc 2'!D54</f>
        <v>-149227829.08387887</v>
      </c>
      <c r="K54" s="18">
        <f>'5c. Dashboard Total Sc 2'!E54</f>
        <v>0</v>
      </c>
      <c r="L54" s="18">
        <f>'5c. Dashboard Total Sc 2'!F54</f>
        <v>0</v>
      </c>
      <c r="M54" s="1051">
        <f>'5d. Dashboard Total Sc 3'!D54</f>
        <v>-128480519.61426632</v>
      </c>
      <c r="N54" s="1060">
        <f>'5d. Dashboard Total Sc 3'!E54</f>
        <v>0</v>
      </c>
      <c r="O54" s="1052">
        <f>'5d. Dashboard Total Sc 3'!F54</f>
        <v>0</v>
      </c>
    </row>
    <row r="55" spans="1:15" x14ac:dyDescent="0.45">
      <c r="A55" s="18"/>
      <c r="B55" s="1057" t="s">
        <v>1520</v>
      </c>
      <c r="C55" s="1060"/>
      <c r="D55" s="971">
        <v>-1922286167.5833244</v>
      </c>
      <c r="E55" s="1136">
        <v>5160</v>
      </c>
      <c r="F55" s="971">
        <v>-372536.07898901636</v>
      </c>
      <c r="G55" s="1051">
        <f>'5a. Dashboard Total BC'!D55</f>
        <v>-1922286167.5833244</v>
      </c>
      <c r="H55" s="1065">
        <f>'5a. Dashboard Total BC'!E55</f>
        <v>5160</v>
      </c>
      <c r="I55" s="1051">
        <f>'5a. Dashboard Total BC'!F55</f>
        <v>-372536.07898901636</v>
      </c>
      <c r="J55" s="971">
        <f>'5c. Dashboard Total Sc 2'!D55</f>
        <v>-409948076.97918582</v>
      </c>
      <c r="K55" s="1136">
        <f>'5c. Dashboard Total Sc 2'!E55</f>
        <v>5160</v>
      </c>
      <c r="L55" s="971">
        <f>'5c. Dashboard Total Sc 2'!F55</f>
        <v>-79447.301740152296</v>
      </c>
      <c r="M55" s="1051">
        <f>'5d. Dashboard Total Sc 3'!D55</f>
        <v>-389200767.50957322</v>
      </c>
      <c r="N55" s="1065">
        <f>'5d. Dashboard Total Sc 3'!E55</f>
        <v>5160</v>
      </c>
      <c r="O55" s="1206">
        <f>'5d. Dashboard Total Sc 3'!F55</f>
        <v>-75426.505331312641</v>
      </c>
    </row>
    <row r="56" spans="1:15" x14ac:dyDescent="0.45">
      <c r="A56" s="18"/>
      <c r="B56" s="1057"/>
      <c r="C56" s="1060"/>
      <c r="D56" s="18"/>
      <c r="E56" s="18"/>
      <c r="F56" s="18"/>
      <c r="G56" s="1060"/>
      <c r="H56" s="1060"/>
      <c r="I56" s="1060"/>
      <c r="J56" s="18"/>
      <c r="K56" s="18"/>
      <c r="L56" s="18"/>
      <c r="M56" s="1060"/>
      <c r="N56" s="1060"/>
      <c r="O56" s="1052"/>
    </row>
    <row r="57" spans="1:15" ht="49.5" customHeight="1" x14ac:dyDescent="0.45">
      <c r="A57" s="18"/>
      <c r="B57" s="1049" t="s">
        <v>1573</v>
      </c>
      <c r="C57" s="1060"/>
      <c r="D57" s="1212" t="s">
        <v>1512</v>
      </c>
      <c r="E57" s="1212" t="s">
        <v>1517</v>
      </c>
      <c r="F57" s="1212" t="s">
        <v>1524</v>
      </c>
      <c r="G57" s="1045" t="str">
        <f>'5a. Dashboard Total BC'!D57</f>
        <v>R</v>
      </c>
      <c r="H57" s="1045" t="str">
        <f>'5a. Dashboard Total BC'!E57</f>
        <v>Rental Units Sold</v>
      </c>
      <c r="I57" s="1045" t="str">
        <f>'5a. Dashboard Total BC'!F57</f>
        <v>EEDBS p.u.</v>
      </c>
      <c r="J57" s="1212" t="str">
        <f>'5c. Dashboard Total Sc 2'!D57</f>
        <v>R</v>
      </c>
      <c r="K57" s="1212" t="str">
        <f>'5c. Dashboard Total Sc 2'!E57</f>
        <v>Rental Units Sold + Sales Debtors w/o</v>
      </c>
      <c r="L57" s="1212" t="str">
        <f>'5c. Dashboard Total Sc 2'!F57</f>
        <v>EEDBS p.u.</v>
      </c>
      <c r="M57" s="1045" t="str">
        <f>'5d. Dashboard Total Sc 3'!D57</f>
        <v>R</v>
      </c>
      <c r="N57" s="1045" t="str">
        <f>'5d. Dashboard Total Sc 3'!E57</f>
        <v>Rental Units Sold + Sales Debtors w/o</v>
      </c>
      <c r="O57" s="1045" t="str">
        <f>'5d. Dashboard Total Sc 3'!F57</f>
        <v>EEDBS p.u.</v>
      </c>
    </row>
    <row r="58" spans="1:15" x14ac:dyDescent="0.45">
      <c r="A58" s="18"/>
      <c r="B58" s="1057" t="s">
        <v>1346</v>
      </c>
      <c r="C58" s="1060"/>
      <c r="D58" s="971">
        <v>-9628697.8662323505</v>
      </c>
      <c r="E58" s="1136">
        <v>514</v>
      </c>
      <c r="F58" s="971">
        <v>-18732.875226132979</v>
      </c>
      <c r="G58" s="1051">
        <f>'5a. Dashboard Total BC'!D58</f>
        <v>-9628697.8662323505</v>
      </c>
      <c r="H58" s="1065">
        <f>'5a. Dashboard Total BC'!E58</f>
        <v>514</v>
      </c>
      <c r="I58" s="1051">
        <f>'5a. Dashboard Total BC'!F58</f>
        <v>-18732.875226132979</v>
      </c>
      <c r="J58" s="971">
        <f>'5c. Dashboard Total Sc 2'!D58</f>
        <v>-9628697.8662323505</v>
      </c>
      <c r="K58" s="1136">
        <f>'5c. Dashboard Total Sc 2'!E58</f>
        <v>514</v>
      </c>
      <c r="L58" s="971">
        <f>'5c. Dashboard Total Sc 2'!F58</f>
        <v>-18732.875226132979</v>
      </c>
      <c r="M58" s="1051">
        <f>'5d. Dashboard Total Sc 3'!D58</f>
        <v>-9628697.8662323505</v>
      </c>
      <c r="N58" s="1065">
        <f>'5d. Dashboard Total Sc 3'!E58</f>
        <v>514</v>
      </c>
      <c r="O58" s="1206">
        <f>'5d. Dashboard Total Sc 3'!F58</f>
        <v>-18732.875226132979</v>
      </c>
    </row>
    <row r="59" spans="1:15" x14ac:dyDescent="0.45">
      <c r="A59" s="18"/>
      <c r="B59" s="1057" t="s">
        <v>1347</v>
      </c>
      <c r="C59" s="1060"/>
      <c r="D59" s="1215">
        <v>-8930433.3100576513</v>
      </c>
      <c r="E59" s="1222">
        <v>476</v>
      </c>
      <c r="F59" s="1215">
        <v>-18761.414516927838</v>
      </c>
      <c r="G59" s="1054">
        <f>'5a. Dashboard Total BC'!D59</f>
        <v>-8930433.3100576513</v>
      </c>
      <c r="H59" s="1066">
        <f>'5a. Dashboard Total BC'!E59</f>
        <v>476</v>
      </c>
      <c r="I59" s="1054">
        <f>'5a. Dashboard Total BC'!F59</f>
        <v>-18761.414516927838</v>
      </c>
      <c r="J59" s="1215">
        <f>'5c. Dashboard Total Sc 2'!D59</f>
        <v>-8930433.3100576513</v>
      </c>
      <c r="K59" s="1222">
        <f>'5c. Dashboard Total Sc 2'!E59</f>
        <v>476</v>
      </c>
      <c r="L59" s="1215">
        <f>'5c. Dashboard Total Sc 2'!F59</f>
        <v>-18761.414516927838</v>
      </c>
      <c r="M59" s="1054">
        <f>'5d. Dashboard Total Sc 3'!D59</f>
        <v>-8930433.3100576513</v>
      </c>
      <c r="N59" s="1066">
        <f>'5d. Dashboard Total Sc 3'!E59</f>
        <v>476</v>
      </c>
      <c r="O59" s="1054">
        <f>'5d. Dashboard Total Sc 3'!F59</f>
        <v>-18761.414516927838</v>
      </c>
    </row>
    <row r="60" spans="1:15" x14ac:dyDescent="0.45">
      <c r="A60" s="18"/>
      <c r="B60" s="1057" t="s">
        <v>1348</v>
      </c>
      <c r="C60" s="1060"/>
      <c r="D60" s="1216">
        <v>-4248781.8647111077</v>
      </c>
      <c r="E60" s="1223">
        <v>226</v>
      </c>
      <c r="F60" s="1216">
        <v>-18799.919755358882</v>
      </c>
      <c r="G60" s="1055">
        <f>'5a. Dashboard Total BC'!D60</f>
        <v>-4248781.8647111077</v>
      </c>
      <c r="H60" s="1067">
        <f>'5a. Dashboard Total BC'!E60</f>
        <v>226</v>
      </c>
      <c r="I60" s="1055">
        <f>'5a. Dashboard Total BC'!F60</f>
        <v>-18799.919755358882</v>
      </c>
      <c r="J60" s="1216">
        <f>'5c. Dashboard Total Sc 2'!D60</f>
        <v>-639846237.94033623</v>
      </c>
      <c r="K60" s="1223">
        <f>'5c. Dashboard Total Sc 2'!E60</f>
        <v>5524.5</v>
      </c>
      <c r="L60" s="1216">
        <f>'5c. Dashboard Total Sc 2'!F60</f>
        <v>-115819.75526117046</v>
      </c>
      <c r="M60" s="1055">
        <f>'5d. Dashboard Total Sc 3'!D60</f>
        <v>-805640526.38864589</v>
      </c>
      <c r="N60" s="1067">
        <f>'5d. Dashboard Total Sc 3'!E60</f>
        <v>7399</v>
      </c>
      <c r="O60" s="1055">
        <f>'5d. Dashboard Total Sc 3'!F60</f>
        <v>-108885.05560057385</v>
      </c>
    </row>
    <row r="61" spans="1:15" x14ac:dyDescent="0.45">
      <c r="A61" s="18"/>
      <c r="B61" s="1057" t="s">
        <v>1349</v>
      </c>
      <c r="C61" s="1060"/>
      <c r="D61" s="1216">
        <v>-4248781.8647111077</v>
      </c>
      <c r="E61" s="1223">
        <v>226</v>
      </c>
      <c r="F61" s="1216">
        <v>-18799.919755358882</v>
      </c>
      <c r="G61" s="1055">
        <f>'5a. Dashboard Total BC'!D61</f>
        <v>-4248781.8647111077</v>
      </c>
      <c r="H61" s="1067">
        <f>'5a. Dashboard Total BC'!E61</f>
        <v>226</v>
      </c>
      <c r="I61" s="1055">
        <f>'5a. Dashboard Total BC'!F61</f>
        <v>-18799.919755358882</v>
      </c>
      <c r="J61" s="1216">
        <f>'5c. Dashboard Total Sc 2'!D61</f>
        <v>-165794288.44830972</v>
      </c>
      <c r="K61" s="1223">
        <f>'5c. Dashboard Total Sc 2'!E61</f>
        <v>1874.5</v>
      </c>
      <c r="L61" s="1216">
        <f>'5c. Dashboard Total Sc 2'!F61</f>
        <v>-88447.206427479177</v>
      </c>
      <c r="M61" s="1055">
        <f>'5d. Dashboard Total Sc 3'!D61</f>
        <v>0</v>
      </c>
      <c r="N61" s="1067">
        <f>'5d. Dashboard Total Sc 3'!E61</f>
        <v>0</v>
      </c>
      <c r="O61" s="1055">
        <f>'5d. Dashboard Total Sc 3'!F61</f>
        <v>0</v>
      </c>
    </row>
    <row r="62" spans="1:15" x14ac:dyDescent="0.45">
      <c r="A62" s="18"/>
      <c r="B62" s="1057" t="s">
        <v>1350</v>
      </c>
      <c r="C62" s="1060"/>
      <c r="D62" s="1216">
        <v>-4248781.8647111077</v>
      </c>
      <c r="E62" s="1223">
        <v>226</v>
      </c>
      <c r="F62" s="1216">
        <v>-18799.919755358882</v>
      </c>
      <c r="G62" s="1055">
        <f>'5a. Dashboard Total BC'!D62</f>
        <v>-4248781.8647111077</v>
      </c>
      <c r="H62" s="1067">
        <f>'5a. Dashboard Total BC'!E62</f>
        <v>226</v>
      </c>
      <c r="I62" s="1055">
        <f>'5a. Dashboard Total BC'!F62</f>
        <v>-18799.919755358882</v>
      </c>
      <c r="J62" s="1216">
        <f>'5c. Dashboard Total Sc 2'!D62</f>
        <v>0</v>
      </c>
      <c r="K62" s="1223">
        <f>'5c. Dashboard Total Sc 2'!E62</f>
        <v>0</v>
      </c>
      <c r="L62" s="1216">
        <f>'5c. Dashboard Total Sc 2'!F62</f>
        <v>0</v>
      </c>
      <c r="M62" s="1055">
        <f>'5d. Dashboard Total Sc 3'!D62</f>
        <v>0</v>
      </c>
      <c r="N62" s="1067">
        <f>'5d. Dashboard Total Sc 3'!E62</f>
        <v>0</v>
      </c>
      <c r="O62" s="1055">
        <f>'5d. Dashboard Total Sc 3'!F62</f>
        <v>0</v>
      </c>
    </row>
    <row r="63" spans="1:15" x14ac:dyDescent="0.45">
      <c r="A63" s="18"/>
      <c r="B63" s="1057" t="s">
        <v>1351</v>
      </c>
      <c r="C63" s="1060"/>
      <c r="D63" s="1217">
        <v>-4248781.8647111077</v>
      </c>
      <c r="E63" s="1224">
        <v>226</v>
      </c>
      <c r="F63" s="1217">
        <v>-18799.919755358882</v>
      </c>
      <c r="G63" s="1056">
        <f>'5a. Dashboard Total BC'!D63</f>
        <v>-4248781.8647111077</v>
      </c>
      <c r="H63" s="1068">
        <f>'5a. Dashboard Total BC'!E63</f>
        <v>226</v>
      </c>
      <c r="I63" s="1056">
        <f>'5a. Dashboard Total BC'!F63</f>
        <v>-18799.919755358882</v>
      </c>
      <c r="J63" s="1217">
        <f>'5c. Dashboard Total Sc 2'!D63</f>
        <v>0</v>
      </c>
      <c r="K63" s="1224">
        <f>'5c. Dashboard Total Sc 2'!E63</f>
        <v>0</v>
      </c>
      <c r="L63" s="1217">
        <f>'5c. Dashboard Total Sc 2'!F63</f>
        <v>0</v>
      </c>
      <c r="M63" s="1056">
        <f>'5d. Dashboard Total Sc 3'!D63</f>
        <v>0</v>
      </c>
      <c r="N63" s="1068">
        <f>'5d. Dashboard Total Sc 3'!E63</f>
        <v>0</v>
      </c>
      <c r="O63" s="1056">
        <f>'5d. Dashboard Total Sc 3'!F63</f>
        <v>0</v>
      </c>
    </row>
    <row r="64" spans="1:15" x14ac:dyDescent="0.45">
      <c r="B64" s="1057" t="s">
        <v>1516</v>
      </c>
      <c r="C64" s="1060"/>
      <c r="D64" s="971">
        <v>-25925560.768902078</v>
      </c>
      <c r="E64" s="1225">
        <v>1380</v>
      </c>
      <c r="F64" s="971">
        <v>-18786.638238334839</v>
      </c>
      <c r="G64" s="1051">
        <f>'5a. Dashboard Total BC'!D64</f>
        <v>-25925560.768902078</v>
      </c>
      <c r="H64" s="1069">
        <f>'5a. Dashboard Total BC'!E64</f>
        <v>1380</v>
      </c>
      <c r="I64" s="1051">
        <f>'5a. Dashboard Total BC'!F64</f>
        <v>-18786.638238334839</v>
      </c>
      <c r="J64" s="971">
        <f>'5c. Dashboard Total Sc 2'!D64</f>
        <v>-814570959.69870353</v>
      </c>
      <c r="K64" s="1225">
        <f>'5c. Dashboard Total Sc 2'!E64</f>
        <v>7875</v>
      </c>
      <c r="L64" s="971">
        <f>'5c. Dashboard Total Sc 2'!F64</f>
        <v>-103437.58218396235</v>
      </c>
      <c r="M64" s="1051">
        <f>'5d. Dashboard Total Sc 3'!D64</f>
        <v>-814570959.69870353</v>
      </c>
      <c r="N64" s="1069">
        <f>'5d. Dashboard Total Sc 3'!E64</f>
        <v>7875</v>
      </c>
      <c r="O64" s="1206">
        <f>'5d. Dashboard Total Sc 3'!F64</f>
        <v>-103437.58218396235</v>
      </c>
    </row>
    <row r="65" spans="2:15" x14ac:dyDescent="0.45">
      <c r="B65" s="1057" t="s">
        <v>1521</v>
      </c>
      <c r="C65" s="1060"/>
      <c r="D65" s="971">
        <v>-833828355.43116808</v>
      </c>
      <c r="E65" s="1136">
        <v>7399</v>
      </c>
      <c r="F65" s="971">
        <v>-112694.73650914557</v>
      </c>
      <c r="G65" s="1051">
        <f>'5a. Dashboard Total BC'!D65</f>
        <v>-833828355.43116808</v>
      </c>
      <c r="H65" s="1065">
        <f>'5a. Dashboard Total BC'!E65</f>
        <v>7399</v>
      </c>
      <c r="I65" s="1051">
        <f>'5a. Dashboard Total BC'!F65</f>
        <v>-112694.73650914557</v>
      </c>
      <c r="J65" s="971">
        <f>'5c. Dashboard Total Sc 2'!D65</f>
        <v>-833828355.43116832</v>
      </c>
      <c r="K65" s="1136">
        <f>'5c. Dashboard Total Sc 2'!E65</f>
        <v>7399</v>
      </c>
      <c r="L65" s="971">
        <f>'5c. Dashboard Total Sc 2'!F65</f>
        <v>-112694.7365091456</v>
      </c>
      <c r="M65" s="1051">
        <f>'5d. Dashboard Total Sc 3'!D65</f>
        <v>-833828355.4311682</v>
      </c>
      <c r="N65" s="1065">
        <f>'5d. Dashboard Total Sc 3'!E65</f>
        <v>7399</v>
      </c>
      <c r="O65" s="1206">
        <f>'5d. Dashboard Total Sc 3'!F65</f>
        <v>-112694.73650914559</v>
      </c>
    </row>
    <row r="66" spans="2:15" outlineLevel="1" x14ac:dyDescent="0.45">
      <c r="B66" s="1057"/>
      <c r="C66" s="1060"/>
      <c r="D66" s="18"/>
      <c r="E66" s="18"/>
      <c r="F66" s="18"/>
      <c r="G66" s="1060"/>
      <c r="H66" s="1060"/>
      <c r="I66" s="1060"/>
      <c r="J66" s="18"/>
      <c r="K66" s="18"/>
      <c r="L66" s="18"/>
      <c r="M66" s="1060"/>
      <c r="N66" s="1060"/>
      <c r="O66" s="1052"/>
    </row>
    <row r="67" spans="2:15" outlineLevel="1" x14ac:dyDescent="0.45">
      <c r="B67" s="1049"/>
      <c r="C67" s="1060"/>
      <c r="D67" s="971"/>
      <c r="E67" s="18"/>
      <c r="F67" s="18"/>
      <c r="G67" s="1051"/>
      <c r="H67" s="1060"/>
      <c r="I67" s="1060"/>
      <c r="J67" s="971"/>
      <c r="K67" s="18"/>
      <c r="L67" s="18"/>
      <c r="M67" s="1051"/>
      <c r="N67" s="1060"/>
      <c r="O67" s="1052"/>
    </row>
    <row r="68" spans="2:15" outlineLevel="1" x14ac:dyDescent="0.45">
      <c r="B68" s="1057"/>
      <c r="C68" s="1060"/>
      <c r="D68" s="18"/>
      <c r="E68" s="18"/>
      <c r="F68" s="18"/>
      <c r="G68" s="1060"/>
      <c r="H68" s="1060"/>
      <c r="I68" s="1060"/>
      <c r="J68" s="18"/>
      <c r="K68" s="18"/>
      <c r="L68" s="18"/>
      <c r="M68" s="1060"/>
      <c r="N68" s="1060"/>
      <c r="O68" s="1052"/>
    </row>
    <row r="69" spans="2:15" outlineLevel="1" x14ac:dyDescent="0.45">
      <c r="B69" s="1057" t="s">
        <v>1550</v>
      </c>
      <c r="C69" s="1060"/>
      <c r="D69" s="971">
        <v>-667268712.28592539</v>
      </c>
      <c r="E69" s="18"/>
      <c r="F69" s="18"/>
      <c r="G69" s="1051">
        <f>'5a. Dashboard Total BC'!D69</f>
        <v>-667268712.28592539</v>
      </c>
      <c r="H69" s="1060"/>
      <c r="I69" s="1060"/>
      <c r="J69" s="971">
        <f>'5c. Dashboard Total Sc 2'!D69</f>
        <v>-640783662.85163951</v>
      </c>
      <c r="K69" s="18"/>
      <c r="L69" s="18"/>
      <c r="M69" s="1051">
        <f>'5d. Dashboard Total Sc 3'!D69</f>
        <v>-1046682088.6771854</v>
      </c>
      <c r="N69" s="1060"/>
      <c r="O69" s="1052"/>
    </row>
    <row r="70" spans="2:15" outlineLevel="1" x14ac:dyDescent="0.45">
      <c r="B70" s="1057" t="s">
        <v>1560</v>
      </c>
      <c r="C70" s="1060"/>
      <c r="D70" s="1226">
        <v>7399</v>
      </c>
      <c r="E70" s="18"/>
      <c r="F70" s="18"/>
      <c r="G70" s="1070">
        <f>'5a. Dashboard Total BC'!D70</f>
        <v>7399</v>
      </c>
      <c r="H70" s="1060"/>
      <c r="I70" s="1060"/>
      <c r="J70" s="1226">
        <f>'5c. Dashboard Total Sc 2'!D70</f>
        <v>7399</v>
      </c>
      <c r="K70" s="18"/>
      <c r="L70" s="18"/>
      <c r="M70" s="1070">
        <f>'5d. Dashboard Total Sc 3'!D70</f>
        <v>7399</v>
      </c>
      <c r="N70" s="1060"/>
      <c r="O70" s="1052"/>
    </row>
    <row r="71" spans="2:15" outlineLevel="1" x14ac:dyDescent="0.45">
      <c r="B71" s="1071" t="s">
        <v>1509</v>
      </c>
      <c r="C71" s="1072"/>
      <c r="D71" s="1227">
        <v>-90183.634583852603</v>
      </c>
      <c r="E71" s="1228"/>
      <c r="F71" s="1228"/>
      <c r="G71" s="1073">
        <f>'5a. Dashboard Total BC'!D71</f>
        <v>-90183.634583852603</v>
      </c>
      <c r="H71" s="1072"/>
      <c r="I71" s="1072"/>
      <c r="J71" s="1227">
        <f>'5c. Dashboard Total Sc 2'!D71</f>
        <v>-86604.090127265779</v>
      </c>
      <c r="K71" s="1228"/>
      <c r="L71" s="1228"/>
      <c r="M71" s="1073">
        <f>'5d. Dashboard Total Sc 3'!D71</f>
        <v>-141462.64207016968</v>
      </c>
      <c r="N71" s="1072"/>
      <c r="O71" s="1074"/>
    </row>
    <row r="72" spans="2:15" outlineLevel="1" x14ac:dyDescent="0.45"/>
    <row r="73" spans="2:15" outlineLevel="1" x14ac:dyDescent="0.45"/>
    <row r="74" spans="2:15" outlineLevel="1" x14ac:dyDescent="0.45"/>
    <row r="121" spans="2:15" ht="28.5" x14ac:dyDescent="0.45">
      <c r="B121" s="304" t="s">
        <v>1563</v>
      </c>
      <c r="D121" s="969" t="s">
        <v>1512</v>
      </c>
      <c r="E121" s="969" t="s">
        <v>1564</v>
      </c>
      <c r="F121" s="969" t="s">
        <v>1524</v>
      </c>
      <c r="G121" s="1207"/>
      <c r="H121" s="1207"/>
      <c r="I121" s="1207"/>
      <c r="J121" s="1207"/>
      <c r="K121" s="1207"/>
      <c r="L121" s="1207"/>
      <c r="M121" s="1207"/>
      <c r="N121" s="1207"/>
      <c r="O121" s="1207"/>
    </row>
    <row r="122" spans="2:15" x14ac:dyDescent="0.45">
      <c r="B122" s="948" t="str">
        <f>'9. Forecast Results'!R$5</f>
        <v>2017/18</v>
      </c>
      <c r="D122" s="552">
        <f>SUMIF('9. Forecast Results'!$R$5:$W$5,$B122,'9. Forecast Results'!$R$52:$W$52)</f>
        <v>0</v>
      </c>
      <c r="E122" s="785">
        <f>SUMIF('10. Inputs &amp; Calcs'!$D$106:$D$111,$C$6,'10. Inputs &amp; Calcs'!$J$106:$J$111)</f>
        <v>0</v>
      </c>
      <c r="F122" s="552">
        <f>IF(E122&lt;&gt;0,D122/E122,0)</f>
        <v>0</v>
      </c>
      <c r="G122" s="552"/>
      <c r="H122" s="552"/>
      <c r="I122" s="552"/>
      <c r="J122" s="552"/>
      <c r="K122" s="552"/>
      <c r="L122" s="552"/>
      <c r="M122" s="552"/>
      <c r="N122" s="552"/>
      <c r="O122" s="552"/>
    </row>
    <row r="123" spans="2:15" x14ac:dyDescent="0.45">
      <c r="B123" s="948" t="str">
        <f>'9. Forecast Results'!S$5</f>
        <v>2018/19</v>
      </c>
      <c r="D123" s="973">
        <f>SUMIF('9. Forecast Results'!$R$5:$W$5,$B123,'9. Forecast Results'!$R$52:$W$52)</f>
        <v>0</v>
      </c>
      <c r="E123" s="974">
        <f>SUMIF('10. Inputs &amp; Calcs'!$D$106:$D$111,$C$6,'10. Inputs &amp; Calcs'!$K$106:$K$111)</f>
        <v>0</v>
      </c>
      <c r="F123" s="753">
        <f t="shared" ref="F123:F128" si="0">IF(E123&lt;&gt;0,D123/E123,0)</f>
        <v>0</v>
      </c>
      <c r="G123" s="552"/>
      <c r="H123" s="552"/>
      <c r="I123" s="552"/>
      <c r="J123" s="552"/>
      <c r="K123" s="552"/>
      <c r="L123" s="552"/>
      <c r="M123" s="552"/>
      <c r="N123" s="552"/>
      <c r="O123" s="552"/>
    </row>
    <row r="124" spans="2:15" x14ac:dyDescent="0.45">
      <c r="B124" s="948" t="str">
        <f>'9. Forecast Results'!T$5</f>
        <v>2019/20</v>
      </c>
      <c r="D124" s="975">
        <f>SUMIF('9. Forecast Results'!$R$5:$W$5,$B124,'9. Forecast Results'!$R$52:$W$52)</f>
        <v>0</v>
      </c>
      <c r="E124" s="976">
        <f>SUMIF('10. Inputs &amp; Calcs'!$D$106:$D$111,$C$6,'10. Inputs &amp; Calcs'!$L$106:$L$111)</f>
        <v>0</v>
      </c>
      <c r="F124" s="888">
        <f t="shared" si="0"/>
        <v>0</v>
      </c>
      <c r="G124" s="552"/>
      <c r="H124" s="552"/>
      <c r="I124" s="552"/>
      <c r="J124" s="552"/>
      <c r="K124" s="552"/>
      <c r="L124" s="552"/>
      <c r="M124" s="552"/>
      <c r="N124" s="552"/>
      <c r="O124" s="552"/>
    </row>
    <row r="125" spans="2:15" x14ac:dyDescent="0.45">
      <c r="B125" s="948" t="str">
        <f>'9. Forecast Results'!U$5</f>
        <v>2020/21</v>
      </c>
      <c r="D125" s="975">
        <f>SUMIF('9. Forecast Results'!$R$5:$W$5,$B125,'9. Forecast Results'!$R$52:$W$52)</f>
        <v>0</v>
      </c>
      <c r="E125" s="976">
        <f>SUMIF('10. Inputs &amp; Calcs'!$D$106:$D$111,$C$6,'10. Inputs &amp; Calcs'!$M$106:$M$111)</f>
        <v>0</v>
      </c>
      <c r="F125" s="888">
        <f t="shared" si="0"/>
        <v>0</v>
      </c>
      <c r="G125" s="552"/>
      <c r="H125" s="552"/>
      <c r="I125" s="552"/>
      <c r="J125" s="552"/>
      <c r="K125" s="552"/>
      <c r="L125" s="552"/>
      <c r="M125" s="552"/>
      <c r="N125" s="552"/>
      <c r="O125" s="552"/>
    </row>
    <row r="126" spans="2:15" x14ac:dyDescent="0.45">
      <c r="B126" s="948" t="str">
        <f>'9. Forecast Results'!V$5</f>
        <v>2021/22</v>
      </c>
      <c r="D126" s="975">
        <f>SUMIF('9. Forecast Results'!$R$5:$W$5,$B126,'9. Forecast Results'!$R$52:$W$52)</f>
        <v>0</v>
      </c>
      <c r="E126" s="976">
        <f>SUMIF('10. Inputs &amp; Calcs'!$D$106:$D$111,$C$6,'10. Inputs &amp; Calcs'!$N$106:$N$111)</f>
        <v>0</v>
      </c>
      <c r="F126" s="888">
        <f t="shared" si="0"/>
        <v>0</v>
      </c>
      <c r="G126" s="552"/>
      <c r="H126" s="552"/>
      <c r="I126" s="552"/>
      <c r="J126" s="552"/>
      <c r="K126" s="552"/>
      <c r="L126" s="552"/>
      <c r="M126" s="552"/>
      <c r="N126" s="552"/>
      <c r="O126" s="552"/>
    </row>
    <row r="127" spans="2:15" x14ac:dyDescent="0.45">
      <c r="B127" s="948" t="str">
        <f>'9. Forecast Results'!W$5</f>
        <v>2022/23</v>
      </c>
      <c r="D127" s="977">
        <f>SUMIF('9. Forecast Results'!$R$5:$W$5,$B127,'9. Forecast Results'!$R$52:$W$52)</f>
        <v>0</v>
      </c>
      <c r="E127" s="978">
        <f>SUMIF('10. Inputs &amp; Calcs'!$D$106:$D$111,$C$6,'10. Inputs &amp; Calcs'!$O$106:$O$111)</f>
        <v>0</v>
      </c>
      <c r="F127" s="754">
        <f t="shared" si="0"/>
        <v>0</v>
      </c>
      <c r="G127" s="552"/>
      <c r="H127" s="552"/>
      <c r="I127" s="552"/>
      <c r="J127" s="552"/>
      <c r="K127" s="552"/>
      <c r="L127" s="552"/>
      <c r="M127" s="552"/>
      <c r="N127" s="552"/>
      <c r="O127" s="552"/>
    </row>
    <row r="128" spans="2:15" x14ac:dyDescent="0.45">
      <c r="B128" s="948" t="s">
        <v>1516</v>
      </c>
      <c r="D128" s="970">
        <f>SUM(D123:D127)</f>
        <v>0</v>
      </c>
      <c r="E128" s="972">
        <f>SUM(E123:E127)</f>
        <v>0</v>
      </c>
      <c r="F128" s="552">
        <f t="shared" si="0"/>
        <v>0</v>
      </c>
      <c r="G128" s="552"/>
      <c r="H128" s="552"/>
      <c r="I128" s="552"/>
      <c r="J128" s="552"/>
      <c r="K128" s="552"/>
      <c r="L128" s="552"/>
      <c r="M128" s="552"/>
      <c r="N128" s="552"/>
      <c r="O128" s="552"/>
    </row>
    <row r="129" spans="2:15" x14ac:dyDescent="0.45">
      <c r="B129" s="948" t="s">
        <v>1565</v>
      </c>
      <c r="D129" s="971">
        <f>'9. Forecast Results'!AL$52</f>
        <v>0</v>
      </c>
      <c r="E129" s="785">
        <f>SUMIF('10. Inputs &amp; Calcs'!$D$106:$D$111,$C$6,'10. Inputs &amp; Calcs'!$AD$106:$AD$111)</f>
        <v>-7399</v>
      </c>
      <c r="F129" s="552">
        <f>IF(E129&lt;&gt;0,D129/E129,0)</f>
        <v>0</v>
      </c>
      <c r="G129" s="552"/>
      <c r="H129" s="552"/>
      <c r="I129" s="552"/>
      <c r="J129" s="552"/>
      <c r="K129" s="552"/>
      <c r="L129" s="552"/>
      <c r="M129" s="552"/>
      <c r="N129" s="552"/>
      <c r="O129" s="552"/>
    </row>
    <row r="132" spans="2:15" ht="28.5" x14ac:dyDescent="0.45">
      <c r="B132" s="67" t="s">
        <v>1518</v>
      </c>
      <c r="C132" s="46"/>
      <c r="D132" s="70" t="s">
        <v>1512</v>
      </c>
      <c r="E132" s="70" t="s">
        <v>1517</v>
      </c>
      <c r="F132" s="969" t="s">
        <v>1522</v>
      </c>
      <c r="G132" s="1208"/>
      <c r="H132" s="1208"/>
      <c r="I132" s="1208"/>
      <c r="J132" s="1208"/>
      <c r="K132" s="1208"/>
      <c r="L132" s="1208"/>
      <c r="M132" s="1208"/>
      <c r="N132" s="1208"/>
      <c r="O132" s="1208"/>
    </row>
    <row r="133" spans="2:15" x14ac:dyDescent="0.45">
      <c r="B133" s="948" t="str">
        <f>'9. Forecast Results'!R$5</f>
        <v>2017/18</v>
      </c>
      <c r="D133" s="552">
        <f>SUMIF('10. Inputs &amp; Calcs'!$D$619:$D$624,$C$6,'10. Inputs &amp; Calcs'!$J$619:$J$629)-D58</f>
        <v>-964139.19306002557</v>
      </c>
      <c r="E133" s="785">
        <f>SUMIF('10. Inputs &amp; Calcs'!$D$51:$D$56,$C$6,'10. Inputs &amp; Calcs'!$J$51:$J$56)</f>
        <v>514</v>
      </c>
      <c r="F133" s="552">
        <f>IF(E133&lt;&gt;0,D133/E133,0)</f>
        <v>-1875.757184941684</v>
      </c>
      <c r="G133" s="552"/>
      <c r="H133" s="552"/>
      <c r="I133" s="552"/>
      <c r="J133" s="552"/>
      <c r="K133" s="552"/>
      <c r="L133" s="552"/>
      <c r="M133" s="552"/>
      <c r="N133" s="552"/>
      <c r="O133" s="552"/>
    </row>
    <row r="134" spans="2:15" x14ac:dyDescent="0.45">
      <c r="B134" s="948" t="str">
        <f>'9. Forecast Results'!S$5</f>
        <v>2018/19</v>
      </c>
      <c r="D134" s="973">
        <f>SUMIF('10. Inputs &amp; Calcs'!$D$619:$D$624,$C$6,'10. Inputs &amp; Calcs'!$K$619:$K$629)</f>
        <v>-10450381.305273833</v>
      </c>
      <c r="E134" s="974">
        <f>SUMIF('10. Inputs &amp; Calcs'!$D$51:$D$56,$C$6,'10. Inputs &amp; Calcs'!$K$51:$K$56)</f>
        <v>476</v>
      </c>
      <c r="F134" s="753">
        <f t="shared" ref="F134:F140" si="1">IF(E134&lt;&gt;0,D134/E134,0)</f>
        <v>-21954.58257410469</v>
      </c>
      <c r="G134" s="1209"/>
      <c r="H134" s="1209"/>
      <c r="I134" s="1209"/>
      <c r="J134" s="1209"/>
      <c r="K134" s="1209"/>
      <c r="L134" s="1209"/>
      <c r="M134" s="1209"/>
      <c r="N134" s="1209"/>
      <c r="O134" s="1209"/>
    </row>
    <row r="135" spans="2:15" x14ac:dyDescent="0.45">
      <c r="B135" s="948" t="str">
        <f>'9. Forecast Results'!T$5</f>
        <v>2019/20</v>
      </c>
      <c r="D135" s="975">
        <f>SUMIF('10. Inputs &amp; Calcs'!$D$619:$D$624,$C$6,'10. Inputs &amp; Calcs'!$L$619:$L$629)</f>
        <v>-5304579.0622597346</v>
      </c>
      <c r="E135" s="976">
        <f>SUMIF('10. Inputs &amp; Calcs'!$D$51:$D$56,$C$6,'10. Inputs &amp; Calcs'!$L$51:$L$56)</f>
        <v>226</v>
      </c>
      <c r="F135" s="888">
        <f t="shared" si="1"/>
        <v>-23471.588771060771</v>
      </c>
      <c r="G135" s="1209"/>
      <c r="H135" s="1209"/>
      <c r="I135" s="1209"/>
      <c r="J135" s="1209"/>
      <c r="K135" s="1209"/>
      <c r="L135" s="1209"/>
      <c r="M135" s="1209"/>
      <c r="N135" s="1209"/>
      <c r="O135" s="1209"/>
    </row>
    <row r="136" spans="2:15" x14ac:dyDescent="0.45">
      <c r="B136" s="948" t="str">
        <f>'9. Forecast Results'!U$5</f>
        <v>2020/21</v>
      </c>
      <c r="D136" s="975">
        <f>SUMIF('10. Inputs &amp; Calcs'!$D$619:$D$624,$C$6,'10. Inputs &amp; Calcs'!$M$619:$M$629)</f>
        <v>-5562618.7138867881</v>
      </c>
      <c r="E136" s="976">
        <f>SUMIF('10. Inputs &amp; Calcs'!$D$51:$D$56,$C$6,'10. Inputs &amp; Calcs'!$M$51:$M$56)</f>
        <v>226</v>
      </c>
      <c r="F136" s="888">
        <f t="shared" si="1"/>
        <v>-24613.357141091983</v>
      </c>
      <c r="G136" s="1209"/>
      <c r="H136" s="1209"/>
      <c r="I136" s="1209"/>
      <c r="J136" s="1209"/>
      <c r="K136" s="1209"/>
      <c r="L136" s="1209"/>
      <c r="M136" s="1209"/>
      <c r="N136" s="1209"/>
      <c r="O136" s="1209"/>
    </row>
    <row r="137" spans="2:15" x14ac:dyDescent="0.45">
      <c r="B137" s="948" t="str">
        <f>'9. Forecast Results'!V$5</f>
        <v>2021/22</v>
      </c>
      <c r="D137" s="975">
        <f>SUMIF('10. Inputs &amp; Calcs'!$D$619:$D$624,$C$6,'10. Inputs &amp; Calcs'!$N$619:$N$629)</f>
        <v>-5820658.3655138416</v>
      </c>
      <c r="E137" s="976">
        <f>SUMIF('10. Inputs &amp; Calcs'!$D$51:$D$56,$C$6,'10. Inputs &amp; Calcs'!$N$51:$N$56)</f>
        <v>226</v>
      </c>
      <c r="F137" s="888">
        <f t="shared" si="1"/>
        <v>-25755.125511123191</v>
      </c>
      <c r="G137" s="1209"/>
      <c r="H137" s="1209"/>
      <c r="I137" s="1209"/>
      <c r="J137" s="1209"/>
      <c r="K137" s="1209"/>
      <c r="L137" s="1209"/>
      <c r="M137" s="1209"/>
      <c r="N137" s="1209"/>
      <c r="O137" s="1209"/>
    </row>
    <row r="138" spans="2:15" x14ac:dyDescent="0.45">
      <c r="B138" s="948" t="str">
        <f>'9. Forecast Results'!W$5</f>
        <v>2022/23</v>
      </c>
      <c r="D138" s="977">
        <f>SUMIF('10. Inputs &amp; Calcs'!$D$619:$D$624,$C$6,'10. Inputs &amp; Calcs'!$O$619:$O$629)</f>
        <v>-6078698.0171408951</v>
      </c>
      <c r="E138" s="978">
        <f>SUMIF('10. Inputs &amp; Calcs'!$D$51:$D$56,$C$6,'10. Inputs &amp; Calcs'!$O$51:$O$56)</f>
        <v>226</v>
      </c>
      <c r="F138" s="754">
        <f t="shared" si="1"/>
        <v>-26896.893881154403</v>
      </c>
      <c r="G138" s="1209"/>
      <c r="H138" s="1209"/>
      <c r="I138" s="1209"/>
      <c r="J138" s="1209"/>
      <c r="K138" s="1209"/>
      <c r="L138" s="1209"/>
      <c r="M138" s="1209"/>
      <c r="N138" s="1209"/>
      <c r="O138" s="1209"/>
    </row>
    <row r="139" spans="2:15" x14ac:dyDescent="0.45">
      <c r="B139" s="948" t="s">
        <v>1516</v>
      </c>
      <c r="D139" s="970">
        <f>SUM(D134:D138)</f>
        <v>-33216935.464075092</v>
      </c>
      <c r="E139" s="972">
        <f>SUM(E134:E138)</f>
        <v>1380</v>
      </c>
      <c r="F139" s="552">
        <f t="shared" si="1"/>
        <v>-24070.243089909487</v>
      </c>
      <c r="G139" s="552"/>
      <c r="H139" s="552"/>
      <c r="I139" s="552"/>
      <c r="J139" s="552"/>
      <c r="K139" s="552"/>
      <c r="L139" s="552"/>
      <c r="M139" s="552"/>
      <c r="N139" s="552"/>
      <c r="O139" s="552"/>
    </row>
    <row r="140" spans="2:15" x14ac:dyDescent="0.45">
      <c r="B140" s="948" t="s">
        <v>1519</v>
      </c>
      <c r="D140" s="971">
        <f>SUMIF('10. Inputs &amp; Calcs'!$D$619:$D$624,$C$6, '10. Inputs &amp; Calcs'!$AD$619:$AD$624)</f>
        <v>-148103926.95799464</v>
      </c>
      <c r="E140" s="785">
        <f>SUMIF('10. Inputs &amp; Calcs'!$D$520:$D$525,$C$6,'10. Inputs &amp; Calcs'!$H$520:$H$525)</f>
        <v>5160</v>
      </c>
      <c r="F140" s="552">
        <f t="shared" si="1"/>
        <v>-28702.311425967953</v>
      </c>
      <c r="G140" s="552"/>
      <c r="H140" s="552"/>
      <c r="I140" s="552"/>
      <c r="J140" s="552"/>
      <c r="K140" s="552"/>
      <c r="L140" s="552"/>
      <c r="M140" s="552"/>
      <c r="N140" s="552"/>
      <c r="O140" s="552"/>
    </row>
  </sheetData>
  <sheetProtection formatCells="0" formatColumns="0" formatRows="0"/>
  <mergeCells count="7">
    <mergeCell ref="D7:O7"/>
    <mergeCell ref="C14:D14"/>
    <mergeCell ref="E14:F14"/>
    <mergeCell ref="D26:F26"/>
    <mergeCell ref="G26:I26"/>
    <mergeCell ref="J26:L26"/>
    <mergeCell ref="M26:O26"/>
  </mergeCells>
  <dataValidations count="4">
    <dataValidation allowBlank="1" showInputMessage="1" showErrorMessage="1" promptTitle="Rent Collect Target" prompt="If rent collection is expected to be different from the existing collection rate, enter the expected collection rates here from row 17 to 21 and select &quot;Target&quot;in cell C11." sqref="D17" xr:uid="{F2C9D6A1-7A41-415A-81C8-D7CA5A198702}"/>
    <dataValidation type="list" allowBlank="1" showInputMessage="1" showErrorMessage="1" promptTitle="Rent Collection %" prompt="Select Existing if the current rent collection % will be continued._x000a_Select target if the rent collection is expected to improve and also set the target in cells D17 to D21." sqref="C10" xr:uid="{D06EEC2A-21A5-4790-8CED-F2F525BD4912}">
      <formula1>$C$15:$D$15</formula1>
    </dataValidation>
    <dataValidation type="list" allowBlank="1" showInputMessage="1" showErrorMessage="1" promptTitle="Rent Increase?" prompt="If a rent increase is proposed, enter the % increase from cell F17 to F21 below._x000a_If rentals are to remain at the same level as the prior year, select &quot;None&quot;&quot;." sqref="C11" xr:uid="{D722EE20-446E-4754-9724-5093A35760D0}">
      <formula1>$E$15:$F$15</formula1>
    </dataValidation>
    <dataValidation allowBlank="1" showInputMessage="1" showErrorMessage="1" promptTitle="Rent Increase?" prompt="If a rent increase is proposed, enter the % increase from cell F17 to F21 below." sqref="F17" xr:uid="{05BE84DD-F357-4F6B-94C8-4591096B023D}"/>
  </dataValidations>
  <pageMargins left="0.19685039370078741" right="0.19685039370078741" top="0.35433070866141736" bottom="0.35433070866141736" header="0.19685039370078741" footer="0.11811023622047245"/>
  <pageSetup paperSize="9" scale="46" orientation="landscape" r:id="rId1"/>
  <headerFooter>
    <oddFooter>&amp;R&amp;F &amp;A &amp;D Page &amp;P</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Years" prompt="Select the number of years required to close this programme from 2018/19._x000a_" xr:uid="{7ACA1F64-D0BC-44E1-B48E-6852BF550C05}">
          <x14:formula1>
            <xm:f>'14. Permanent Info'!$J$7:$J$23</xm:f>
          </x14:formula1>
          <xm:sqref>C9</xm:sqref>
        </x14:dataValidation>
        <x14:dataValidation type="list" allowBlank="1" showInputMessage="1" showErrorMessage="1" promptTitle="Scenario Selector" prompt="Select the Scenario to be projected AFTER Defining the Scenario using the Input Areas and Selection Boxes in the turquoise area between cell F13 and i17. " xr:uid="{C8DFEE28-C870-406F-BADE-5DE14B8F236C}">
          <x14:formula1>
            <xm:f>'14. Permanent Info'!$D$7:$D$11</xm:f>
          </x14:formula1>
          <xm:sqref>C7</xm:sqref>
        </x14:dataValidation>
        <x14:dataValidation type="list" allowBlank="1" showInputMessage="1" showErrorMessage="1" promptTitle="Select Province" prompt="Select province from the list, or select Total to see the national view. " xr:uid="{A7B7B2A4-09ED-439D-9E2B-E79F6C43DAFC}">
          <x14:formula1>
            <xm:f>'14. Permanent Info'!$C$7:$C$12</xm:f>
          </x14:formula1>
          <xm:sqref>C6</xm:sqref>
        </x14:dataValidation>
        <x14:dataValidation type="list" allowBlank="1" showInputMessage="1" showErrorMessage="1" promptTitle="Basis of EEDB Calculation" prompt="It is proposed to use the EEDBS to settle outstanding debt owing by occupants. If the fixed EEDBS rate of R7,500 is to be used, select &quot;Fixed&quot;._x000a_If the EEDBS amount is to flexible and sufficient to cover the outstanding debt, select &quot;Calc&quot;." xr:uid="{83EAB082-E0D4-4BC5-985E-6A1E663E150C}">
          <x14:formula1>
            <xm:f>'14. Permanent Info'!$M$7:$N$7</xm:f>
          </x14:formula1>
          <xm:sqref>C12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38A19-246C-419E-B466-1B72D9034E68}">
  <sheetPr>
    <tabColor theme="5" tint="0.79998168889431442"/>
    <pageSetUpPr fitToPage="1"/>
  </sheetPr>
  <dimension ref="A1:AY140"/>
  <sheetViews>
    <sheetView showGridLines="0" zoomScale="75" zoomScaleNormal="75" zoomScaleSheetLayoutView="75" workbookViewId="0">
      <selection activeCell="D26" sqref="D26"/>
    </sheetView>
  </sheetViews>
  <sheetFormatPr defaultRowHeight="14.25" outlineLevelRow="1" x14ac:dyDescent="0.45"/>
  <cols>
    <col min="1" max="1" width="4" customWidth="1"/>
    <col min="2" max="2" width="50.796875" customWidth="1"/>
    <col min="3" max="3" width="11.265625" customWidth="1"/>
    <col min="4" max="4" width="19.46484375" customWidth="1"/>
    <col min="5" max="5" width="21.53125" customWidth="1"/>
    <col min="6" max="6" width="13.73046875" bestFit="1" customWidth="1"/>
    <col min="7" max="7" width="14.796875" customWidth="1"/>
    <col min="24" max="24" width="21.265625" customWidth="1"/>
    <col min="28" max="34" width="14.46484375" bestFit="1" customWidth="1"/>
    <col min="35" max="51" width="16.265625" bestFit="1" customWidth="1"/>
  </cols>
  <sheetData>
    <row r="1" spans="1:51" ht="21" x14ac:dyDescent="0.65">
      <c r="B1" s="60" t="s">
        <v>91</v>
      </c>
      <c r="I1" s="4"/>
      <c r="J1" s="4"/>
      <c r="K1" s="4"/>
      <c r="L1" s="4"/>
      <c r="M1" s="4"/>
      <c r="N1" s="4"/>
      <c r="O1" s="4"/>
      <c r="P1" s="4"/>
      <c r="Q1" s="4"/>
      <c r="R1" s="4"/>
      <c r="S1" s="4"/>
      <c r="T1" s="4"/>
      <c r="U1" s="4"/>
      <c r="V1" s="4"/>
    </row>
    <row r="2" spans="1:51" ht="21" x14ac:dyDescent="0.65">
      <c r="B2" s="60" t="s">
        <v>1496</v>
      </c>
      <c r="I2" s="4"/>
      <c r="J2" s="4"/>
      <c r="K2" s="4"/>
      <c r="L2" s="4"/>
      <c r="M2" s="4"/>
      <c r="N2" s="4"/>
      <c r="O2" s="4"/>
      <c r="P2" s="4"/>
      <c r="Q2" s="4"/>
      <c r="R2" s="4"/>
      <c r="S2" s="4"/>
      <c r="T2" s="4"/>
      <c r="U2" s="4"/>
      <c r="V2" s="4"/>
      <c r="AA2" s="803">
        <v>0</v>
      </c>
      <c r="AB2" s="803" t="s">
        <v>102</v>
      </c>
      <c r="AC2" s="803" t="s">
        <v>103</v>
      </c>
      <c r="AD2" s="803" t="s">
        <v>104</v>
      </c>
      <c r="AE2" s="803" t="s">
        <v>1345</v>
      </c>
      <c r="AF2" s="803" t="s">
        <v>1346</v>
      </c>
      <c r="AG2" s="803" t="s">
        <v>1347</v>
      </c>
      <c r="AH2" s="803" t="s">
        <v>1348</v>
      </c>
      <c r="AI2" s="803" t="s">
        <v>1349</v>
      </c>
      <c r="AJ2" s="803" t="s">
        <v>1350</v>
      </c>
      <c r="AK2" s="803" t="s">
        <v>1351</v>
      </c>
      <c r="AL2" s="803" t="s">
        <v>1352</v>
      </c>
      <c r="AM2" s="803" t="s">
        <v>1353</v>
      </c>
      <c r="AN2" s="803" t="s">
        <v>1354</v>
      </c>
      <c r="AO2" s="803" t="s">
        <v>1355</v>
      </c>
      <c r="AP2" s="803" t="s">
        <v>1410</v>
      </c>
      <c r="AQ2" s="803" t="s">
        <v>1411</v>
      </c>
      <c r="AR2" s="803" t="s">
        <v>1412</v>
      </c>
      <c r="AS2" s="803" t="s">
        <v>1413</v>
      </c>
      <c r="AT2" s="803" t="s">
        <v>1414</v>
      </c>
      <c r="AU2" s="803" t="s">
        <v>1415</v>
      </c>
      <c r="AV2" s="803" t="s">
        <v>1416</v>
      </c>
      <c r="AW2" s="803" t="s">
        <v>1417</v>
      </c>
      <c r="AX2" s="803" t="s">
        <v>1418</v>
      </c>
      <c r="AY2" s="803" t="s">
        <v>1419</v>
      </c>
    </row>
    <row r="3" spans="1:51" x14ac:dyDescent="0.45">
      <c r="C3" s="1106" t="s">
        <v>1608</v>
      </c>
      <c r="D3" s="553"/>
      <c r="E3" s="553"/>
      <c r="F3" s="796"/>
      <c r="I3" s="4"/>
      <c r="J3" s="4"/>
      <c r="K3" s="4"/>
      <c r="L3" s="4"/>
      <c r="M3" s="4"/>
      <c r="N3" s="4"/>
      <c r="O3" s="4"/>
      <c r="P3" s="4"/>
      <c r="Q3" s="4"/>
      <c r="R3" s="4"/>
      <c r="S3" s="4"/>
      <c r="T3" s="4"/>
      <c r="U3" s="4"/>
      <c r="V3" s="4"/>
      <c r="AA3" s="803" t="s">
        <v>1538</v>
      </c>
      <c r="AB3" s="1105">
        <v>-112639142.49333334</v>
      </c>
      <c r="AC3" s="1105">
        <v>-120020127.89333332</v>
      </c>
      <c r="AD3" s="1105">
        <v>-128289183.36000001</v>
      </c>
      <c r="AE3" s="1105">
        <v>-131948176.67010787</v>
      </c>
      <c r="AF3" s="1105">
        <v>-128772071.22519906</v>
      </c>
      <c r="AG3" s="1105">
        <v>-125352126.05131693</v>
      </c>
      <c r="AH3" s="1105">
        <v>-126956932.24841155</v>
      </c>
      <c r="AI3" s="1105">
        <v>-126155549.41692396</v>
      </c>
      <c r="AJ3" s="1105">
        <v>-124849979.70312493</v>
      </c>
      <c r="AK3" s="1105">
        <v>-122987708.90222576</v>
      </c>
      <c r="AL3" s="1105">
        <v>-120511971.41223007</v>
      </c>
      <c r="AM3" s="1105">
        <v>-117361441.43571034</v>
      </c>
      <c r="AN3" s="1105">
        <v>-113469903.07425649</v>
      </c>
      <c r="AO3" s="1105">
        <v>-108765897.92790511</v>
      </c>
      <c r="AP3" s="1105">
        <v>-103172348.7230612</v>
      </c>
      <c r="AQ3" s="1105">
        <v>-96606157.398058683</v>
      </c>
      <c r="AR3" s="1105">
        <v>-88977775.975225061</v>
      </c>
      <c r="AS3" s="1105">
        <v>-80190748.441757485</v>
      </c>
      <c r="AT3" s="1105">
        <v>-70141221.748490617</v>
      </c>
      <c r="AU3" s="1105">
        <v>-58717423.915335566</v>
      </c>
      <c r="AV3" s="1105">
        <v>-45799107.104352199</v>
      </c>
      <c r="AW3" s="1105">
        <v>-31256953.38562502</v>
      </c>
      <c r="AX3" s="1105">
        <v>-292672.82400684012</v>
      </c>
      <c r="AY3" s="1105">
        <v>0</v>
      </c>
    </row>
    <row r="4" spans="1:51" x14ac:dyDescent="0.45">
      <c r="C4" s="1107" t="s">
        <v>1612</v>
      </c>
      <c r="D4" s="931"/>
      <c r="E4" s="931"/>
      <c r="F4" s="932"/>
      <c r="AA4" s="803" t="s">
        <v>1575</v>
      </c>
      <c r="AB4" s="1105">
        <v>-17923184</v>
      </c>
      <c r="AC4" s="1105">
        <v>-17604545</v>
      </c>
      <c r="AD4" s="1105">
        <v>-10717984</v>
      </c>
      <c r="AE4" s="1105">
        <v>-3855000</v>
      </c>
      <c r="AF4" s="1105">
        <v>-3855000</v>
      </c>
      <c r="AG4" s="1105">
        <v>-3570000</v>
      </c>
      <c r="AH4" s="1105">
        <v>-1695000</v>
      </c>
      <c r="AI4" s="1105">
        <v>-1695000</v>
      </c>
      <c r="AJ4" s="1105">
        <v>-1695000</v>
      </c>
      <c r="AK4" s="1105">
        <v>-1695000</v>
      </c>
      <c r="AL4" s="1105">
        <v>-1695000</v>
      </c>
      <c r="AM4" s="1105">
        <v>-1695000</v>
      </c>
      <c r="AN4" s="1105">
        <v>-1695000</v>
      </c>
      <c r="AO4" s="1105">
        <v>-1695000</v>
      </c>
      <c r="AP4" s="1105">
        <v>-1695000</v>
      </c>
      <c r="AQ4" s="1105">
        <v>-1695000</v>
      </c>
      <c r="AR4" s="1105">
        <v>-1695000</v>
      </c>
      <c r="AS4" s="1105">
        <v>-1695000</v>
      </c>
      <c r="AT4" s="1105">
        <v>-1695000</v>
      </c>
      <c r="AU4" s="1105">
        <v>-1695000</v>
      </c>
      <c r="AV4" s="1105">
        <v>-1695000</v>
      </c>
      <c r="AW4" s="1105">
        <v>-1695000</v>
      </c>
      <c r="AX4" s="1105">
        <v>-737241641.34717083</v>
      </c>
      <c r="AY4" s="1105">
        <v>0</v>
      </c>
    </row>
    <row r="5" spans="1:51" ht="21" x14ac:dyDescent="0.65">
      <c r="B5" s="60" t="s">
        <v>1095</v>
      </c>
      <c r="I5" s="60"/>
    </row>
    <row r="6" spans="1:51" x14ac:dyDescent="0.45">
      <c r="A6" s="4"/>
      <c r="B6" s="950" t="s">
        <v>1561</v>
      </c>
      <c r="C6" s="1083" t="s">
        <v>11</v>
      </c>
      <c r="D6" s="553"/>
      <c r="E6" s="553"/>
      <c r="F6" s="553"/>
      <c r="G6" s="796"/>
      <c r="I6" s="795"/>
      <c r="J6" s="553"/>
      <c r="K6" s="553"/>
      <c r="L6" s="553"/>
      <c r="M6" s="553"/>
      <c r="N6" s="553"/>
      <c r="O6" s="553"/>
      <c r="P6" s="553"/>
      <c r="Q6" s="553"/>
      <c r="R6" s="553"/>
      <c r="S6" s="553"/>
      <c r="T6" s="553"/>
      <c r="U6" s="553"/>
      <c r="V6" s="796"/>
    </row>
    <row r="7" spans="1:51" x14ac:dyDescent="0.45">
      <c r="A7" s="4"/>
      <c r="B7" s="304" t="s">
        <v>1484</v>
      </c>
      <c r="C7" s="1083" t="s">
        <v>1406</v>
      </c>
      <c r="D7" s="1346" t="str">
        <f>IF($C$7='14. Permanent Info'!$D$7,'14. Permanent Info'!$E$7,IF($C$7='14. Permanent Info'!$D$8,'14. Permanent Info'!$E$8,IF($C$7='14. Permanent Info'!$D$9,'14. Permanent Info'!$E$9,IF($C$7='14. Permanent Info'!$D$10,'14. Permanent Info'!$E$10,IF($C$7='14. Permanent Info'!$D$11,'14. Permanent Info'!$E$11,0)))))</f>
        <v>Base Case</v>
      </c>
      <c r="E7" s="1346"/>
      <c r="F7" s="1346"/>
      <c r="G7" s="1349"/>
      <c r="I7" s="948"/>
      <c r="J7" s="4"/>
      <c r="K7" s="4"/>
      <c r="L7" s="4"/>
      <c r="M7" s="4"/>
      <c r="N7" s="4"/>
      <c r="O7" s="4"/>
      <c r="P7" s="4"/>
      <c r="Q7" s="4"/>
      <c r="R7" s="4"/>
      <c r="S7" s="4"/>
      <c r="T7" s="4"/>
      <c r="U7" s="4"/>
      <c r="V7" s="930"/>
    </row>
    <row r="8" spans="1:51" x14ac:dyDescent="0.45">
      <c r="A8" s="4"/>
      <c r="B8" s="304" t="s">
        <v>1497</v>
      </c>
      <c r="C8" s="558"/>
      <c r="D8" s="4"/>
      <c r="E8" s="4"/>
      <c r="F8" s="4"/>
      <c r="G8" s="930"/>
      <c r="I8" s="948"/>
      <c r="J8" s="4"/>
      <c r="K8" s="4"/>
      <c r="L8" s="4"/>
      <c r="M8" s="4"/>
      <c r="N8" s="4"/>
      <c r="O8" s="4"/>
      <c r="P8" s="4"/>
      <c r="Q8" s="4"/>
      <c r="R8" s="4"/>
      <c r="S8" s="4"/>
      <c r="T8" s="4"/>
      <c r="U8" s="4"/>
      <c r="V8" s="930"/>
    </row>
    <row r="9" spans="1:51" x14ac:dyDescent="0.45">
      <c r="A9" s="4"/>
      <c r="B9" s="964" t="s">
        <v>1507</v>
      </c>
      <c r="C9" s="17">
        <v>17</v>
      </c>
      <c r="D9" s="962"/>
      <c r="E9" s="963"/>
      <c r="F9" s="963"/>
      <c r="G9" s="930"/>
      <c r="I9" s="948"/>
      <c r="J9" s="4"/>
      <c r="K9" s="4"/>
      <c r="L9" s="4"/>
      <c r="M9" s="4"/>
      <c r="N9" s="4"/>
      <c r="O9" s="4"/>
      <c r="P9" s="4"/>
      <c r="Q9" s="4"/>
      <c r="R9" s="4"/>
      <c r="S9" s="4"/>
      <c r="T9" s="4"/>
      <c r="U9" s="4"/>
      <c r="V9" s="930"/>
    </row>
    <row r="10" spans="1:51" ht="15.75" x14ac:dyDescent="0.45">
      <c r="A10" s="4"/>
      <c r="B10" s="964" t="s">
        <v>1438</v>
      </c>
      <c r="C10" s="1032" t="s">
        <v>1435</v>
      </c>
      <c r="D10" s="962"/>
      <c r="E10" s="963"/>
      <c r="F10" s="963"/>
      <c r="G10" s="930"/>
      <c r="I10" s="948"/>
      <c r="J10" s="4"/>
      <c r="K10" s="4"/>
      <c r="L10" s="4"/>
      <c r="M10" s="4"/>
      <c r="N10" s="4"/>
      <c r="O10" s="4"/>
      <c r="P10" s="4"/>
      <c r="Q10" s="4"/>
      <c r="R10" s="4"/>
      <c r="S10" s="4"/>
      <c r="T10" s="4"/>
      <c r="U10" s="4"/>
      <c r="V10" s="930"/>
    </row>
    <row r="11" spans="1:51" ht="15.75" x14ac:dyDescent="0.45">
      <c r="A11" s="4"/>
      <c r="B11" s="964" t="s">
        <v>1426</v>
      </c>
      <c r="C11" s="1032" t="s">
        <v>1436</v>
      </c>
      <c r="D11" s="962"/>
      <c r="E11" s="963"/>
      <c r="F11" s="963"/>
      <c r="G11" s="930"/>
      <c r="I11" s="948"/>
      <c r="J11" s="4"/>
      <c r="K11" s="4"/>
      <c r="L11" s="4"/>
      <c r="M11" s="4"/>
      <c r="N11" s="4"/>
      <c r="O11" s="4"/>
      <c r="P11" s="4"/>
      <c r="Q11" s="4"/>
      <c r="R11" s="4"/>
      <c r="S11" s="4"/>
      <c r="T11" s="4"/>
      <c r="U11" s="4"/>
      <c r="V11" s="930"/>
    </row>
    <row r="12" spans="1:51" ht="15.75" x14ac:dyDescent="0.45">
      <c r="A12" s="4"/>
      <c r="B12" s="964" t="s">
        <v>1446</v>
      </c>
      <c r="C12" s="1033" t="s">
        <v>1447</v>
      </c>
      <c r="D12" s="962"/>
      <c r="E12" s="963"/>
      <c r="F12" s="963"/>
      <c r="G12" s="930"/>
      <c r="I12" s="948"/>
      <c r="J12" s="4"/>
      <c r="K12" s="4"/>
      <c r="L12" s="4"/>
      <c r="M12" s="4"/>
      <c r="N12" s="4"/>
      <c r="O12" s="4"/>
      <c r="P12" s="4"/>
      <c r="Q12" s="4"/>
      <c r="R12" s="4"/>
      <c r="S12" s="4"/>
      <c r="T12" s="4"/>
      <c r="U12" s="4"/>
      <c r="V12" s="930"/>
    </row>
    <row r="13" spans="1:51" x14ac:dyDescent="0.45">
      <c r="A13" s="930"/>
      <c r="B13" s="949"/>
      <c r="C13" s="931"/>
      <c r="D13" s="931"/>
      <c r="E13" s="931"/>
      <c r="F13" s="931"/>
      <c r="G13" s="932"/>
      <c r="I13" s="948"/>
      <c r="J13" s="4"/>
      <c r="K13" s="4"/>
      <c r="L13" s="4"/>
      <c r="M13" s="4"/>
      <c r="N13" s="4"/>
      <c r="O13" s="4"/>
      <c r="P13" s="4"/>
      <c r="Q13" s="4"/>
      <c r="R13" s="4"/>
      <c r="S13" s="4"/>
      <c r="T13" s="4"/>
      <c r="U13" s="4"/>
      <c r="V13" s="930"/>
    </row>
    <row r="14" spans="1:51" x14ac:dyDescent="0.45">
      <c r="A14" s="930"/>
      <c r="B14" s="795"/>
      <c r="C14" s="1344" t="s">
        <v>1425</v>
      </c>
      <c r="D14" s="1345"/>
      <c r="E14" s="1344" t="s">
        <v>1426</v>
      </c>
      <c r="F14" s="1345"/>
      <c r="G14" s="930"/>
      <c r="I14" s="948"/>
      <c r="J14" s="4"/>
      <c r="K14" s="4"/>
      <c r="L14" s="4"/>
      <c r="M14" s="4"/>
      <c r="N14" s="4"/>
      <c r="O14" s="4"/>
      <c r="P14" s="4"/>
      <c r="Q14" s="4"/>
      <c r="R14" s="4"/>
      <c r="S14" s="4"/>
      <c r="T14" s="4"/>
      <c r="U14" s="4"/>
      <c r="V14" s="930"/>
    </row>
    <row r="15" spans="1:51" x14ac:dyDescent="0.45">
      <c r="A15" s="4"/>
      <c r="B15" s="948"/>
      <c r="C15" s="1080" t="s">
        <v>1435</v>
      </c>
      <c r="D15" s="1080" t="s">
        <v>1437</v>
      </c>
      <c r="E15" s="1080" t="s">
        <v>1436</v>
      </c>
      <c r="F15" s="1079" t="s">
        <v>1439</v>
      </c>
      <c r="G15" s="930"/>
      <c r="I15" s="948"/>
      <c r="J15" s="4"/>
      <c r="K15" s="4"/>
      <c r="L15" s="4"/>
      <c r="M15" s="4"/>
      <c r="N15" s="4"/>
      <c r="O15" s="4"/>
      <c r="P15" s="4"/>
      <c r="Q15" s="4"/>
      <c r="R15" s="4"/>
      <c r="S15" s="4"/>
      <c r="T15" s="4"/>
      <c r="U15" s="4"/>
      <c r="V15" s="930"/>
    </row>
    <row r="16" spans="1:51" ht="57" x14ac:dyDescent="0.45">
      <c r="A16" s="4"/>
      <c r="B16" s="948"/>
      <c r="C16" s="841" t="s">
        <v>1440</v>
      </c>
      <c r="D16" s="841" t="s">
        <v>1432</v>
      </c>
      <c r="E16" s="841" t="s">
        <v>1427</v>
      </c>
      <c r="F16" s="841" t="s">
        <v>1433</v>
      </c>
      <c r="G16" s="930"/>
      <c r="I16" s="948"/>
      <c r="J16" s="4"/>
      <c r="K16" s="4"/>
      <c r="L16" s="4"/>
      <c r="M16" s="4"/>
      <c r="N16" s="4"/>
      <c r="O16" s="4"/>
      <c r="P16" s="4"/>
      <c r="Q16" s="4"/>
      <c r="R16" s="4"/>
      <c r="S16" s="4"/>
      <c r="T16" s="4"/>
      <c r="U16" s="4"/>
      <c r="V16" s="930"/>
    </row>
    <row r="17" spans="1:51" x14ac:dyDescent="0.45">
      <c r="A17" s="4"/>
      <c r="B17" s="948" t="str">
        <f>'14. Permanent Info'!C7</f>
        <v>EC</v>
      </c>
      <c r="C17" s="843">
        <f>'10. Inputs &amp; Calcs'!H565</f>
        <v>0.64104385848248757</v>
      </c>
      <c r="D17" s="1034">
        <v>0.75</v>
      </c>
      <c r="E17" s="1035">
        <f>'10. Inputs &amp; Calcs'!I529</f>
        <v>0</v>
      </c>
      <c r="F17" s="1036">
        <v>0.05</v>
      </c>
      <c r="G17" s="930"/>
      <c r="I17" s="948"/>
      <c r="J17" s="4"/>
      <c r="K17" s="4"/>
      <c r="L17" s="4"/>
      <c r="M17" s="4"/>
      <c r="N17" s="4"/>
      <c r="O17" s="4"/>
      <c r="P17" s="4"/>
      <c r="Q17" s="4"/>
      <c r="R17" s="4"/>
      <c r="S17" s="4"/>
      <c r="T17" s="4"/>
      <c r="U17" s="4"/>
      <c r="V17" s="930"/>
    </row>
    <row r="18" spans="1:51" x14ac:dyDescent="0.45">
      <c r="A18" s="4"/>
      <c r="B18" s="948" t="str">
        <f>'14. Permanent Info'!C8</f>
        <v>FS</v>
      </c>
      <c r="C18" s="843">
        <f>'10. Inputs &amp; Calcs'!H566</f>
        <v>0</v>
      </c>
      <c r="D18" s="1034">
        <v>0.3</v>
      </c>
      <c r="E18" s="1035">
        <f>'10. Inputs &amp; Calcs'!I530</f>
        <v>0</v>
      </c>
      <c r="F18" s="1036">
        <v>0.05</v>
      </c>
      <c r="G18" s="930"/>
      <c r="I18" s="948"/>
      <c r="J18" s="4"/>
      <c r="K18" s="4"/>
      <c r="L18" s="4"/>
      <c r="M18" s="4"/>
      <c r="N18" s="4"/>
      <c r="O18" s="4"/>
      <c r="P18" s="4"/>
      <c r="Q18" s="4"/>
      <c r="R18" s="4"/>
      <c r="S18" s="4"/>
      <c r="T18" s="4"/>
      <c r="U18" s="4"/>
      <c r="V18" s="930"/>
    </row>
    <row r="19" spans="1:51" x14ac:dyDescent="0.45">
      <c r="A19" s="4"/>
      <c r="B19" s="948" t="str">
        <f>'14. Permanent Info'!C9</f>
        <v>Gau</v>
      </c>
      <c r="C19" s="843">
        <f>'10. Inputs &amp; Calcs'!H567</f>
        <v>3.7905623003453709E-2</v>
      </c>
      <c r="D19" s="1034">
        <v>0.15</v>
      </c>
      <c r="E19" s="1035">
        <f>'10. Inputs &amp; Calcs'!I531</f>
        <v>0</v>
      </c>
      <c r="F19" s="1036">
        <v>0.05</v>
      </c>
      <c r="G19" s="930"/>
      <c r="I19" s="948"/>
      <c r="J19" s="4"/>
      <c r="K19" s="4"/>
      <c r="L19" s="4"/>
      <c r="M19" s="4"/>
      <c r="N19" s="4"/>
      <c r="O19" s="4"/>
      <c r="P19" s="4"/>
      <c r="Q19" s="4"/>
      <c r="R19" s="4"/>
      <c r="S19" s="4"/>
      <c r="T19" s="4"/>
      <c r="U19" s="4"/>
      <c r="V19" s="930"/>
    </row>
    <row r="20" spans="1:51" x14ac:dyDescent="0.45">
      <c r="A20" s="4"/>
      <c r="B20" s="948" t="str">
        <f>'14. Permanent Info'!C10</f>
        <v>KZN</v>
      </c>
      <c r="C20" s="843">
        <f>'10. Inputs &amp; Calcs'!H568</f>
        <v>0.2765409995924219</v>
      </c>
      <c r="D20" s="1034">
        <v>0.45</v>
      </c>
      <c r="E20" s="1035">
        <f>'10. Inputs &amp; Calcs'!I532</f>
        <v>0</v>
      </c>
      <c r="F20" s="1036">
        <v>0.05</v>
      </c>
      <c r="G20" s="930"/>
      <c r="I20" s="948"/>
      <c r="J20" s="4"/>
      <c r="K20" s="4"/>
      <c r="L20" s="4"/>
      <c r="M20" s="4"/>
      <c r="N20" s="4"/>
      <c r="O20" s="4"/>
      <c r="P20" s="4"/>
      <c r="Q20" s="4"/>
      <c r="R20" s="4"/>
      <c r="S20" s="4"/>
      <c r="T20" s="4"/>
      <c r="U20" s="4"/>
      <c r="V20" s="930"/>
    </row>
    <row r="21" spans="1:51" x14ac:dyDescent="0.45">
      <c r="A21" s="4"/>
      <c r="B21" s="948" t="str">
        <f>'14. Permanent Info'!C11</f>
        <v>WC</v>
      </c>
      <c r="C21" s="844">
        <f>'10. Inputs &amp; Calcs'!H569</f>
        <v>0.76546080658513083</v>
      </c>
      <c r="D21" s="1037">
        <v>0.85</v>
      </c>
      <c r="E21" s="1038">
        <f>'10. Inputs &amp; Calcs'!I533</f>
        <v>0</v>
      </c>
      <c r="F21" s="1039">
        <v>0.05</v>
      </c>
      <c r="G21" s="930"/>
      <c r="I21" s="948"/>
      <c r="J21" s="4"/>
      <c r="K21" s="4"/>
      <c r="L21" s="4"/>
      <c r="M21" s="4"/>
      <c r="N21" s="4"/>
      <c r="O21" s="4"/>
      <c r="P21" s="4"/>
      <c r="Q21" s="4"/>
      <c r="R21" s="4"/>
      <c r="S21" s="4"/>
      <c r="T21" s="4"/>
      <c r="U21" s="4"/>
      <c r="V21" s="930"/>
    </row>
    <row r="22" spans="1:51" ht="14.65" thickBot="1" x14ac:dyDescent="0.5">
      <c r="A22" s="4"/>
      <c r="B22" s="948"/>
      <c r="C22" s="842">
        <f>ROUND('10. Inputs &amp; Calcs'!H570,2)</f>
        <v>0.27</v>
      </c>
      <c r="D22" s="1108">
        <f>ROUND(SUMPRODUCT('10. Inputs &amp; Calcs'!L565:L569,'10. Inputs &amp; Calcs'!$H$520:$H$524)/'10. Inputs &amp; Calcs'!$H$525,2)</f>
        <v>0.27</v>
      </c>
      <c r="E22" s="1108">
        <f>ROUND('10. Inputs &amp; Calcs'!I534,0)</f>
        <v>0</v>
      </c>
      <c r="F22" s="1109">
        <f>ROUND(SUMPRODUCT('10. Inputs &amp; Calcs'!L529:L533,'10. Inputs &amp; Calcs'!$H$520:$H$524)/'10. Inputs &amp; Calcs'!$H$525,2)</f>
        <v>0</v>
      </c>
      <c r="G22" s="930"/>
      <c r="I22" s="948"/>
      <c r="J22" s="4"/>
      <c r="K22" s="4"/>
      <c r="L22" s="4"/>
      <c r="M22" s="4"/>
      <c r="N22" s="4"/>
      <c r="O22" s="4"/>
      <c r="P22" s="4"/>
      <c r="Q22" s="4"/>
      <c r="R22" s="4"/>
      <c r="S22" s="4"/>
      <c r="T22" s="4"/>
      <c r="U22" s="4"/>
      <c r="V22" s="930"/>
    </row>
    <row r="23" spans="1:51" ht="14.65" thickTop="1" x14ac:dyDescent="0.45">
      <c r="A23" s="4"/>
      <c r="B23" s="949"/>
      <c r="C23" s="931" t="s">
        <v>1462</v>
      </c>
      <c r="D23" s="986">
        <f>'10. Inputs &amp; Calcs'!L570</f>
        <v>0.27446863791168158</v>
      </c>
      <c r="E23" s="931"/>
      <c r="F23" s="986">
        <f>'10. Inputs &amp; Calcs'!L534</f>
        <v>0</v>
      </c>
      <c r="G23" s="932"/>
      <c r="I23" s="948"/>
      <c r="J23" s="4"/>
      <c r="K23" s="4"/>
      <c r="L23" s="4"/>
      <c r="M23" s="4"/>
      <c r="N23" s="4"/>
      <c r="O23" s="4"/>
      <c r="P23" s="4"/>
      <c r="Q23" s="4"/>
      <c r="R23" s="4"/>
      <c r="S23" s="4"/>
      <c r="T23" s="4"/>
      <c r="U23" s="4"/>
      <c r="V23" s="930"/>
    </row>
    <row r="24" spans="1:51" x14ac:dyDescent="0.45">
      <c r="I24" s="948"/>
      <c r="J24" s="4"/>
      <c r="K24" s="4"/>
      <c r="L24" s="4"/>
      <c r="M24" s="4"/>
      <c r="N24" s="4"/>
      <c r="O24" s="4"/>
      <c r="P24" s="4"/>
      <c r="Q24" s="4"/>
      <c r="R24" s="4"/>
      <c r="S24" s="4"/>
      <c r="T24" s="4"/>
      <c r="U24" s="4"/>
      <c r="V24" s="930"/>
    </row>
    <row r="25" spans="1:51" ht="4.5" customHeight="1" x14ac:dyDescent="0.45">
      <c r="I25" s="948"/>
      <c r="J25" s="4"/>
      <c r="K25" s="4"/>
      <c r="L25" s="4"/>
      <c r="M25" s="4"/>
      <c r="N25" s="4"/>
      <c r="O25" s="4"/>
      <c r="P25" s="4"/>
      <c r="Q25" s="4"/>
      <c r="R25" s="4"/>
      <c r="S25" s="4"/>
      <c r="T25" s="4"/>
      <c r="U25" s="4"/>
      <c r="V25" s="930"/>
    </row>
    <row r="26" spans="1:51" ht="21" x14ac:dyDescent="0.65">
      <c r="B26" s="60" t="s">
        <v>1098</v>
      </c>
      <c r="I26" s="948"/>
      <c r="J26" s="4"/>
      <c r="K26" s="4"/>
      <c r="L26" s="4"/>
      <c r="M26" s="4"/>
      <c r="N26" s="4"/>
      <c r="O26" s="4"/>
      <c r="P26" s="4"/>
      <c r="Q26" s="4"/>
      <c r="R26" s="4"/>
      <c r="S26" s="4"/>
      <c r="T26" s="4"/>
      <c r="U26" s="4"/>
      <c r="V26" s="930"/>
      <c r="AA26" s="451" t="s">
        <v>1698</v>
      </c>
    </row>
    <row r="27" spans="1:51" ht="28.5" x14ac:dyDescent="0.45">
      <c r="B27" s="1043"/>
      <c r="C27" s="1044"/>
      <c r="D27" s="1045" t="s">
        <v>1514</v>
      </c>
      <c r="E27" s="1046" t="s">
        <v>1498</v>
      </c>
      <c r="F27" s="1047"/>
      <c r="G27" s="1048"/>
      <c r="I27" s="948"/>
      <c r="J27" s="4"/>
      <c r="K27" s="4"/>
      <c r="L27" s="4"/>
      <c r="M27" s="4"/>
      <c r="N27" s="4"/>
      <c r="O27" s="4"/>
      <c r="P27" s="4"/>
      <c r="Q27" s="4"/>
      <c r="R27" s="4"/>
      <c r="S27" s="4"/>
      <c r="T27" s="4"/>
      <c r="U27" s="4"/>
      <c r="V27" s="930"/>
      <c r="AA27" s="803"/>
      <c r="AB27" s="803" t="s">
        <v>102</v>
      </c>
      <c r="AC27" s="803" t="s">
        <v>103</v>
      </c>
      <c r="AD27" s="803" t="s">
        <v>104</v>
      </c>
      <c r="AE27" s="803" t="s">
        <v>1345</v>
      </c>
      <c r="AF27" s="803" t="s">
        <v>1346</v>
      </c>
      <c r="AG27" s="803" t="s">
        <v>1347</v>
      </c>
      <c r="AH27" s="803" t="s">
        <v>1348</v>
      </c>
      <c r="AI27" s="803" t="s">
        <v>1349</v>
      </c>
      <c r="AJ27" s="803" t="s">
        <v>1350</v>
      </c>
      <c r="AK27" s="803" t="s">
        <v>1351</v>
      </c>
      <c r="AL27" s="803" t="s">
        <v>1352</v>
      </c>
      <c r="AM27" s="803" t="s">
        <v>1353</v>
      </c>
      <c r="AN27" s="803" t="s">
        <v>1354</v>
      </c>
      <c r="AO27" s="803" t="s">
        <v>1355</v>
      </c>
      <c r="AP27" s="803" t="s">
        <v>1410</v>
      </c>
      <c r="AQ27" s="803" t="s">
        <v>1411</v>
      </c>
      <c r="AR27" s="803" t="s">
        <v>1412</v>
      </c>
      <c r="AS27" s="803" t="s">
        <v>1413</v>
      </c>
      <c r="AT27" s="803" t="s">
        <v>1414</v>
      </c>
      <c r="AU27" s="803" t="s">
        <v>1415</v>
      </c>
      <c r="AV27" s="803" t="s">
        <v>1416</v>
      </c>
      <c r="AW27" s="803" t="s">
        <v>1417</v>
      </c>
      <c r="AX27" s="803" t="s">
        <v>1418</v>
      </c>
      <c r="AY27" s="803" t="s">
        <v>1419</v>
      </c>
    </row>
    <row r="28" spans="1:51" x14ac:dyDescent="0.45">
      <c r="B28" s="1049" t="s">
        <v>1551</v>
      </c>
      <c r="C28" s="1050"/>
      <c r="D28" s="1051">
        <v>24526299.226172131</v>
      </c>
      <c r="E28" s="1051">
        <v>78509405.775295377</v>
      </c>
      <c r="F28" s="1051"/>
      <c r="G28" s="1052"/>
      <c r="I28" s="948"/>
      <c r="J28" s="4"/>
      <c r="K28" s="4"/>
      <c r="L28" s="4"/>
      <c r="M28" s="4"/>
      <c r="N28" s="4"/>
      <c r="O28" s="4"/>
      <c r="P28" s="4"/>
      <c r="Q28" s="4"/>
      <c r="R28" s="4"/>
      <c r="S28" s="4"/>
      <c r="T28" s="4"/>
      <c r="U28" s="4"/>
      <c r="V28" s="930"/>
      <c r="AA28" s="803" t="s">
        <v>330</v>
      </c>
      <c r="AB28" s="533">
        <v>13847741.82</v>
      </c>
      <c r="AC28" s="533">
        <v>16595915.43</v>
      </c>
      <c r="AD28" s="533">
        <v>14925625.75</v>
      </c>
      <c r="AE28" s="533">
        <v>11305567.046898484</v>
      </c>
      <c r="AF28" s="533">
        <v>10295775.108026672</v>
      </c>
      <c r="AG28" s="533">
        <v>8369173.8392901234</v>
      </c>
      <c r="AH28" s="533">
        <v>4298208.2229296956</v>
      </c>
      <c r="AI28" s="533">
        <v>4125590.3054568996</v>
      </c>
      <c r="AJ28" s="533">
        <v>3952972.3879841031</v>
      </c>
      <c r="AK28" s="533">
        <v>3780354.470511307</v>
      </c>
      <c r="AL28" s="533">
        <v>3607736.5530385105</v>
      </c>
      <c r="AM28" s="533">
        <v>3435118.6355657149</v>
      </c>
      <c r="AN28" s="533">
        <v>3262500.7180929184</v>
      </c>
      <c r="AO28" s="533">
        <v>3089882.8006201228</v>
      </c>
      <c r="AP28" s="533">
        <v>2917264.8831473263</v>
      </c>
      <c r="AQ28" s="533">
        <v>2744646.9656745302</v>
      </c>
      <c r="AR28" s="533">
        <v>2572029.0482017342</v>
      </c>
      <c r="AS28" s="533">
        <v>2399411.1307289382</v>
      </c>
      <c r="AT28" s="533">
        <v>2226793.2132561421</v>
      </c>
      <c r="AU28" s="533">
        <v>2054175.2957833458</v>
      </c>
      <c r="AV28" s="533">
        <v>1881557.3783105498</v>
      </c>
      <c r="AW28" s="533">
        <v>1708939.4608377537</v>
      </c>
      <c r="AX28" s="533">
        <v>481708.31094021688</v>
      </c>
      <c r="AY28" s="533">
        <v>0</v>
      </c>
    </row>
    <row r="29" spans="1:51" x14ac:dyDescent="0.45">
      <c r="B29" s="1049" t="s">
        <v>1510</v>
      </c>
      <c r="C29" s="1050"/>
      <c r="D29" s="1051">
        <v>650828595.54817533</v>
      </c>
      <c r="E29" s="1051">
        <v>2000795573.3586197</v>
      </c>
      <c r="F29" s="1051"/>
      <c r="G29" s="1052"/>
      <c r="I29" s="948"/>
      <c r="J29" s="4"/>
      <c r="K29" s="4"/>
      <c r="L29" s="4"/>
      <c r="M29" s="4"/>
      <c r="N29" s="4"/>
      <c r="O29" s="4"/>
      <c r="P29" s="4"/>
      <c r="Q29" s="4"/>
      <c r="R29" s="4"/>
      <c r="S29" s="4"/>
      <c r="T29" s="4"/>
      <c r="U29" s="4"/>
      <c r="V29" s="930"/>
      <c r="AA29" s="803" t="s">
        <v>369</v>
      </c>
      <c r="AB29" s="533">
        <v>-126486884.31333333</v>
      </c>
      <c r="AC29" s="533">
        <v>-136616043.32333332</v>
      </c>
      <c r="AD29" s="533">
        <v>-143214809.11000001</v>
      </c>
      <c r="AE29" s="533">
        <v>-143253743.71700636</v>
      </c>
      <c r="AF29" s="533">
        <v>-139067846.33322573</v>
      </c>
      <c r="AG29" s="533">
        <v>-133721299.89060706</v>
      </c>
      <c r="AH29" s="533">
        <v>-131255140.47134125</v>
      </c>
      <c r="AI29" s="533">
        <v>-130281139.72238086</v>
      </c>
      <c r="AJ29" s="533">
        <v>-128802952.09110902</v>
      </c>
      <c r="AK29" s="533">
        <v>-126768063.37273706</v>
      </c>
      <c r="AL29" s="533">
        <v>-124119707.96526858</v>
      </c>
      <c r="AM29" s="533">
        <v>-120796560.07127605</v>
      </c>
      <c r="AN29" s="533">
        <v>-116732403.79234941</v>
      </c>
      <c r="AO29" s="533">
        <v>-111855780.72852524</v>
      </c>
      <c r="AP29" s="533">
        <v>-106089613.60620853</v>
      </c>
      <c r="AQ29" s="533">
        <v>-99350804.363733217</v>
      </c>
      <c r="AR29" s="533">
        <v>-91549805.023426801</v>
      </c>
      <c r="AS29" s="533">
        <v>-82590159.57248643</v>
      </c>
      <c r="AT29" s="533">
        <v>-72368014.961746752</v>
      </c>
      <c r="AU29" s="533">
        <v>-60771599.211118914</v>
      </c>
      <c r="AV29" s="533">
        <v>-47680664.482662745</v>
      </c>
      <c r="AW29" s="533">
        <v>-32965892.846462775</v>
      </c>
      <c r="AX29" s="533">
        <v>-774381.134947057</v>
      </c>
      <c r="AY29" s="533">
        <v>0</v>
      </c>
    </row>
    <row r="30" spans="1:51" x14ac:dyDescent="0.45">
      <c r="B30" s="1053" t="s">
        <v>336</v>
      </c>
      <c r="C30" s="1050"/>
      <c r="D30" s="1054">
        <v>95921468.892369315</v>
      </c>
      <c r="E30" s="1054">
        <v>268801320.53464037</v>
      </c>
      <c r="F30" s="1051"/>
      <c r="G30" s="1052"/>
      <c r="I30" s="949"/>
      <c r="J30" s="931"/>
      <c r="K30" s="931"/>
      <c r="L30" s="931"/>
      <c r="M30" s="931"/>
      <c r="N30" s="931"/>
      <c r="O30" s="931"/>
      <c r="P30" s="931"/>
      <c r="Q30" s="931"/>
      <c r="R30" s="931"/>
      <c r="S30" s="931"/>
      <c r="T30" s="931"/>
      <c r="U30" s="931"/>
      <c r="V30" s="932"/>
      <c r="AA30" s="803" t="s">
        <v>371</v>
      </c>
      <c r="AB30" s="533">
        <v>-112639142.49333334</v>
      </c>
      <c r="AC30" s="533">
        <v>-120020127.89333332</v>
      </c>
      <c r="AD30" s="533">
        <v>-128289183.36000001</v>
      </c>
      <c r="AE30" s="533">
        <v>-131948176.67010787</v>
      </c>
      <c r="AF30" s="533">
        <v>-128772071.22519906</v>
      </c>
      <c r="AG30" s="533">
        <v>-125352126.05131693</v>
      </c>
      <c r="AH30" s="533">
        <v>-126956932.24841155</v>
      </c>
      <c r="AI30" s="533">
        <v>-126155549.41692396</v>
      </c>
      <c r="AJ30" s="533">
        <v>-124849979.70312493</v>
      </c>
      <c r="AK30" s="533">
        <v>-122987708.90222576</v>
      </c>
      <c r="AL30" s="533">
        <v>-120511971.41223007</v>
      </c>
      <c r="AM30" s="533">
        <v>-117361441.43571034</v>
      </c>
      <c r="AN30" s="533">
        <v>-113469903.07425649</v>
      </c>
      <c r="AO30" s="533">
        <v>-108765897.92790511</v>
      </c>
      <c r="AP30" s="533">
        <v>-103172348.7230612</v>
      </c>
      <c r="AQ30" s="533">
        <v>-96606157.398058683</v>
      </c>
      <c r="AR30" s="533">
        <v>-88977775.975225061</v>
      </c>
      <c r="AS30" s="533">
        <v>-80190748.441757485</v>
      </c>
      <c r="AT30" s="533">
        <v>-70141221.748490617</v>
      </c>
      <c r="AU30" s="533">
        <v>-58717423.915335566</v>
      </c>
      <c r="AV30" s="533">
        <v>-45799107.104352199</v>
      </c>
      <c r="AW30" s="533">
        <v>-31256953.38562502</v>
      </c>
      <c r="AX30" s="533">
        <v>-292672.82400684012</v>
      </c>
      <c r="AY30" s="533">
        <v>0</v>
      </c>
    </row>
    <row r="31" spans="1:51" x14ac:dyDescent="0.45">
      <c r="B31" s="1053" t="s">
        <v>340</v>
      </c>
      <c r="C31" s="1050"/>
      <c r="D31" s="1055">
        <v>33446331.680249237</v>
      </c>
      <c r="E31" s="1055">
        <v>95065328.031410933</v>
      </c>
      <c r="F31" s="1051"/>
      <c r="G31" s="1052"/>
      <c r="AA31" s="803" t="s">
        <v>1697</v>
      </c>
      <c r="AB31" s="533">
        <v>-112639142.49333334</v>
      </c>
      <c r="AC31" s="533">
        <v>-232659270.38666666</v>
      </c>
      <c r="AD31" s="533">
        <v>-360948453.74666667</v>
      </c>
      <c r="AE31" s="533">
        <v>-492896630.41677451</v>
      </c>
      <c r="AF31" s="533">
        <v>-621668701.64197361</v>
      </c>
      <c r="AG31" s="533">
        <v>-747020827.69329059</v>
      </c>
      <c r="AH31" s="533">
        <v>-873977759.94170213</v>
      </c>
      <c r="AI31" s="533">
        <v>-1000133309.3586261</v>
      </c>
      <c r="AJ31" s="533">
        <v>-1124983289.0617511</v>
      </c>
      <c r="AK31" s="533">
        <v>-1247970997.9639769</v>
      </c>
      <c r="AL31" s="533">
        <v>-1368482969.3762069</v>
      </c>
      <c r="AM31" s="533">
        <v>-1485844410.8119173</v>
      </c>
      <c r="AN31" s="533">
        <v>-1599314313.8861737</v>
      </c>
      <c r="AO31" s="533">
        <v>-1708080211.8140788</v>
      </c>
      <c r="AP31" s="533">
        <v>-1811252560.5371399</v>
      </c>
      <c r="AQ31" s="533">
        <v>-1907858717.9351985</v>
      </c>
      <c r="AR31" s="533">
        <v>-1996836493.9104235</v>
      </c>
      <c r="AS31" s="533">
        <v>-2077027242.352181</v>
      </c>
      <c r="AT31" s="533">
        <v>-2147168464.1006715</v>
      </c>
      <c r="AU31" s="533">
        <v>-2205885888.0160069</v>
      </c>
      <c r="AV31" s="533">
        <v>-2251684995.1203589</v>
      </c>
      <c r="AW31" s="533">
        <v>-2282941948.5059838</v>
      </c>
      <c r="AX31" s="533">
        <v>-2283234621.3299909</v>
      </c>
      <c r="AY31" s="533">
        <v>-2283234621.3299909</v>
      </c>
    </row>
    <row r="32" spans="1:51" x14ac:dyDescent="0.45">
      <c r="B32" s="1053" t="s">
        <v>342</v>
      </c>
      <c r="C32" s="1050"/>
      <c r="D32" s="1055">
        <v>251630849.92652357</v>
      </c>
      <c r="E32" s="1055">
        <v>704365386.98006427</v>
      </c>
      <c r="F32" s="1051"/>
      <c r="G32" s="1052"/>
      <c r="AA32" s="451" t="s">
        <v>1699</v>
      </c>
    </row>
    <row r="33" spans="2:51" x14ac:dyDescent="0.45">
      <c r="B33" s="1053" t="s">
        <v>1042</v>
      </c>
      <c r="C33" s="1050"/>
      <c r="D33" s="1055">
        <v>11775009.802975692</v>
      </c>
      <c r="E33" s="1055">
        <v>57651480.565872036</v>
      </c>
      <c r="F33" s="1051"/>
      <c r="G33" s="1052"/>
      <c r="AA33" s="803" t="s">
        <v>330</v>
      </c>
      <c r="AB33" s="533">
        <v>13847741.82</v>
      </c>
      <c r="AC33" s="533">
        <v>16595915.43</v>
      </c>
      <c r="AD33" s="533">
        <v>14925625.75</v>
      </c>
      <c r="AE33" s="533">
        <v>11305567.046898484</v>
      </c>
      <c r="AF33" s="533">
        <v>10295775.108026672</v>
      </c>
      <c r="AG33" s="533">
        <v>8369173.8392901234</v>
      </c>
      <c r="AH33" s="533">
        <v>4298208.2229296956</v>
      </c>
      <c r="AI33" s="533">
        <v>4125590.3054568996</v>
      </c>
      <c r="AJ33" s="533">
        <v>3952972.3879841031</v>
      </c>
      <c r="AK33" s="533">
        <v>3780354.470511307</v>
      </c>
      <c r="AL33" s="533">
        <v>3607736.5530385105</v>
      </c>
      <c r="AM33" s="533">
        <v>3435118.6355657149</v>
      </c>
      <c r="AN33" s="533">
        <v>3262500.7180929184</v>
      </c>
      <c r="AO33" s="533">
        <v>3089882.8006201228</v>
      </c>
      <c r="AP33" s="533">
        <v>2917264.8831473263</v>
      </c>
      <c r="AQ33" s="533">
        <v>2744646.9656745302</v>
      </c>
      <c r="AR33" s="533">
        <v>2572029.0482017342</v>
      </c>
      <c r="AS33" s="533">
        <v>2399411.1307289382</v>
      </c>
      <c r="AT33" s="533">
        <v>2226793.2132561421</v>
      </c>
      <c r="AU33" s="533">
        <v>2054175.2957833458</v>
      </c>
      <c r="AV33" s="533">
        <v>1881557.3783105498</v>
      </c>
      <c r="AW33" s="533">
        <v>1708939.4608377537</v>
      </c>
      <c r="AX33" s="533">
        <v>481708.31094021688</v>
      </c>
      <c r="AY33" s="533">
        <v>0</v>
      </c>
    </row>
    <row r="34" spans="2:51" x14ac:dyDescent="0.45">
      <c r="B34" s="1053" t="s">
        <v>360</v>
      </c>
      <c r="C34" s="1050"/>
      <c r="D34" s="1055">
        <v>233124509.96204996</v>
      </c>
      <c r="E34" s="1055">
        <v>792055630.31912971</v>
      </c>
      <c r="F34" s="1051"/>
      <c r="G34" s="1052"/>
      <c r="AA34" s="803" t="s">
        <v>369</v>
      </c>
      <c r="AB34" s="533">
        <v>126486884.31333333</v>
      </c>
      <c r="AC34" s="533">
        <v>136616043.32333332</v>
      </c>
      <c r="AD34" s="533">
        <v>143214809.11000001</v>
      </c>
      <c r="AE34" s="533">
        <v>143253743.71700636</v>
      </c>
      <c r="AF34" s="533">
        <v>139067846.33322573</v>
      </c>
      <c r="AG34" s="533">
        <v>133721299.89060707</v>
      </c>
      <c r="AH34" s="533">
        <v>131255140.47134125</v>
      </c>
      <c r="AI34" s="533">
        <v>130281139.72238086</v>
      </c>
      <c r="AJ34" s="533">
        <v>128802952.09110901</v>
      </c>
      <c r="AK34" s="533">
        <v>126768063.37273705</v>
      </c>
      <c r="AL34" s="533">
        <v>124119707.96526858</v>
      </c>
      <c r="AM34" s="533">
        <v>120796560.07127605</v>
      </c>
      <c r="AN34" s="533">
        <v>116732403.79234941</v>
      </c>
      <c r="AO34" s="533">
        <v>111855780.72852524</v>
      </c>
      <c r="AP34" s="533">
        <v>106089613.60620853</v>
      </c>
      <c r="AQ34" s="533">
        <v>99350804.363733202</v>
      </c>
      <c r="AR34" s="533">
        <v>91549805.023426801</v>
      </c>
      <c r="AS34" s="533">
        <v>82590159.57248643</v>
      </c>
      <c r="AT34" s="533">
        <v>72368014.961746752</v>
      </c>
      <c r="AU34" s="533">
        <v>60771599.211118922</v>
      </c>
      <c r="AV34" s="533">
        <v>47680664.482662752</v>
      </c>
      <c r="AW34" s="533">
        <v>32965892.846462775</v>
      </c>
      <c r="AX34" s="533">
        <v>774381.134947057</v>
      </c>
      <c r="AY34" s="533">
        <v>0</v>
      </c>
    </row>
    <row r="35" spans="2:51" x14ac:dyDescent="0.45">
      <c r="B35" s="1053" t="s">
        <v>444</v>
      </c>
      <c r="C35" s="1050"/>
      <c r="D35" s="1056">
        <v>24930425.284007549</v>
      </c>
      <c r="E35" s="1056">
        <v>82856426.927502394</v>
      </c>
      <c r="F35" s="1051"/>
      <c r="G35" s="1052"/>
      <c r="AA35" s="803" t="s">
        <v>371</v>
      </c>
      <c r="AB35" s="533">
        <v>-112639142.49333334</v>
      </c>
      <c r="AC35" s="533">
        <v>-120020127.89333332</v>
      </c>
      <c r="AD35" s="533">
        <v>-128289183.36000001</v>
      </c>
      <c r="AE35" s="533">
        <v>-131948176.67010787</v>
      </c>
      <c r="AF35" s="533">
        <v>-128772071.22519906</v>
      </c>
      <c r="AG35" s="533">
        <v>-125352126.05131695</v>
      </c>
      <c r="AH35" s="533">
        <v>-126956932.24841155</v>
      </c>
      <c r="AI35" s="533">
        <v>-126155549.41692396</v>
      </c>
      <c r="AJ35" s="533">
        <v>-124849979.70312491</v>
      </c>
      <c r="AK35" s="533">
        <v>-122987708.90222575</v>
      </c>
      <c r="AL35" s="533">
        <v>-120511971.41223007</v>
      </c>
      <c r="AM35" s="533">
        <v>-117361441.43571034</v>
      </c>
      <c r="AN35" s="533">
        <v>-113469903.07425649</v>
      </c>
      <c r="AO35" s="533">
        <v>-108765897.92790511</v>
      </c>
      <c r="AP35" s="533">
        <v>-103172348.7230612</v>
      </c>
      <c r="AQ35" s="533">
        <v>-96606157.398058668</v>
      </c>
      <c r="AR35" s="533">
        <v>-88977775.975225061</v>
      </c>
      <c r="AS35" s="533">
        <v>-80190748.441757485</v>
      </c>
      <c r="AT35" s="533">
        <v>-70141221.748490617</v>
      </c>
      <c r="AU35" s="533">
        <v>-58717423.915335573</v>
      </c>
      <c r="AV35" s="533">
        <v>-45799107.104352206</v>
      </c>
      <c r="AW35" s="533">
        <v>-31256953.38562502</v>
      </c>
      <c r="AX35" s="533">
        <v>-292672.82400684012</v>
      </c>
      <c r="AY35" s="533">
        <v>0</v>
      </c>
    </row>
    <row r="36" spans="2:51" x14ac:dyDescent="0.45">
      <c r="B36" s="1057"/>
      <c r="C36" s="1050"/>
      <c r="D36" s="1050"/>
      <c r="E36" s="1050"/>
      <c r="F36" s="1050"/>
      <c r="G36" s="1052"/>
      <c r="AA36" s="803" t="s">
        <v>1697</v>
      </c>
      <c r="AB36" s="533">
        <v>-112639142.49333334</v>
      </c>
      <c r="AC36" s="533">
        <v>-232659270.38666666</v>
      </c>
      <c r="AD36" s="533">
        <v>-360948453.74666667</v>
      </c>
      <c r="AE36" s="533">
        <v>-492896630.41677451</v>
      </c>
      <c r="AF36" s="533">
        <v>-621668701.64197361</v>
      </c>
      <c r="AG36" s="533">
        <v>-747020827.69329059</v>
      </c>
      <c r="AH36" s="533">
        <v>-873977759.94170213</v>
      </c>
      <c r="AI36" s="533">
        <v>-1000133309.3586261</v>
      </c>
      <c r="AJ36" s="533">
        <v>-1124983289.0617511</v>
      </c>
      <c r="AK36" s="533">
        <v>-1247970997.9639769</v>
      </c>
      <c r="AL36" s="533">
        <v>-1368482969.3762069</v>
      </c>
      <c r="AM36" s="533">
        <v>-1485844410.8119173</v>
      </c>
      <c r="AN36" s="533">
        <v>-1599314313.8861737</v>
      </c>
      <c r="AO36" s="533">
        <v>-1708080211.8140788</v>
      </c>
      <c r="AP36" s="533">
        <v>-1811252560.5371399</v>
      </c>
      <c r="AQ36" s="533">
        <v>-1907858717.9351985</v>
      </c>
      <c r="AR36" s="533">
        <v>-1996836493.9104235</v>
      </c>
      <c r="AS36" s="533">
        <v>-2077027242.352181</v>
      </c>
      <c r="AT36" s="533">
        <v>-2147168464.1006715</v>
      </c>
      <c r="AU36" s="533">
        <v>-2205885888.0160069</v>
      </c>
      <c r="AV36" s="533">
        <v>-2251684995.1203589</v>
      </c>
      <c r="AW36" s="533">
        <v>-2282941948.5059838</v>
      </c>
      <c r="AX36" s="533">
        <v>-2283234621.3299909</v>
      </c>
      <c r="AY36" s="533">
        <v>-2283234621.3299909</v>
      </c>
    </row>
    <row r="37" spans="2:51" ht="14.65" thickBot="1" x14ac:dyDescent="0.5">
      <c r="B37" s="1053" t="s">
        <v>1552</v>
      </c>
      <c r="C37" s="1050"/>
      <c r="D37" s="1058">
        <v>-626302296.32200325</v>
      </c>
      <c r="E37" s="1058">
        <v>-1922286167.5833244</v>
      </c>
      <c r="F37" s="1051"/>
      <c r="G37" s="1052"/>
    </row>
    <row r="38" spans="2:51" ht="14.65" thickTop="1" x14ac:dyDescent="0.45">
      <c r="B38" s="1059" t="s">
        <v>1557</v>
      </c>
      <c r="C38" s="1060"/>
      <c r="D38" s="1061">
        <v>1380</v>
      </c>
      <c r="E38" s="1061">
        <v>5160</v>
      </c>
      <c r="F38" s="1061"/>
      <c r="G38" s="1052"/>
    </row>
    <row r="39" spans="2:51" x14ac:dyDescent="0.45">
      <c r="B39" s="1059" t="s">
        <v>1559</v>
      </c>
      <c r="C39" s="1060"/>
      <c r="D39" s="1051">
        <v>453842.24371159653</v>
      </c>
      <c r="E39" s="1051">
        <v>372536.07898901636</v>
      </c>
      <c r="F39" s="1060"/>
      <c r="G39" s="1052"/>
    </row>
    <row r="40" spans="2:51" x14ac:dyDescent="0.45">
      <c r="B40" s="1057" t="s">
        <v>1503</v>
      </c>
      <c r="C40" s="1050"/>
      <c r="D40" s="1051">
        <v>8532.6157992577482</v>
      </c>
      <c r="E40" s="1051">
        <v>11172.767551525589</v>
      </c>
      <c r="F40" s="1051"/>
      <c r="G40" s="1052"/>
    </row>
    <row r="41" spans="2:51" x14ac:dyDescent="0.45">
      <c r="B41" s="1057" t="s">
        <v>1511</v>
      </c>
      <c r="C41" s="1050"/>
      <c r="D41" s="1062">
        <v>-25925560.768902078</v>
      </c>
      <c r="E41" s="1062">
        <v>-833828355.43116808</v>
      </c>
      <c r="F41" s="1051"/>
      <c r="G41" s="1052"/>
    </row>
    <row r="42" spans="2:51" x14ac:dyDescent="0.45">
      <c r="B42" s="1057" t="s">
        <v>1558</v>
      </c>
      <c r="C42" s="1060"/>
      <c r="D42" s="1051">
        <v>-18786.638238334839</v>
      </c>
      <c r="E42" s="1051">
        <v>-161594.64252542017</v>
      </c>
      <c r="F42" s="1051"/>
      <c r="G42" s="1052"/>
    </row>
    <row r="43" spans="2:51" x14ac:dyDescent="0.45">
      <c r="B43" s="1057" t="s">
        <v>1505</v>
      </c>
      <c r="C43" s="1050"/>
      <c r="D43" s="1062">
        <v>-652227857.09090519</v>
      </c>
      <c r="E43" s="1062">
        <v>-2756114523.0144925</v>
      </c>
      <c r="F43" s="1051"/>
      <c r="G43" s="1052"/>
    </row>
    <row r="44" spans="2:51" x14ac:dyDescent="0.45">
      <c r="B44" s="1057" t="s">
        <v>1504</v>
      </c>
      <c r="C44" s="1050"/>
      <c r="D44" s="1030">
        <v>-652227857.09090519</v>
      </c>
      <c r="E44" s="1030">
        <v>-2756114523.0144925</v>
      </c>
      <c r="F44" s="1050"/>
      <c r="G44" s="1052"/>
    </row>
    <row r="45" spans="2:51" x14ac:dyDescent="0.45">
      <c r="B45" s="1057" t="s">
        <v>1584</v>
      </c>
      <c r="C45" s="1050"/>
      <c r="D45" s="1063">
        <v>0</v>
      </c>
      <c r="E45" s="1063">
        <v>0</v>
      </c>
      <c r="F45" s="1064"/>
      <c r="G45" s="1052"/>
    </row>
    <row r="46" spans="2:51" x14ac:dyDescent="0.45">
      <c r="B46" s="1057"/>
      <c r="C46" s="1060"/>
      <c r="D46" s="1060"/>
      <c r="E46" s="1060"/>
      <c r="F46" s="1060"/>
      <c r="G46" s="1052"/>
    </row>
    <row r="47" spans="2:51" ht="36" customHeight="1" x14ac:dyDescent="0.45">
      <c r="B47" s="1049" t="s">
        <v>1508</v>
      </c>
      <c r="C47" s="1060"/>
      <c r="D47" s="1045" t="s">
        <v>1512</v>
      </c>
      <c r="E47" s="1045" t="s">
        <v>1515</v>
      </c>
      <c r="F47" s="1045" t="s">
        <v>1523</v>
      </c>
      <c r="G47" s="1052"/>
    </row>
    <row r="48" spans="2:51" x14ac:dyDescent="0.45">
      <c r="B48" s="1057" t="s">
        <v>1346</v>
      </c>
      <c r="C48" s="1060"/>
      <c r="D48" s="1051">
        <v>-128772071.22519906</v>
      </c>
      <c r="E48" s="1065">
        <v>4132</v>
      </c>
      <c r="F48" s="1051">
        <v>-31164.586453339558</v>
      </c>
      <c r="G48" s="1052"/>
    </row>
    <row r="49" spans="1:7" x14ac:dyDescent="0.45">
      <c r="B49" s="1057" t="s">
        <v>1347</v>
      </c>
      <c r="C49" s="1060"/>
      <c r="D49" s="973">
        <v>-125352126.05131693</v>
      </c>
      <c r="E49" s="1066">
        <v>3656</v>
      </c>
      <c r="F49" s="1054">
        <v>-34286.686556705943</v>
      </c>
      <c r="G49" s="1052"/>
    </row>
    <row r="50" spans="1:7" x14ac:dyDescent="0.45">
      <c r="B50" s="1057" t="s">
        <v>1348</v>
      </c>
      <c r="C50" s="1060"/>
      <c r="D50" s="975">
        <v>-126956932.24841155</v>
      </c>
      <c r="E50" s="1067">
        <v>3430</v>
      </c>
      <c r="F50" s="1055">
        <v>-37013.682871257013</v>
      </c>
      <c r="G50" s="1052"/>
    </row>
    <row r="51" spans="1:7" x14ac:dyDescent="0.45">
      <c r="B51" s="1057" t="s">
        <v>1349</v>
      </c>
      <c r="C51" s="1060"/>
      <c r="D51" s="975">
        <v>-126155549.41692396</v>
      </c>
      <c r="E51" s="1067">
        <v>3204</v>
      </c>
      <c r="F51" s="1055">
        <v>-39374.391203784005</v>
      </c>
      <c r="G51" s="1052"/>
    </row>
    <row r="52" spans="1:7" x14ac:dyDescent="0.45">
      <c r="B52" s="1057" t="s">
        <v>1350</v>
      </c>
      <c r="C52" s="1060"/>
      <c r="D52" s="975">
        <v>-124849979.70312493</v>
      </c>
      <c r="E52" s="1067">
        <v>2978</v>
      </c>
      <c r="F52" s="1055">
        <v>-41924.103325428114</v>
      </c>
      <c r="G52" s="1052"/>
    </row>
    <row r="53" spans="1:7" x14ac:dyDescent="0.45">
      <c r="B53" s="1057" t="s">
        <v>1351</v>
      </c>
      <c r="C53" s="1060"/>
      <c r="D53" s="977">
        <v>-122987708.90222576</v>
      </c>
      <c r="E53" s="1068">
        <v>2752</v>
      </c>
      <c r="F53" s="1056">
        <v>-44690.301199936686</v>
      </c>
      <c r="G53" s="1052"/>
    </row>
    <row r="54" spans="1:7" x14ac:dyDescent="0.45">
      <c r="B54" s="1057" t="s">
        <v>1516</v>
      </c>
      <c r="C54" s="1060"/>
      <c r="D54" s="970">
        <v>-626302296.32200313</v>
      </c>
      <c r="E54" s="1060"/>
      <c r="F54" s="1060"/>
      <c r="G54" s="1052"/>
    </row>
    <row r="55" spans="1:7" x14ac:dyDescent="0.45">
      <c r="A55" s="18"/>
      <c r="B55" s="1057" t="s">
        <v>1520</v>
      </c>
      <c r="C55" s="1060"/>
      <c r="D55" s="1051">
        <v>-1922286167.5833244</v>
      </c>
      <c r="E55" s="1065">
        <v>5160</v>
      </c>
      <c r="F55" s="1051">
        <v>-372536.07898901636</v>
      </c>
      <c r="G55" s="1052"/>
    </row>
    <row r="56" spans="1:7" x14ac:dyDescent="0.45">
      <c r="A56" s="18"/>
      <c r="B56" s="1057"/>
      <c r="C56" s="1060"/>
      <c r="D56" s="1060"/>
      <c r="E56" s="1060"/>
      <c r="F56" s="1060"/>
      <c r="G56" s="1052"/>
    </row>
    <row r="57" spans="1:7" ht="35.25" customHeight="1" x14ac:dyDescent="0.45">
      <c r="A57" s="18"/>
      <c r="B57" s="1049" t="s">
        <v>1573</v>
      </c>
      <c r="C57" s="1060"/>
      <c r="D57" s="1045" t="s">
        <v>1512</v>
      </c>
      <c r="E57" s="1045" t="s">
        <v>1517</v>
      </c>
      <c r="F57" s="1045" t="s">
        <v>1524</v>
      </c>
      <c r="G57" s="1052"/>
    </row>
    <row r="58" spans="1:7" x14ac:dyDescent="0.45">
      <c r="A58" s="18"/>
      <c r="B58" s="1057" t="s">
        <v>1346</v>
      </c>
      <c r="C58" s="1060"/>
      <c r="D58" s="1051">
        <v>-9628697.8662323505</v>
      </c>
      <c r="E58" s="1065">
        <v>514</v>
      </c>
      <c r="F58" s="1051">
        <v>-18732.875226132979</v>
      </c>
      <c r="G58" s="1052"/>
    </row>
    <row r="59" spans="1:7" x14ac:dyDescent="0.45">
      <c r="A59" s="18"/>
      <c r="B59" s="1057" t="s">
        <v>1347</v>
      </c>
      <c r="C59" s="1060"/>
      <c r="D59" s="973">
        <v>-8930433.3100576513</v>
      </c>
      <c r="E59" s="1066">
        <v>476</v>
      </c>
      <c r="F59" s="1054">
        <v>-18761.414516927838</v>
      </c>
      <c r="G59" s="1052"/>
    </row>
    <row r="60" spans="1:7" x14ac:dyDescent="0.45">
      <c r="A60" s="18"/>
      <c r="B60" s="1057" t="s">
        <v>1348</v>
      </c>
      <c r="C60" s="1060"/>
      <c r="D60" s="975">
        <v>-4248781.8647111077</v>
      </c>
      <c r="E60" s="1067">
        <v>226</v>
      </c>
      <c r="F60" s="1055">
        <v>-18799.919755358882</v>
      </c>
      <c r="G60" s="1052"/>
    </row>
    <row r="61" spans="1:7" x14ac:dyDescent="0.45">
      <c r="A61" s="18"/>
      <c r="B61" s="1057" t="s">
        <v>1349</v>
      </c>
      <c r="C61" s="1060"/>
      <c r="D61" s="975">
        <v>-4248781.8647111077</v>
      </c>
      <c r="E61" s="1067">
        <v>226</v>
      </c>
      <c r="F61" s="1055">
        <v>-18799.919755358882</v>
      </c>
      <c r="G61" s="1052"/>
    </row>
    <row r="62" spans="1:7" x14ac:dyDescent="0.45">
      <c r="A62" s="18"/>
      <c r="B62" s="1057" t="s">
        <v>1350</v>
      </c>
      <c r="C62" s="1060"/>
      <c r="D62" s="975">
        <v>-4248781.8647111077</v>
      </c>
      <c r="E62" s="1067">
        <v>226</v>
      </c>
      <c r="F62" s="1055">
        <v>-18799.919755358882</v>
      </c>
      <c r="G62" s="1052"/>
    </row>
    <row r="63" spans="1:7" x14ac:dyDescent="0.45">
      <c r="A63" s="18"/>
      <c r="B63" s="1057" t="s">
        <v>1351</v>
      </c>
      <c r="C63" s="1060"/>
      <c r="D63" s="977">
        <v>-4248781.8647111077</v>
      </c>
      <c r="E63" s="1068">
        <v>226</v>
      </c>
      <c r="F63" s="1056">
        <v>-18799.919755358882</v>
      </c>
      <c r="G63" s="1052"/>
    </row>
    <row r="64" spans="1:7" x14ac:dyDescent="0.45">
      <c r="B64" s="1057" t="s">
        <v>1516</v>
      </c>
      <c r="C64" s="1060"/>
      <c r="D64" s="970">
        <v>-25925560.768902078</v>
      </c>
      <c r="E64" s="1069">
        <v>1380</v>
      </c>
      <c r="F64" s="1051">
        <v>-18786.638238334839</v>
      </c>
      <c r="G64" s="1052"/>
    </row>
    <row r="65" spans="2:7" x14ac:dyDescent="0.45">
      <c r="B65" s="1057" t="s">
        <v>1521</v>
      </c>
      <c r="C65" s="1060"/>
      <c r="D65" s="1051">
        <v>-833828355.43116808</v>
      </c>
      <c r="E65" s="1065">
        <v>7399</v>
      </c>
      <c r="F65" s="1051">
        <v>-112694.73650914557</v>
      </c>
      <c r="G65" s="1052"/>
    </row>
    <row r="66" spans="2:7" outlineLevel="1" x14ac:dyDescent="0.45">
      <c r="B66" s="1057"/>
      <c r="C66" s="1060"/>
      <c r="D66" s="1060"/>
      <c r="E66" s="1060"/>
      <c r="F66" s="1060"/>
      <c r="G66" s="1052"/>
    </row>
    <row r="67" spans="2:7" outlineLevel="1" x14ac:dyDescent="0.45">
      <c r="B67" s="1049"/>
      <c r="C67" s="1060"/>
      <c r="D67" s="1051"/>
      <c r="E67" s="1060"/>
      <c r="F67" s="1060"/>
      <c r="G67" s="1052"/>
    </row>
    <row r="68" spans="2:7" outlineLevel="1" x14ac:dyDescent="0.45">
      <c r="B68" s="1057"/>
      <c r="C68" s="1060"/>
      <c r="D68" s="1060"/>
      <c r="E68" s="1060"/>
      <c r="F68" s="1060"/>
      <c r="G68" s="1052"/>
    </row>
    <row r="69" spans="2:7" outlineLevel="1" x14ac:dyDescent="0.45">
      <c r="B69" s="1057" t="s">
        <v>1550</v>
      </c>
      <c r="C69" s="1060"/>
      <c r="D69" s="1051">
        <v>-667268712.28592539</v>
      </c>
      <c r="E69" s="1060"/>
      <c r="F69" s="1060"/>
      <c r="G69" s="1052"/>
    </row>
    <row r="70" spans="2:7" outlineLevel="1" x14ac:dyDescent="0.45">
      <c r="B70" s="1057" t="s">
        <v>1560</v>
      </c>
      <c r="C70" s="1060"/>
      <c r="D70" s="1070">
        <v>7399</v>
      </c>
      <c r="E70" s="1060"/>
      <c r="F70" s="1060"/>
      <c r="G70" s="1052"/>
    </row>
    <row r="71" spans="2:7" outlineLevel="1" x14ac:dyDescent="0.45">
      <c r="B71" s="1071" t="s">
        <v>1509</v>
      </c>
      <c r="C71" s="1072"/>
      <c r="D71" s="1073">
        <v>-90183.634583852603</v>
      </c>
      <c r="E71" s="1072"/>
      <c r="F71" s="1072"/>
      <c r="G71" s="1074"/>
    </row>
    <row r="72" spans="2:7" outlineLevel="1" x14ac:dyDescent="0.45"/>
    <row r="73" spans="2:7" outlineLevel="1" x14ac:dyDescent="0.45"/>
    <row r="74" spans="2:7" outlineLevel="1" x14ac:dyDescent="0.45"/>
    <row r="121" spans="2:6" ht="28.5" x14ac:dyDescent="0.45">
      <c r="B121" s="304" t="s">
        <v>1563</v>
      </c>
      <c r="D121" s="969" t="s">
        <v>1512</v>
      </c>
      <c r="E121" s="969" t="s">
        <v>1564</v>
      </c>
      <c r="F121" s="969" t="s">
        <v>1524</v>
      </c>
    </row>
    <row r="122" spans="2:6" x14ac:dyDescent="0.45">
      <c r="B122" s="948" t="str">
        <f>'9. Forecast Results'!R$5</f>
        <v>2017/18</v>
      </c>
      <c r="D122" s="552">
        <f>SUMIF('9. Forecast Results'!$R$5:$W$5,$B122,'9. Forecast Results'!$R$52:$W$52)</f>
        <v>0</v>
      </c>
      <c r="E122" s="785">
        <f>SUMIF('10. Inputs &amp; Calcs'!$D$106:$D$111,$C$6,'10. Inputs &amp; Calcs'!$J$106:$J$111)</f>
        <v>0</v>
      </c>
      <c r="F122" s="552">
        <f>IF(E122&lt;&gt;0,D122/E122,0)</f>
        <v>0</v>
      </c>
    </row>
    <row r="123" spans="2:6" x14ac:dyDescent="0.45">
      <c r="B123" s="948" t="str">
        <f>'9. Forecast Results'!S$5</f>
        <v>2018/19</v>
      </c>
      <c r="D123" s="973">
        <f>SUMIF('9. Forecast Results'!$R$5:$W$5,$B123,'9. Forecast Results'!$R$52:$W$52)</f>
        <v>0</v>
      </c>
      <c r="E123" s="974">
        <f>SUMIF('10. Inputs &amp; Calcs'!$D$106:$D$111,$C$6,'10. Inputs &amp; Calcs'!$K$106:$K$111)</f>
        <v>0</v>
      </c>
      <c r="F123" s="753">
        <f t="shared" ref="F123:F128" si="0">IF(E123&lt;&gt;0,D123/E123,0)</f>
        <v>0</v>
      </c>
    </row>
    <row r="124" spans="2:6" x14ac:dyDescent="0.45">
      <c r="B124" s="948" t="str">
        <f>'9. Forecast Results'!T$5</f>
        <v>2019/20</v>
      </c>
      <c r="D124" s="975">
        <f>SUMIF('9. Forecast Results'!$R$5:$W$5,$B124,'9. Forecast Results'!$R$52:$W$52)</f>
        <v>0</v>
      </c>
      <c r="E124" s="976">
        <f>SUMIF('10. Inputs &amp; Calcs'!$D$106:$D$111,$C$6,'10. Inputs &amp; Calcs'!$L$106:$L$111)</f>
        <v>0</v>
      </c>
      <c r="F124" s="888">
        <f t="shared" si="0"/>
        <v>0</v>
      </c>
    </row>
    <row r="125" spans="2:6" x14ac:dyDescent="0.45">
      <c r="B125" s="948" t="str">
        <f>'9. Forecast Results'!U$5</f>
        <v>2020/21</v>
      </c>
      <c r="D125" s="975">
        <f>SUMIF('9. Forecast Results'!$R$5:$W$5,$B125,'9. Forecast Results'!$R$52:$W$52)</f>
        <v>0</v>
      </c>
      <c r="E125" s="976">
        <f>SUMIF('10. Inputs &amp; Calcs'!$D$106:$D$111,$C$6,'10. Inputs &amp; Calcs'!$M$106:$M$111)</f>
        <v>0</v>
      </c>
      <c r="F125" s="888">
        <f t="shared" si="0"/>
        <v>0</v>
      </c>
    </row>
    <row r="126" spans="2:6" x14ac:dyDescent="0.45">
      <c r="B126" s="948" t="str">
        <f>'9. Forecast Results'!V$5</f>
        <v>2021/22</v>
      </c>
      <c r="D126" s="975">
        <f>SUMIF('9. Forecast Results'!$R$5:$W$5,$B126,'9. Forecast Results'!$R$52:$W$52)</f>
        <v>0</v>
      </c>
      <c r="E126" s="976">
        <f>SUMIF('10. Inputs &amp; Calcs'!$D$106:$D$111,$C$6,'10. Inputs &amp; Calcs'!$N$106:$N$111)</f>
        <v>0</v>
      </c>
      <c r="F126" s="888">
        <f t="shared" si="0"/>
        <v>0</v>
      </c>
    </row>
    <row r="127" spans="2:6" x14ac:dyDescent="0.45">
      <c r="B127" s="948" t="str">
        <f>'9. Forecast Results'!W$5</f>
        <v>2022/23</v>
      </c>
      <c r="D127" s="977">
        <f>SUMIF('9. Forecast Results'!$R$5:$W$5,$B127,'9. Forecast Results'!$R$52:$W$52)</f>
        <v>0</v>
      </c>
      <c r="E127" s="978">
        <f>SUMIF('10. Inputs &amp; Calcs'!$D$106:$D$111,$C$6,'10. Inputs &amp; Calcs'!$O$106:$O$111)</f>
        <v>0</v>
      </c>
      <c r="F127" s="754">
        <f t="shared" si="0"/>
        <v>0</v>
      </c>
    </row>
    <row r="128" spans="2:6" x14ac:dyDescent="0.45">
      <c r="B128" s="948" t="s">
        <v>1516</v>
      </c>
      <c r="D128" s="970">
        <f>SUM(D123:D127)</f>
        <v>0</v>
      </c>
      <c r="E128" s="972">
        <f>SUM(E123:E127)</f>
        <v>0</v>
      </c>
      <c r="F128" s="552">
        <f t="shared" si="0"/>
        <v>0</v>
      </c>
    </row>
    <row r="129" spans="2:7" x14ac:dyDescent="0.45">
      <c r="B129" s="948" t="s">
        <v>1565</v>
      </c>
      <c r="D129" s="971">
        <f>'9. Forecast Results'!AL$52</f>
        <v>0</v>
      </c>
      <c r="E129" s="785">
        <f>SUMIF('10. Inputs &amp; Calcs'!$D$106:$D$111,$C$6,'10. Inputs &amp; Calcs'!$AD$106:$AD$111)</f>
        <v>-7399</v>
      </c>
      <c r="F129" s="552">
        <f>IF(E129&lt;&gt;0,D129/E129,0)</f>
        <v>0</v>
      </c>
    </row>
    <row r="132" spans="2:7" ht="28.5" x14ac:dyDescent="0.45">
      <c r="B132" s="67" t="s">
        <v>1518</v>
      </c>
      <c r="C132" s="46"/>
      <c r="D132" s="70" t="s">
        <v>1512</v>
      </c>
      <c r="E132" s="70" t="s">
        <v>1517</v>
      </c>
      <c r="F132" s="969" t="s">
        <v>1522</v>
      </c>
      <c r="G132" s="930"/>
    </row>
    <row r="133" spans="2:7" x14ac:dyDescent="0.45">
      <c r="B133" s="948" t="str">
        <f>'9. Forecast Results'!R$5</f>
        <v>2017/18</v>
      </c>
      <c r="D133" s="552">
        <f>SUMIF('10. Inputs &amp; Calcs'!$D$619:$D$624,$C$6,'10. Inputs &amp; Calcs'!$J$619:$J$629)-D58</f>
        <v>-964139.19306002557</v>
      </c>
      <c r="E133" s="785">
        <f>SUMIF('10. Inputs &amp; Calcs'!$D$51:$D$56,$C$6,'10. Inputs &amp; Calcs'!$J$51:$J$56)</f>
        <v>514</v>
      </c>
      <c r="F133" s="552">
        <f>IF(E133&lt;&gt;0,D133/E133,0)</f>
        <v>-1875.757184941684</v>
      </c>
      <c r="G133" s="930"/>
    </row>
    <row r="134" spans="2:7" x14ac:dyDescent="0.45">
      <c r="B134" s="948" t="str">
        <f>'9. Forecast Results'!S$5</f>
        <v>2018/19</v>
      </c>
      <c r="D134" s="973">
        <f>SUMIF('10. Inputs &amp; Calcs'!$D$619:$D$624,$C$6,'10. Inputs &amp; Calcs'!$K$619:$K$629)</f>
        <v>-10450381.305273833</v>
      </c>
      <c r="E134" s="974">
        <f>SUMIF('10. Inputs &amp; Calcs'!$D$51:$D$56,$C$6,'10. Inputs &amp; Calcs'!$K$51:$K$56)</f>
        <v>476</v>
      </c>
      <c r="F134" s="753">
        <f t="shared" ref="F134:F140" si="1">IF(E134&lt;&gt;0,D134/E134,0)</f>
        <v>-21954.58257410469</v>
      </c>
      <c r="G134" s="930"/>
    </row>
    <row r="135" spans="2:7" x14ac:dyDescent="0.45">
      <c r="B135" s="948" t="str">
        <f>'9. Forecast Results'!T$5</f>
        <v>2019/20</v>
      </c>
      <c r="D135" s="975">
        <f>SUMIF('10. Inputs &amp; Calcs'!$D$619:$D$624,$C$6,'10. Inputs &amp; Calcs'!$L$619:$L$629)</f>
        <v>-5304579.0622597346</v>
      </c>
      <c r="E135" s="976">
        <f>SUMIF('10. Inputs &amp; Calcs'!$D$51:$D$56,$C$6,'10. Inputs &amp; Calcs'!$L$51:$L$56)</f>
        <v>226</v>
      </c>
      <c r="F135" s="888">
        <f t="shared" si="1"/>
        <v>-23471.588771060771</v>
      </c>
      <c r="G135" s="930"/>
    </row>
    <row r="136" spans="2:7" x14ac:dyDescent="0.45">
      <c r="B136" s="948" t="str">
        <f>'9. Forecast Results'!U$5</f>
        <v>2020/21</v>
      </c>
      <c r="D136" s="975">
        <f>SUMIF('10. Inputs &amp; Calcs'!$D$619:$D$624,$C$6,'10. Inputs &amp; Calcs'!$M$619:$M$629)</f>
        <v>-5562618.7138867881</v>
      </c>
      <c r="E136" s="976">
        <f>SUMIF('10. Inputs &amp; Calcs'!$D$51:$D$56,$C$6,'10. Inputs &amp; Calcs'!$M$51:$M$56)</f>
        <v>226</v>
      </c>
      <c r="F136" s="888">
        <f t="shared" si="1"/>
        <v>-24613.357141091983</v>
      </c>
      <c r="G136" s="930"/>
    </row>
    <row r="137" spans="2:7" x14ac:dyDescent="0.45">
      <c r="B137" s="948" t="str">
        <f>'9. Forecast Results'!V$5</f>
        <v>2021/22</v>
      </c>
      <c r="D137" s="975">
        <f>SUMIF('10. Inputs &amp; Calcs'!$D$619:$D$624,$C$6,'10. Inputs &amp; Calcs'!$N$619:$N$629)</f>
        <v>-5820658.3655138416</v>
      </c>
      <c r="E137" s="976">
        <f>SUMIF('10. Inputs &amp; Calcs'!$D$51:$D$56,$C$6,'10. Inputs &amp; Calcs'!$N$51:$N$56)</f>
        <v>226</v>
      </c>
      <c r="F137" s="888">
        <f t="shared" si="1"/>
        <v>-25755.125511123191</v>
      </c>
      <c r="G137" s="930"/>
    </row>
    <row r="138" spans="2:7" x14ac:dyDescent="0.45">
      <c r="B138" s="948" t="str">
        <f>'9. Forecast Results'!W$5</f>
        <v>2022/23</v>
      </c>
      <c r="D138" s="977">
        <f>SUMIF('10. Inputs &amp; Calcs'!$D$619:$D$624,$C$6,'10. Inputs &amp; Calcs'!$O$619:$O$629)</f>
        <v>-6078698.0171408951</v>
      </c>
      <c r="E138" s="978">
        <f>SUMIF('10. Inputs &amp; Calcs'!$D$51:$D$56,$C$6,'10. Inputs &amp; Calcs'!$O$51:$O$56)</f>
        <v>226</v>
      </c>
      <c r="F138" s="754">
        <f t="shared" si="1"/>
        <v>-26896.893881154403</v>
      </c>
      <c r="G138" s="930"/>
    </row>
    <row r="139" spans="2:7" x14ac:dyDescent="0.45">
      <c r="B139" s="948" t="s">
        <v>1516</v>
      </c>
      <c r="D139" s="970">
        <f>SUM(D134:D138)</f>
        <v>-33216935.464075092</v>
      </c>
      <c r="E139" s="972">
        <f>SUM(E134:E138)</f>
        <v>1380</v>
      </c>
      <c r="F139" s="552">
        <f t="shared" si="1"/>
        <v>-24070.243089909487</v>
      </c>
      <c r="G139" s="930"/>
    </row>
    <row r="140" spans="2:7" x14ac:dyDescent="0.45">
      <c r="B140" s="948" t="s">
        <v>1519</v>
      </c>
      <c r="D140" s="971">
        <f>SUMIF('10. Inputs &amp; Calcs'!$D$619:$D$624,$C$6, '10. Inputs &amp; Calcs'!$AD$619:$AD$624)</f>
        <v>-148103926.95799464</v>
      </c>
      <c r="E140" s="785">
        <f>SUMIF('10. Inputs &amp; Calcs'!$D$520:$D$525,$C$6,'10. Inputs &amp; Calcs'!$H$520:$H$525)</f>
        <v>5160</v>
      </c>
      <c r="F140" s="552">
        <f t="shared" si="1"/>
        <v>-28702.311425967953</v>
      </c>
      <c r="G140" s="930"/>
    </row>
  </sheetData>
  <sheetProtection formatCells="0" formatColumns="0" formatRows="0"/>
  <mergeCells count="3">
    <mergeCell ref="D7:G7"/>
    <mergeCell ref="C14:D14"/>
    <mergeCell ref="E14:F14"/>
  </mergeCells>
  <dataValidations count="4">
    <dataValidation allowBlank="1" showInputMessage="1" showErrorMessage="1" promptTitle="Rent Increase?" prompt="If a rent increase is proposed, enter the % increase from cell F17 to F21 below." sqref="F17" xr:uid="{C5282E1D-A6B2-4F93-B7AB-49AA7FD1FB93}"/>
    <dataValidation type="list" allowBlank="1" showInputMessage="1" showErrorMessage="1" promptTitle="Rent Increase?" prompt="If a rent increase is proposed, enter the % increase from cell F17 to F21 below._x000a_If rentals are to remain at the same level as the prior year, select &quot;None&quot;&quot;." sqref="C11" xr:uid="{35E4704B-9403-4BF0-9834-58F927DF29BF}">
      <formula1>$E$15:$F$15</formula1>
    </dataValidation>
    <dataValidation type="list" allowBlank="1" showInputMessage="1" showErrorMessage="1" promptTitle="Rent Collection %" prompt="Select Existing if the current rent collection % will be continued._x000a_Select target if the rent collection is expected to improve and also set the target in cells D17 to D21." sqref="C10" xr:uid="{4A0C1FB2-CABD-4E12-9865-7DB46505EEC0}">
      <formula1>$C$15:$D$15</formula1>
    </dataValidation>
    <dataValidation allowBlank="1" showInputMessage="1" showErrorMessage="1" promptTitle="Rent Collect Target" prompt="If rent collection is expected to be different from the existing collection rate, enter the expected collection rates here from row 17 to 21 and select &quot;Target&quot;in cell C11." sqref="D17" xr:uid="{C45DB076-B4FB-44DE-8057-61D1961F1F66}"/>
  </dataValidations>
  <pageMargins left="0.19685039370078741" right="0.19685039370078741" top="0.35433070866141736" bottom="0.35433070866141736" header="0.19685039370078741" footer="0.11811023622047245"/>
  <pageSetup paperSize="9" scale="46" orientation="landscape" r:id="rId1"/>
  <headerFooter>
    <oddFooter>&amp;R&amp;F &amp;A &amp;D Page &amp;P</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Basis of EEDB Calculation" prompt="It is proposed to use the EEDBS to settle outstanding debt owing by occupants. If the fixed EEDBS rate of R7,500 is to be used, select &quot;Fixed&quot;._x000a_If the EEDBS amount is to flexible and sufficient to cover the outstanding debt, select &quot;Calc&quot;." xr:uid="{B4204ABC-02C6-4DB0-A790-CA415BF93D28}">
          <x14:formula1>
            <xm:f>'14. Permanent Info'!$M$7:$N$7</xm:f>
          </x14:formula1>
          <xm:sqref>C12</xm:sqref>
        </x14:dataValidation>
        <x14:dataValidation type="list" allowBlank="1" showInputMessage="1" showErrorMessage="1" promptTitle="Select Province" prompt="Select province from the list, or select Total to see the national view. " xr:uid="{36D89F3C-E46F-4F5A-8EF5-C9C4179AEF2C}">
          <x14:formula1>
            <xm:f>'14. Permanent Info'!$C$7:$C$12</xm:f>
          </x14:formula1>
          <xm:sqref>C6</xm:sqref>
        </x14:dataValidation>
        <x14:dataValidation type="list" allowBlank="1" showInputMessage="1" showErrorMessage="1" promptTitle="Scenario Selector" prompt="Select the Scenario to be projected AFTER Defining the Scenario using the Input Areas and Selection Boxes in the turquoise area between cell F13 and i17. " xr:uid="{39C634DA-15D0-472B-9E58-32CF81B88CDF}">
          <x14:formula1>
            <xm:f>'14. Permanent Info'!$D$7:$D$11</xm:f>
          </x14:formula1>
          <xm:sqref>C7</xm:sqref>
        </x14:dataValidation>
        <x14:dataValidation type="list" allowBlank="1" showInputMessage="1" showErrorMessage="1" promptTitle="Years" prompt="Select the number of years required to close this programme from 2018/19._x000a_" xr:uid="{80926037-2090-4798-84B2-26BA97AB2075}">
          <x14:formula1>
            <xm:f>'14. Permanent Info'!$J$7:$J$23</xm:f>
          </x14:formula1>
          <xm:sqref>C9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4B9A5-7AC6-4696-9580-55F7B0E85A57}">
  <sheetPr>
    <tabColor theme="5" tint="0.79998168889431442"/>
    <pageSetUpPr fitToPage="1"/>
  </sheetPr>
  <dimension ref="A1:AY140"/>
  <sheetViews>
    <sheetView showGridLines="0" zoomScale="75" zoomScaleNormal="75" zoomScaleSheetLayoutView="75" workbookViewId="0">
      <selection activeCell="C5" sqref="C5"/>
    </sheetView>
  </sheetViews>
  <sheetFormatPr defaultRowHeight="14.25" outlineLevelRow="1" x14ac:dyDescent="0.45"/>
  <cols>
    <col min="1" max="1" width="4" customWidth="1"/>
    <col min="2" max="2" width="50.796875" customWidth="1"/>
    <col min="3" max="3" width="11.265625" customWidth="1"/>
    <col min="4" max="4" width="19.46484375" customWidth="1"/>
    <col min="5" max="5" width="21.53125" customWidth="1"/>
    <col min="6" max="6" width="13.73046875" bestFit="1" customWidth="1"/>
    <col min="7" max="7" width="14.796875" customWidth="1"/>
    <col min="24" max="24" width="21.265625" customWidth="1"/>
    <col min="28" max="51" width="14.46484375" bestFit="1" customWidth="1"/>
  </cols>
  <sheetData>
    <row r="1" spans="1:51" ht="21" x14ac:dyDescent="0.65">
      <c r="B1" s="60" t="s">
        <v>91</v>
      </c>
      <c r="I1" s="4"/>
      <c r="J1" s="4"/>
      <c r="K1" s="4"/>
      <c r="L1" s="4"/>
      <c r="M1" s="4"/>
      <c r="N1" s="4"/>
      <c r="O1" s="4"/>
      <c r="P1" s="4"/>
      <c r="Q1" s="4"/>
      <c r="R1" s="4"/>
      <c r="S1" s="4"/>
      <c r="T1" s="4"/>
      <c r="U1" s="4"/>
      <c r="V1" s="4"/>
    </row>
    <row r="2" spans="1:51" ht="21" x14ac:dyDescent="0.65">
      <c r="B2" s="60" t="s">
        <v>1496</v>
      </c>
      <c r="I2" s="4"/>
      <c r="J2" s="4"/>
      <c r="K2" s="4"/>
      <c r="L2" s="4"/>
      <c r="M2" s="4"/>
      <c r="N2" s="4"/>
      <c r="O2" s="4"/>
      <c r="P2" s="4"/>
      <c r="Q2" s="4"/>
      <c r="R2" s="4"/>
      <c r="S2" s="4"/>
      <c r="T2" s="4"/>
      <c r="U2" s="4"/>
      <c r="V2" s="4"/>
      <c r="AA2" s="803">
        <v>0</v>
      </c>
      <c r="AB2" s="803" t="s">
        <v>102</v>
      </c>
      <c r="AC2" s="803" t="s">
        <v>103</v>
      </c>
      <c r="AD2" s="803" t="s">
        <v>104</v>
      </c>
      <c r="AE2" s="803" t="s">
        <v>1345</v>
      </c>
      <c r="AF2" s="803" t="s">
        <v>1346</v>
      </c>
      <c r="AG2" s="803" t="s">
        <v>1347</v>
      </c>
      <c r="AH2" s="803" t="s">
        <v>1348</v>
      </c>
      <c r="AI2" s="803" t="s">
        <v>1349</v>
      </c>
      <c r="AJ2" s="803" t="s">
        <v>1350</v>
      </c>
      <c r="AK2" s="803" t="s">
        <v>1351</v>
      </c>
      <c r="AL2" s="803" t="s">
        <v>1352</v>
      </c>
      <c r="AM2" s="803" t="s">
        <v>1353</v>
      </c>
      <c r="AN2" s="803" t="s">
        <v>1354</v>
      </c>
      <c r="AO2" s="803" t="s">
        <v>1355</v>
      </c>
      <c r="AP2" s="803" t="s">
        <v>1410</v>
      </c>
      <c r="AQ2" s="803" t="s">
        <v>1411</v>
      </c>
      <c r="AR2" s="803" t="s">
        <v>1412</v>
      </c>
      <c r="AS2" s="803" t="s">
        <v>1413</v>
      </c>
      <c r="AT2" s="803" t="s">
        <v>1414</v>
      </c>
      <c r="AU2" s="803" t="s">
        <v>1415</v>
      </c>
      <c r="AV2" s="803" t="s">
        <v>1416</v>
      </c>
      <c r="AW2" s="803" t="s">
        <v>1417</v>
      </c>
      <c r="AX2" s="803" t="s">
        <v>1418</v>
      </c>
      <c r="AY2" s="803" t="s">
        <v>1419</v>
      </c>
    </row>
    <row r="3" spans="1:51" x14ac:dyDescent="0.45">
      <c r="C3" s="1106" t="s">
        <v>1608</v>
      </c>
      <c r="D3" s="553"/>
      <c r="E3" s="553"/>
      <c r="F3" s="796"/>
      <c r="I3" s="4"/>
      <c r="J3" s="4"/>
      <c r="K3" s="4"/>
      <c r="L3" s="4"/>
      <c r="M3" s="4"/>
      <c r="N3" s="4"/>
      <c r="O3" s="4"/>
      <c r="P3" s="4"/>
      <c r="Q3" s="4"/>
      <c r="R3" s="4"/>
      <c r="S3" s="4"/>
      <c r="T3" s="4"/>
      <c r="U3" s="4"/>
      <c r="V3" s="4"/>
      <c r="AA3" s="803" t="s">
        <v>1538</v>
      </c>
      <c r="AB3" s="1105">
        <v>-112639142.49333334</v>
      </c>
      <c r="AC3" s="1105">
        <v>-120020127.89333332</v>
      </c>
      <c r="AD3" s="1105">
        <v>-128289183.36000001</v>
      </c>
      <c r="AE3" s="1105">
        <v>-131948176.67010787</v>
      </c>
      <c r="AF3" s="1105">
        <v>-128772071.22519906</v>
      </c>
      <c r="AG3" s="1105">
        <v>-144884379.17131695</v>
      </c>
      <c r="AH3" s="1105">
        <v>-98292485.736832023</v>
      </c>
      <c r="AI3" s="1105">
        <v>-56834202.106066063</v>
      </c>
      <c r="AJ3" s="1105">
        <v>-31156087.687251166</v>
      </c>
      <c r="AK3" s="1105">
        <v>-2353255.2745636469</v>
      </c>
      <c r="AL3" s="1105">
        <v>-42100.58883215511</v>
      </c>
      <c r="AM3" s="1105">
        <v>0</v>
      </c>
      <c r="AN3" s="1105">
        <v>0</v>
      </c>
      <c r="AO3" s="1105">
        <v>0</v>
      </c>
      <c r="AP3" s="1105">
        <v>0</v>
      </c>
      <c r="AQ3" s="1105">
        <v>0</v>
      </c>
      <c r="AR3" s="1105">
        <v>0</v>
      </c>
      <c r="AS3" s="1105">
        <v>0</v>
      </c>
      <c r="AT3" s="1105">
        <v>0</v>
      </c>
      <c r="AU3" s="1105">
        <v>0</v>
      </c>
      <c r="AV3" s="1105">
        <v>0</v>
      </c>
      <c r="AW3" s="1105">
        <v>0</v>
      </c>
      <c r="AX3" s="1105">
        <v>0</v>
      </c>
      <c r="AY3" s="1105">
        <v>0</v>
      </c>
    </row>
    <row r="4" spans="1:51" x14ac:dyDescent="0.45">
      <c r="C4" s="1107" t="s">
        <v>1609</v>
      </c>
      <c r="D4" s="931"/>
      <c r="E4" s="931"/>
      <c r="F4" s="932"/>
      <c r="AA4" s="803" t="s">
        <v>1575</v>
      </c>
      <c r="AB4" s="1105">
        <v>-17923184</v>
      </c>
      <c r="AC4" s="1105">
        <v>-17604545</v>
      </c>
      <c r="AD4" s="1105">
        <v>-10717984</v>
      </c>
      <c r="AE4" s="1105">
        <v>-9628697.8662323505</v>
      </c>
      <c r="AF4" s="1105">
        <v>-9628697.8662323505</v>
      </c>
      <c r="AG4" s="1105">
        <v>-8930433.3100576513</v>
      </c>
      <c r="AH4" s="1105">
        <v>-184614190.5580036</v>
      </c>
      <c r="AI4" s="1105">
        <v>-184614190.5580036</v>
      </c>
      <c r="AJ4" s="1105">
        <v>-184614190.5580036</v>
      </c>
      <c r="AK4" s="1105">
        <v>-184614190.5580036</v>
      </c>
      <c r="AL4" s="1105">
        <v>-67183764.156631514</v>
      </c>
      <c r="AM4" s="1105">
        <v>0</v>
      </c>
      <c r="AN4" s="1105">
        <v>0</v>
      </c>
      <c r="AO4" s="1105">
        <v>0</v>
      </c>
      <c r="AP4" s="1105">
        <v>0</v>
      </c>
      <c r="AQ4" s="1105">
        <v>0</v>
      </c>
      <c r="AR4" s="1105">
        <v>0</v>
      </c>
      <c r="AS4" s="1105">
        <v>0</v>
      </c>
      <c r="AT4" s="1105">
        <v>0</v>
      </c>
      <c r="AU4" s="1105">
        <v>0</v>
      </c>
      <c r="AV4" s="1105">
        <v>0</v>
      </c>
      <c r="AW4" s="1105">
        <v>0</v>
      </c>
      <c r="AX4" s="1105">
        <v>0</v>
      </c>
      <c r="AY4" s="1105">
        <v>0</v>
      </c>
    </row>
    <row r="5" spans="1:51" ht="21" x14ac:dyDescent="0.65">
      <c r="B5" s="60" t="s">
        <v>1095</v>
      </c>
      <c r="I5" s="60"/>
    </row>
    <row r="6" spans="1:51" x14ac:dyDescent="0.45">
      <c r="A6" s="4"/>
      <c r="B6" s="950" t="s">
        <v>1561</v>
      </c>
      <c r="C6" s="1083" t="s">
        <v>11</v>
      </c>
      <c r="D6" s="553"/>
      <c r="E6" s="553"/>
      <c r="F6" s="553"/>
      <c r="G6" s="796"/>
      <c r="I6" s="795"/>
      <c r="J6" s="553"/>
      <c r="K6" s="553"/>
      <c r="L6" s="553"/>
      <c r="M6" s="553"/>
      <c r="N6" s="553"/>
      <c r="O6" s="553"/>
      <c r="P6" s="553"/>
      <c r="Q6" s="553"/>
      <c r="R6" s="553"/>
      <c r="S6" s="553"/>
      <c r="T6" s="553"/>
      <c r="U6" s="553"/>
      <c r="V6" s="796"/>
    </row>
    <row r="7" spans="1:51" x14ac:dyDescent="0.45">
      <c r="A7" s="4"/>
      <c r="B7" s="304" t="s">
        <v>1484</v>
      </c>
      <c r="C7" s="1083" t="s">
        <v>1315</v>
      </c>
      <c r="D7" s="1346" t="str">
        <f>IF($C$7='14. Permanent Info'!$D$7,'14. Permanent Info'!$E$7,IF($C$7='14. Permanent Info'!$D$8,'14. Permanent Info'!$E$8,IF($C$7='14. Permanent Info'!$D$9,'14. Permanent Info'!$E$9,IF($C$7='14. Permanent Info'!$D$10,'14. Permanent Info'!$E$10,IF($C$7='14. Permanent Info'!$D$11,'14. Permanent Info'!$E$11,0)))))</f>
        <v>Scenario 1 - Outsource Property Management</v>
      </c>
      <c r="E7" s="1346"/>
      <c r="F7" s="1346"/>
      <c r="G7" s="1349"/>
      <c r="I7" s="948"/>
      <c r="J7" s="4"/>
      <c r="K7" s="4"/>
      <c r="L7" s="4"/>
      <c r="M7" s="4"/>
      <c r="N7" s="4"/>
      <c r="O7" s="4"/>
      <c r="P7" s="4"/>
      <c r="Q7" s="4"/>
      <c r="R7" s="4"/>
      <c r="S7" s="4"/>
      <c r="T7" s="4"/>
      <c r="U7" s="4"/>
      <c r="V7" s="930"/>
    </row>
    <row r="8" spans="1:51" x14ac:dyDescent="0.45">
      <c r="A8" s="4"/>
      <c r="B8" s="304" t="s">
        <v>1497</v>
      </c>
      <c r="C8" s="558"/>
      <c r="D8" s="4"/>
      <c r="E8" s="4"/>
      <c r="F8" s="4"/>
      <c r="G8" s="930"/>
      <c r="I8" s="948"/>
      <c r="J8" s="4"/>
      <c r="K8" s="4"/>
      <c r="L8" s="4"/>
      <c r="M8" s="4"/>
      <c r="N8" s="4"/>
      <c r="O8" s="4"/>
      <c r="P8" s="4"/>
      <c r="Q8" s="4"/>
      <c r="R8" s="4"/>
      <c r="S8" s="4"/>
      <c r="T8" s="4"/>
      <c r="U8" s="4"/>
      <c r="V8" s="930"/>
    </row>
    <row r="9" spans="1:51" x14ac:dyDescent="0.45">
      <c r="A9" s="4"/>
      <c r="B9" s="964" t="s">
        <v>1507</v>
      </c>
      <c r="C9" s="17">
        <v>5</v>
      </c>
      <c r="D9" s="962"/>
      <c r="E9" s="963"/>
      <c r="F9" s="963"/>
      <c r="G9" s="930"/>
      <c r="I9" s="948"/>
      <c r="J9" s="4"/>
      <c r="K9" s="4"/>
      <c r="L9" s="4"/>
      <c r="M9" s="4"/>
      <c r="N9" s="4"/>
      <c r="O9" s="4"/>
      <c r="P9" s="4"/>
      <c r="Q9" s="4"/>
      <c r="R9" s="4"/>
      <c r="S9" s="4"/>
      <c r="T9" s="4"/>
      <c r="U9" s="4"/>
      <c r="V9" s="930"/>
    </row>
    <row r="10" spans="1:51" ht="15.75" x14ac:dyDescent="0.45">
      <c r="A10" s="4"/>
      <c r="B10" s="964" t="s">
        <v>1438</v>
      </c>
      <c r="C10" s="1032" t="s">
        <v>1437</v>
      </c>
      <c r="D10" s="962"/>
      <c r="E10" s="963"/>
      <c r="F10" s="963"/>
      <c r="G10" s="930"/>
      <c r="I10" s="948"/>
      <c r="J10" s="4"/>
      <c r="K10" s="4"/>
      <c r="L10" s="4"/>
      <c r="M10" s="4"/>
      <c r="N10" s="4"/>
      <c r="O10" s="4"/>
      <c r="P10" s="4"/>
      <c r="Q10" s="4"/>
      <c r="R10" s="4"/>
      <c r="S10" s="4"/>
      <c r="T10" s="4"/>
      <c r="U10" s="4"/>
      <c r="V10" s="930"/>
    </row>
    <row r="11" spans="1:51" ht="15.75" x14ac:dyDescent="0.45">
      <c r="A11" s="4"/>
      <c r="B11" s="964" t="s">
        <v>1426</v>
      </c>
      <c r="C11" s="1032" t="s">
        <v>1436</v>
      </c>
      <c r="D11" s="962"/>
      <c r="E11" s="963"/>
      <c r="F11" s="963"/>
      <c r="G11" s="930"/>
      <c r="I11" s="948"/>
      <c r="J11" s="4"/>
      <c r="K11" s="4"/>
      <c r="L11" s="4"/>
      <c r="M11" s="4"/>
      <c r="N11" s="4"/>
      <c r="O11" s="4"/>
      <c r="P11" s="4"/>
      <c r="Q11" s="4"/>
      <c r="R11" s="4"/>
      <c r="S11" s="4"/>
      <c r="T11" s="4"/>
      <c r="U11" s="4"/>
      <c r="V11" s="930"/>
    </row>
    <row r="12" spans="1:51" ht="15.75" x14ac:dyDescent="0.45">
      <c r="A12" s="4"/>
      <c r="B12" s="964" t="s">
        <v>1446</v>
      </c>
      <c r="C12" s="1033" t="s">
        <v>1428</v>
      </c>
      <c r="D12" s="962"/>
      <c r="E12" s="963"/>
      <c r="F12" s="963"/>
      <c r="G12" s="930"/>
      <c r="I12" s="948"/>
      <c r="J12" s="4"/>
      <c r="K12" s="4"/>
      <c r="L12" s="4"/>
      <c r="M12" s="4"/>
      <c r="N12" s="4"/>
      <c r="O12" s="4"/>
      <c r="P12" s="4"/>
      <c r="Q12" s="4"/>
      <c r="R12" s="4"/>
      <c r="S12" s="4"/>
      <c r="T12" s="4"/>
      <c r="U12" s="4"/>
      <c r="V12" s="930"/>
    </row>
    <row r="13" spans="1:51" x14ac:dyDescent="0.45">
      <c r="A13" s="4"/>
      <c r="B13" s="949"/>
      <c r="C13" s="931"/>
      <c r="D13" s="931"/>
      <c r="E13" s="931"/>
      <c r="F13" s="931"/>
      <c r="G13" s="932"/>
      <c r="I13" s="948"/>
      <c r="J13" s="4"/>
      <c r="K13" s="4"/>
      <c r="L13" s="4"/>
      <c r="M13" s="4"/>
      <c r="N13" s="4"/>
      <c r="O13" s="4"/>
      <c r="P13" s="4"/>
      <c r="Q13" s="4"/>
      <c r="R13" s="4"/>
      <c r="S13" s="4"/>
      <c r="T13" s="4"/>
      <c r="U13" s="4"/>
      <c r="V13" s="930"/>
    </row>
    <row r="14" spans="1:51" x14ac:dyDescent="0.45">
      <c r="A14" s="930"/>
      <c r="B14" s="795"/>
      <c r="C14" s="1344" t="s">
        <v>1425</v>
      </c>
      <c r="D14" s="1345"/>
      <c r="E14" s="1344" t="s">
        <v>1426</v>
      </c>
      <c r="F14" s="1345"/>
      <c r="G14" s="930"/>
      <c r="I14" s="948"/>
      <c r="J14" s="4"/>
      <c r="K14" s="4"/>
      <c r="L14" s="4"/>
      <c r="M14" s="4"/>
      <c r="N14" s="4"/>
      <c r="O14" s="4"/>
      <c r="P14" s="4"/>
      <c r="Q14" s="4"/>
      <c r="R14" s="4"/>
      <c r="S14" s="4"/>
      <c r="T14" s="4"/>
      <c r="U14" s="4"/>
      <c r="V14" s="930"/>
    </row>
    <row r="15" spans="1:51" x14ac:dyDescent="0.45">
      <c r="A15" s="4"/>
      <c r="B15" s="948"/>
      <c r="C15" s="1080" t="s">
        <v>1435</v>
      </c>
      <c r="D15" s="1080" t="s">
        <v>1437</v>
      </c>
      <c r="E15" s="1080" t="s">
        <v>1436</v>
      </c>
      <c r="F15" s="1079" t="s">
        <v>1439</v>
      </c>
      <c r="G15" s="930"/>
      <c r="I15" s="948"/>
      <c r="J15" s="4"/>
      <c r="K15" s="4"/>
      <c r="L15" s="4"/>
      <c r="M15" s="4"/>
      <c r="N15" s="4"/>
      <c r="O15" s="4"/>
      <c r="P15" s="4"/>
      <c r="Q15" s="4"/>
      <c r="R15" s="4"/>
      <c r="S15" s="4"/>
      <c r="T15" s="4"/>
      <c r="U15" s="4"/>
      <c r="V15" s="930"/>
    </row>
    <row r="16" spans="1:51" ht="57" x14ac:dyDescent="0.45">
      <c r="A16" s="4"/>
      <c r="B16" s="948"/>
      <c r="C16" s="841" t="s">
        <v>1440</v>
      </c>
      <c r="D16" s="841" t="s">
        <v>1432</v>
      </c>
      <c r="E16" s="841" t="s">
        <v>1427</v>
      </c>
      <c r="F16" s="841" t="s">
        <v>1433</v>
      </c>
      <c r="G16" s="930"/>
      <c r="I16" s="948"/>
      <c r="J16" s="4"/>
      <c r="K16" s="4"/>
      <c r="L16" s="4"/>
      <c r="M16" s="4"/>
      <c r="N16" s="4"/>
      <c r="O16" s="4"/>
      <c r="P16" s="4"/>
      <c r="Q16" s="4"/>
      <c r="R16" s="4"/>
      <c r="S16" s="4"/>
      <c r="T16" s="4"/>
      <c r="U16" s="4"/>
      <c r="V16" s="930"/>
    </row>
    <row r="17" spans="1:51" x14ac:dyDescent="0.45">
      <c r="A17" s="4"/>
      <c r="B17" s="948" t="str">
        <f>'14. Permanent Info'!C7</f>
        <v>EC</v>
      </c>
      <c r="C17" s="843">
        <f>'10. Inputs &amp; Calcs'!H565</f>
        <v>0.64104385848248757</v>
      </c>
      <c r="D17" s="1034">
        <v>0.75</v>
      </c>
      <c r="E17" s="843">
        <f>'10. Inputs &amp; Calcs'!I529</f>
        <v>0</v>
      </c>
      <c r="F17" s="1036">
        <v>0.05</v>
      </c>
      <c r="G17" s="930"/>
      <c r="I17" s="948"/>
      <c r="J17" s="4"/>
      <c r="K17" s="4"/>
      <c r="L17" s="4"/>
      <c r="M17" s="4"/>
      <c r="N17" s="4"/>
      <c r="O17" s="4"/>
      <c r="P17" s="4"/>
      <c r="Q17" s="4"/>
      <c r="R17" s="4"/>
      <c r="S17" s="4"/>
      <c r="T17" s="4"/>
      <c r="U17" s="4"/>
      <c r="V17" s="930"/>
    </row>
    <row r="18" spans="1:51" x14ac:dyDescent="0.45">
      <c r="A18" s="4"/>
      <c r="B18" s="948" t="str">
        <f>'14. Permanent Info'!C8</f>
        <v>FS</v>
      </c>
      <c r="C18" s="843">
        <f>'10. Inputs &amp; Calcs'!H566</f>
        <v>0</v>
      </c>
      <c r="D18" s="1034">
        <v>0.3</v>
      </c>
      <c r="E18" s="843">
        <f>'10. Inputs &amp; Calcs'!I530</f>
        <v>0</v>
      </c>
      <c r="F18" s="1036">
        <v>0.05</v>
      </c>
      <c r="G18" s="930"/>
      <c r="I18" s="948"/>
      <c r="J18" s="4"/>
      <c r="K18" s="4"/>
      <c r="L18" s="4"/>
      <c r="M18" s="4"/>
      <c r="N18" s="4"/>
      <c r="O18" s="4"/>
      <c r="P18" s="4"/>
      <c r="Q18" s="4"/>
      <c r="R18" s="4"/>
      <c r="S18" s="4"/>
      <c r="T18" s="4"/>
      <c r="U18" s="4"/>
      <c r="V18" s="930"/>
    </row>
    <row r="19" spans="1:51" x14ac:dyDescent="0.45">
      <c r="A19" s="4"/>
      <c r="B19" s="948" t="str">
        <f>'14. Permanent Info'!C9</f>
        <v>Gau</v>
      </c>
      <c r="C19" s="843">
        <f>'10. Inputs &amp; Calcs'!H567</f>
        <v>3.7905623003453709E-2</v>
      </c>
      <c r="D19" s="1034">
        <v>0.15</v>
      </c>
      <c r="E19" s="843">
        <f>'10. Inputs &amp; Calcs'!I531</f>
        <v>0</v>
      </c>
      <c r="F19" s="1036">
        <v>0.05</v>
      </c>
      <c r="G19" s="930"/>
      <c r="I19" s="948"/>
      <c r="J19" s="4"/>
      <c r="K19" s="4"/>
      <c r="L19" s="4"/>
      <c r="M19" s="4"/>
      <c r="N19" s="4"/>
      <c r="O19" s="4"/>
      <c r="P19" s="4"/>
      <c r="Q19" s="4"/>
      <c r="R19" s="4"/>
      <c r="S19" s="4"/>
      <c r="T19" s="4"/>
      <c r="U19" s="4"/>
      <c r="V19" s="930"/>
    </row>
    <row r="20" spans="1:51" x14ac:dyDescent="0.45">
      <c r="A20" s="4"/>
      <c r="B20" s="948" t="str">
        <f>'14. Permanent Info'!C10</f>
        <v>KZN</v>
      </c>
      <c r="C20" s="843">
        <f>'10. Inputs &amp; Calcs'!H568</f>
        <v>0.2765409995924219</v>
      </c>
      <c r="D20" s="1034">
        <v>0.45</v>
      </c>
      <c r="E20" s="843">
        <f>'10. Inputs &amp; Calcs'!I532</f>
        <v>0</v>
      </c>
      <c r="F20" s="1036">
        <v>0.05</v>
      </c>
      <c r="G20" s="930"/>
      <c r="I20" s="948"/>
      <c r="J20" s="4"/>
      <c r="K20" s="4"/>
      <c r="L20" s="4"/>
      <c r="M20" s="4"/>
      <c r="N20" s="4"/>
      <c r="O20" s="4"/>
      <c r="P20" s="4"/>
      <c r="Q20" s="4"/>
      <c r="R20" s="4"/>
      <c r="S20" s="4"/>
      <c r="T20" s="4"/>
      <c r="U20" s="4"/>
      <c r="V20" s="930"/>
    </row>
    <row r="21" spans="1:51" x14ac:dyDescent="0.45">
      <c r="A21" s="4"/>
      <c r="B21" s="948" t="str">
        <f>'14. Permanent Info'!C11</f>
        <v>WC</v>
      </c>
      <c r="C21" s="844">
        <f>'10. Inputs &amp; Calcs'!H569</f>
        <v>0.76546080658513083</v>
      </c>
      <c r="D21" s="1037">
        <v>0.85</v>
      </c>
      <c r="E21" s="844">
        <f>'10. Inputs &amp; Calcs'!I533</f>
        <v>0</v>
      </c>
      <c r="F21" s="1039">
        <v>0.05</v>
      </c>
      <c r="G21" s="930"/>
      <c r="I21" s="948"/>
      <c r="J21" s="4"/>
      <c r="K21" s="4"/>
      <c r="L21" s="4"/>
      <c r="M21" s="4"/>
      <c r="N21" s="4"/>
      <c r="O21" s="4"/>
      <c r="P21" s="4"/>
      <c r="Q21" s="4"/>
      <c r="R21" s="4"/>
      <c r="S21" s="4"/>
      <c r="T21" s="4"/>
      <c r="U21" s="4"/>
      <c r="V21" s="930"/>
    </row>
    <row r="22" spans="1:51" ht="14.65" thickBot="1" x14ac:dyDescent="0.5">
      <c r="A22" s="4"/>
      <c r="B22" s="948"/>
      <c r="C22" s="842">
        <f>ROUND('10. Inputs &amp; Calcs'!H570,2)</f>
        <v>0.27</v>
      </c>
      <c r="D22" s="842">
        <f>ROUND(SUMPRODUCT('10. Inputs &amp; Calcs'!L565:L569,'10. Inputs &amp; Calcs'!$H$520:$H$524)/'10. Inputs &amp; Calcs'!$H$525,2)</f>
        <v>0.27</v>
      </c>
      <c r="E22" s="842">
        <f>ROUND('10. Inputs &amp; Calcs'!I534,0)</f>
        <v>0</v>
      </c>
      <c r="F22" s="845">
        <f>ROUND(SUMPRODUCT('10. Inputs &amp; Calcs'!L529:L533,'10. Inputs &amp; Calcs'!$H$520:$H$524)/'10. Inputs &amp; Calcs'!$H$525,2)</f>
        <v>0</v>
      </c>
      <c r="G22" s="930"/>
      <c r="I22" s="948"/>
      <c r="J22" s="4"/>
      <c r="K22" s="4"/>
      <c r="L22" s="4"/>
      <c r="M22" s="4"/>
      <c r="N22" s="4"/>
      <c r="O22" s="4"/>
      <c r="P22" s="4"/>
      <c r="Q22" s="4"/>
      <c r="R22" s="4"/>
      <c r="S22" s="4"/>
      <c r="T22" s="4"/>
      <c r="U22" s="4"/>
      <c r="V22" s="930"/>
    </row>
    <row r="23" spans="1:51" ht="14.65" thickTop="1" x14ac:dyDescent="0.45">
      <c r="A23" s="4"/>
      <c r="B23" s="949"/>
      <c r="C23" s="931" t="s">
        <v>1462</v>
      </c>
      <c r="D23" s="986">
        <f>'10. Inputs &amp; Calcs'!L570</f>
        <v>0.27446863791168158</v>
      </c>
      <c r="E23" s="931"/>
      <c r="F23" s="986">
        <f>'10. Inputs &amp; Calcs'!L534</f>
        <v>0</v>
      </c>
      <c r="G23" s="932"/>
      <c r="I23" s="948"/>
      <c r="J23" s="4"/>
      <c r="K23" s="4"/>
      <c r="L23" s="4"/>
      <c r="M23" s="4"/>
      <c r="N23" s="4"/>
      <c r="O23" s="4"/>
      <c r="P23" s="4"/>
      <c r="Q23" s="4"/>
      <c r="R23" s="4"/>
      <c r="S23" s="4"/>
      <c r="T23" s="4"/>
      <c r="U23" s="4"/>
      <c r="V23" s="930"/>
    </row>
    <row r="24" spans="1:51" x14ac:dyDescent="0.45">
      <c r="I24" s="948"/>
      <c r="J24" s="4"/>
      <c r="K24" s="4"/>
      <c r="L24" s="4"/>
      <c r="M24" s="4"/>
      <c r="N24" s="4"/>
      <c r="O24" s="4"/>
      <c r="P24" s="4"/>
      <c r="Q24" s="4"/>
      <c r="R24" s="4"/>
      <c r="S24" s="4"/>
      <c r="T24" s="4"/>
      <c r="U24" s="4"/>
      <c r="V24" s="930"/>
    </row>
    <row r="25" spans="1:51" ht="4.5" customHeight="1" x14ac:dyDescent="0.45">
      <c r="I25" s="948"/>
      <c r="J25" s="4"/>
      <c r="K25" s="4"/>
      <c r="L25" s="4"/>
      <c r="M25" s="4"/>
      <c r="N25" s="4"/>
      <c r="O25" s="4"/>
      <c r="P25" s="4"/>
      <c r="Q25" s="4"/>
      <c r="R25" s="4"/>
      <c r="S25" s="4"/>
      <c r="T25" s="4"/>
      <c r="U25" s="4"/>
      <c r="V25" s="930"/>
    </row>
    <row r="26" spans="1:51" ht="21" x14ac:dyDescent="0.65">
      <c r="B26" s="60" t="s">
        <v>1098</v>
      </c>
      <c r="I26" s="948"/>
      <c r="J26" s="4"/>
      <c r="K26" s="4"/>
      <c r="L26" s="4"/>
      <c r="M26" s="4"/>
      <c r="N26" s="4"/>
      <c r="O26" s="4"/>
      <c r="P26" s="4"/>
      <c r="Q26" s="4"/>
      <c r="R26" s="4"/>
      <c r="S26" s="4"/>
      <c r="T26" s="4"/>
      <c r="U26" s="4"/>
      <c r="V26" s="930"/>
      <c r="AA26" s="451" t="s">
        <v>1698</v>
      </c>
    </row>
    <row r="27" spans="1:51" ht="28.5" x14ac:dyDescent="0.45">
      <c r="B27" s="1043"/>
      <c r="C27" s="1044"/>
      <c r="D27" s="1045" t="s">
        <v>1514</v>
      </c>
      <c r="E27" s="1046" t="s">
        <v>1498</v>
      </c>
      <c r="F27" s="1047"/>
      <c r="G27" s="1048"/>
      <c r="I27" s="948"/>
      <c r="J27" s="4"/>
      <c r="K27" s="4"/>
      <c r="L27" s="4"/>
      <c r="M27" s="4"/>
      <c r="N27" s="4"/>
      <c r="O27" s="4"/>
      <c r="P27" s="4"/>
      <c r="Q27" s="4"/>
      <c r="R27" s="4"/>
      <c r="S27" s="4"/>
      <c r="T27" s="4"/>
      <c r="U27" s="4"/>
      <c r="V27" s="930"/>
      <c r="AA27" s="803"/>
      <c r="AB27" s="803" t="s">
        <v>102</v>
      </c>
      <c r="AC27" s="803" t="s">
        <v>103</v>
      </c>
      <c r="AD27" s="803" t="s">
        <v>104</v>
      </c>
      <c r="AE27" s="803" t="s">
        <v>1345</v>
      </c>
      <c r="AF27" s="803" t="s">
        <v>1346</v>
      </c>
      <c r="AG27" s="803" t="s">
        <v>1347</v>
      </c>
      <c r="AH27" s="803" t="s">
        <v>1348</v>
      </c>
      <c r="AI27" s="803" t="s">
        <v>1349</v>
      </c>
      <c r="AJ27" s="803" t="s">
        <v>1350</v>
      </c>
      <c r="AK27" s="803" t="s">
        <v>1351</v>
      </c>
      <c r="AL27" s="803" t="s">
        <v>1352</v>
      </c>
      <c r="AM27" s="803" t="s">
        <v>1353</v>
      </c>
      <c r="AN27" s="803" t="s">
        <v>1354</v>
      </c>
      <c r="AO27" s="803" t="s">
        <v>1355</v>
      </c>
      <c r="AP27" s="803" t="s">
        <v>1410</v>
      </c>
      <c r="AQ27" s="803" t="s">
        <v>1411</v>
      </c>
      <c r="AR27" s="803" t="s">
        <v>1412</v>
      </c>
      <c r="AS27" s="803" t="s">
        <v>1413</v>
      </c>
      <c r="AT27" s="803" t="s">
        <v>1414</v>
      </c>
      <c r="AU27" s="803" t="s">
        <v>1415</v>
      </c>
      <c r="AV27" s="803" t="s">
        <v>1416</v>
      </c>
      <c r="AW27" s="803" t="s">
        <v>1417</v>
      </c>
      <c r="AX27" s="803" t="s">
        <v>1418</v>
      </c>
      <c r="AY27" s="803" t="s">
        <v>1419</v>
      </c>
    </row>
    <row r="28" spans="1:51" x14ac:dyDescent="0.45">
      <c r="B28" s="1049" t="s">
        <v>1551</v>
      </c>
      <c r="C28" s="1050"/>
      <c r="D28" s="1051">
        <v>40845649.298126884</v>
      </c>
      <c r="E28" s="1051">
        <v>62486352.897243433</v>
      </c>
      <c r="F28" s="1051"/>
      <c r="G28" s="1052"/>
      <c r="I28" s="948"/>
      <c r="J28" s="4"/>
      <c r="K28" s="4"/>
      <c r="L28" s="4"/>
      <c r="M28" s="4"/>
      <c r="N28" s="4"/>
      <c r="O28" s="4"/>
      <c r="P28" s="4"/>
      <c r="Q28" s="4"/>
      <c r="R28" s="4"/>
      <c r="S28" s="4"/>
      <c r="T28" s="4"/>
      <c r="U28" s="4"/>
      <c r="V28" s="930"/>
      <c r="AA28" s="803" t="s">
        <v>330</v>
      </c>
      <c r="AB28" s="533">
        <v>13847741.82</v>
      </c>
      <c r="AC28" s="533">
        <v>16595915.43</v>
      </c>
      <c r="AD28" s="533">
        <v>14925625.75</v>
      </c>
      <c r="AE28" s="533">
        <v>11305567.046898484</v>
      </c>
      <c r="AF28" s="533">
        <v>10295775.108026672</v>
      </c>
      <c r="AG28" s="533">
        <v>8369173.8392901234</v>
      </c>
      <c r="AH28" s="533">
        <v>9513244.3466021493</v>
      </c>
      <c r="AI28" s="533">
        <v>8583827.3586735092</v>
      </c>
      <c r="AJ28" s="533">
        <v>7654410.3707448691</v>
      </c>
      <c r="AK28" s="533">
        <v>6724993.3828162299</v>
      </c>
      <c r="AL28" s="533">
        <v>39361.444191337381</v>
      </c>
      <c r="AM28" s="533">
        <v>0</v>
      </c>
      <c r="AN28" s="533">
        <v>0</v>
      </c>
      <c r="AO28" s="533">
        <v>0</v>
      </c>
      <c r="AP28" s="533">
        <v>0</v>
      </c>
      <c r="AQ28" s="533">
        <v>0</v>
      </c>
      <c r="AR28" s="533">
        <v>0</v>
      </c>
      <c r="AS28" s="533">
        <v>0</v>
      </c>
      <c r="AT28" s="533">
        <v>0</v>
      </c>
      <c r="AU28" s="533">
        <v>0</v>
      </c>
      <c r="AV28" s="533">
        <v>0</v>
      </c>
      <c r="AW28" s="533">
        <v>0</v>
      </c>
      <c r="AX28" s="533">
        <v>0</v>
      </c>
      <c r="AY28" s="533">
        <v>0</v>
      </c>
    </row>
    <row r="29" spans="1:51" x14ac:dyDescent="0.45">
      <c r="B29" s="1049" t="s">
        <v>1510</v>
      </c>
      <c r="C29" s="1050"/>
      <c r="D29" s="1051">
        <v>374366059.27415669</v>
      </c>
      <c r="E29" s="1051">
        <v>656769111.3574121</v>
      </c>
      <c r="F29" s="1051"/>
      <c r="G29" s="1052"/>
      <c r="I29" s="948"/>
      <c r="J29" s="4"/>
      <c r="K29" s="4"/>
      <c r="L29" s="4"/>
      <c r="M29" s="4"/>
      <c r="N29" s="4"/>
      <c r="O29" s="4"/>
      <c r="P29" s="4"/>
      <c r="Q29" s="4"/>
      <c r="R29" s="4"/>
      <c r="S29" s="4"/>
      <c r="T29" s="4"/>
      <c r="U29" s="4"/>
      <c r="V29" s="930"/>
      <c r="AA29" s="803" t="s">
        <v>369</v>
      </c>
      <c r="AB29" s="533">
        <v>-126486884.31333333</v>
      </c>
      <c r="AC29" s="533">
        <v>-136616043.32333332</v>
      </c>
      <c r="AD29" s="533">
        <v>-143214809.11000001</v>
      </c>
      <c r="AE29" s="533">
        <v>-143253743.71700636</v>
      </c>
      <c r="AF29" s="533">
        <v>-139067846.33322573</v>
      </c>
      <c r="AG29" s="533">
        <v>-133721299.89060706</v>
      </c>
      <c r="AH29" s="533">
        <v>-110999456.16963232</v>
      </c>
      <c r="AI29" s="533">
        <v>-81592809.873473763</v>
      </c>
      <c r="AJ29" s="533">
        <v>-48615659.129824616</v>
      </c>
      <c r="AK29" s="533">
        <v>-11764203.554506831</v>
      </c>
      <c r="AL29" s="533">
        <v>-81462.033023492491</v>
      </c>
      <c r="AM29" s="533">
        <v>0</v>
      </c>
      <c r="AN29" s="533">
        <v>0</v>
      </c>
      <c r="AO29" s="533">
        <v>0</v>
      </c>
      <c r="AP29" s="533">
        <v>0</v>
      </c>
      <c r="AQ29" s="533">
        <v>0</v>
      </c>
      <c r="AR29" s="533">
        <v>0</v>
      </c>
      <c r="AS29" s="533">
        <v>0</v>
      </c>
      <c r="AT29" s="533">
        <v>0</v>
      </c>
      <c r="AU29" s="533">
        <v>0</v>
      </c>
      <c r="AV29" s="533">
        <v>0</v>
      </c>
      <c r="AW29" s="533">
        <v>0</v>
      </c>
      <c r="AX29" s="533">
        <v>0</v>
      </c>
      <c r="AY29" s="533">
        <v>0</v>
      </c>
    </row>
    <row r="30" spans="1:51" x14ac:dyDescent="0.45">
      <c r="B30" s="1053" t="s">
        <v>336</v>
      </c>
      <c r="C30" s="1050"/>
      <c r="D30" s="1054">
        <v>52339726.061723717</v>
      </c>
      <c r="E30" s="1054">
        <v>94618649.657320246</v>
      </c>
      <c r="F30" s="1051"/>
      <c r="G30" s="1052"/>
      <c r="I30" s="949"/>
      <c r="J30" s="931"/>
      <c r="K30" s="931"/>
      <c r="L30" s="931"/>
      <c r="M30" s="931"/>
      <c r="N30" s="931"/>
      <c r="O30" s="931"/>
      <c r="P30" s="931"/>
      <c r="Q30" s="931"/>
      <c r="R30" s="931"/>
      <c r="S30" s="931"/>
      <c r="T30" s="931"/>
      <c r="U30" s="931"/>
      <c r="V30" s="932"/>
      <c r="AA30" s="803" t="s">
        <v>371</v>
      </c>
      <c r="AB30" s="533">
        <v>-112639142.49333334</v>
      </c>
      <c r="AC30" s="533">
        <v>-120020127.89333332</v>
      </c>
      <c r="AD30" s="533">
        <v>-128289183.36000001</v>
      </c>
      <c r="AE30" s="533">
        <v>-131948176.67010787</v>
      </c>
      <c r="AF30" s="533">
        <v>-128772071.22519906</v>
      </c>
      <c r="AG30" s="533">
        <v>-125352126.05131693</v>
      </c>
      <c r="AH30" s="533">
        <v>-101486211.82303017</v>
      </c>
      <c r="AI30" s="533">
        <v>-73008982.514800251</v>
      </c>
      <c r="AJ30" s="533">
        <v>-40961248.759079747</v>
      </c>
      <c r="AK30" s="533">
        <v>-5039210.1716906009</v>
      </c>
      <c r="AL30" s="533">
        <v>-42100.58883215511</v>
      </c>
      <c r="AM30" s="533">
        <v>0</v>
      </c>
      <c r="AN30" s="533">
        <v>0</v>
      </c>
      <c r="AO30" s="533">
        <v>0</v>
      </c>
      <c r="AP30" s="533">
        <v>0</v>
      </c>
      <c r="AQ30" s="533">
        <v>0</v>
      </c>
      <c r="AR30" s="533">
        <v>0</v>
      </c>
      <c r="AS30" s="533">
        <v>0</v>
      </c>
      <c r="AT30" s="533">
        <v>0</v>
      </c>
      <c r="AU30" s="533">
        <v>0</v>
      </c>
      <c r="AV30" s="533">
        <v>0</v>
      </c>
      <c r="AW30" s="533">
        <v>0</v>
      </c>
      <c r="AX30" s="533">
        <v>0</v>
      </c>
      <c r="AY30" s="533">
        <v>0</v>
      </c>
    </row>
    <row r="31" spans="1:51" x14ac:dyDescent="0.45">
      <c r="B31" s="1053" t="s">
        <v>340</v>
      </c>
      <c r="C31" s="1050"/>
      <c r="D31" s="1055">
        <v>18229904.280138563</v>
      </c>
      <c r="E31" s="1055">
        <v>33750492.156239524</v>
      </c>
      <c r="F31" s="1051"/>
      <c r="G31" s="1052"/>
      <c r="AA31" s="803" t="s">
        <v>1697</v>
      </c>
      <c r="AB31" s="533">
        <v>-112639142.49333334</v>
      </c>
      <c r="AC31" s="533">
        <v>-232659270.38666666</v>
      </c>
      <c r="AD31" s="533">
        <v>-360948453.74666667</v>
      </c>
      <c r="AE31" s="533">
        <v>-492896630.41677451</v>
      </c>
      <c r="AF31" s="533">
        <v>-621668701.64197361</v>
      </c>
      <c r="AG31" s="533">
        <v>-747020827.69329059</v>
      </c>
      <c r="AH31" s="533">
        <v>-848507039.51632071</v>
      </c>
      <c r="AI31" s="533">
        <v>-921516022.03112102</v>
      </c>
      <c r="AJ31" s="533">
        <v>-962477270.79020071</v>
      </c>
      <c r="AK31" s="533">
        <v>-967516480.96189129</v>
      </c>
      <c r="AL31" s="533">
        <v>-967558581.55072343</v>
      </c>
      <c r="AM31" s="533">
        <v>-967558581.55072343</v>
      </c>
      <c r="AN31" s="533">
        <v>-967558581.55072343</v>
      </c>
      <c r="AO31" s="533">
        <v>-967558581.55072343</v>
      </c>
      <c r="AP31" s="533">
        <v>-967558581.55072343</v>
      </c>
      <c r="AQ31" s="533">
        <v>-967558581.55072343</v>
      </c>
      <c r="AR31" s="533">
        <v>-967558581.55072343</v>
      </c>
      <c r="AS31" s="533">
        <v>-967558581.55072343</v>
      </c>
      <c r="AT31" s="533">
        <v>-967558581.55072343</v>
      </c>
      <c r="AU31" s="533">
        <v>-967558581.55072343</v>
      </c>
      <c r="AV31" s="533">
        <v>-967558581.55072343</v>
      </c>
      <c r="AW31" s="533">
        <v>-967558581.55072343</v>
      </c>
      <c r="AX31" s="533">
        <v>-967558581.55072343</v>
      </c>
      <c r="AY31" s="533">
        <v>-967558581.55072343</v>
      </c>
    </row>
    <row r="32" spans="1:51" x14ac:dyDescent="0.45">
      <c r="B32" s="1053" t="s">
        <v>342</v>
      </c>
      <c r="C32" s="1050"/>
      <c r="D32" s="1055">
        <v>137303885.4593538</v>
      </c>
      <c r="E32" s="1055">
        <v>247295942.92820355</v>
      </c>
      <c r="F32" s="1051"/>
      <c r="G32" s="1052"/>
      <c r="AA32" s="451" t="s">
        <v>1699</v>
      </c>
    </row>
    <row r="33" spans="2:51" x14ac:dyDescent="0.45">
      <c r="B33" s="1053" t="s">
        <v>1042</v>
      </c>
      <c r="C33" s="1050"/>
      <c r="D33" s="1055">
        <v>36259777.966875359</v>
      </c>
      <c r="E33" s="1055">
        <v>43735129.999898851</v>
      </c>
      <c r="F33" s="1051"/>
      <c r="G33" s="1052"/>
      <c r="AA33" s="803" t="s">
        <v>330</v>
      </c>
      <c r="AB33" s="533">
        <v>13847741.82</v>
      </c>
      <c r="AC33" s="533">
        <v>16595915.43</v>
      </c>
      <c r="AD33" s="533">
        <v>14925625.75</v>
      </c>
      <c r="AE33" s="533">
        <v>11305567.046898484</v>
      </c>
      <c r="AF33" s="533">
        <v>10295775.108026672</v>
      </c>
      <c r="AG33" s="533">
        <v>8369173.8392901234</v>
      </c>
      <c r="AH33" s="533">
        <v>9513244.3466021493</v>
      </c>
      <c r="AI33" s="533">
        <v>8583827.3586735092</v>
      </c>
      <c r="AJ33" s="533">
        <v>7654410.3707448691</v>
      </c>
      <c r="AK33" s="533">
        <v>6724993.3828162299</v>
      </c>
      <c r="AL33" s="533">
        <v>39361.444191337381</v>
      </c>
      <c r="AM33" s="533">
        <v>0</v>
      </c>
      <c r="AN33" s="533">
        <v>0</v>
      </c>
      <c r="AO33" s="533">
        <v>0</v>
      </c>
      <c r="AP33" s="533">
        <v>0</v>
      </c>
      <c r="AQ33" s="533">
        <v>0</v>
      </c>
      <c r="AR33" s="533">
        <v>0</v>
      </c>
      <c r="AS33" s="533">
        <v>0</v>
      </c>
      <c r="AT33" s="533">
        <v>0</v>
      </c>
      <c r="AU33" s="533">
        <v>0</v>
      </c>
      <c r="AV33" s="533">
        <v>0</v>
      </c>
      <c r="AW33" s="533">
        <v>0</v>
      </c>
      <c r="AX33" s="533">
        <v>0</v>
      </c>
      <c r="AY33" s="533">
        <v>0</v>
      </c>
    </row>
    <row r="34" spans="2:51" x14ac:dyDescent="0.45">
      <c r="B34" s="1053" t="s">
        <v>360</v>
      </c>
      <c r="C34" s="1050"/>
      <c r="D34" s="1055">
        <v>65088540.503621973</v>
      </c>
      <c r="E34" s="1055">
        <v>156879049.25329033</v>
      </c>
      <c r="F34" s="1051"/>
      <c r="G34" s="1052"/>
      <c r="AA34" s="803" t="s">
        <v>369</v>
      </c>
      <c r="AB34" s="533">
        <v>126486884.31333333</v>
      </c>
      <c r="AC34" s="533">
        <v>136616043.32333332</v>
      </c>
      <c r="AD34" s="533">
        <v>143214809.11000001</v>
      </c>
      <c r="AE34" s="533">
        <v>143253743.71700636</v>
      </c>
      <c r="AF34" s="533">
        <v>139067846.33322573</v>
      </c>
      <c r="AG34" s="533">
        <v>133721299.89060707</v>
      </c>
      <c r="AH34" s="533">
        <v>110999456.16963232</v>
      </c>
      <c r="AI34" s="533">
        <v>81592809.873473763</v>
      </c>
      <c r="AJ34" s="533">
        <v>48615659.129824623</v>
      </c>
      <c r="AK34" s="533">
        <v>11764203.554506833</v>
      </c>
      <c r="AL34" s="533">
        <v>81462.033023492491</v>
      </c>
      <c r="AM34" s="533">
        <v>0</v>
      </c>
      <c r="AN34" s="533">
        <v>0</v>
      </c>
      <c r="AO34" s="533">
        <v>0</v>
      </c>
      <c r="AP34" s="533">
        <v>0</v>
      </c>
      <c r="AQ34" s="533">
        <v>0</v>
      </c>
      <c r="AR34" s="533">
        <v>0</v>
      </c>
      <c r="AS34" s="533">
        <v>0</v>
      </c>
      <c r="AT34" s="533">
        <v>0</v>
      </c>
      <c r="AU34" s="533">
        <v>0</v>
      </c>
      <c r="AV34" s="533">
        <v>0</v>
      </c>
      <c r="AW34" s="533">
        <v>0</v>
      </c>
      <c r="AX34" s="533">
        <v>0</v>
      </c>
      <c r="AY34" s="533">
        <v>0</v>
      </c>
    </row>
    <row r="35" spans="2:51" x14ac:dyDescent="0.45">
      <c r="B35" s="1053" t="s">
        <v>444</v>
      </c>
      <c r="C35" s="1050"/>
      <c r="D35" s="1056">
        <v>65144225.002443254</v>
      </c>
      <c r="E35" s="1056">
        <v>80489847.36245954</v>
      </c>
      <c r="F35" s="1051"/>
      <c r="G35" s="1052"/>
      <c r="AA35" s="803" t="s">
        <v>371</v>
      </c>
      <c r="AB35" s="533">
        <v>-112639142.49333334</v>
      </c>
      <c r="AC35" s="533">
        <v>-120020127.89333332</v>
      </c>
      <c r="AD35" s="533">
        <v>-128289183.36000001</v>
      </c>
      <c r="AE35" s="533">
        <v>-131948176.67010787</v>
      </c>
      <c r="AF35" s="533">
        <v>-128772071.22519906</v>
      </c>
      <c r="AG35" s="533">
        <v>-125352126.05131695</v>
      </c>
      <c r="AH35" s="533">
        <v>-101486211.82303017</v>
      </c>
      <c r="AI35" s="533">
        <v>-73008982.514800251</v>
      </c>
      <c r="AJ35" s="533">
        <v>-40961248.759079754</v>
      </c>
      <c r="AK35" s="533">
        <v>-5039210.1716906028</v>
      </c>
      <c r="AL35" s="533">
        <v>-42100.58883215511</v>
      </c>
      <c r="AM35" s="533">
        <v>0</v>
      </c>
      <c r="AN35" s="533">
        <v>0</v>
      </c>
      <c r="AO35" s="533">
        <v>0</v>
      </c>
      <c r="AP35" s="533">
        <v>0</v>
      </c>
      <c r="AQ35" s="533">
        <v>0</v>
      </c>
      <c r="AR35" s="533">
        <v>0</v>
      </c>
      <c r="AS35" s="533">
        <v>0</v>
      </c>
      <c r="AT35" s="533">
        <v>0</v>
      </c>
      <c r="AU35" s="533">
        <v>0</v>
      </c>
      <c r="AV35" s="533">
        <v>0</v>
      </c>
      <c r="AW35" s="533">
        <v>0</v>
      </c>
      <c r="AX35" s="533">
        <v>0</v>
      </c>
      <c r="AY35" s="533">
        <v>0</v>
      </c>
    </row>
    <row r="36" spans="2:51" x14ac:dyDescent="0.45">
      <c r="B36" s="1057"/>
      <c r="C36" s="1050"/>
      <c r="D36" s="1050"/>
      <c r="E36" s="1050"/>
      <c r="F36" s="1050"/>
      <c r="G36" s="1052"/>
      <c r="AA36" s="803" t="s">
        <v>1697</v>
      </c>
      <c r="AB36" s="533">
        <v>-112639142.49333334</v>
      </c>
      <c r="AC36" s="533">
        <v>-232659270.38666666</v>
      </c>
      <c r="AD36" s="533">
        <v>-360948453.74666667</v>
      </c>
      <c r="AE36" s="533">
        <v>-492896630.41677451</v>
      </c>
      <c r="AF36" s="533">
        <v>-621668701.64197361</v>
      </c>
      <c r="AG36" s="533">
        <v>-747020827.69329059</v>
      </c>
      <c r="AH36" s="533">
        <v>-848507039.51632071</v>
      </c>
      <c r="AI36" s="533">
        <v>-921516022.03112102</v>
      </c>
      <c r="AJ36" s="533">
        <v>-962477270.79020071</v>
      </c>
      <c r="AK36" s="533">
        <v>-967516480.96189129</v>
      </c>
      <c r="AL36" s="533">
        <v>-967558581.55072343</v>
      </c>
      <c r="AM36" s="533">
        <v>-967558581.55072343</v>
      </c>
      <c r="AN36" s="533">
        <v>-967558581.55072343</v>
      </c>
      <c r="AO36" s="533">
        <v>-967558581.55072343</v>
      </c>
      <c r="AP36" s="533">
        <v>-967558581.55072343</v>
      </c>
      <c r="AQ36" s="533">
        <v>-967558581.55072343</v>
      </c>
      <c r="AR36" s="533">
        <v>-967558581.55072343</v>
      </c>
      <c r="AS36" s="533">
        <v>-967558581.55072343</v>
      </c>
      <c r="AT36" s="533">
        <v>-967558581.55072343</v>
      </c>
      <c r="AU36" s="533">
        <v>-967558581.55072343</v>
      </c>
      <c r="AV36" s="533">
        <v>-967558581.55072343</v>
      </c>
      <c r="AW36" s="533">
        <v>-967558581.55072343</v>
      </c>
      <c r="AX36" s="533">
        <v>-967558581.55072343</v>
      </c>
      <c r="AY36" s="533">
        <v>-967558581.55072343</v>
      </c>
    </row>
    <row r="37" spans="2:51" ht="14.65" thickBot="1" x14ac:dyDescent="0.5">
      <c r="B37" s="1053" t="s">
        <v>1552</v>
      </c>
      <c r="C37" s="1050"/>
      <c r="D37" s="1058">
        <v>-333520409.97602981</v>
      </c>
      <c r="E37" s="1058">
        <v>-594282758.46016872</v>
      </c>
      <c r="F37" s="1051"/>
      <c r="G37" s="1052"/>
    </row>
    <row r="38" spans="2:51" ht="14.65" thickTop="1" x14ac:dyDescent="0.45">
      <c r="B38" s="1059" t="s">
        <v>1557</v>
      </c>
      <c r="C38" s="1060"/>
      <c r="D38" s="1061">
        <v>4124</v>
      </c>
      <c r="E38" s="1061">
        <v>5160</v>
      </c>
      <c r="F38" s="1061"/>
      <c r="G38" s="1052"/>
    </row>
    <row r="39" spans="2:51" x14ac:dyDescent="0.45">
      <c r="B39" s="1059" t="s">
        <v>1559</v>
      </c>
      <c r="C39" s="1060"/>
      <c r="D39" s="1051">
        <v>80873.038306505769</v>
      </c>
      <c r="E39" s="1051">
        <v>115171.07722096294</v>
      </c>
      <c r="F39" s="1060"/>
      <c r="G39" s="1052"/>
    </row>
    <row r="40" spans="2:51" x14ac:dyDescent="0.45">
      <c r="B40" s="1057" t="s">
        <v>1503</v>
      </c>
      <c r="C40" s="1050"/>
      <c r="D40" s="1051">
        <v>8792.3806903189525</v>
      </c>
      <c r="E40" s="1051">
        <v>8475.8003875772974</v>
      </c>
      <c r="F40" s="1051"/>
      <c r="G40" s="1052"/>
    </row>
    <row r="41" spans="2:51" x14ac:dyDescent="0.45">
      <c r="B41" s="1057" t="s">
        <v>1511</v>
      </c>
      <c r="C41" s="1050"/>
      <c r="D41" s="1062">
        <v>-747387195.54207206</v>
      </c>
      <c r="E41" s="1062">
        <v>-833828355.43116832</v>
      </c>
      <c r="F41" s="1051"/>
      <c r="G41" s="1052"/>
    </row>
    <row r="42" spans="2:51" x14ac:dyDescent="0.45">
      <c r="B42" s="1057" t="s">
        <v>1558</v>
      </c>
      <c r="C42" s="1060"/>
      <c r="D42" s="1051">
        <v>-181228.70890932882</v>
      </c>
      <c r="E42" s="1051">
        <v>-161594.6425254202</v>
      </c>
      <c r="F42" s="1051"/>
      <c r="G42" s="1052"/>
    </row>
    <row r="43" spans="2:51" x14ac:dyDescent="0.45">
      <c r="B43" s="1057" t="s">
        <v>1505</v>
      </c>
      <c r="C43" s="1050"/>
      <c r="D43" s="1062">
        <v>-1080907605.5181019</v>
      </c>
      <c r="E43" s="1062">
        <v>-1428111113.8913374</v>
      </c>
      <c r="F43" s="1051"/>
      <c r="G43" s="1052"/>
    </row>
    <row r="44" spans="2:51" x14ac:dyDescent="0.45">
      <c r="B44" s="1057" t="s">
        <v>1504</v>
      </c>
      <c r="C44" s="1050"/>
      <c r="D44" s="1030">
        <v>-652227857.09090519</v>
      </c>
      <c r="E44" s="1030">
        <v>-2756114523.0144925</v>
      </c>
      <c r="F44" s="1050"/>
      <c r="G44" s="1052"/>
    </row>
    <row r="45" spans="2:51" x14ac:dyDescent="0.45">
      <c r="B45" s="1057" t="s">
        <v>1584</v>
      </c>
      <c r="C45" s="1050"/>
      <c r="D45" s="1063">
        <v>-428679748.42719674</v>
      </c>
      <c r="E45" s="1063">
        <v>1328003409.1231551</v>
      </c>
      <c r="F45" s="1064"/>
      <c r="G45" s="1052"/>
    </row>
    <row r="46" spans="2:51" x14ac:dyDescent="0.45">
      <c r="B46" s="1057"/>
      <c r="C46" s="1060"/>
      <c r="D46" s="1060"/>
      <c r="E46" s="1060"/>
      <c r="F46" s="1060"/>
      <c r="G46" s="1052"/>
    </row>
    <row r="47" spans="2:51" ht="36" customHeight="1" x14ac:dyDescent="0.45">
      <c r="B47" s="1049" t="s">
        <v>1508</v>
      </c>
      <c r="C47" s="1060"/>
      <c r="D47" s="1045" t="s">
        <v>1512</v>
      </c>
      <c r="E47" s="1045" t="s">
        <v>1515</v>
      </c>
      <c r="F47" s="1045" t="s">
        <v>1523</v>
      </c>
      <c r="G47" s="1052"/>
    </row>
    <row r="48" spans="2:51" x14ac:dyDescent="0.45">
      <c r="B48" s="1057" t="s">
        <v>1346</v>
      </c>
      <c r="C48" s="1060"/>
      <c r="D48" s="1051">
        <v>-128772071.22519906</v>
      </c>
      <c r="E48" s="1065">
        <v>4132</v>
      </c>
      <c r="F48" s="1051">
        <v>-31164.586453339558</v>
      </c>
      <c r="G48" s="1052"/>
    </row>
    <row r="49" spans="1:7" x14ac:dyDescent="0.45">
      <c r="B49" s="1057" t="s">
        <v>1347</v>
      </c>
      <c r="C49" s="1060"/>
      <c r="D49" s="973">
        <v>-144884379.17131695</v>
      </c>
      <c r="E49" s="1066">
        <v>3656</v>
      </c>
      <c r="F49" s="1054">
        <v>-39629.206556705947</v>
      </c>
      <c r="G49" s="1052"/>
    </row>
    <row r="50" spans="1:7" x14ac:dyDescent="0.45">
      <c r="B50" s="1057" t="s">
        <v>1348</v>
      </c>
      <c r="C50" s="1060"/>
      <c r="D50" s="975">
        <v>-98292485.736832023</v>
      </c>
      <c r="E50" s="1067">
        <v>2744</v>
      </c>
      <c r="F50" s="1055">
        <v>-35820.876726250739</v>
      </c>
      <c r="G50" s="1052"/>
    </row>
    <row r="51" spans="1:7" x14ac:dyDescent="0.45">
      <c r="B51" s="1057" t="s">
        <v>1349</v>
      </c>
      <c r="C51" s="1060"/>
      <c r="D51" s="975">
        <v>-56834202.106066063</v>
      </c>
      <c r="E51" s="1067">
        <v>1832</v>
      </c>
      <c r="F51" s="1055">
        <v>-31023.036084097195</v>
      </c>
      <c r="G51" s="1052"/>
    </row>
    <row r="52" spans="1:7" x14ac:dyDescent="0.45">
      <c r="B52" s="1057" t="s">
        <v>1350</v>
      </c>
      <c r="C52" s="1060"/>
      <c r="D52" s="975">
        <v>-31156087.687251166</v>
      </c>
      <c r="E52" s="1067">
        <v>920</v>
      </c>
      <c r="F52" s="1055">
        <v>-33865.312703533877</v>
      </c>
      <c r="G52" s="1052"/>
    </row>
    <row r="53" spans="1:7" x14ac:dyDescent="0.45">
      <c r="B53" s="1057" t="s">
        <v>1351</v>
      </c>
      <c r="C53" s="1060"/>
      <c r="D53" s="977">
        <v>-2353255.2745636469</v>
      </c>
      <c r="E53" s="1068">
        <v>8</v>
      </c>
      <c r="F53" s="1056">
        <v>-294156.90932045586</v>
      </c>
      <c r="G53" s="1052"/>
    </row>
    <row r="54" spans="1:7" x14ac:dyDescent="0.45">
      <c r="B54" s="1057" t="s">
        <v>1516</v>
      </c>
      <c r="C54" s="1060"/>
      <c r="D54" s="970">
        <v>-333520409.97602987</v>
      </c>
      <c r="E54" s="1060"/>
      <c r="F54" s="1060"/>
      <c r="G54" s="1052"/>
    </row>
    <row r="55" spans="1:7" x14ac:dyDescent="0.45">
      <c r="A55" s="18"/>
      <c r="B55" s="1057" t="s">
        <v>1520</v>
      </c>
      <c r="C55" s="1060"/>
      <c r="D55" s="1051">
        <v>-594282758.46016908</v>
      </c>
      <c r="E55" s="1065">
        <v>5160</v>
      </c>
      <c r="F55" s="1051">
        <v>-115171.07722096299</v>
      </c>
      <c r="G55" s="1052"/>
    </row>
    <row r="56" spans="1:7" x14ac:dyDescent="0.45">
      <c r="A56" s="18"/>
      <c r="B56" s="1057"/>
      <c r="C56" s="1060"/>
      <c r="D56" s="1060"/>
      <c r="E56" s="1060"/>
      <c r="F56" s="1060"/>
      <c r="G56" s="1052"/>
    </row>
    <row r="57" spans="1:7" ht="35.25" customHeight="1" x14ac:dyDescent="0.45">
      <c r="A57" s="18"/>
      <c r="B57" s="1049" t="s">
        <v>1573</v>
      </c>
      <c r="C57" s="1060"/>
      <c r="D57" s="1045" t="s">
        <v>1512</v>
      </c>
      <c r="E57" s="1045" t="s">
        <v>1567</v>
      </c>
      <c r="F57" s="1045" t="s">
        <v>1524</v>
      </c>
      <c r="G57" s="1052"/>
    </row>
    <row r="58" spans="1:7" x14ac:dyDescent="0.45">
      <c r="A58" s="18"/>
      <c r="B58" s="1057" t="s">
        <v>1346</v>
      </c>
      <c r="C58" s="1060"/>
      <c r="D58" s="1051">
        <v>-9628697.8662323505</v>
      </c>
      <c r="E58" s="1065">
        <v>514</v>
      </c>
      <c r="F58" s="1051">
        <v>-18732.875226132979</v>
      </c>
      <c r="G58" s="1052"/>
    </row>
    <row r="59" spans="1:7" x14ac:dyDescent="0.45">
      <c r="A59" s="18"/>
      <c r="B59" s="1057" t="s">
        <v>1347</v>
      </c>
      <c r="C59" s="1060"/>
      <c r="D59" s="973">
        <v>-8930433.3100576513</v>
      </c>
      <c r="E59" s="1066">
        <v>476</v>
      </c>
      <c r="F59" s="1054">
        <v>-18761.414516927838</v>
      </c>
      <c r="G59" s="1052"/>
    </row>
    <row r="60" spans="1:7" x14ac:dyDescent="0.45">
      <c r="A60" s="18"/>
      <c r="B60" s="1057" t="s">
        <v>1348</v>
      </c>
      <c r="C60" s="1060"/>
      <c r="D60" s="975">
        <v>-184614190.5580036</v>
      </c>
      <c r="E60" s="1067">
        <v>1660.6000000000001</v>
      </c>
      <c r="F60" s="1055">
        <v>-111173.1847272092</v>
      </c>
      <c r="G60" s="1052"/>
    </row>
    <row r="61" spans="1:7" x14ac:dyDescent="0.45">
      <c r="A61" s="18"/>
      <c r="B61" s="1057" t="s">
        <v>1349</v>
      </c>
      <c r="C61" s="1060"/>
      <c r="D61" s="975">
        <v>-184614190.5580036</v>
      </c>
      <c r="E61" s="1067">
        <v>1660.6000000000001</v>
      </c>
      <c r="F61" s="1055">
        <v>-111173.1847272092</v>
      </c>
      <c r="G61" s="1052"/>
    </row>
    <row r="62" spans="1:7" x14ac:dyDescent="0.45">
      <c r="A62" s="18"/>
      <c r="B62" s="1057" t="s">
        <v>1350</v>
      </c>
      <c r="C62" s="1060"/>
      <c r="D62" s="975">
        <v>-184614190.5580036</v>
      </c>
      <c r="E62" s="1067">
        <v>1660.6000000000001</v>
      </c>
      <c r="F62" s="1055">
        <v>-111173.1847272092</v>
      </c>
      <c r="G62" s="1052"/>
    </row>
    <row r="63" spans="1:7" x14ac:dyDescent="0.45">
      <c r="A63" s="18"/>
      <c r="B63" s="1057" t="s">
        <v>1351</v>
      </c>
      <c r="C63" s="1060"/>
      <c r="D63" s="977">
        <v>-184614190.5580036</v>
      </c>
      <c r="E63" s="1068">
        <v>1660.6000000000001</v>
      </c>
      <c r="F63" s="1056">
        <v>-111173.1847272092</v>
      </c>
      <c r="G63" s="1052"/>
    </row>
    <row r="64" spans="1:7" x14ac:dyDescent="0.45">
      <c r="B64" s="1057" t="s">
        <v>1516</v>
      </c>
      <c r="C64" s="1060"/>
      <c r="D64" s="970">
        <v>-747387195.54207206</v>
      </c>
      <c r="E64" s="1069">
        <v>7118.4000000000015</v>
      </c>
      <c r="F64" s="1051">
        <v>-104993.70582463361</v>
      </c>
      <c r="G64" s="1052"/>
    </row>
    <row r="65" spans="2:7" x14ac:dyDescent="0.45">
      <c r="B65" s="1057" t="s">
        <v>1521</v>
      </c>
      <c r="C65" s="1060"/>
      <c r="D65" s="1051">
        <v>-833828355.43116832</v>
      </c>
      <c r="E65" s="1065">
        <v>7399</v>
      </c>
      <c r="F65" s="1051">
        <v>-112694.7365091456</v>
      </c>
      <c r="G65" s="1052"/>
    </row>
    <row r="66" spans="2:7" outlineLevel="1" x14ac:dyDescent="0.45">
      <c r="B66" s="1057"/>
      <c r="C66" s="1060"/>
      <c r="D66" s="1060"/>
      <c r="E66" s="1060"/>
      <c r="F66" s="1060"/>
      <c r="G66" s="1052"/>
    </row>
    <row r="67" spans="2:7" outlineLevel="1" x14ac:dyDescent="0.45">
      <c r="B67" s="1049"/>
      <c r="C67" s="1060"/>
      <c r="D67" s="1051"/>
      <c r="E67" s="1060"/>
      <c r="F67" s="1060"/>
      <c r="G67" s="1052"/>
    </row>
    <row r="68" spans="2:7" outlineLevel="1" x14ac:dyDescent="0.45">
      <c r="B68" s="1057"/>
      <c r="C68" s="1060"/>
      <c r="D68" s="1060"/>
      <c r="E68" s="1060"/>
      <c r="F68" s="1060"/>
      <c r="G68" s="1052"/>
    </row>
    <row r="69" spans="2:7" outlineLevel="1" x14ac:dyDescent="0.45">
      <c r="B69" s="1057" t="s">
        <v>1550</v>
      </c>
      <c r="C69" s="1060"/>
      <c r="D69" s="1051">
        <v>-398925113.15664721</v>
      </c>
      <c r="E69" s="1060"/>
      <c r="F69" s="1060"/>
      <c r="G69" s="1052"/>
    </row>
    <row r="70" spans="2:7" outlineLevel="1" x14ac:dyDescent="0.45">
      <c r="B70" s="1057" t="s">
        <v>1560</v>
      </c>
      <c r="C70" s="1060"/>
      <c r="D70" s="1070">
        <v>7399</v>
      </c>
      <c r="E70" s="1060"/>
      <c r="F70" s="1060"/>
      <c r="G70" s="1052"/>
    </row>
    <row r="71" spans="2:7" outlineLevel="1" x14ac:dyDescent="0.45">
      <c r="B71" s="1071" t="s">
        <v>1509</v>
      </c>
      <c r="C71" s="1072"/>
      <c r="D71" s="1073">
        <v>-53916.085032659445</v>
      </c>
      <c r="E71" s="1072"/>
      <c r="F71" s="1072"/>
      <c r="G71" s="1074"/>
    </row>
    <row r="72" spans="2:7" outlineLevel="1" x14ac:dyDescent="0.45"/>
    <row r="73" spans="2:7" outlineLevel="1" x14ac:dyDescent="0.45"/>
    <row r="74" spans="2:7" outlineLevel="1" x14ac:dyDescent="0.45"/>
    <row r="121" spans="2:6" ht="28.5" x14ac:dyDescent="0.45">
      <c r="B121" s="304" t="s">
        <v>1563</v>
      </c>
      <c r="D121" s="969" t="s">
        <v>1512</v>
      </c>
      <c r="E121" s="969" t="s">
        <v>1564</v>
      </c>
      <c r="F121" s="969" t="s">
        <v>1524</v>
      </c>
    </row>
    <row r="122" spans="2:6" x14ac:dyDescent="0.45">
      <c r="B122" s="948" t="str">
        <f>'9. Forecast Results'!R$5</f>
        <v>2017/18</v>
      </c>
      <c r="D122" s="552">
        <f>SUMIF('9. Forecast Results'!$R$5:$W$5,$B122,'9. Forecast Results'!$R$52:$W$52)</f>
        <v>0</v>
      </c>
      <c r="E122" s="785">
        <f>SUMIF('10. Inputs &amp; Calcs'!$D$106:$D$111,$C$6,'10. Inputs &amp; Calcs'!$J$106:$J$111)</f>
        <v>0</v>
      </c>
      <c r="F122" s="552">
        <f>IF(E122&lt;&gt;0,D122/E122,0)</f>
        <v>0</v>
      </c>
    </row>
    <row r="123" spans="2:6" x14ac:dyDescent="0.45">
      <c r="B123" s="948" t="str">
        <f>'9. Forecast Results'!S$5</f>
        <v>2018/19</v>
      </c>
      <c r="D123" s="973">
        <f>SUMIF('9. Forecast Results'!$R$5:$W$5,$B123,'9. Forecast Results'!$R$52:$W$52)</f>
        <v>0</v>
      </c>
      <c r="E123" s="974">
        <f>SUMIF('10. Inputs &amp; Calcs'!$D$106:$D$111,$C$6,'10. Inputs &amp; Calcs'!$K$106:$K$111)</f>
        <v>0</v>
      </c>
      <c r="F123" s="753">
        <f t="shared" ref="F123:F128" si="0">IF(E123&lt;&gt;0,D123/E123,0)</f>
        <v>0</v>
      </c>
    </row>
    <row r="124" spans="2:6" x14ac:dyDescent="0.45">
      <c r="B124" s="948" t="str">
        <f>'9. Forecast Results'!T$5</f>
        <v>2019/20</v>
      </c>
      <c r="D124" s="975">
        <f>SUMIF('9. Forecast Results'!$R$5:$W$5,$B124,'9. Forecast Results'!$R$52:$W$52)</f>
        <v>0</v>
      </c>
      <c r="E124" s="976">
        <f>SUMIF('10. Inputs &amp; Calcs'!$D$106:$D$111,$C$6,'10. Inputs &amp; Calcs'!$L$106:$L$111)</f>
        <v>0</v>
      </c>
      <c r="F124" s="888">
        <f t="shared" si="0"/>
        <v>0</v>
      </c>
    </row>
    <row r="125" spans="2:6" x14ac:dyDescent="0.45">
      <c r="B125" s="948" t="str">
        <f>'9. Forecast Results'!U$5</f>
        <v>2020/21</v>
      </c>
      <c r="D125" s="975">
        <f>SUMIF('9. Forecast Results'!$R$5:$W$5,$B125,'9. Forecast Results'!$R$52:$W$52)</f>
        <v>0</v>
      </c>
      <c r="E125" s="976">
        <f>SUMIF('10. Inputs &amp; Calcs'!$D$106:$D$111,$C$6,'10. Inputs &amp; Calcs'!$M$106:$M$111)</f>
        <v>0</v>
      </c>
      <c r="F125" s="888">
        <f t="shared" si="0"/>
        <v>0</v>
      </c>
    </row>
    <row r="126" spans="2:6" x14ac:dyDescent="0.45">
      <c r="B126" s="948" t="str">
        <f>'9. Forecast Results'!V$5</f>
        <v>2021/22</v>
      </c>
      <c r="D126" s="975">
        <f>SUMIF('9. Forecast Results'!$R$5:$W$5,$B126,'9. Forecast Results'!$R$52:$W$52)</f>
        <v>0</v>
      </c>
      <c r="E126" s="976">
        <f>SUMIF('10. Inputs &amp; Calcs'!$D$106:$D$111,$C$6,'10. Inputs &amp; Calcs'!$N$106:$N$111)</f>
        <v>0</v>
      </c>
      <c r="F126" s="888">
        <f t="shared" si="0"/>
        <v>0</v>
      </c>
    </row>
    <row r="127" spans="2:6" x14ac:dyDescent="0.45">
      <c r="B127" s="948" t="str">
        <f>'9. Forecast Results'!W$5</f>
        <v>2022/23</v>
      </c>
      <c r="D127" s="977">
        <f>SUMIF('9. Forecast Results'!$R$5:$W$5,$B127,'9. Forecast Results'!$R$52:$W$52)</f>
        <v>0</v>
      </c>
      <c r="E127" s="978">
        <f>SUMIF('10. Inputs &amp; Calcs'!$D$106:$D$111,$C$6,'10. Inputs &amp; Calcs'!$O$106:$O$111)</f>
        <v>0</v>
      </c>
      <c r="F127" s="754">
        <f t="shared" si="0"/>
        <v>0</v>
      </c>
    </row>
    <row r="128" spans="2:6" x14ac:dyDescent="0.45">
      <c r="B128" s="948" t="s">
        <v>1516</v>
      </c>
      <c r="D128" s="970">
        <f>SUM(D123:D127)</f>
        <v>0</v>
      </c>
      <c r="E128" s="972">
        <f>SUM(E123:E127)</f>
        <v>0</v>
      </c>
      <c r="F128" s="552">
        <f t="shared" si="0"/>
        <v>0</v>
      </c>
    </row>
    <row r="129" spans="2:7" x14ac:dyDescent="0.45">
      <c r="B129" s="948" t="s">
        <v>1565</v>
      </c>
      <c r="D129" s="971">
        <f>'9. Forecast Results'!AL$52</f>
        <v>0</v>
      </c>
      <c r="E129" s="785">
        <f>SUMIF('10. Inputs &amp; Calcs'!$D$106:$D$111,$C$6,'10. Inputs &amp; Calcs'!$AD$106:$AD$111)</f>
        <v>-7399</v>
      </c>
      <c r="F129" s="552">
        <f>IF(E129&lt;&gt;0,D129/E129,0)</f>
        <v>0</v>
      </c>
    </row>
    <row r="132" spans="2:7" ht="28.5" x14ac:dyDescent="0.45">
      <c r="B132" s="67" t="s">
        <v>1518</v>
      </c>
      <c r="C132" s="46"/>
      <c r="D132" s="70" t="s">
        <v>1512</v>
      </c>
      <c r="E132" s="70" t="s">
        <v>1517</v>
      </c>
      <c r="F132" s="969" t="s">
        <v>1522</v>
      </c>
      <c r="G132" s="930"/>
    </row>
    <row r="133" spans="2:7" x14ac:dyDescent="0.45">
      <c r="B133" s="948" t="str">
        <f>'9. Forecast Results'!R$5</f>
        <v>2017/18</v>
      </c>
      <c r="D133" s="552">
        <f>SUMIF('10. Inputs &amp; Calcs'!$D$619:$D$624,$C$6,'10. Inputs &amp; Calcs'!$J$619:$J$629)-D58</f>
        <v>-964139.19306002557</v>
      </c>
      <c r="E133" s="785">
        <f>SUMIF('10. Inputs &amp; Calcs'!$D$51:$D$56,$C$6,'10. Inputs &amp; Calcs'!$J$51:$J$56)</f>
        <v>514</v>
      </c>
      <c r="F133" s="552">
        <f>IF(E133&lt;&gt;0,D133/E133,0)</f>
        <v>-1875.757184941684</v>
      </c>
      <c r="G133" s="930"/>
    </row>
    <row r="134" spans="2:7" x14ac:dyDescent="0.45">
      <c r="B134" s="948" t="str">
        <f>'9. Forecast Results'!S$5</f>
        <v>2018/19</v>
      </c>
      <c r="D134" s="973">
        <f>SUMIF('10. Inputs &amp; Calcs'!$D$619:$D$624,$C$6,'10. Inputs &amp; Calcs'!$K$619:$K$629)</f>
        <v>-10450381.305273833</v>
      </c>
      <c r="E134" s="974">
        <f>SUMIF('10. Inputs &amp; Calcs'!$D$51:$D$56,$C$6,'10. Inputs &amp; Calcs'!$K$51:$K$56)</f>
        <v>476</v>
      </c>
      <c r="F134" s="753">
        <f t="shared" ref="F134:F140" si="1">IF(E134&lt;&gt;0,D134/E134,0)</f>
        <v>-21954.58257410469</v>
      </c>
      <c r="G134" s="930"/>
    </row>
    <row r="135" spans="2:7" x14ac:dyDescent="0.45">
      <c r="B135" s="948" t="str">
        <f>'9. Forecast Results'!T$5</f>
        <v>2019/20</v>
      </c>
      <c r="D135" s="975">
        <f>SUMIF('10. Inputs &amp; Calcs'!$D$619:$D$624,$C$6,'10. Inputs &amp; Calcs'!$L$619:$L$629)</f>
        <v>-5304579.0622597346</v>
      </c>
      <c r="E135" s="976">
        <f>SUMIF('10. Inputs &amp; Calcs'!$D$51:$D$56,$C$6,'10. Inputs &amp; Calcs'!$L$51:$L$56)</f>
        <v>226</v>
      </c>
      <c r="F135" s="888">
        <f t="shared" si="1"/>
        <v>-23471.588771060771</v>
      </c>
      <c r="G135" s="930"/>
    </row>
    <row r="136" spans="2:7" x14ac:dyDescent="0.45">
      <c r="B136" s="948" t="str">
        <f>'9. Forecast Results'!U$5</f>
        <v>2020/21</v>
      </c>
      <c r="D136" s="975">
        <f>SUMIF('10. Inputs &amp; Calcs'!$D$619:$D$624,$C$6,'10. Inputs &amp; Calcs'!$M$619:$M$629)</f>
        <v>-5562618.7138867881</v>
      </c>
      <c r="E136" s="976">
        <f>SUMIF('10. Inputs &amp; Calcs'!$D$51:$D$56,$C$6,'10. Inputs &amp; Calcs'!$M$51:$M$56)</f>
        <v>226</v>
      </c>
      <c r="F136" s="888">
        <f t="shared" si="1"/>
        <v>-24613.357141091983</v>
      </c>
      <c r="G136" s="930"/>
    </row>
    <row r="137" spans="2:7" x14ac:dyDescent="0.45">
      <c r="B137" s="948" t="str">
        <f>'9. Forecast Results'!V$5</f>
        <v>2021/22</v>
      </c>
      <c r="D137" s="975">
        <f>SUMIF('10. Inputs &amp; Calcs'!$D$619:$D$624,$C$6,'10. Inputs &amp; Calcs'!$N$619:$N$629)</f>
        <v>-5820658.3655138416</v>
      </c>
      <c r="E137" s="976">
        <f>SUMIF('10. Inputs &amp; Calcs'!$D$51:$D$56,$C$6,'10. Inputs &amp; Calcs'!$N$51:$N$56)</f>
        <v>226</v>
      </c>
      <c r="F137" s="888">
        <f t="shared" si="1"/>
        <v>-25755.125511123191</v>
      </c>
      <c r="G137" s="930"/>
    </row>
    <row r="138" spans="2:7" x14ac:dyDescent="0.45">
      <c r="B138" s="948" t="str">
        <f>'9. Forecast Results'!W$5</f>
        <v>2022/23</v>
      </c>
      <c r="D138" s="977">
        <f>SUMIF('10. Inputs &amp; Calcs'!$D$619:$D$624,$C$6,'10. Inputs &amp; Calcs'!$O$619:$O$629)</f>
        <v>-6078698.0171408951</v>
      </c>
      <c r="E138" s="978">
        <f>SUMIF('10. Inputs &amp; Calcs'!$D$51:$D$56,$C$6,'10. Inputs &amp; Calcs'!$O$51:$O$56)</f>
        <v>226</v>
      </c>
      <c r="F138" s="754">
        <f t="shared" si="1"/>
        <v>-26896.893881154403</v>
      </c>
      <c r="G138" s="930"/>
    </row>
    <row r="139" spans="2:7" x14ac:dyDescent="0.45">
      <c r="B139" s="948" t="s">
        <v>1516</v>
      </c>
      <c r="D139" s="970">
        <f>SUM(D134:D138)</f>
        <v>-33216935.464075092</v>
      </c>
      <c r="E139" s="972">
        <f>SUM(E134:E138)</f>
        <v>1380</v>
      </c>
      <c r="F139" s="552">
        <f t="shared" si="1"/>
        <v>-24070.243089909487</v>
      </c>
      <c r="G139" s="930"/>
    </row>
    <row r="140" spans="2:7" x14ac:dyDescent="0.45">
      <c r="B140" s="948" t="s">
        <v>1519</v>
      </c>
      <c r="D140" s="971">
        <f>SUMIF('10. Inputs &amp; Calcs'!$D$619:$D$624,$C$6, '10. Inputs &amp; Calcs'!$AD$619:$AD$624)</f>
        <v>-148103926.95799464</v>
      </c>
      <c r="E140" s="785">
        <f>SUMIF('10. Inputs &amp; Calcs'!$D$520:$D$525,$C$6,'10. Inputs &amp; Calcs'!$H$520:$H$525)</f>
        <v>5160</v>
      </c>
      <c r="F140" s="552">
        <f t="shared" si="1"/>
        <v>-28702.311425967953</v>
      </c>
      <c r="G140" s="930"/>
    </row>
  </sheetData>
  <sheetProtection formatCells="0" formatColumns="0" formatRows="0"/>
  <mergeCells count="3">
    <mergeCell ref="D7:G7"/>
    <mergeCell ref="C14:D14"/>
    <mergeCell ref="E14:F14"/>
  </mergeCells>
  <dataValidations count="3">
    <dataValidation allowBlank="1" showInputMessage="1" showErrorMessage="1" promptTitle="Rent Increase?" prompt="If a rent increase is proposed, enter the % increase from cell F17 to F21 below." sqref="F17" xr:uid="{4C971A8B-6DD0-42BB-A104-4F4AEBBD8154}"/>
    <dataValidation type="list" allowBlank="1" showInputMessage="1" showErrorMessage="1" promptTitle="Rent Increase?" prompt="If a rent increase is proposed, enter the % increase from cell F17 to F21 below._x000a_If rentals are to remain at the same level as the prior year, select &quot;None&quot;&quot;." sqref="C11" xr:uid="{CA9D3EC5-04C3-4ECA-84E7-FF06AA0B082F}">
      <formula1>$E$15:$F$15</formula1>
    </dataValidation>
    <dataValidation type="list" allowBlank="1" showInputMessage="1" showErrorMessage="1" promptTitle="Rent Collection %" prompt="Select Existing if the current rent collection % will be continued._x000a_Select target if the rent collection is expected to improve and also set the target in cells D17 to D21." sqref="C10" xr:uid="{C9CD4352-382F-4A39-AD50-A7A301606F51}">
      <formula1>$C$15:$D$15</formula1>
    </dataValidation>
  </dataValidations>
  <pageMargins left="0.19685039370078741" right="0.19685039370078741" top="0.35433070866141736" bottom="0.35433070866141736" header="0.19685039370078741" footer="0.11811023622047245"/>
  <pageSetup paperSize="9" scale="46" orientation="landscape" r:id="rId1"/>
  <headerFooter>
    <oddFooter>&amp;R&amp;F &amp;A &amp;D Page &amp;P</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Basis of EEDB Calculation" prompt="It is proposed to use the EEDBS to settle outstanding debt owing by occupants. If the fixed EEDBS rate of R7,500 is to be used, select &quot;Fixed&quot;._x000a_If the EEDBS amount is to flexible and sufficient to cover the outstanding debt, select &quot;Calc&quot;." xr:uid="{BB347F0E-1238-4CD3-AF8A-FBFF926F5E32}">
          <x14:formula1>
            <xm:f>'14. Permanent Info'!$M$7:$N$7</xm:f>
          </x14:formula1>
          <xm:sqref>C12</xm:sqref>
        </x14:dataValidation>
        <x14:dataValidation type="list" allowBlank="1" showInputMessage="1" showErrorMessage="1" promptTitle="Select Province" prompt="Select province from the list, or select Total to see the national view. " xr:uid="{C53D1560-C013-4454-A230-15527AF19A24}">
          <x14:formula1>
            <xm:f>'14. Permanent Info'!$C$7:$C$12</xm:f>
          </x14:formula1>
          <xm:sqref>C6</xm:sqref>
        </x14:dataValidation>
        <x14:dataValidation type="list" allowBlank="1" showInputMessage="1" showErrorMessage="1" promptTitle="Scenario Selector" prompt="Select the Scenario to be projected AFTER Defining the Scenario using the Input Areas and Selection Boxes in the turquoise area between cell F13 and i17. " xr:uid="{6FD9368B-6465-4705-A456-9F155C31EB94}">
          <x14:formula1>
            <xm:f>'14. Permanent Info'!$D$7:$D$11</xm:f>
          </x14:formula1>
          <xm:sqref>C7</xm:sqref>
        </x14:dataValidation>
        <x14:dataValidation type="list" allowBlank="1" showInputMessage="1" showErrorMessage="1" promptTitle="Years" prompt="Select the number of years required to close this programme from 2018/19._x000a_" xr:uid="{4BDF9B50-14AB-49C0-9A71-72B310086B2D}">
          <x14:formula1>
            <xm:f>'14. Permanent Info'!$J$7:$J$23</xm:f>
          </x14:formula1>
          <xm:sqref>C9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BA5E-2D11-4364-91BB-446294AA9610}">
  <sheetPr>
    <tabColor theme="5" tint="0.79998168889431442"/>
    <pageSetUpPr fitToPage="1"/>
  </sheetPr>
  <dimension ref="A1:AY140"/>
  <sheetViews>
    <sheetView showGridLines="0" zoomScale="75" zoomScaleNormal="75" zoomScaleSheetLayoutView="75" workbookViewId="0">
      <selection activeCell="D38" sqref="D38"/>
    </sheetView>
  </sheetViews>
  <sheetFormatPr defaultRowHeight="14.25" outlineLevelRow="1" x14ac:dyDescent="0.45"/>
  <cols>
    <col min="1" max="1" width="4" customWidth="1"/>
    <col min="2" max="2" width="50.796875" customWidth="1"/>
    <col min="3" max="3" width="11.265625" customWidth="1"/>
    <col min="4" max="4" width="19.46484375" customWidth="1"/>
    <col min="5" max="5" width="21.53125" customWidth="1"/>
    <col min="6" max="6" width="13.73046875" bestFit="1" customWidth="1"/>
    <col min="7" max="7" width="14.796875" customWidth="1"/>
    <col min="24" max="24" width="21.265625" customWidth="1"/>
    <col min="28" max="51" width="14.46484375" bestFit="1" customWidth="1"/>
  </cols>
  <sheetData>
    <row r="1" spans="1:51" ht="21" x14ac:dyDescent="0.65">
      <c r="B1" s="60" t="s">
        <v>91</v>
      </c>
      <c r="I1" s="4"/>
      <c r="J1" s="4"/>
      <c r="K1" s="4"/>
      <c r="L1" s="4"/>
      <c r="M1" s="4"/>
      <c r="N1" s="4"/>
      <c r="O1" s="4"/>
      <c r="P1" s="4"/>
      <c r="Q1" s="4"/>
      <c r="R1" s="4"/>
      <c r="S1" s="4"/>
      <c r="T1" s="4"/>
      <c r="U1" s="4"/>
      <c r="V1" s="4"/>
    </row>
    <row r="2" spans="1:51" ht="21" x14ac:dyDescent="0.65">
      <c r="B2" s="60" t="s">
        <v>1496</v>
      </c>
      <c r="I2" s="4"/>
      <c r="J2" s="4"/>
      <c r="K2" s="4"/>
      <c r="L2" s="4"/>
      <c r="M2" s="4"/>
      <c r="N2" s="4"/>
      <c r="O2" s="4"/>
      <c r="P2" s="4"/>
      <c r="Q2" s="4"/>
      <c r="R2" s="4"/>
      <c r="S2" s="4"/>
      <c r="T2" s="4"/>
      <c r="U2" s="4"/>
      <c r="V2" s="4"/>
      <c r="AA2" s="803">
        <v>0</v>
      </c>
      <c r="AB2" s="803" t="s">
        <v>102</v>
      </c>
      <c r="AC2" s="803" t="s">
        <v>103</v>
      </c>
      <c r="AD2" s="803" t="s">
        <v>104</v>
      </c>
      <c r="AE2" s="803" t="s">
        <v>1345</v>
      </c>
      <c r="AF2" s="803" t="s">
        <v>1346</v>
      </c>
      <c r="AG2" s="803" t="s">
        <v>1347</v>
      </c>
      <c r="AH2" s="803" t="s">
        <v>1348</v>
      </c>
      <c r="AI2" s="803" t="s">
        <v>1349</v>
      </c>
      <c r="AJ2" s="803" t="s">
        <v>1350</v>
      </c>
      <c r="AK2" s="803" t="s">
        <v>1351</v>
      </c>
      <c r="AL2" s="803" t="s">
        <v>1352</v>
      </c>
      <c r="AM2" s="803" t="s">
        <v>1353</v>
      </c>
      <c r="AN2" s="803" t="s">
        <v>1354</v>
      </c>
      <c r="AO2" s="803" t="s">
        <v>1355</v>
      </c>
      <c r="AP2" s="803" t="s">
        <v>1410</v>
      </c>
      <c r="AQ2" s="803" t="s">
        <v>1411</v>
      </c>
      <c r="AR2" s="803" t="s">
        <v>1412</v>
      </c>
      <c r="AS2" s="803" t="s">
        <v>1413</v>
      </c>
      <c r="AT2" s="803" t="s">
        <v>1414</v>
      </c>
      <c r="AU2" s="803" t="s">
        <v>1415</v>
      </c>
      <c r="AV2" s="803" t="s">
        <v>1416</v>
      </c>
      <c r="AW2" s="803" t="s">
        <v>1417</v>
      </c>
      <c r="AX2" s="803" t="s">
        <v>1418</v>
      </c>
      <c r="AY2" s="803" t="s">
        <v>1419</v>
      </c>
    </row>
    <row r="3" spans="1:51" x14ac:dyDescent="0.45">
      <c r="C3" s="1106" t="s">
        <v>1608</v>
      </c>
      <c r="D3" s="553"/>
      <c r="E3" s="553"/>
      <c r="F3" s="796"/>
      <c r="I3" s="4"/>
      <c r="J3" s="4"/>
      <c r="K3" s="4"/>
      <c r="L3" s="4"/>
      <c r="M3" s="4"/>
      <c r="N3" s="4"/>
      <c r="O3" s="4"/>
      <c r="P3" s="4"/>
      <c r="Q3" s="4"/>
      <c r="R3" s="4"/>
      <c r="S3" s="4"/>
      <c r="T3" s="4"/>
      <c r="U3" s="4"/>
      <c r="V3" s="4"/>
      <c r="AA3" s="803" t="s">
        <v>1538</v>
      </c>
      <c r="AB3" s="1105">
        <v>-112639142.49333334</v>
      </c>
      <c r="AC3" s="1105">
        <v>-120020127.89333332</v>
      </c>
      <c r="AD3" s="1105">
        <v>-128289183.36000001</v>
      </c>
      <c r="AE3" s="1105">
        <v>-131948176.67010787</v>
      </c>
      <c r="AF3" s="1105">
        <v>-128772071.22519906</v>
      </c>
      <c r="AG3" s="1105">
        <v>-144884379.17131695</v>
      </c>
      <c r="AH3" s="1105">
        <v>-4332911.1170987077</v>
      </c>
      <c r="AI3" s="1105">
        <v>-10538.795463190727</v>
      </c>
      <c r="AJ3" s="1105">
        <v>0</v>
      </c>
      <c r="AK3" s="1105">
        <v>0</v>
      </c>
      <c r="AL3" s="1105">
        <v>0</v>
      </c>
      <c r="AM3" s="1105">
        <v>0</v>
      </c>
      <c r="AN3" s="1105">
        <v>0</v>
      </c>
      <c r="AO3" s="1105">
        <v>0</v>
      </c>
      <c r="AP3" s="1105">
        <v>0</v>
      </c>
      <c r="AQ3" s="1105">
        <v>0</v>
      </c>
      <c r="AR3" s="1105">
        <v>0</v>
      </c>
      <c r="AS3" s="1105">
        <v>0</v>
      </c>
      <c r="AT3" s="1105">
        <v>0</v>
      </c>
      <c r="AU3" s="1105">
        <v>0</v>
      </c>
      <c r="AV3" s="1105">
        <v>0</v>
      </c>
      <c r="AW3" s="1105">
        <v>0</v>
      </c>
      <c r="AX3" s="1105">
        <v>0</v>
      </c>
      <c r="AY3" s="1105">
        <v>0</v>
      </c>
    </row>
    <row r="4" spans="1:51" x14ac:dyDescent="0.45">
      <c r="C4" s="1107" t="s">
        <v>1610</v>
      </c>
      <c r="D4" s="931"/>
      <c r="E4" s="931"/>
      <c r="F4" s="932"/>
      <c r="AA4" s="803" t="s">
        <v>1575</v>
      </c>
      <c r="AB4" s="1105">
        <v>-17923184</v>
      </c>
      <c r="AC4" s="1105">
        <v>-17604545</v>
      </c>
      <c r="AD4" s="1105">
        <v>-10717984</v>
      </c>
      <c r="AE4" s="1105">
        <v>-9628697.8662323505</v>
      </c>
      <c r="AF4" s="1105">
        <v>-9628697.8662323505</v>
      </c>
      <c r="AG4" s="1105">
        <v>-8930433.3100576513</v>
      </c>
      <c r="AH4" s="1105">
        <v>-639846237.94033623</v>
      </c>
      <c r="AI4" s="1105">
        <v>-165794288.44830972</v>
      </c>
      <c r="AJ4" s="1105">
        <v>0</v>
      </c>
      <c r="AK4" s="1105">
        <v>0</v>
      </c>
      <c r="AL4" s="1105">
        <v>0</v>
      </c>
      <c r="AM4" s="1105">
        <v>0</v>
      </c>
      <c r="AN4" s="1105">
        <v>0</v>
      </c>
      <c r="AO4" s="1105">
        <v>0</v>
      </c>
      <c r="AP4" s="1105">
        <v>0</v>
      </c>
      <c r="AQ4" s="1105">
        <v>0</v>
      </c>
      <c r="AR4" s="1105">
        <v>0</v>
      </c>
      <c r="AS4" s="1105">
        <v>0</v>
      </c>
      <c r="AT4" s="1105">
        <v>0</v>
      </c>
      <c r="AU4" s="1105">
        <v>0</v>
      </c>
      <c r="AV4" s="1105">
        <v>0</v>
      </c>
      <c r="AW4" s="1105">
        <v>0</v>
      </c>
      <c r="AX4" s="1105">
        <v>0</v>
      </c>
      <c r="AY4" s="1105">
        <v>0</v>
      </c>
    </row>
    <row r="5" spans="1:51" ht="21" x14ac:dyDescent="0.65">
      <c r="B5" s="60" t="s">
        <v>1095</v>
      </c>
      <c r="I5" s="60"/>
    </row>
    <row r="6" spans="1:51" x14ac:dyDescent="0.45">
      <c r="A6" s="4"/>
      <c r="B6" s="950" t="s">
        <v>1561</v>
      </c>
      <c r="C6" s="1083" t="s">
        <v>11</v>
      </c>
      <c r="D6" s="553"/>
      <c r="E6" s="553"/>
      <c r="F6" s="553"/>
      <c r="G6" s="796"/>
      <c r="I6" s="795"/>
      <c r="J6" s="553"/>
      <c r="K6" s="553"/>
      <c r="L6" s="553"/>
      <c r="M6" s="553"/>
      <c r="N6" s="553"/>
      <c r="O6" s="553"/>
      <c r="P6" s="553"/>
      <c r="Q6" s="553"/>
      <c r="R6" s="553"/>
      <c r="S6" s="553"/>
      <c r="T6" s="553"/>
      <c r="U6" s="553"/>
      <c r="V6" s="796"/>
    </row>
    <row r="7" spans="1:51" x14ac:dyDescent="0.45">
      <c r="A7" s="4"/>
      <c r="B7" s="304" t="s">
        <v>1484</v>
      </c>
      <c r="C7" s="1083" t="s">
        <v>1316</v>
      </c>
      <c r="D7" s="1346" t="str">
        <f>IF($C$7='14. Permanent Info'!$D$7,'14. Permanent Info'!$E$7,IF($C$7='14. Permanent Info'!$D$8,'14. Permanent Info'!$E$8,IF($C$7='14. Permanent Info'!$D$9,'14. Permanent Info'!$E$9,IF($C$7='14. Permanent Info'!$D$10,'14. Permanent Info'!$E$10,IF($C$7='14. Permanent Info'!$D$11,'14. Permanent Info'!$E$11,0)))))</f>
        <v>Scenario 2 - Accelerate Transfer Voetstoots to Existing Occupants</v>
      </c>
      <c r="E7" s="1346"/>
      <c r="F7" s="1346"/>
      <c r="G7" s="1349"/>
      <c r="I7" s="948"/>
      <c r="J7" s="4"/>
      <c r="K7" s="4"/>
      <c r="L7" s="4"/>
      <c r="M7" s="4"/>
      <c r="N7" s="4"/>
      <c r="O7" s="4"/>
      <c r="P7" s="4"/>
      <c r="Q7" s="4"/>
      <c r="R7" s="4"/>
      <c r="S7" s="4"/>
      <c r="T7" s="4"/>
      <c r="U7" s="4"/>
      <c r="V7" s="930"/>
    </row>
    <row r="8" spans="1:51" x14ac:dyDescent="0.45">
      <c r="A8" s="4"/>
      <c r="B8" s="304" t="s">
        <v>1497</v>
      </c>
      <c r="C8" s="558"/>
      <c r="D8" s="4"/>
      <c r="E8" s="4"/>
      <c r="F8" s="4"/>
      <c r="G8" s="930"/>
      <c r="I8" s="948"/>
      <c r="J8" s="4"/>
      <c r="K8" s="4"/>
      <c r="L8" s="4"/>
      <c r="M8" s="4"/>
      <c r="N8" s="4"/>
      <c r="O8" s="4"/>
      <c r="P8" s="4"/>
      <c r="Q8" s="4"/>
      <c r="R8" s="4"/>
      <c r="S8" s="4"/>
      <c r="T8" s="4"/>
      <c r="U8" s="4"/>
      <c r="V8" s="930"/>
    </row>
    <row r="9" spans="1:51" x14ac:dyDescent="0.45">
      <c r="A9" s="4"/>
      <c r="B9" s="964" t="s">
        <v>1507</v>
      </c>
      <c r="C9" s="17">
        <v>2</v>
      </c>
      <c r="D9" s="962"/>
      <c r="E9" s="963"/>
      <c r="F9" s="963"/>
      <c r="G9" s="930"/>
      <c r="I9" s="948"/>
      <c r="J9" s="4"/>
      <c r="K9" s="4"/>
      <c r="L9" s="4"/>
      <c r="M9" s="4"/>
      <c r="N9" s="4"/>
      <c r="O9" s="4"/>
      <c r="P9" s="4"/>
      <c r="Q9" s="4"/>
      <c r="R9" s="4"/>
      <c r="S9" s="4"/>
      <c r="T9" s="4"/>
      <c r="U9" s="4"/>
      <c r="V9" s="930"/>
    </row>
    <row r="10" spans="1:51" ht="15.75" x14ac:dyDescent="0.45">
      <c r="A10" s="4"/>
      <c r="B10" s="964" t="s">
        <v>1438</v>
      </c>
      <c r="C10" s="1032" t="s">
        <v>1435</v>
      </c>
      <c r="D10" s="962"/>
      <c r="E10" s="963"/>
      <c r="F10" s="963"/>
      <c r="G10" s="930"/>
      <c r="I10" s="948"/>
      <c r="J10" s="4"/>
      <c r="K10" s="4"/>
      <c r="L10" s="4"/>
      <c r="M10" s="4"/>
      <c r="N10" s="4"/>
      <c r="O10" s="4"/>
      <c r="P10" s="4"/>
      <c r="Q10" s="4"/>
      <c r="R10" s="4"/>
      <c r="S10" s="4"/>
      <c r="T10" s="4"/>
      <c r="U10" s="4"/>
      <c r="V10" s="930"/>
    </row>
    <row r="11" spans="1:51" ht="15.75" x14ac:dyDescent="0.45">
      <c r="A11" s="4"/>
      <c r="B11" s="964" t="s">
        <v>1426</v>
      </c>
      <c r="C11" s="1032" t="s">
        <v>1436</v>
      </c>
      <c r="D11" s="962"/>
      <c r="E11" s="963"/>
      <c r="F11" s="963"/>
      <c r="G11" s="930"/>
      <c r="I11" s="948"/>
      <c r="J11" s="4"/>
      <c r="K11" s="4"/>
      <c r="L11" s="4"/>
      <c r="M11" s="4"/>
      <c r="N11" s="4"/>
      <c r="O11" s="4"/>
      <c r="P11" s="4"/>
      <c r="Q11" s="4"/>
      <c r="R11" s="4"/>
      <c r="S11" s="4"/>
      <c r="T11" s="4"/>
      <c r="U11" s="4"/>
      <c r="V11" s="930"/>
    </row>
    <row r="12" spans="1:51" ht="15.75" x14ac:dyDescent="0.45">
      <c r="A12" s="4"/>
      <c r="B12" s="964" t="s">
        <v>1446</v>
      </c>
      <c r="C12" s="1033" t="s">
        <v>1428</v>
      </c>
      <c r="D12" s="962"/>
      <c r="E12" s="963"/>
      <c r="F12" s="963"/>
      <c r="G12" s="930"/>
      <c r="I12" s="948"/>
      <c r="J12" s="4"/>
      <c r="K12" s="4"/>
      <c r="L12" s="4"/>
      <c r="M12" s="4"/>
      <c r="N12" s="4"/>
      <c r="O12" s="4"/>
      <c r="P12" s="4"/>
      <c r="Q12" s="4"/>
      <c r="R12" s="4"/>
      <c r="S12" s="4"/>
      <c r="T12" s="4"/>
      <c r="U12" s="4"/>
      <c r="V12" s="930"/>
    </row>
    <row r="13" spans="1:51" x14ac:dyDescent="0.45">
      <c r="A13" s="4"/>
      <c r="B13" s="949"/>
      <c r="C13" s="931"/>
      <c r="D13" s="931"/>
      <c r="E13" s="931"/>
      <c r="F13" s="931"/>
      <c r="G13" s="932"/>
      <c r="I13" s="948"/>
      <c r="J13" s="4"/>
      <c r="K13" s="4"/>
      <c r="L13" s="4"/>
      <c r="M13" s="4"/>
      <c r="N13" s="4"/>
      <c r="O13" s="4"/>
      <c r="P13" s="4"/>
      <c r="Q13" s="4"/>
      <c r="R13" s="4"/>
      <c r="S13" s="4"/>
      <c r="T13" s="4"/>
      <c r="U13" s="4"/>
      <c r="V13" s="930"/>
    </row>
    <row r="14" spans="1:51" x14ac:dyDescent="0.45">
      <c r="A14" s="4"/>
      <c r="B14" s="795"/>
      <c r="C14" s="1344" t="s">
        <v>1425</v>
      </c>
      <c r="D14" s="1345"/>
      <c r="E14" s="1344" t="s">
        <v>1426</v>
      </c>
      <c r="F14" s="1345"/>
      <c r="G14" s="930"/>
      <c r="I14" s="948"/>
      <c r="J14" s="4"/>
      <c r="K14" s="4"/>
      <c r="L14" s="4"/>
      <c r="M14" s="4"/>
      <c r="N14" s="4"/>
      <c r="O14" s="4"/>
      <c r="P14" s="4"/>
      <c r="Q14" s="4"/>
      <c r="R14" s="4"/>
      <c r="S14" s="4"/>
      <c r="T14" s="4"/>
      <c r="U14" s="4"/>
      <c r="V14" s="930"/>
    </row>
    <row r="15" spans="1:51" x14ac:dyDescent="0.45">
      <c r="A15" s="4"/>
      <c r="B15" s="948"/>
      <c r="C15" s="1080" t="s">
        <v>1435</v>
      </c>
      <c r="D15" s="1080" t="s">
        <v>1437</v>
      </c>
      <c r="E15" s="1080" t="s">
        <v>1436</v>
      </c>
      <c r="F15" s="1079" t="s">
        <v>1439</v>
      </c>
      <c r="G15" s="930"/>
      <c r="I15" s="948"/>
      <c r="J15" s="4"/>
      <c r="K15" s="4"/>
      <c r="L15" s="4"/>
      <c r="M15" s="4"/>
      <c r="N15" s="4"/>
      <c r="O15" s="4"/>
      <c r="P15" s="4"/>
      <c r="Q15" s="4"/>
      <c r="R15" s="4"/>
      <c r="S15" s="4"/>
      <c r="T15" s="4"/>
      <c r="U15" s="4"/>
      <c r="V15" s="930"/>
    </row>
    <row r="16" spans="1:51" ht="57" x14ac:dyDescent="0.45">
      <c r="A16" s="4"/>
      <c r="B16" s="948"/>
      <c r="C16" s="841" t="s">
        <v>1440</v>
      </c>
      <c r="D16" s="841" t="s">
        <v>1432</v>
      </c>
      <c r="E16" s="841" t="s">
        <v>1427</v>
      </c>
      <c r="F16" s="841" t="s">
        <v>1433</v>
      </c>
      <c r="G16" s="930"/>
      <c r="I16" s="948"/>
      <c r="J16" s="4"/>
      <c r="K16" s="4"/>
      <c r="L16" s="4"/>
      <c r="M16" s="4"/>
      <c r="N16" s="4"/>
      <c r="O16" s="4"/>
      <c r="P16" s="4"/>
      <c r="Q16" s="4"/>
      <c r="R16" s="4"/>
      <c r="S16" s="4"/>
      <c r="T16" s="4"/>
      <c r="U16" s="4"/>
      <c r="V16" s="930"/>
    </row>
    <row r="17" spans="1:51" x14ac:dyDescent="0.45">
      <c r="A17" s="4"/>
      <c r="B17" s="948" t="str">
        <f>'14. Permanent Info'!C7</f>
        <v>EC</v>
      </c>
      <c r="C17" s="843">
        <f>'10. Inputs &amp; Calcs'!H565</f>
        <v>0.64104385848248757</v>
      </c>
      <c r="D17" s="1034">
        <v>0.75</v>
      </c>
      <c r="E17" s="1035">
        <f>'10. Inputs &amp; Calcs'!I529</f>
        <v>0</v>
      </c>
      <c r="F17" s="1036">
        <v>0.05</v>
      </c>
      <c r="G17" s="930"/>
      <c r="I17" s="948"/>
      <c r="J17" s="4"/>
      <c r="K17" s="4"/>
      <c r="L17" s="4"/>
      <c r="M17" s="4"/>
      <c r="N17" s="4"/>
      <c r="O17" s="4"/>
      <c r="P17" s="4"/>
      <c r="Q17" s="4"/>
      <c r="R17" s="4"/>
      <c r="S17" s="4"/>
      <c r="T17" s="4"/>
      <c r="U17" s="4"/>
      <c r="V17" s="930"/>
    </row>
    <row r="18" spans="1:51" x14ac:dyDescent="0.45">
      <c r="A18" s="4"/>
      <c r="B18" s="948" t="str">
        <f>'14. Permanent Info'!C8</f>
        <v>FS</v>
      </c>
      <c r="C18" s="843">
        <f>'10. Inputs &amp; Calcs'!H566</f>
        <v>0</v>
      </c>
      <c r="D18" s="1034">
        <v>0.3</v>
      </c>
      <c r="E18" s="1035">
        <f>'10. Inputs &amp; Calcs'!I530</f>
        <v>0</v>
      </c>
      <c r="F18" s="1036">
        <v>0.05</v>
      </c>
      <c r="G18" s="930"/>
      <c r="I18" s="948"/>
      <c r="J18" s="4"/>
      <c r="K18" s="4"/>
      <c r="L18" s="4"/>
      <c r="M18" s="4"/>
      <c r="N18" s="4"/>
      <c r="O18" s="4"/>
      <c r="P18" s="4"/>
      <c r="Q18" s="4"/>
      <c r="R18" s="4"/>
      <c r="S18" s="4"/>
      <c r="T18" s="4"/>
      <c r="U18" s="4"/>
      <c r="V18" s="930"/>
    </row>
    <row r="19" spans="1:51" x14ac:dyDescent="0.45">
      <c r="A19" s="4"/>
      <c r="B19" s="948" t="str">
        <f>'14. Permanent Info'!C9</f>
        <v>Gau</v>
      </c>
      <c r="C19" s="843">
        <f>'10. Inputs &amp; Calcs'!H567</f>
        <v>3.7905623003453709E-2</v>
      </c>
      <c r="D19" s="1034">
        <v>0.15</v>
      </c>
      <c r="E19" s="1035">
        <f>'10. Inputs &amp; Calcs'!I531</f>
        <v>0</v>
      </c>
      <c r="F19" s="1036">
        <v>0.05</v>
      </c>
      <c r="G19" s="930"/>
      <c r="I19" s="948"/>
      <c r="J19" s="4"/>
      <c r="K19" s="4"/>
      <c r="L19" s="4"/>
      <c r="M19" s="4"/>
      <c r="N19" s="4"/>
      <c r="O19" s="4"/>
      <c r="P19" s="4"/>
      <c r="Q19" s="4"/>
      <c r="R19" s="4"/>
      <c r="S19" s="4"/>
      <c r="T19" s="4"/>
      <c r="U19" s="4"/>
      <c r="V19" s="930"/>
    </row>
    <row r="20" spans="1:51" x14ac:dyDescent="0.45">
      <c r="A20" s="4"/>
      <c r="B20" s="948" t="str">
        <f>'14. Permanent Info'!C10</f>
        <v>KZN</v>
      </c>
      <c r="C20" s="843">
        <f>'10. Inputs &amp; Calcs'!H568</f>
        <v>0.2765409995924219</v>
      </c>
      <c r="D20" s="1034">
        <v>0.45</v>
      </c>
      <c r="E20" s="1035">
        <f>'10. Inputs &amp; Calcs'!I532</f>
        <v>0</v>
      </c>
      <c r="F20" s="1036">
        <v>0.05</v>
      </c>
      <c r="G20" s="930"/>
      <c r="I20" s="948"/>
      <c r="J20" s="4"/>
      <c r="K20" s="4"/>
      <c r="L20" s="4"/>
      <c r="M20" s="4"/>
      <c r="N20" s="4"/>
      <c r="O20" s="4"/>
      <c r="P20" s="4"/>
      <c r="Q20" s="4"/>
      <c r="R20" s="4"/>
      <c r="S20" s="4"/>
      <c r="T20" s="4"/>
      <c r="U20" s="4"/>
      <c r="V20" s="930"/>
    </row>
    <row r="21" spans="1:51" x14ac:dyDescent="0.45">
      <c r="A21" s="4"/>
      <c r="B21" s="948" t="str">
        <f>'14. Permanent Info'!C11</f>
        <v>WC</v>
      </c>
      <c r="C21" s="844">
        <f>'10. Inputs &amp; Calcs'!H569</f>
        <v>0.76546080658513083</v>
      </c>
      <c r="D21" s="1037">
        <v>0.85</v>
      </c>
      <c r="E21" s="1038">
        <f>'10. Inputs &amp; Calcs'!I533</f>
        <v>0</v>
      </c>
      <c r="F21" s="1039">
        <v>0.05</v>
      </c>
      <c r="G21" s="930"/>
      <c r="I21" s="948"/>
      <c r="J21" s="4"/>
      <c r="K21" s="4"/>
      <c r="L21" s="4"/>
      <c r="M21" s="4"/>
      <c r="N21" s="4"/>
      <c r="O21" s="4"/>
      <c r="P21" s="4"/>
      <c r="Q21" s="4"/>
      <c r="R21" s="4"/>
      <c r="S21" s="4"/>
      <c r="T21" s="4"/>
      <c r="U21" s="4"/>
      <c r="V21" s="930"/>
    </row>
    <row r="22" spans="1:51" ht="14.65" thickBot="1" x14ac:dyDescent="0.5">
      <c r="A22" s="4"/>
      <c r="B22" s="948"/>
      <c r="C22" s="842">
        <f>ROUND('10. Inputs &amp; Calcs'!H570,2)</f>
        <v>0.27</v>
      </c>
      <c r="D22" s="842">
        <f>ROUND(SUMPRODUCT('10. Inputs &amp; Calcs'!L565:L569,'10. Inputs &amp; Calcs'!$H$520:$H$524)/'10. Inputs &amp; Calcs'!$H$525,2)</f>
        <v>0.27</v>
      </c>
      <c r="E22" s="842">
        <f>ROUND('10. Inputs &amp; Calcs'!I534,0)</f>
        <v>0</v>
      </c>
      <c r="F22" s="845">
        <f>ROUND(SUMPRODUCT('10. Inputs &amp; Calcs'!L529:L533,'10. Inputs &amp; Calcs'!$H$520:$H$524)/'10. Inputs &amp; Calcs'!$H$525,2)</f>
        <v>0</v>
      </c>
      <c r="G22" s="930"/>
      <c r="I22" s="948"/>
      <c r="J22" s="4"/>
      <c r="K22" s="4"/>
      <c r="L22" s="4"/>
      <c r="M22" s="4"/>
      <c r="N22" s="4"/>
      <c r="O22" s="4"/>
      <c r="P22" s="4"/>
      <c r="Q22" s="4"/>
      <c r="R22" s="4"/>
      <c r="S22" s="4"/>
      <c r="T22" s="4"/>
      <c r="U22" s="4"/>
      <c r="V22" s="930"/>
    </row>
    <row r="23" spans="1:51" ht="14.65" thickTop="1" x14ac:dyDescent="0.45">
      <c r="A23" s="4"/>
      <c r="B23" s="949"/>
      <c r="C23" s="931" t="s">
        <v>1462</v>
      </c>
      <c r="D23" s="986">
        <f>'10. Inputs &amp; Calcs'!L570</f>
        <v>0.27446863791168158</v>
      </c>
      <c r="E23" s="931"/>
      <c r="F23" s="986">
        <f>'10. Inputs &amp; Calcs'!L534</f>
        <v>0</v>
      </c>
      <c r="G23" s="932"/>
      <c r="I23" s="948"/>
      <c r="J23" s="4"/>
      <c r="K23" s="4"/>
      <c r="L23" s="4"/>
      <c r="M23" s="4"/>
      <c r="N23" s="4"/>
      <c r="O23" s="4"/>
      <c r="P23" s="4"/>
      <c r="Q23" s="4"/>
      <c r="R23" s="4"/>
      <c r="S23" s="4"/>
      <c r="T23" s="4"/>
      <c r="U23" s="4"/>
      <c r="V23" s="930"/>
    </row>
    <row r="24" spans="1:51" x14ac:dyDescent="0.45">
      <c r="I24" s="948"/>
      <c r="J24" s="4"/>
      <c r="K24" s="4"/>
      <c r="L24" s="4"/>
      <c r="M24" s="4"/>
      <c r="N24" s="4"/>
      <c r="O24" s="4"/>
      <c r="P24" s="4"/>
      <c r="Q24" s="4"/>
      <c r="R24" s="4"/>
      <c r="S24" s="4"/>
      <c r="T24" s="4"/>
      <c r="U24" s="4"/>
      <c r="V24" s="930"/>
    </row>
    <row r="25" spans="1:51" ht="4.5" customHeight="1" x14ac:dyDescent="0.45">
      <c r="I25" s="948"/>
      <c r="J25" s="4"/>
      <c r="K25" s="4"/>
      <c r="L25" s="4"/>
      <c r="M25" s="4"/>
      <c r="N25" s="4"/>
      <c r="O25" s="4"/>
      <c r="P25" s="4"/>
      <c r="Q25" s="4"/>
      <c r="R25" s="4"/>
      <c r="S25" s="4"/>
      <c r="T25" s="4"/>
      <c r="U25" s="4"/>
      <c r="V25" s="930"/>
    </row>
    <row r="26" spans="1:51" ht="21" x14ac:dyDescent="0.65">
      <c r="B26" s="60" t="s">
        <v>1098</v>
      </c>
      <c r="I26" s="948"/>
      <c r="J26" s="4"/>
      <c r="K26" s="4"/>
      <c r="L26" s="4"/>
      <c r="M26" s="4"/>
      <c r="N26" s="4"/>
      <c r="O26" s="4"/>
      <c r="P26" s="4"/>
      <c r="Q26" s="4"/>
      <c r="R26" s="4"/>
      <c r="S26" s="4"/>
      <c r="T26" s="4"/>
      <c r="U26" s="4"/>
      <c r="V26" s="930"/>
      <c r="AA26" s="451" t="s">
        <v>1698</v>
      </c>
    </row>
    <row r="27" spans="1:51" ht="28.5" x14ac:dyDescent="0.45">
      <c r="B27" s="1043"/>
      <c r="C27" s="1044"/>
      <c r="D27" s="1045" t="s">
        <v>1514</v>
      </c>
      <c r="E27" s="1046" t="s">
        <v>1498</v>
      </c>
      <c r="F27" s="1047"/>
      <c r="G27" s="1048"/>
      <c r="I27" s="948"/>
      <c r="J27" s="4"/>
      <c r="K27" s="4"/>
      <c r="L27" s="4"/>
      <c r="M27" s="4"/>
      <c r="N27" s="4"/>
      <c r="O27" s="4"/>
      <c r="P27" s="4"/>
      <c r="Q27" s="4"/>
      <c r="R27" s="4"/>
      <c r="S27" s="4"/>
      <c r="T27" s="4"/>
      <c r="U27" s="4"/>
      <c r="V27" s="930"/>
      <c r="AA27" s="803"/>
      <c r="AB27" s="803" t="s">
        <v>102</v>
      </c>
      <c r="AC27" s="803" t="s">
        <v>103</v>
      </c>
      <c r="AD27" s="803" t="s">
        <v>104</v>
      </c>
      <c r="AE27" s="803" t="s">
        <v>1345</v>
      </c>
      <c r="AF27" s="803" t="s">
        <v>1346</v>
      </c>
      <c r="AG27" s="803" t="s">
        <v>1347</v>
      </c>
      <c r="AH27" s="803" t="s">
        <v>1348</v>
      </c>
      <c r="AI27" s="803" t="s">
        <v>1349</v>
      </c>
      <c r="AJ27" s="803" t="s">
        <v>1350</v>
      </c>
      <c r="AK27" s="803" t="s">
        <v>1351</v>
      </c>
      <c r="AL27" s="803" t="s">
        <v>1352</v>
      </c>
      <c r="AM27" s="803" t="s">
        <v>1353</v>
      </c>
      <c r="AN27" s="803" t="s">
        <v>1354</v>
      </c>
      <c r="AO27" s="803" t="s">
        <v>1355</v>
      </c>
      <c r="AP27" s="803" t="s">
        <v>1410</v>
      </c>
      <c r="AQ27" s="803" t="s">
        <v>1411</v>
      </c>
      <c r="AR27" s="803" t="s">
        <v>1412</v>
      </c>
      <c r="AS27" s="803" t="s">
        <v>1413</v>
      </c>
      <c r="AT27" s="803" t="s">
        <v>1414</v>
      </c>
      <c r="AU27" s="803" t="s">
        <v>1415</v>
      </c>
      <c r="AV27" s="803" t="s">
        <v>1416</v>
      </c>
      <c r="AW27" s="803" t="s">
        <v>1417</v>
      </c>
      <c r="AX27" s="803" t="s">
        <v>1418</v>
      </c>
      <c r="AY27" s="803" t="s">
        <v>1419</v>
      </c>
    </row>
    <row r="28" spans="1:51" x14ac:dyDescent="0.45">
      <c r="B28" s="1049" t="s">
        <v>1551</v>
      </c>
      <c r="C28" s="1050"/>
      <c r="D28" s="1051">
        <v>35291965.545340739</v>
      </c>
      <c r="E28" s="1051">
        <v>56893307.700266004</v>
      </c>
      <c r="F28" s="1051"/>
      <c r="G28" s="1052"/>
      <c r="I28" s="948"/>
      <c r="J28" s="4"/>
      <c r="K28" s="4"/>
      <c r="L28" s="4"/>
      <c r="M28" s="4"/>
      <c r="N28" s="4"/>
      <c r="O28" s="4"/>
      <c r="P28" s="4"/>
      <c r="Q28" s="4"/>
      <c r="R28" s="4"/>
      <c r="S28" s="4"/>
      <c r="T28" s="4"/>
      <c r="U28" s="4"/>
      <c r="V28" s="930"/>
      <c r="AA28" s="803" t="s">
        <v>330</v>
      </c>
      <c r="AB28" s="533">
        <v>13847741.82</v>
      </c>
      <c r="AC28" s="533">
        <v>16595915.43</v>
      </c>
      <c r="AD28" s="533">
        <v>14925625.75</v>
      </c>
      <c r="AE28" s="533">
        <v>11305567.046898484</v>
      </c>
      <c r="AF28" s="533">
        <v>10295775.108026672</v>
      </c>
      <c r="AG28" s="533">
        <v>8369173.8392901234</v>
      </c>
      <c r="AH28" s="533">
        <v>26907315.183850676</v>
      </c>
      <c r="AI28" s="533">
        <v>15476.522199934276</v>
      </c>
      <c r="AJ28" s="533">
        <v>0</v>
      </c>
      <c r="AK28" s="533">
        <v>0</v>
      </c>
      <c r="AL28" s="533">
        <v>0</v>
      </c>
      <c r="AM28" s="533">
        <v>0</v>
      </c>
      <c r="AN28" s="533">
        <v>0</v>
      </c>
      <c r="AO28" s="533">
        <v>0</v>
      </c>
      <c r="AP28" s="533">
        <v>0</v>
      </c>
      <c r="AQ28" s="533">
        <v>0</v>
      </c>
      <c r="AR28" s="533">
        <v>0</v>
      </c>
      <c r="AS28" s="533">
        <v>0</v>
      </c>
      <c r="AT28" s="533">
        <v>0</v>
      </c>
      <c r="AU28" s="533">
        <v>0</v>
      </c>
      <c r="AV28" s="533">
        <v>0</v>
      </c>
      <c r="AW28" s="533">
        <v>0</v>
      </c>
      <c r="AX28" s="533">
        <v>0</v>
      </c>
      <c r="AY28" s="533">
        <v>0</v>
      </c>
    </row>
    <row r="29" spans="1:51" x14ac:dyDescent="0.45">
      <c r="B29" s="1049" t="s">
        <v>1510</v>
      </c>
      <c r="C29" s="1050"/>
      <c r="D29" s="1051">
        <v>184519794.62921959</v>
      </c>
      <c r="E29" s="1051">
        <v>466841384.67945164</v>
      </c>
      <c r="F29" s="1051"/>
      <c r="G29" s="1052"/>
      <c r="I29" s="948"/>
      <c r="J29" s="4"/>
      <c r="K29" s="4"/>
      <c r="L29" s="4"/>
      <c r="M29" s="4"/>
      <c r="N29" s="4"/>
      <c r="O29" s="4"/>
      <c r="P29" s="4"/>
      <c r="Q29" s="4"/>
      <c r="R29" s="4"/>
      <c r="S29" s="4"/>
      <c r="T29" s="4"/>
      <c r="U29" s="4"/>
      <c r="V29" s="930"/>
      <c r="AA29" s="803" t="s">
        <v>369</v>
      </c>
      <c r="AB29" s="533">
        <v>-126486884.31333333</v>
      </c>
      <c r="AC29" s="533">
        <v>-136616043.32333332</v>
      </c>
      <c r="AD29" s="533">
        <v>-143214809.11000001</v>
      </c>
      <c r="AE29" s="533">
        <v>-143253743.71700636</v>
      </c>
      <c r="AF29" s="533">
        <v>-139067846.33322573</v>
      </c>
      <c r="AG29" s="533">
        <v>-133721299.89060706</v>
      </c>
      <c r="AH29" s="533">
        <v>-32395196.964036766</v>
      </c>
      <c r="AI29" s="533">
        <v>-26015.317663125003</v>
      </c>
      <c r="AJ29" s="533">
        <v>0</v>
      </c>
      <c r="AK29" s="533">
        <v>0</v>
      </c>
      <c r="AL29" s="533">
        <v>0</v>
      </c>
      <c r="AM29" s="533">
        <v>0</v>
      </c>
      <c r="AN29" s="533">
        <v>0</v>
      </c>
      <c r="AO29" s="533">
        <v>0</v>
      </c>
      <c r="AP29" s="533">
        <v>0</v>
      </c>
      <c r="AQ29" s="533">
        <v>0</v>
      </c>
      <c r="AR29" s="533">
        <v>0</v>
      </c>
      <c r="AS29" s="533">
        <v>0</v>
      </c>
      <c r="AT29" s="533">
        <v>0</v>
      </c>
      <c r="AU29" s="533">
        <v>0</v>
      </c>
      <c r="AV29" s="533">
        <v>0</v>
      </c>
      <c r="AW29" s="533">
        <v>0</v>
      </c>
      <c r="AX29" s="533">
        <v>0</v>
      </c>
      <c r="AY29" s="533">
        <v>0</v>
      </c>
    </row>
    <row r="30" spans="1:51" x14ac:dyDescent="0.45">
      <c r="B30" s="1053" t="s">
        <v>336</v>
      </c>
      <c r="C30" s="1050"/>
      <c r="D30" s="1054">
        <v>19775038.803618848</v>
      </c>
      <c r="E30" s="1054">
        <v>62053962.399215385</v>
      </c>
      <c r="F30" s="1051"/>
      <c r="G30" s="1052"/>
      <c r="I30" s="949"/>
      <c r="J30" s="931"/>
      <c r="K30" s="931"/>
      <c r="L30" s="931"/>
      <c r="M30" s="931"/>
      <c r="N30" s="931"/>
      <c r="O30" s="931"/>
      <c r="P30" s="931"/>
      <c r="Q30" s="931"/>
      <c r="R30" s="931"/>
      <c r="S30" s="931"/>
      <c r="T30" s="931"/>
      <c r="U30" s="931"/>
      <c r="V30" s="932"/>
      <c r="AA30" s="803" t="s">
        <v>371</v>
      </c>
      <c r="AB30" s="533">
        <v>-112639142.49333334</v>
      </c>
      <c r="AC30" s="533">
        <v>-120020127.89333332</v>
      </c>
      <c r="AD30" s="533">
        <v>-128289183.36000001</v>
      </c>
      <c r="AE30" s="533">
        <v>-131948176.67010787</v>
      </c>
      <c r="AF30" s="533">
        <v>-128772071.22519906</v>
      </c>
      <c r="AG30" s="533">
        <v>-125352126.05131693</v>
      </c>
      <c r="AH30" s="533">
        <v>-5487881.7801860906</v>
      </c>
      <c r="AI30" s="533">
        <v>-10538.795463190727</v>
      </c>
      <c r="AJ30" s="533">
        <v>0</v>
      </c>
      <c r="AK30" s="533">
        <v>0</v>
      </c>
      <c r="AL30" s="533">
        <v>0</v>
      </c>
      <c r="AM30" s="533">
        <v>0</v>
      </c>
      <c r="AN30" s="533">
        <v>0</v>
      </c>
      <c r="AO30" s="533">
        <v>0</v>
      </c>
      <c r="AP30" s="533">
        <v>0</v>
      </c>
      <c r="AQ30" s="533">
        <v>0</v>
      </c>
      <c r="AR30" s="533">
        <v>0</v>
      </c>
      <c r="AS30" s="533">
        <v>0</v>
      </c>
      <c r="AT30" s="533">
        <v>0</v>
      </c>
      <c r="AU30" s="533">
        <v>0</v>
      </c>
      <c r="AV30" s="533">
        <v>0</v>
      </c>
      <c r="AW30" s="533">
        <v>0</v>
      </c>
      <c r="AX30" s="533">
        <v>0</v>
      </c>
      <c r="AY30" s="533">
        <v>0</v>
      </c>
    </row>
    <row r="31" spans="1:51" x14ac:dyDescent="0.45">
      <c r="B31" s="1053" t="s">
        <v>340</v>
      </c>
      <c r="C31" s="1050"/>
      <c r="D31" s="1055">
        <v>6889147.5907620508</v>
      </c>
      <c r="E31" s="1055">
        <v>22409735.466863006</v>
      </c>
      <c r="F31" s="1051"/>
      <c r="G31" s="1052"/>
      <c r="AA31" s="803" t="s">
        <v>1697</v>
      </c>
      <c r="AB31" s="533">
        <v>-112639142.49333334</v>
      </c>
      <c r="AC31" s="533">
        <v>-232659270.38666666</v>
      </c>
      <c r="AD31" s="533">
        <v>-360948453.74666667</v>
      </c>
      <c r="AE31" s="533">
        <v>-492896630.41677451</v>
      </c>
      <c r="AF31" s="533">
        <v>-621668701.64197361</v>
      </c>
      <c r="AG31" s="533">
        <v>-747020827.69329059</v>
      </c>
      <c r="AH31" s="533">
        <v>-752508709.47347665</v>
      </c>
      <c r="AI31" s="533">
        <v>-752519248.26893985</v>
      </c>
      <c r="AJ31" s="533">
        <v>-752519248.26893985</v>
      </c>
      <c r="AK31" s="533">
        <v>-752519248.26893985</v>
      </c>
      <c r="AL31" s="533">
        <v>-752519248.26893985</v>
      </c>
      <c r="AM31" s="533">
        <v>-752519248.26893985</v>
      </c>
      <c r="AN31" s="533">
        <v>-752519248.26893985</v>
      </c>
      <c r="AO31" s="533">
        <v>-752519248.26893985</v>
      </c>
      <c r="AP31" s="533">
        <v>-752519248.26893985</v>
      </c>
      <c r="AQ31" s="533">
        <v>-752519248.26893985</v>
      </c>
      <c r="AR31" s="533">
        <v>-752519248.26893985</v>
      </c>
      <c r="AS31" s="533">
        <v>-752519248.26893985</v>
      </c>
      <c r="AT31" s="533">
        <v>-752519248.26893985</v>
      </c>
      <c r="AU31" s="533">
        <v>-752519248.26893985</v>
      </c>
      <c r="AV31" s="533">
        <v>-752519248.26893985</v>
      </c>
      <c r="AW31" s="533">
        <v>-752519248.26893985</v>
      </c>
      <c r="AX31" s="533">
        <v>-752519248.26893985</v>
      </c>
      <c r="AY31" s="533">
        <v>-752519248.26893985</v>
      </c>
    </row>
    <row r="32" spans="1:51" x14ac:dyDescent="0.45">
      <c r="B32" s="1053" t="s">
        <v>342</v>
      </c>
      <c r="C32" s="1050"/>
      <c r="D32" s="1055">
        <v>51874378.762447283</v>
      </c>
      <c r="E32" s="1055">
        <v>161866436.23129702</v>
      </c>
      <c r="F32" s="1051"/>
      <c r="G32" s="1052"/>
      <c r="AA32" s="451" t="s">
        <v>1699</v>
      </c>
    </row>
    <row r="33" spans="2:51" x14ac:dyDescent="0.45">
      <c r="B33" s="1053" t="s">
        <v>1042</v>
      </c>
      <c r="C33" s="1050"/>
      <c r="D33" s="1055">
        <v>33761140.817788117</v>
      </c>
      <c r="E33" s="1055">
        <v>41155030.817788117</v>
      </c>
      <c r="F33" s="1051"/>
      <c r="G33" s="1052"/>
      <c r="AA33" s="803" t="s">
        <v>330</v>
      </c>
      <c r="AB33" s="533">
        <v>13847741.82</v>
      </c>
      <c r="AC33" s="533">
        <v>16595915.43</v>
      </c>
      <c r="AD33" s="533">
        <v>14925625.75</v>
      </c>
      <c r="AE33" s="533">
        <v>11305567.046898484</v>
      </c>
      <c r="AF33" s="533">
        <v>10295775.108026672</v>
      </c>
      <c r="AG33" s="533">
        <v>8369173.8392901234</v>
      </c>
      <c r="AH33" s="533">
        <v>26907315.183850676</v>
      </c>
      <c r="AI33" s="533">
        <v>15476.522199934276</v>
      </c>
      <c r="AJ33" s="533">
        <v>0</v>
      </c>
      <c r="AK33" s="533">
        <v>0</v>
      </c>
      <c r="AL33" s="533">
        <v>0</v>
      </c>
      <c r="AM33" s="533">
        <v>0</v>
      </c>
      <c r="AN33" s="533">
        <v>0</v>
      </c>
      <c r="AO33" s="533">
        <v>0</v>
      </c>
      <c r="AP33" s="533">
        <v>0</v>
      </c>
      <c r="AQ33" s="533">
        <v>0</v>
      </c>
      <c r="AR33" s="533">
        <v>0</v>
      </c>
      <c r="AS33" s="533">
        <v>0</v>
      </c>
      <c r="AT33" s="533">
        <v>0</v>
      </c>
      <c r="AU33" s="533">
        <v>0</v>
      </c>
      <c r="AV33" s="533">
        <v>0</v>
      </c>
      <c r="AW33" s="533">
        <v>0</v>
      </c>
      <c r="AX33" s="533">
        <v>0</v>
      </c>
      <c r="AY33" s="533">
        <v>0</v>
      </c>
    </row>
    <row r="34" spans="2:51" x14ac:dyDescent="0.45">
      <c r="B34" s="1053" t="s">
        <v>360</v>
      </c>
      <c r="C34" s="1050"/>
      <c r="D34" s="1055">
        <v>47594889.799311213</v>
      </c>
      <c r="E34" s="1055">
        <v>139385398.54897955</v>
      </c>
      <c r="F34" s="1051"/>
      <c r="G34" s="1052"/>
      <c r="AA34" s="803" t="s">
        <v>369</v>
      </c>
      <c r="AB34" s="533">
        <v>126486884.31333333</v>
      </c>
      <c r="AC34" s="533">
        <v>136616043.32333332</v>
      </c>
      <c r="AD34" s="533">
        <v>143214809.11000001</v>
      </c>
      <c r="AE34" s="533">
        <v>143253743.71700636</v>
      </c>
      <c r="AF34" s="533">
        <v>139067846.33322573</v>
      </c>
      <c r="AG34" s="533">
        <v>133721299.89060707</v>
      </c>
      <c r="AH34" s="533">
        <v>32395196.96403677</v>
      </c>
      <c r="AI34" s="533">
        <v>26015.317663125003</v>
      </c>
      <c r="AJ34" s="533">
        <v>0</v>
      </c>
      <c r="AK34" s="533">
        <v>0</v>
      </c>
      <c r="AL34" s="533">
        <v>0</v>
      </c>
      <c r="AM34" s="533">
        <v>0</v>
      </c>
      <c r="AN34" s="533">
        <v>0</v>
      </c>
      <c r="AO34" s="533">
        <v>0</v>
      </c>
      <c r="AP34" s="533">
        <v>0</v>
      </c>
      <c r="AQ34" s="533">
        <v>0</v>
      </c>
      <c r="AR34" s="533">
        <v>0</v>
      </c>
      <c r="AS34" s="533">
        <v>0</v>
      </c>
      <c r="AT34" s="533">
        <v>0</v>
      </c>
      <c r="AU34" s="533">
        <v>0</v>
      </c>
      <c r="AV34" s="533">
        <v>0</v>
      </c>
      <c r="AW34" s="533">
        <v>0</v>
      </c>
      <c r="AX34" s="533">
        <v>0</v>
      </c>
      <c r="AY34" s="533">
        <v>0</v>
      </c>
    </row>
    <row r="35" spans="2:51" x14ac:dyDescent="0.45">
      <c r="B35" s="1053" t="s">
        <v>444</v>
      </c>
      <c r="C35" s="1050"/>
      <c r="D35" s="1056">
        <v>24625198.855292082</v>
      </c>
      <c r="E35" s="1056">
        <v>39970821.215308607</v>
      </c>
      <c r="F35" s="1051"/>
      <c r="G35" s="1052"/>
      <c r="AA35" s="803" t="s">
        <v>371</v>
      </c>
      <c r="AB35" s="533">
        <v>-112639142.49333334</v>
      </c>
      <c r="AC35" s="533">
        <v>-120020127.89333332</v>
      </c>
      <c r="AD35" s="533">
        <v>-128289183.36000001</v>
      </c>
      <c r="AE35" s="533">
        <v>-131948176.67010787</v>
      </c>
      <c r="AF35" s="533">
        <v>-128772071.22519906</v>
      </c>
      <c r="AG35" s="533">
        <v>-125352126.05131695</v>
      </c>
      <c r="AH35" s="533">
        <v>-5487881.7801860943</v>
      </c>
      <c r="AI35" s="533">
        <v>-10538.795463190727</v>
      </c>
      <c r="AJ35" s="533">
        <v>0</v>
      </c>
      <c r="AK35" s="533">
        <v>0</v>
      </c>
      <c r="AL35" s="533">
        <v>0</v>
      </c>
      <c r="AM35" s="533">
        <v>0</v>
      </c>
      <c r="AN35" s="533">
        <v>0</v>
      </c>
      <c r="AO35" s="533">
        <v>0</v>
      </c>
      <c r="AP35" s="533">
        <v>0</v>
      </c>
      <c r="AQ35" s="533">
        <v>0</v>
      </c>
      <c r="AR35" s="533">
        <v>0</v>
      </c>
      <c r="AS35" s="533">
        <v>0</v>
      </c>
      <c r="AT35" s="533">
        <v>0</v>
      </c>
      <c r="AU35" s="533">
        <v>0</v>
      </c>
      <c r="AV35" s="533">
        <v>0</v>
      </c>
      <c r="AW35" s="533">
        <v>0</v>
      </c>
      <c r="AX35" s="533">
        <v>0</v>
      </c>
      <c r="AY35" s="533">
        <v>0</v>
      </c>
    </row>
    <row r="36" spans="2:51" x14ac:dyDescent="0.45">
      <c r="B36" s="1057"/>
      <c r="C36" s="1050"/>
      <c r="D36" s="1050"/>
      <c r="E36" s="1050"/>
      <c r="F36" s="1050"/>
      <c r="G36" s="1052"/>
      <c r="AA36" s="803" t="s">
        <v>1697</v>
      </c>
      <c r="AB36" s="533">
        <v>-112639142.49333334</v>
      </c>
      <c r="AC36" s="533">
        <v>-232659270.38666666</v>
      </c>
      <c r="AD36" s="533">
        <v>-360948453.74666667</v>
      </c>
      <c r="AE36" s="533">
        <v>-492896630.41677451</v>
      </c>
      <c r="AF36" s="533">
        <v>-621668701.64197361</v>
      </c>
      <c r="AG36" s="533">
        <v>-747020827.69329059</v>
      </c>
      <c r="AH36" s="533">
        <v>-752508709.47347665</v>
      </c>
      <c r="AI36" s="533">
        <v>-752519248.26893985</v>
      </c>
      <c r="AJ36" s="533">
        <v>-752519248.26893985</v>
      </c>
      <c r="AK36" s="533">
        <v>-752519248.26893985</v>
      </c>
      <c r="AL36" s="533">
        <v>-752519248.26893985</v>
      </c>
      <c r="AM36" s="533">
        <v>-752519248.26893985</v>
      </c>
      <c r="AN36" s="533">
        <v>-752519248.26893985</v>
      </c>
      <c r="AO36" s="533">
        <v>-752519248.26893985</v>
      </c>
      <c r="AP36" s="533">
        <v>-752519248.26893985</v>
      </c>
      <c r="AQ36" s="533">
        <v>-752519248.26893985</v>
      </c>
      <c r="AR36" s="533">
        <v>-752519248.26893985</v>
      </c>
      <c r="AS36" s="533">
        <v>-752519248.26893985</v>
      </c>
      <c r="AT36" s="533">
        <v>-752519248.26893985</v>
      </c>
      <c r="AU36" s="533">
        <v>-752519248.26893985</v>
      </c>
      <c r="AV36" s="533">
        <v>-752519248.26893985</v>
      </c>
      <c r="AW36" s="533">
        <v>-752519248.26893985</v>
      </c>
      <c r="AX36" s="533">
        <v>-752519248.26893985</v>
      </c>
      <c r="AY36" s="533">
        <v>-752519248.26893985</v>
      </c>
    </row>
    <row r="37" spans="2:51" ht="14.65" thickBot="1" x14ac:dyDescent="0.5">
      <c r="B37" s="1053" t="s">
        <v>1552</v>
      </c>
      <c r="C37" s="1050"/>
      <c r="D37" s="1058">
        <v>-149227829.08387884</v>
      </c>
      <c r="E37" s="1058">
        <v>-409948076.97918564</v>
      </c>
      <c r="F37" s="1051"/>
      <c r="G37" s="1052"/>
    </row>
    <row r="38" spans="2:51" ht="14.65" thickTop="1" x14ac:dyDescent="0.45">
      <c r="B38" s="1059" t="s">
        <v>1557</v>
      </c>
      <c r="C38" s="1060"/>
      <c r="D38" s="1061">
        <v>4132</v>
      </c>
      <c r="E38" s="1061">
        <v>5160</v>
      </c>
      <c r="F38" s="1061"/>
      <c r="G38" s="1052"/>
    </row>
    <row r="39" spans="2:51" x14ac:dyDescent="0.45">
      <c r="B39" s="1059" t="s">
        <v>1559</v>
      </c>
      <c r="C39" s="1060"/>
      <c r="D39" s="1051">
        <v>36115.157087095555</v>
      </c>
      <c r="E39" s="1051">
        <v>79447.301740152252</v>
      </c>
      <c r="F39" s="1060"/>
      <c r="G39" s="1052"/>
    </row>
    <row r="40" spans="2:51" x14ac:dyDescent="0.45">
      <c r="B40" s="1057" t="s">
        <v>1503</v>
      </c>
      <c r="C40" s="1050"/>
      <c r="D40" s="1051">
        <v>8170.6536345082568</v>
      </c>
      <c r="E40" s="1051">
        <v>7975.7811662380072</v>
      </c>
      <c r="F40" s="1051"/>
      <c r="G40" s="1052"/>
    </row>
    <row r="41" spans="2:51" x14ac:dyDescent="0.45">
      <c r="B41" s="1057" t="s">
        <v>1511</v>
      </c>
      <c r="C41" s="1050"/>
      <c r="D41" s="1062">
        <v>-814570959.69870353</v>
      </c>
      <c r="E41" s="1062">
        <v>-833828355.43116832</v>
      </c>
      <c r="F41" s="1051"/>
      <c r="G41" s="1052"/>
    </row>
    <row r="42" spans="2:51" x14ac:dyDescent="0.45">
      <c r="B42" s="1057" t="s">
        <v>1558</v>
      </c>
      <c r="C42" s="1060"/>
      <c r="D42" s="1051">
        <v>-197137.21193095439</v>
      </c>
      <c r="E42" s="1051">
        <v>-161594.6425254202</v>
      </c>
      <c r="F42" s="1051"/>
      <c r="G42" s="1052"/>
    </row>
    <row r="43" spans="2:51" x14ac:dyDescent="0.45">
      <c r="B43" s="1057" t="s">
        <v>1505</v>
      </c>
      <c r="C43" s="1050"/>
      <c r="D43" s="1062">
        <v>-963798788.78258252</v>
      </c>
      <c r="E43" s="1062">
        <v>-1243776432.4103541</v>
      </c>
      <c r="F43" s="1051"/>
      <c r="G43" s="1052"/>
    </row>
    <row r="44" spans="2:51" x14ac:dyDescent="0.45">
      <c r="B44" s="1057" t="s">
        <v>1504</v>
      </c>
      <c r="C44" s="1050"/>
      <c r="D44" s="1030">
        <v>-652227857.09090519</v>
      </c>
      <c r="E44" s="1030">
        <v>-2756114523.0144925</v>
      </c>
      <c r="F44" s="1050"/>
      <c r="G44" s="1052"/>
    </row>
    <row r="45" spans="2:51" x14ac:dyDescent="0.45">
      <c r="B45" s="1057" t="s">
        <v>1584</v>
      </c>
      <c r="C45" s="1050"/>
      <c r="D45" s="1063">
        <v>-311570931.69167733</v>
      </c>
      <c r="E45" s="1063">
        <v>1512338090.6041384</v>
      </c>
      <c r="F45" s="1064"/>
      <c r="G45" s="1052"/>
    </row>
    <row r="46" spans="2:51" x14ac:dyDescent="0.45">
      <c r="B46" s="1057"/>
      <c r="C46" s="1060"/>
      <c r="D46" s="1060"/>
      <c r="E46" s="1060"/>
      <c r="F46" s="1060"/>
      <c r="G46" s="1052"/>
    </row>
    <row r="47" spans="2:51" ht="36" customHeight="1" x14ac:dyDescent="0.45">
      <c r="B47" s="1049" t="s">
        <v>1508</v>
      </c>
      <c r="C47" s="1060"/>
      <c r="D47" s="1045" t="s">
        <v>1512</v>
      </c>
      <c r="E47" s="1045" t="s">
        <v>1515</v>
      </c>
      <c r="F47" s="1045" t="s">
        <v>1523</v>
      </c>
      <c r="G47" s="1052"/>
    </row>
    <row r="48" spans="2:51" x14ac:dyDescent="0.45">
      <c r="B48" s="1057" t="s">
        <v>1346</v>
      </c>
      <c r="C48" s="1060"/>
      <c r="D48" s="1051">
        <v>-128772071.22519906</v>
      </c>
      <c r="E48" s="1065">
        <v>4132</v>
      </c>
      <c r="F48" s="1051">
        <v>-31164.586453339558</v>
      </c>
      <c r="G48" s="1052"/>
    </row>
    <row r="49" spans="1:7" x14ac:dyDescent="0.45">
      <c r="B49" s="1057" t="s">
        <v>1347</v>
      </c>
      <c r="C49" s="1060"/>
      <c r="D49" s="973">
        <v>-144884379.17131695</v>
      </c>
      <c r="E49" s="1066">
        <v>3656</v>
      </c>
      <c r="F49" s="1054">
        <v>-39629.206556705947</v>
      </c>
      <c r="G49" s="1052"/>
    </row>
    <row r="50" spans="1:7" x14ac:dyDescent="0.45">
      <c r="B50" s="1057" t="s">
        <v>1348</v>
      </c>
      <c r="C50" s="1060"/>
      <c r="D50" s="975">
        <v>-4332911.1170987077</v>
      </c>
      <c r="E50" s="1067">
        <v>2</v>
      </c>
      <c r="F50" s="1055">
        <v>-2166455.5585493539</v>
      </c>
      <c r="G50" s="1052"/>
    </row>
    <row r="51" spans="1:7" x14ac:dyDescent="0.45">
      <c r="B51" s="1057" t="s">
        <v>1349</v>
      </c>
      <c r="C51" s="1060"/>
      <c r="D51" s="975">
        <v>-10538.795463190727</v>
      </c>
      <c r="E51" s="1067">
        <v>0</v>
      </c>
      <c r="F51" s="1055">
        <v>0</v>
      </c>
      <c r="G51" s="1052"/>
    </row>
    <row r="52" spans="1:7" x14ac:dyDescent="0.45">
      <c r="B52" s="1057" t="s">
        <v>1350</v>
      </c>
      <c r="C52" s="1060"/>
      <c r="D52" s="975">
        <v>0</v>
      </c>
      <c r="E52" s="1067">
        <v>0</v>
      </c>
      <c r="F52" s="1055">
        <v>0</v>
      </c>
      <c r="G52" s="1052"/>
    </row>
    <row r="53" spans="1:7" x14ac:dyDescent="0.45">
      <c r="B53" s="1057" t="s">
        <v>1351</v>
      </c>
      <c r="C53" s="1060"/>
      <c r="D53" s="977">
        <v>0</v>
      </c>
      <c r="E53" s="1068">
        <v>0</v>
      </c>
      <c r="F53" s="1056">
        <v>0</v>
      </c>
      <c r="G53" s="1052"/>
    </row>
    <row r="54" spans="1:7" x14ac:dyDescent="0.45">
      <c r="B54" s="1057" t="s">
        <v>1516</v>
      </c>
      <c r="C54" s="1060"/>
      <c r="D54" s="970">
        <v>-149227829.08387887</v>
      </c>
      <c r="E54" s="1060"/>
      <c r="F54" s="1060"/>
      <c r="G54" s="1052"/>
    </row>
    <row r="55" spans="1:7" x14ac:dyDescent="0.45">
      <c r="A55" s="18"/>
      <c r="B55" s="1057" t="s">
        <v>1520</v>
      </c>
      <c r="C55" s="1060"/>
      <c r="D55" s="1051">
        <v>-409948076.97918582</v>
      </c>
      <c r="E55" s="1065">
        <v>5160</v>
      </c>
      <c r="F55" s="1051">
        <v>-79447.301740152296</v>
      </c>
      <c r="G55" s="1052"/>
    </row>
    <row r="56" spans="1:7" x14ac:dyDescent="0.45">
      <c r="A56" s="18"/>
      <c r="B56" s="1057"/>
      <c r="C56" s="1060"/>
      <c r="D56" s="1060"/>
      <c r="E56" s="1060"/>
      <c r="F56" s="1060"/>
      <c r="G56" s="1052"/>
    </row>
    <row r="57" spans="1:7" ht="35.25" customHeight="1" x14ac:dyDescent="0.45">
      <c r="A57" s="18"/>
      <c r="B57" s="1049" t="s">
        <v>1573</v>
      </c>
      <c r="C57" s="1060"/>
      <c r="D57" s="1045" t="s">
        <v>1512</v>
      </c>
      <c r="E57" s="1045" t="s">
        <v>1567</v>
      </c>
      <c r="F57" s="1045" t="s">
        <v>1524</v>
      </c>
      <c r="G57" s="1052"/>
    </row>
    <row r="58" spans="1:7" x14ac:dyDescent="0.45">
      <c r="A58" s="18"/>
      <c r="B58" s="1057" t="s">
        <v>1346</v>
      </c>
      <c r="C58" s="1060"/>
      <c r="D58" s="1051">
        <v>-9628697.8662323505</v>
      </c>
      <c r="E58" s="1065">
        <v>514</v>
      </c>
      <c r="F58" s="1051">
        <v>-18732.875226132979</v>
      </c>
      <c r="G58" s="1052"/>
    </row>
    <row r="59" spans="1:7" x14ac:dyDescent="0.45">
      <c r="A59" s="18"/>
      <c r="B59" s="1057" t="s">
        <v>1347</v>
      </c>
      <c r="C59" s="1060"/>
      <c r="D59" s="973">
        <v>-8930433.3100576513</v>
      </c>
      <c r="E59" s="1066">
        <v>476</v>
      </c>
      <c r="F59" s="1054">
        <v>-18761.414516927838</v>
      </c>
      <c r="G59" s="1052"/>
    </row>
    <row r="60" spans="1:7" x14ac:dyDescent="0.45">
      <c r="A60" s="18"/>
      <c r="B60" s="1057" t="s">
        <v>1348</v>
      </c>
      <c r="C60" s="1060"/>
      <c r="D60" s="975">
        <v>-639846237.94033623</v>
      </c>
      <c r="E60" s="1067">
        <v>5524.5</v>
      </c>
      <c r="F60" s="1055">
        <v>-115819.75526117046</v>
      </c>
      <c r="G60" s="1052"/>
    </row>
    <row r="61" spans="1:7" x14ac:dyDescent="0.45">
      <c r="A61" s="18"/>
      <c r="B61" s="1057" t="s">
        <v>1349</v>
      </c>
      <c r="C61" s="1060"/>
      <c r="D61" s="975">
        <v>-165794288.44830972</v>
      </c>
      <c r="E61" s="1067">
        <v>1874.5</v>
      </c>
      <c r="F61" s="1055">
        <v>-88447.206427479177</v>
      </c>
      <c r="G61" s="1052"/>
    </row>
    <row r="62" spans="1:7" x14ac:dyDescent="0.45">
      <c r="A62" s="18"/>
      <c r="B62" s="1057" t="s">
        <v>1350</v>
      </c>
      <c r="C62" s="1060"/>
      <c r="D62" s="975">
        <v>0</v>
      </c>
      <c r="E62" s="1067">
        <v>0</v>
      </c>
      <c r="F62" s="1055">
        <v>0</v>
      </c>
      <c r="G62" s="1052"/>
    </row>
    <row r="63" spans="1:7" x14ac:dyDescent="0.45">
      <c r="A63" s="18"/>
      <c r="B63" s="1057" t="s">
        <v>1351</v>
      </c>
      <c r="C63" s="1060"/>
      <c r="D63" s="977">
        <v>0</v>
      </c>
      <c r="E63" s="1068">
        <v>0</v>
      </c>
      <c r="F63" s="1056">
        <v>0</v>
      </c>
      <c r="G63" s="1052"/>
    </row>
    <row r="64" spans="1:7" x14ac:dyDescent="0.45">
      <c r="B64" s="1057" t="s">
        <v>1516</v>
      </c>
      <c r="C64" s="1060"/>
      <c r="D64" s="970">
        <v>-814570959.69870353</v>
      </c>
      <c r="E64" s="1069">
        <v>7875</v>
      </c>
      <c r="F64" s="1051">
        <v>-103437.58218396235</v>
      </c>
      <c r="G64" s="1052"/>
    </row>
    <row r="65" spans="2:7" x14ac:dyDescent="0.45">
      <c r="B65" s="1057" t="s">
        <v>1521</v>
      </c>
      <c r="C65" s="1060"/>
      <c r="D65" s="1051">
        <v>-833828355.43116832</v>
      </c>
      <c r="E65" s="1065">
        <v>7399</v>
      </c>
      <c r="F65" s="1051">
        <v>-112694.7365091456</v>
      </c>
      <c r="G65" s="1052"/>
    </row>
    <row r="66" spans="2:7" outlineLevel="1" x14ac:dyDescent="0.45">
      <c r="B66" s="1057"/>
      <c r="C66" s="1060"/>
      <c r="D66" s="1060"/>
      <c r="E66" s="1060"/>
      <c r="F66" s="1060"/>
      <c r="G66" s="1052"/>
    </row>
    <row r="67" spans="2:7" outlineLevel="1" x14ac:dyDescent="0.45">
      <c r="B67" s="1049"/>
      <c r="C67" s="1060"/>
      <c r="D67" s="1051"/>
      <c r="E67" s="1060"/>
      <c r="F67" s="1060"/>
      <c r="G67" s="1052"/>
    </row>
    <row r="68" spans="2:7" outlineLevel="1" x14ac:dyDescent="0.45">
      <c r="B68" s="1057"/>
      <c r="C68" s="1060"/>
      <c r="D68" s="1060"/>
      <c r="E68" s="1060"/>
      <c r="F68" s="1060"/>
      <c r="G68" s="1052"/>
    </row>
    <row r="69" spans="2:7" outlineLevel="1" x14ac:dyDescent="0.45">
      <c r="B69" s="1057" t="s">
        <v>1550</v>
      </c>
      <c r="C69" s="1060"/>
      <c r="D69" s="1051">
        <v>-640783662.85163951</v>
      </c>
      <c r="E69" s="1060"/>
      <c r="F69" s="1060"/>
      <c r="G69" s="1052"/>
    </row>
    <row r="70" spans="2:7" outlineLevel="1" x14ac:dyDescent="0.45">
      <c r="B70" s="1057" t="s">
        <v>1560</v>
      </c>
      <c r="C70" s="1060"/>
      <c r="D70" s="1070">
        <v>7399</v>
      </c>
      <c r="E70" s="1060"/>
      <c r="F70" s="1060"/>
      <c r="G70" s="1052"/>
    </row>
    <row r="71" spans="2:7" outlineLevel="1" x14ac:dyDescent="0.45">
      <c r="B71" s="1071" t="s">
        <v>1509</v>
      </c>
      <c r="C71" s="1072"/>
      <c r="D71" s="1073">
        <v>-86604.090127265779</v>
      </c>
      <c r="E71" s="1072"/>
      <c r="F71" s="1072"/>
      <c r="G71" s="1074"/>
    </row>
    <row r="72" spans="2:7" outlineLevel="1" x14ac:dyDescent="0.45"/>
    <row r="73" spans="2:7" outlineLevel="1" x14ac:dyDescent="0.45"/>
    <row r="74" spans="2:7" outlineLevel="1" x14ac:dyDescent="0.45"/>
    <row r="121" spans="2:6" ht="28.5" x14ac:dyDescent="0.45">
      <c r="B121" s="304" t="s">
        <v>1563</v>
      </c>
      <c r="D121" s="969" t="s">
        <v>1512</v>
      </c>
      <c r="E121" s="969" t="s">
        <v>1564</v>
      </c>
      <c r="F121" s="969" t="s">
        <v>1524</v>
      </c>
    </row>
    <row r="122" spans="2:6" x14ac:dyDescent="0.45">
      <c r="B122" s="948" t="str">
        <f>'9. Forecast Results'!R$5</f>
        <v>2017/18</v>
      </c>
      <c r="D122" s="552">
        <f>SUMIF('9. Forecast Results'!$R$5:$W$5,$B122,'9. Forecast Results'!$R$52:$W$52)</f>
        <v>0</v>
      </c>
      <c r="E122" s="785">
        <f>SUMIF('10. Inputs &amp; Calcs'!$D$106:$D$111,$C$6,'10. Inputs &amp; Calcs'!$J$106:$J$111)</f>
        <v>0</v>
      </c>
      <c r="F122" s="552">
        <f>IF(E122&lt;&gt;0,D122/E122,0)</f>
        <v>0</v>
      </c>
    </row>
    <row r="123" spans="2:6" x14ac:dyDescent="0.45">
      <c r="B123" s="948" t="str">
        <f>'9. Forecast Results'!S$5</f>
        <v>2018/19</v>
      </c>
      <c r="D123" s="973">
        <f>SUMIF('9. Forecast Results'!$R$5:$W$5,$B123,'9. Forecast Results'!$R$52:$W$52)</f>
        <v>0</v>
      </c>
      <c r="E123" s="974">
        <f>SUMIF('10. Inputs &amp; Calcs'!$D$106:$D$111,$C$6,'10. Inputs &amp; Calcs'!$K$106:$K$111)</f>
        <v>0</v>
      </c>
      <c r="F123" s="753">
        <f t="shared" ref="F123:F128" si="0">IF(E123&lt;&gt;0,D123/E123,0)</f>
        <v>0</v>
      </c>
    </row>
    <row r="124" spans="2:6" x14ac:dyDescent="0.45">
      <c r="B124" s="948" t="str">
        <f>'9. Forecast Results'!T$5</f>
        <v>2019/20</v>
      </c>
      <c r="D124" s="975">
        <f>SUMIF('9. Forecast Results'!$R$5:$W$5,$B124,'9. Forecast Results'!$R$52:$W$52)</f>
        <v>0</v>
      </c>
      <c r="E124" s="976">
        <f>SUMIF('10. Inputs &amp; Calcs'!$D$106:$D$111,$C$6,'10. Inputs &amp; Calcs'!$L$106:$L$111)</f>
        <v>0</v>
      </c>
      <c r="F124" s="888">
        <f t="shared" si="0"/>
        <v>0</v>
      </c>
    </row>
    <row r="125" spans="2:6" x14ac:dyDescent="0.45">
      <c r="B125" s="948" t="str">
        <f>'9. Forecast Results'!U$5</f>
        <v>2020/21</v>
      </c>
      <c r="D125" s="975">
        <f>SUMIF('9. Forecast Results'!$R$5:$W$5,$B125,'9. Forecast Results'!$R$52:$W$52)</f>
        <v>0</v>
      </c>
      <c r="E125" s="976">
        <f>SUMIF('10. Inputs &amp; Calcs'!$D$106:$D$111,$C$6,'10. Inputs &amp; Calcs'!$M$106:$M$111)</f>
        <v>0</v>
      </c>
      <c r="F125" s="888">
        <f t="shared" si="0"/>
        <v>0</v>
      </c>
    </row>
    <row r="126" spans="2:6" x14ac:dyDescent="0.45">
      <c r="B126" s="948" t="str">
        <f>'9. Forecast Results'!V$5</f>
        <v>2021/22</v>
      </c>
      <c r="D126" s="975">
        <f>SUMIF('9. Forecast Results'!$R$5:$W$5,$B126,'9. Forecast Results'!$R$52:$W$52)</f>
        <v>0</v>
      </c>
      <c r="E126" s="976">
        <f>SUMIF('10. Inputs &amp; Calcs'!$D$106:$D$111,$C$6,'10. Inputs &amp; Calcs'!$N$106:$N$111)</f>
        <v>0</v>
      </c>
      <c r="F126" s="888">
        <f t="shared" si="0"/>
        <v>0</v>
      </c>
    </row>
    <row r="127" spans="2:6" x14ac:dyDescent="0.45">
      <c r="B127" s="948" t="str">
        <f>'9. Forecast Results'!W$5</f>
        <v>2022/23</v>
      </c>
      <c r="D127" s="977">
        <f>SUMIF('9. Forecast Results'!$R$5:$W$5,$B127,'9. Forecast Results'!$R$52:$W$52)</f>
        <v>0</v>
      </c>
      <c r="E127" s="978">
        <f>SUMIF('10. Inputs &amp; Calcs'!$D$106:$D$111,$C$6,'10. Inputs &amp; Calcs'!$O$106:$O$111)</f>
        <v>0</v>
      </c>
      <c r="F127" s="754">
        <f t="shared" si="0"/>
        <v>0</v>
      </c>
    </row>
    <row r="128" spans="2:6" x14ac:dyDescent="0.45">
      <c r="B128" s="948" t="s">
        <v>1516</v>
      </c>
      <c r="D128" s="970">
        <f>SUM(D123:D127)</f>
        <v>0</v>
      </c>
      <c r="E128" s="972">
        <f>SUM(E123:E127)</f>
        <v>0</v>
      </c>
      <c r="F128" s="552">
        <f t="shared" si="0"/>
        <v>0</v>
      </c>
    </row>
    <row r="129" spans="2:7" x14ac:dyDescent="0.45">
      <c r="B129" s="948" t="s">
        <v>1565</v>
      </c>
      <c r="D129" s="971">
        <f>'9. Forecast Results'!AL$52</f>
        <v>0</v>
      </c>
      <c r="E129" s="785">
        <f>SUMIF('10. Inputs &amp; Calcs'!$D$106:$D$111,$C$6,'10. Inputs &amp; Calcs'!$AD$106:$AD$111)</f>
        <v>-7399</v>
      </c>
      <c r="F129" s="552">
        <f>IF(E129&lt;&gt;0,D129/E129,0)</f>
        <v>0</v>
      </c>
    </row>
    <row r="132" spans="2:7" ht="28.5" x14ac:dyDescent="0.45">
      <c r="B132" s="67" t="s">
        <v>1518</v>
      </c>
      <c r="C132" s="46"/>
      <c r="D132" s="70" t="s">
        <v>1512</v>
      </c>
      <c r="E132" s="70" t="s">
        <v>1517</v>
      </c>
      <c r="F132" s="969" t="s">
        <v>1522</v>
      </c>
      <c r="G132" s="930"/>
    </row>
    <row r="133" spans="2:7" x14ac:dyDescent="0.45">
      <c r="B133" s="948" t="str">
        <f>'9. Forecast Results'!R$5</f>
        <v>2017/18</v>
      </c>
      <c r="D133" s="552">
        <f>SUMIF('10. Inputs &amp; Calcs'!$D$619:$D$624,$C$6,'10. Inputs &amp; Calcs'!$J$619:$J$629)-D58</f>
        <v>-964139.19306002557</v>
      </c>
      <c r="E133" s="785">
        <f>SUMIF('10. Inputs &amp; Calcs'!$D$51:$D$56,$C$6,'10. Inputs &amp; Calcs'!$J$51:$J$56)</f>
        <v>514</v>
      </c>
      <c r="F133" s="552">
        <f>IF(E133&lt;&gt;0,D133/E133,0)</f>
        <v>-1875.757184941684</v>
      </c>
      <c r="G133" s="930"/>
    </row>
    <row r="134" spans="2:7" x14ac:dyDescent="0.45">
      <c r="B134" s="948" t="str">
        <f>'9. Forecast Results'!S$5</f>
        <v>2018/19</v>
      </c>
      <c r="D134" s="973">
        <f>SUMIF('10. Inputs &amp; Calcs'!$D$619:$D$624,$C$6,'10. Inputs &amp; Calcs'!$K$619:$K$629)</f>
        <v>-10450381.305273833</v>
      </c>
      <c r="E134" s="974">
        <f>SUMIF('10. Inputs &amp; Calcs'!$D$51:$D$56,$C$6,'10. Inputs &amp; Calcs'!$K$51:$K$56)</f>
        <v>476</v>
      </c>
      <c r="F134" s="753">
        <f t="shared" ref="F134:F140" si="1">IF(E134&lt;&gt;0,D134/E134,0)</f>
        <v>-21954.58257410469</v>
      </c>
      <c r="G134" s="930"/>
    </row>
    <row r="135" spans="2:7" x14ac:dyDescent="0.45">
      <c r="B135" s="948" t="str">
        <f>'9. Forecast Results'!T$5</f>
        <v>2019/20</v>
      </c>
      <c r="D135" s="975">
        <f>SUMIF('10. Inputs &amp; Calcs'!$D$619:$D$624,$C$6,'10. Inputs &amp; Calcs'!$L$619:$L$629)</f>
        <v>-5304579.0622597346</v>
      </c>
      <c r="E135" s="976">
        <f>SUMIF('10. Inputs &amp; Calcs'!$D$51:$D$56,$C$6,'10. Inputs &amp; Calcs'!$L$51:$L$56)</f>
        <v>226</v>
      </c>
      <c r="F135" s="888">
        <f t="shared" si="1"/>
        <v>-23471.588771060771</v>
      </c>
      <c r="G135" s="930"/>
    </row>
    <row r="136" spans="2:7" x14ac:dyDescent="0.45">
      <c r="B136" s="948" t="str">
        <f>'9. Forecast Results'!U$5</f>
        <v>2020/21</v>
      </c>
      <c r="D136" s="975">
        <f>SUMIF('10. Inputs &amp; Calcs'!$D$619:$D$624,$C$6,'10. Inputs &amp; Calcs'!$M$619:$M$629)</f>
        <v>-5562618.7138867881</v>
      </c>
      <c r="E136" s="976">
        <f>SUMIF('10. Inputs &amp; Calcs'!$D$51:$D$56,$C$6,'10. Inputs &amp; Calcs'!$M$51:$M$56)</f>
        <v>226</v>
      </c>
      <c r="F136" s="888">
        <f t="shared" si="1"/>
        <v>-24613.357141091983</v>
      </c>
      <c r="G136" s="930"/>
    </row>
    <row r="137" spans="2:7" x14ac:dyDescent="0.45">
      <c r="B137" s="948" t="str">
        <f>'9. Forecast Results'!V$5</f>
        <v>2021/22</v>
      </c>
      <c r="D137" s="975">
        <f>SUMIF('10. Inputs &amp; Calcs'!$D$619:$D$624,$C$6,'10. Inputs &amp; Calcs'!$N$619:$N$629)</f>
        <v>-5820658.3655138416</v>
      </c>
      <c r="E137" s="976">
        <f>SUMIF('10. Inputs &amp; Calcs'!$D$51:$D$56,$C$6,'10. Inputs &amp; Calcs'!$N$51:$N$56)</f>
        <v>226</v>
      </c>
      <c r="F137" s="888">
        <f t="shared" si="1"/>
        <v>-25755.125511123191</v>
      </c>
      <c r="G137" s="930"/>
    </row>
    <row r="138" spans="2:7" x14ac:dyDescent="0.45">
      <c r="B138" s="948" t="str">
        <f>'9. Forecast Results'!W$5</f>
        <v>2022/23</v>
      </c>
      <c r="D138" s="977">
        <f>SUMIF('10. Inputs &amp; Calcs'!$D$619:$D$624,$C$6,'10. Inputs &amp; Calcs'!$O$619:$O$629)</f>
        <v>-6078698.0171408951</v>
      </c>
      <c r="E138" s="978">
        <f>SUMIF('10. Inputs &amp; Calcs'!$D$51:$D$56,$C$6,'10. Inputs &amp; Calcs'!$O$51:$O$56)</f>
        <v>226</v>
      </c>
      <c r="F138" s="754">
        <f t="shared" si="1"/>
        <v>-26896.893881154403</v>
      </c>
      <c r="G138" s="930"/>
    </row>
    <row r="139" spans="2:7" x14ac:dyDescent="0.45">
      <c r="B139" s="948" t="s">
        <v>1516</v>
      </c>
      <c r="D139" s="970">
        <f>SUM(D134:D138)</f>
        <v>-33216935.464075092</v>
      </c>
      <c r="E139" s="972">
        <f>SUM(E134:E138)</f>
        <v>1380</v>
      </c>
      <c r="F139" s="552">
        <f t="shared" si="1"/>
        <v>-24070.243089909487</v>
      </c>
      <c r="G139" s="930"/>
    </row>
    <row r="140" spans="2:7" x14ac:dyDescent="0.45">
      <c r="B140" s="948" t="s">
        <v>1519</v>
      </c>
      <c r="D140" s="971">
        <f>SUMIF('10. Inputs &amp; Calcs'!$D$619:$D$624,$C$6, '10. Inputs &amp; Calcs'!$AD$619:$AD$624)</f>
        <v>-148103926.95799464</v>
      </c>
      <c r="E140" s="785">
        <f>SUMIF('10. Inputs &amp; Calcs'!$D$520:$D$525,$C$6,'10. Inputs &amp; Calcs'!$H$520:$H$525)</f>
        <v>5160</v>
      </c>
      <c r="F140" s="552">
        <f t="shared" si="1"/>
        <v>-28702.311425967953</v>
      </c>
      <c r="G140" s="930"/>
    </row>
  </sheetData>
  <sheetProtection formatCells="0" formatColumns="0" formatRows="0"/>
  <mergeCells count="3">
    <mergeCell ref="D7:G7"/>
    <mergeCell ref="C14:D14"/>
    <mergeCell ref="E14:F14"/>
  </mergeCells>
  <dataValidations count="3">
    <dataValidation allowBlank="1" showInputMessage="1" showErrorMessage="1" promptTitle="Rent Increase?" prompt="If a rent increase is proposed, enter the % increase from cell F17 to F21 below." sqref="F17" xr:uid="{9AA343D6-53CD-44CF-ACA9-599320F877CE}"/>
    <dataValidation type="list" allowBlank="1" showInputMessage="1" showErrorMessage="1" promptTitle="Rent Increase?" prompt="If a rent increase is proposed, enter the % increase from cell F17 to F21 below._x000a_If rentals are to remain at the same level as the prior year, select &quot;None&quot;&quot;." sqref="C11" xr:uid="{FBC4CE61-091D-4470-87B0-52809964E090}">
      <formula1>$E$15:$F$15</formula1>
    </dataValidation>
    <dataValidation type="list" allowBlank="1" showInputMessage="1" showErrorMessage="1" promptTitle="Rent Collection %" prompt="Select Existing if the current rent collection % will be continued._x000a_Select target if the rent collection is expected to improve and also set the target in cells D17 to D21." sqref="C10" xr:uid="{19B9E0D2-0BE7-4C9D-99FC-EB5E7515C213}">
      <formula1>$C$15:$D$15</formula1>
    </dataValidation>
  </dataValidations>
  <pageMargins left="0.19685039370078741" right="0.19685039370078741" top="0.35433070866141736" bottom="0.35433070866141736" header="0.19685039370078741" footer="0.11811023622047245"/>
  <pageSetup paperSize="9" scale="46" orientation="landscape" r:id="rId1"/>
  <headerFooter>
    <oddFooter>&amp;R&amp;F &amp;A &amp;D Page &amp;P</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Basis of EEDB Calculation" prompt="It is proposed to use the EEDBS to settle outstanding debt owing by occupants. If the fixed EEDBS rate of R7,500 is to be used, select &quot;Fixed&quot;._x000a_If the EEDBS amount is to flexible and sufficient to cover the outstanding debt, select &quot;Calc&quot;." xr:uid="{EF380967-5A59-4C81-8E70-8DEF3BB35484}">
          <x14:formula1>
            <xm:f>'14. Permanent Info'!$M$7:$N$7</xm:f>
          </x14:formula1>
          <xm:sqref>C12</xm:sqref>
        </x14:dataValidation>
        <x14:dataValidation type="list" allowBlank="1" showInputMessage="1" showErrorMessage="1" promptTitle="Select Province" prompt="Select province from the list, or select Total to see the national view. " xr:uid="{65826922-7992-4DDE-A0C7-9B783F46A4B2}">
          <x14:formula1>
            <xm:f>'14. Permanent Info'!$C$7:$C$12</xm:f>
          </x14:formula1>
          <xm:sqref>C6</xm:sqref>
        </x14:dataValidation>
        <x14:dataValidation type="list" allowBlank="1" showInputMessage="1" showErrorMessage="1" promptTitle="Scenario Selector" prompt="Select the Scenario to be projected AFTER Defining the Scenario using the Input Areas and Selection Boxes in the turquoise area between cell F13 and i17. " xr:uid="{28FB9489-E87C-4B11-BF22-5A01287AF6E4}">
          <x14:formula1>
            <xm:f>'14. Permanent Info'!$D$7:$D$11</xm:f>
          </x14:formula1>
          <xm:sqref>C7</xm:sqref>
        </x14:dataValidation>
        <x14:dataValidation type="list" allowBlank="1" showInputMessage="1" showErrorMessage="1" promptTitle="Years" prompt="Select the number of years required to close this programme from 2018/19._x000a_" xr:uid="{0DC7FD94-ED85-4980-8399-9F08F7681A6D}">
          <x14:formula1>
            <xm:f>'14. Permanent Info'!$J$7:$J$23</xm:f>
          </x14:formula1>
          <xm:sqref>C9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E643-70C5-47A1-A6FE-BBAAB30F6ED1}">
  <sheetPr>
    <tabColor theme="5" tint="0.79998168889431442"/>
    <pageSetUpPr fitToPage="1"/>
  </sheetPr>
  <dimension ref="A1:AY140"/>
  <sheetViews>
    <sheetView showGridLines="0" topLeftCell="C1" zoomScale="75" zoomScaleNormal="75" zoomScaleSheetLayoutView="75" workbookViewId="0">
      <selection activeCell="G5" sqref="G5"/>
    </sheetView>
  </sheetViews>
  <sheetFormatPr defaultRowHeight="14.25" outlineLevelRow="1" x14ac:dyDescent="0.45"/>
  <cols>
    <col min="1" max="1" width="4" customWidth="1"/>
    <col min="2" max="2" width="50.796875" customWidth="1"/>
    <col min="3" max="3" width="11.265625" customWidth="1"/>
    <col min="4" max="4" width="19.46484375" customWidth="1"/>
    <col min="5" max="5" width="21.53125" customWidth="1"/>
    <col min="6" max="6" width="13.73046875" bestFit="1" customWidth="1"/>
    <col min="7" max="7" width="14.796875" customWidth="1"/>
    <col min="24" max="24" width="21.265625" customWidth="1"/>
    <col min="28" max="34" width="14.46484375" bestFit="1" customWidth="1"/>
    <col min="35" max="51" width="16.265625" bestFit="1" customWidth="1"/>
  </cols>
  <sheetData>
    <row r="1" spans="1:51" ht="21" x14ac:dyDescent="0.65">
      <c r="B1" s="60" t="s">
        <v>91</v>
      </c>
      <c r="I1" s="4"/>
      <c r="J1" s="4"/>
      <c r="K1" s="4"/>
      <c r="L1" s="4"/>
      <c r="M1" s="4"/>
      <c r="N1" s="4"/>
      <c r="O1" s="4"/>
      <c r="P1" s="4"/>
      <c r="Q1" s="4"/>
      <c r="R1" s="4"/>
      <c r="S1" s="4"/>
      <c r="T1" s="4"/>
      <c r="U1" s="4"/>
      <c r="V1" s="4"/>
    </row>
    <row r="2" spans="1:51" ht="21" x14ac:dyDescent="0.65">
      <c r="B2" s="60" t="s">
        <v>1496</v>
      </c>
      <c r="I2" s="4"/>
      <c r="J2" s="4"/>
      <c r="K2" s="4"/>
      <c r="L2" s="4"/>
      <c r="M2" s="4"/>
      <c r="N2" s="4"/>
      <c r="O2" s="4"/>
      <c r="P2" s="4"/>
      <c r="Q2" s="4"/>
      <c r="R2" s="4"/>
      <c r="S2" s="4"/>
      <c r="T2" s="4"/>
      <c r="U2" s="4"/>
      <c r="V2" s="4"/>
      <c r="AA2" s="803">
        <v>0</v>
      </c>
      <c r="AB2" s="803" t="s">
        <v>102</v>
      </c>
      <c r="AC2" s="803" t="s">
        <v>103</v>
      </c>
      <c r="AD2" s="803" t="s">
        <v>104</v>
      </c>
      <c r="AE2" s="803" t="s">
        <v>1345</v>
      </c>
      <c r="AF2" s="803" t="s">
        <v>1346</v>
      </c>
      <c r="AG2" s="803" t="s">
        <v>1347</v>
      </c>
      <c r="AH2" s="803" t="s">
        <v>1348</v>
      </c>
      <c r="AI2" s="803" t="s">
        <v>1349</v>
      </c>
      <c r="AJ2" s="803" t="s">
        <v>1350</v>
      </c>
      <c r="AK2" s="803" t="s">
        <v>1351</v>
      </c>
      <c r="AL2" s="803" t="s">
        <v>1352</v>
      </c>
      <c r="AM2" s="803" t="s">
        <v>1353</v>
      </c>
      <c r="AN2" s="803" t="s">
        <v>1354</v>
      </c>
      <c r="AO2" s="803" t="s">
        <v>1355</v>
      </c>
      <c r="AP2" s="803" t="s">
        <v>1410</v>
      </c>
      <c r="AQ2" s="803" t="s">
        <v>1411</v>
      </c>
      <c r="AR2" s="803" t="s">
        <v>1412</v>
      </c>
      <c r="AS2" s="803" t="s">
        <v>1413</v>
      </c>
      <c r="AT2" s="803" t="s">
        <v>1414</v>
      </c>
      <c r="AU2" s="803" t="s">
        <v>1415</v>
      </c>
      <c r="AV2" s="803" t="s">
        <v>1416</v>
      </c>
      <c r="AW2" s="803" t="s">
        <v>1417</v>
      </c>
      <c r="AX2" s="803" t="s">
        <v>1418</v>
      </c>
      <c r="AY2" s="803" t="s">
        <v>1419</v>
      </c>
    </row>
    <row r="3" spans="1:51" x14ac:dyDescent="0.45">
      <c r="C3" s="1106" t="s">
        <v>1608</v>
      </c>
      <c r="D3" s="553"/>
      <c r="E3" s="553"/>
      <c r="F3" s="796"/>
      <c r="I3" s="4"/>
      <c r="J3" s="4"/>
      <c r="K3" s="4"/>
      <c r="L3" s="4"/>
      <c r="M3" s="4"/>
      <c r="N3" s="4"/>
      <c r="O3" s="4"/>
      <c r="P3" s="4"/>
      <c r="Q3" s="4"/>
      <c r="R3" s="4"/>
      <c r="S3" s="4"/>
      <c r="T3" s="4"/>
      <c r="U3" s="4"/>
      <c r="V3" s="4"/>
      <c r="AA3" s="803" t="s">
        <v>1538</v>
      </c>
      <c r="AB3" s="1105">
        <v>-112639142.49333334</v>
      </c>
      <c r="AC3" s="1105">
        <v>-120020127.89333332</v>
      </c>
      <c r="AD3" s="1105">
        <v>-128289183.36000001</v>
      </c>
      <c r="AE3" s="1105">
        <v>-131948176.67010787</v>
      </c>
      <c r="AF3" s="1105">
        <v>-128772071.22519906</v>
      </c>
      <c r="AG3" s="1105">
        <v>-125352126.05131693</v>
      </c>
      <c r="AH3" s="1105">
        <v>-3128393.5629493855</v>
      </c>
      <c r="AI3" s="1105">
        <v>0</v>
      </c>
      <c r="AJ3" s="1105">
        <v>0</v>
      </c>
      <c r="AK3" s="1105">
        <v>0</v>
      </c>
      <c r="AL3" s="1105">
        <v>0</v>
      </c>
      <c r="AM3" s="1105">
        <v>0</v>
      </c>
      <c r="AN3" s="1105">
        <v>0</v>
      </c>
      <c r="AO3" s="1105">
        <v>0</v>
      </c>
      <c r="AP3" s="1105">
        <v>0</v>
      </c>
      <c r="AQ3" s="1105">
        <v>0</v>
      </c>
      <c r="AR3" s="1105">
        <v>0</v>
      </c>
      <c r="AS3" s="1105">
        <v>0</v>
      </c>
      <c r="AT3" s="1105">
        <v>0</v>
      </c>
      <c r="AU3" s="1105">
        <v>0</v>
      </c>
      <c r="AV3" s="1105">
        <v>0</v>
      </c>
      <c r="AW3" s="1105">
        <v>0</v>
      </c>
      <c r="AX3" s="1105">
        <v>0</v>
      </c>
      <c r="AY3" s="1105">
        <v>0</v>
      </c>
    </row>
    <row r="4" spans="1:51" x14ac:dyDescent="0.45">
      <c r="C4" s="1107" t="s">
        <v>1611</v>
      </c>
      <c r="D4" s="931"/>
      <c r="E4" s="931"/>
      <c r="F4" s="932"/>
      <c r="AA4" s="803" t="s">
        <v>1575</v>
      </c>
      <c r="AB4" s="1105">
        <v>-17923184</v>
      </c>
      <c r="AC4" s="1105">
        <v>-17604545</v>
      </c>
      <c r="AD4" s="1105">
        <v>-10717984</v>
      </c>
      <c r="AE4" s="1105">
        <v>-9628697.8662323505</v>
      </c>
      <c r="AF4" s="1105">
        <v>-9628697.8662323505</v>
      </c>
      <c r="AG4" s="1105">
        <v>-8930433.3100576513</v>
      </c>
      <c r="AH4" s="1105">
        <v>-805640526.38864589</v>
      </c>
      <c r="AI4" s="1105">
        <v>0</v>
      </c>
      <c r="AJ4" s="1105">
        <v>0</v>
      </c>
      <c r="AK4" s="1105">
        <v>0</v>
      </c>
      <c r="AL4" s="1105">
        <v>0</v>
      </c>
      <c r="AM4" s="1105">
        <v>0</v>
      </c>
      <c r="AN4" s="1105">
        <v>0</v>
      </c>
      <c r="AO4" s="1105">
        <v>0</v>
      </c>
      <c r="AP4" s="1105">
        <v>0</v>
      </c>
      <c r="AQ4" s="1105">
        <v>0</v>
      </c>
      <c r="AR4" s="1105">
        <v>0</v>
      </c>
      <c r="AS4" s="1105">
        <v>0</v>
      </c>
      <c r="AT4" s="1105">
        <v>0</v>
      </c>
      <c r="AU4" s="1105">
        <v>0</v>
      </c>
      <c r="AV4" s="1105">
        <v>0</v>
      </c>
      <c r="AW4" s="1105">
        <v>0</v>
      </c>
      <c r="AX4" s="1105">
        <v>0</v>
      </c>
      <c r="AY4" s="1105">
        <v>0</v>
      </c>
    </row>
    <row r="5" spans="1:51" ht="21" x14ac:dyDescent="0.65">
      <c r="B5" s="60" t="s">
        <v>1095</v>
      </c>
      <c r="I5" s="60"/>
    </row>
    <row r="6" spans="1:51" x14ac:dyDescent="0.45">
      <c r="A6" s="4"/>
      <c r="B6" s="950" t="s">
        <v>1561</v>
      </c>
      <c r="C6" s="1083" t="s">
        <v>11</v>
      </c>
      <c r="D6" s="553"/>
      <c r="E6" s="553"/>
      <c r="F6" s="553"/>
      <c r="G6" s="796"/>
      <c r="I6" s="795"/>
      <c r="J6" s="553"/>
      <c r="K6" s="553"/>
      <c r="L6" s="553"/>
      <c r="M6" s="553"/>
      <c r="N6" s="553"/>
      <c r="O6" s="553"/>
      <c r="P6" s="553"/>
      <c r="Q6" s="553"/>
      <c r="R6" s="553"/>
      <c r="S6" s="553"/>
      <c r="T6" s="553"/>
      <c r="U6" s="553"/>
      <c r="V6" s="796"/>
    </row>
    <row r="7" spans="1:51" x14ac:dyDescent="0.45">
      <c r="A7" s="4"/>
      <c r="B7" s="304" t="s">
        <v>1484</v>
      </c>
      <c r="C7" s="1083" t="s">
        <v>1317</v>
      </c>
      <c r="D7" s="1346" t="str">
        <f>IF($C$7='14. Permanent Info'!$D$7,'14. Permanent Info'!$E$7,IF($C$7='14. Permanent Info'!$D$8,'14. Permanent Info'!$E$8,IF($C$7='14. Permanent Info'!$D$9,'14. Permanent Info'!$E$9,IF($C$7='14. Permanent Info'!$D$10,'14. Permanent Info'!$E$10,IF($C$7='14. Permanent Info'!$D$11,'14. Permanent Info'!$E$11,0)))))</f>
        <v>Scenario 3 - Devolve to Local Municipality</v>
      </c>
      <c r="E7" s="1346"/>
      <c r="F7" s="1346"/>
      <c r="G7" s="1349"/>
      <c r="I7" s="948"/>
      <c r="J7" s="4"/>
      <c r="K7" s="4"/>
      <c r="L7" s="4"/>
      <c r="M7" s="4"/>
      <c r="N7" s="4"/>
      <c r="O7" s="4"/>
      <c r="P7" s="4"/>
      <c r="Q7" s="4"/>
      <c r="R7" s="4"/>
      <c r="S7" s="4"/>
      <c r="T7" s="4"/>
      <c r="U7" s="4"/>
      <c r="V7" s="930"/>
    </row>
    <row r="8" spans="1:51" x14ac:dyDescent="0.45">
      <c r="A8" s="4"/>
      <c r="B8" s="304" t="s">
        <v>1497</v>
      </c>
      <c r="C8" s="558"/>
      <c r="D8" s="4"/>
      <c r="E8" s="4"/>
      <c r="F8" s="4"/>
      <c r="G8" s="930"/>
      <c r="I8" s="948"/>
      <c r="J8" s="4"/>
      <c r="K8" s="4"/>
      <c r="L8" s="4"/>
      <c r="M8" s="4"/>
      <c r="N8" s="4"/>
      <c r="O8" s="4"/>
      <c r="P8" s="4"/>
      <c r="Q8" s="4"/>
      <c r="R8" s="4"/>
      <c r="S8" s="4"/>
      <c r="T8" s="4"/>
      <c r="U8" s="4"/>
      <c r="V8" s="930"/>
    </row>
    <row r="9" spans="1:51" x14ac:dyDescent="0.45">
      <c r="A9" s="4"/>
      <c r="B9" s="964" t="s">
        <v>1507</v>
      </c>
      <c r="C9" s="17">
        <v>1</v>
      </c>
      <c r="D9" s="962"/>
      <c r="E9" s="963"/>
      <c r="F9" s="963"/>
      <c r="G9" s="930"/>
      <c r="I9" s="948"/>
      <c r="J9" s="4"/>
      <c r="K9" s="4"/>
      <c r="L9" s="4"/>
      <c r="M9" s="4"/>
      <c r="N9" s="4"/>
      <c r="O9" s="4"/>
      <c r="P9" s="4"/>
      <c r="Q9" s="4"/>
      <c r="R9" s="4"/>
      <c r="S9" s="4"/>
      <c r="T9" s="4"/>
      <c r="U9" s="4"/>
      <c r="V9" s="930"/>
    </row>
    <row r="10" spans="1:51" ht="15.75" x14ac:dyDescent="0.45">
      <c r="A10" s="4"/>
      <c r="B10" s="964" t="s">
        <v>1438</v>
      </c>
      <c r="C10" s="1032" t="s">
        <v>1435</v>
      </c>
      <c r="D10" s="962"/>
      <c r="E10" s="963"/>
      <c r="F10" s="963"/>
      <c r="G10" s="930"/>
      <c r="I10" s="948"/>
      <c r="J10" s="4"/>
      <c r="K10" s="4"/>
      <c r="L10" s="4"/>
      <c r="M10" s="4"/>
      <c r="N10" s="4"/>
      <c r="O10" s="4"/>
      <c r="P10" s="4"/>
      <c r="Q10" s="4"/>
      <c r="R10" s="4"/>
      <c r="S10" s="4"/>
      <c r="T10" s="4"/>
      <c r="U10" s="4"/>
      <c r="V10" s="930"/>
    </row>
    <row r="11" spans="1:51" ht="15.75" x14ac:dyDescent="0.45">
      <c r="A11" s="4"/>
      <c r="B11" s="964" t="s">
        <v>1426</v>
      </c>
      <c r="C11" s="1032" t="s">
        <v>1436</v>
      </c>
      <c r="D11" s="962"/>
      <c r="E11" s="963"/>
      <c r="F11" s="963"/>
      <c r="G11" s="930"/>
      <c r="I11" s="948"/>
      <c r="J11" s="4"/>
      <c r="K11" s="4"/>
      <c r="L11" s="4"/>
      <c r="M11" s="4"/>
      <c r="N11" s="4"/>
      <c r="O11" s="4"/>
      <c r="P11" s="4"/>
      <c r="Q11" s="4"/>
      <c r="R11" s="4"/>
      <c r="S11" s="4"/>
      <c r="T11" s="4"/>
      <c r="U11" s="4"/>
      <c r="V11" s="930"/>
    </row>
    <row r="12" spans="1:51" ht="15.75" x14ac:dyDescent="0.45">
      <c r="A12" s="4"/>
      <c r="B12" s="964" t="s">
        <v>1446</v>
      </c>
      <c r="C12" s="1033" t="s">
        <v>1428</v>
      </c>
      <c r="D12" s="962"/>
      <c r="E12" s="963"/>
      <c r="F12" s="963"/>
      <c r="G12" s="930"/>
      <c r="I12" s="948"/>
      <c r="J12" s="4"/>
      <c r="K12" s="4"/>
      <c r="L12" s="4"/>
      <c r="M12" s="4"/>
      <c r="N12" s="4"/>
      <c r="O12" s="4"/>
      <c r="P12" s="4"/>
      <c r="Q12" s="4"/>
      <c r="R12" s="4"/>
      <c r="S12" s="4"/>
      <c r="T12" s="4"/>
      <c r="U12" s="4"/>
      <c r="V12" s="930"/>
    </row>
    <row r="13" spans="1:51" x14ac:dyDescent="0.45">
      <c r="A13" s="4"/>
      <c r="B13" s="949"/>
      <c r="C13" s="931"/>
      <c r="D13" s="931"/>
      <c r="E13" s="931"/>
      <c r="F13" s="931"/>
      <c r="G13" s="932"/>
      <c r="I13" s="948"/>
      <c r="J13" s="4"/>
      <c r="K13" s="4"/>
      <c r="L13" s="4"/>
      <c r="M13" s="4"/>
      <c r="N13" s="4"/>
      <c r="O13" s="4"/>
      <c r="P13" s="4"/>
      <c r="Q13" s="4"/>
      <c r="R13" s="4"/>
      <c r="S13" s="4"/>
      <c r="T13" s="4"/>
      <c r="U13" s="4"/>
      <c r="V13" s="930"/>
    </row>
    <row r="14" spans="1:51" x14ac:dyDescent="0.45">
      <c r="A14" s="4"/>
      <c r="B14" s="795"/>
      <c r="C14" s="1344" t="s">
        <v>1425</v>
      </c>
      <c r="D14" s="1345"/>
      <c r="E14" s="1344" t="s">
        <v>1426</v>
      </c>
      <c r="F14" s="1345"/>
      <c r="G14" s="930"/>
      <c r="I14" s="948"/>
      <c r="J14" s="4"/>
      <c r="K14" s="4"/>
      <c r="L14" s="4"/>
      <c r="M14" s="4"/>
      <c r="N14" s="4"/>
      <c r="O14" s="4"/>
      <c r="P14" s="4"/>
      <c r="Q14" s="4"/>
      <c r="R14" s="4"/>
      <c r="S14" s="4"/>
      <c r="T14" s="4"/>
      <c r="U14" s="4"/>
      <c r="V14" s="930"/>
    </row>
    <row r="15" spans="1:51" x14ac:dyDescent="0.45">
      <c r="A15" s="4"/>
      <c r="B15" s="948"/>
      <c r="C15" s="1080" t="s">
        <v>1435</v>
      </c>
      <c r="D15" s="1080" t="s">
        <v>1437</v>
      </c>
      <c r="E15" s="1080" t="s">
        <v>1436</v>
      </c>
      <c r="F15" s="1079" t="s">
        <v>1439</v>
      </c>
      <c r="G15" s="930"/>
      <c r="I15" s="948"/>
      <c r="J15" s="4"/>
      <c r="K15" s="4"/>
      <c r="L15" s="4"/>
      <c r="M15" s="4"/>
      <c r="N15" s="4"/>
      <c r="O15" s="4"/>
      <c r="P15" s="4"/>
      <c r="Q15" s="4"/>
      <c r="R15" s="4"/>
      <c r="S15" s="4"/>
      <c r="T15" s="4"/>
      <c r="U15" s="4"/>
      <c r="V15" s="930"/>
    </row>
    <row r="16" spans="1:51" ht="57" x14ac:dyDescent="0.45">
      <c r="A16" s="4"/>
      <c r="B16" s="948"/>
      <c r="C16" s="841" t="s">
        <v>1440</v>
      </c>
      <c r="D16" s="841" t="s">
        <v>1432</v>
      </c>
      <c r="E16" s="841" t="s">
        <v>1427</v>
      </c>
      <c r="F16" s="841" t="s">
        <v>1433</v>
      </c>
      <c r="G16" s="930"/>
      <c r="I16" s="948"/>
      <c r="J16" s="4"/>
      <c r="K16" s="4"/>
      <c r="L16" s="4"/>
      <c r="M16" s="4"/>
      <c r="N16" s="4"/>
      <c r="O16" s="4"/>
      <c r="P16" s="4"/>
      <c r="Q16" s="4"/>
      <c r="R16" s="4"/>
      <c r="S16" s="4"/>
      <c r="T16" s="4"/>
      <c r="U16" s="4"/>
      <c r="V16" s="930"/>
    </row>
    <row r="17" spans="1:51" x14ac:dyDescent="0.45">
      <c r="A17" s="4"/>
      <c r="B17" s="948" t="str">
        <f>'14. Permanent Info'!C7</f>
        <v>EC</v>
      </c>
      <c r="C17" s="843">
        <f>'10. Inputs &amp; Calcs'!H565</f>
        <v>0.64104385848248757</v>
      </c>
      <c r="D17" s="1034">
        <v>0.75</v>
      </c>
      <c r="E17" s="1035">
        <f>'10. Inputs &amp; Calcs'!I529</f>
        <v>0</v>
      </c>
      <c r="F17" s="1036">
        <v>0.05</v>
      </c>
      <c r="G17" s="930"/>
      <c r="I17" s="948"/>
      <c r="J17" s="4"/>
      <c r="K17" s="4"/>
      <c r="L17" s="4"/>
      <c r="M17" s="4"/>
      <c r="N17" s="4"/>
      <c r="O17" s="4"/>
      <c r="P17" s="4"/>
      <c r="Q17" s="4"/>
      <c r="R17" s="4"/>
      <c r="S17" s="4"/>
      <c r="T17" s="4"/>
      <c r="U17" s="4"/>
      <c r="V17" s="930"/>
    </row>
    <row r="18" spans="1:51" x14ac:dyDescent="0.45">
      <c r="A18" s="4"/>
      <c r="B18" s="948" t="str">
        <f>'14. Permanent Info'!C8</f>
        <v>FS</v>
      </c>
      <c r="C18" s="843">
        <f>'10. Inputs &amp; Calcs'!H566</f>
        <v>0</v>
      </c>
      <c r="D18" s="1034">
        <v>0.3</v>
      </c>
      <c r="E18" s="1035">
        <f>'10. Inputs &amp; Calcs'!I530</f>
        <v>0</v>
      </c>
      <c r="F18" s="1036">
        <v>0.05</v>
      </c>
      <c r="G18" s="930"/>
      <c r="I18" s="948"/>
      <c r="J18" s="4"/>
      <c r="K18" s="4"/>
      <c r="L18" s="4"/>
      <c r="M18" s="4"/>
      <c r="N18" s="4"/>
      <c r="O18" s="4"/>
      <c r="P18" s="4"/>
      <c r="Q18" s="4"/>
      <c r="R18" s="4"/>
      <c r="S18" s="4"/>
      <c r="T18" s="4"/>
      <c r="U18" s="4"/>
      <c r="V18" s="930"/>
    </row>
    <row r="19" spans="1:51" x14ac:dyDescent="0.45">
      <c r="A19" s="4"/>
      <c r="B19" s="948" t="str">
        <f>'14. Permanent Info'!C9</f>
        <v>Gau</v>
      </c>
      <c r="C19" s="843">
        <f>'10. Inputs &amp; Calcs'!H567</f>
        <v>3.7905623003453709E-2</v>
      </c>
      <c r="D19" s="1034">
        <v>0.15</v>
      </c>
      <c r="E19" s="1035">
        <f>'10. Inputs &amp; Calcs'!I531</f>
        <v>0</v>
      </c>
      <c r="F19" s="1036">
        <v>0.05</v>
      </c>
      <c r="G19" s="930"/>
      <c r="I19" s="948"/>
      <c r="J19" s="4"/>
      <c r="K19" s="4"/>
      <c r="L19" s="4"/>
      <c r="M19" s="4"/>
      <c r="N19" s="4"/>
      <c r="O19" s="4"/>
      <c r="P19" s="4"/>
      <c r="Q19" s="4"/>
      <c r="R19" s="4"/>
      <c r="S19" s="4"/>
      <c r="T19" s="4"/>
      <c r="U19" s="4"/>
      <c r="V19" s="930"/>
    </row>
    <row r="20" spans="1:51" x14ac:dyDescent="0.45">
      <c r="A20" s="4"/>
      <c r="B20" s="948" t="str">
        <f>'14. Permanent Info'!C10</f>
        <v>KZN</v>
      </c>
      <c r="C20" s="843">
        <f>'10. Inputs &amp; Calcs'!H568</f>
        <v>0.2765409995924219</v>
      </c>
      <c r="D20" s="1034">
        <v>0.45</v>
      </c>
      <c r="E20" s="1035">
        <f>'10. Inputs &amp; Calcs'!I532</f>
        <v>0</v>
      </c>
      <c r="F20" s="1036">
        <v>0.05</v>
      </c>
      <c r="G20" s="930"/>
      <c r="I20" s="948"/>
      <c r="J20" s="4"/>
      <c r="K20" s="4"/>
      <c r="L20" s="4"/>
      <c r="M20" s="4"/>
      <c r="N20" s="4"/>
      <c r="O20" s="4"/>
      <c r="P20" s="4"/>
      <c r="Q20" s="4"/>
      <c r="R20" s="4"/>
      <c r="S20" s="4"/>
      <c r="T20" s="4"/>
      <c r="U20" s="4"/>
      <c r="V20" s="930"/>
    </row>
    <row r="21" spans="1:51" x14ac:dyDescent="0.45">
      <c r="A21" s="4"/>
      <c r="B21" s="948" t="str">
        <f>'14. Permanent Info'!C11</f>
        <v>WC</v>
      </c>
      <c r="C21" s="844">
        <f>'10. Inputs &amp; Calcs'!H569</f>
        <v>0.76546080658513083</v>
      </c>
      <c r="D21" s="1037">
        <v>0.85</v>
      </c>
      <c r="E21" s="1038">
        <f>'10. Inputs &amp; Calcs'!I533</f>
        <v>0</v>
      </c>
      <c r="F21" s="1039">
        <v>0.05</v>
      </c>
      <c r="G21" s="930"/>
      <c r="I21" s="948"/>
      <c r="J21" s="4"/>
      <c r="K21" s="4"/>
      <c r="L21" s="4"/>
      <c r="M21" s="4"/>
      <c r="N21" s="4"/>
      <c r="O21" s="4"/>
      <c r="P21" s="4"/>
      <c r="Q21" s="4"/>
      <c r="R21" s="4"/>
      <c r="S21" s="4"/>
      <c r="T21" s="4"/>
      <c r="U21" s="4"/>
      <c r="V21" s="930"/>
    </row>
    <row r="22" spans="1:51" ht="14.65" thickBot="1" x14ac:dyDescent="0.5">
      <c r="A22" s="4"/>
      <c r="B22" s="948"/>
      <c r="C22" s="842">
        <f>ROUND('10. Inputs &amp; Calcs'!H570,2)</f>
        <v>0.27</v>
      </c>
      <c r="D22" s="842">
        <f>ROUND(SUMPRODUCT('10. Inputs &amp; Calcs'!L565:L569,'10. Inputs &amp; Calcs'!$H$520:$H$524)/'10. Inputs &amp; Calcs'!$H$525,2)</f>
        <v>0.27</v>
      </c>
      <c r="E22" s="842">
        <f>ROUND('10. Inputs &amp; Calcs'!I534,0)</f>
        <v>0</v>
      </c>
      <c r="F22" s="845">
        <f>ROUND(SUMPRODUCT('10. Inputs &amp; Calcs'!L529:L533,'10. Inputs &amp; Calcs'!$H$520:$H$524)/'10. Inputs &amp; Calcs'!$H$525,2)</f>
        <v>0</v>
      </c>
      <c r="G22" s="930"/>
      <c r="I22" s="948"/>
      <c r="J22" s="4"/>
      <c r="K22" s="4"/>
      <c r="L22" s="4"/>
      <c r="M22" s="4"/>
      <c r="N22" s="4"/>
      <c r="O22" s="4"/>
      <c r="P22" s="4"/>
      <c r="Q22" s="4"/>
      <c r="R22" s="4"/>
      <c r="S22" s="4"/>
      <c r="T22" s="4"/>
      <c r="U22" s="4"/>
      <c r="V22" s="930"/>
    </row>
    <row r="23" spans="1:51" ht="14.65" thickTop="1" x14ac:dyDescent="0.45">
      <c r="A23" s="4"/>
      <c r="B23" s="949"/>
      <c r="C23" s="931" t="s">
        <v>1462</v>
      </c>
      <c r="D23" s="986">
        <f>'10. Inputs &amp; Calcs'!L570</f>
        <v>0.27446863791168158</v>
      </c>
      <c r="E23" s="931"/>
      <c r="F23" s="986">
        <f>'10. Inputs &amp; Calcs'!L534</f>
        <v>0</v>
      </c>
      <c r="G23" s="932"/>
      <c r="I23" s="948"/>
      <c r="J23" s="4"/>
      <c r="K23" s="4"/>
      <c r="L23" s="4"/>
      <c r="M23" s="4"/>
      <c r="N23" s="4"/>
      <c r="O23" s="4"/>
      <c r="P23" s="4"/>
      <c r="Q23" s="4"/>
      <c r="R23" s="4"/>
      <c r="S23" s="4"/>
      <c r="T23" s="4"/>
      <c r="U23" s="4"/>
      <c r="V23" s="930"/>
    </row>
    <row r="24" spans="1:51" x14ac:dyDescent="0.45">
      <c r="I24" s="948"/>
      <c r="J24" s="4"/>
      <c r="K24" s="4"/>
      <c r="L24" s="4"/>
      <c r="M24" s="4"/>
      <c r="N24" s="4"/>
      <c r="O24" s="4"/>
      <c r="P24" s="4"/>
      <c r="Q24" s="4"/>
      <c r="R24" s="4"/>
      <c r="S24" s="4"/>
      <c r="T24" s="4"/>
      <c r="U24" s="4"/>
      <c r="V24" s="930"/>
    </row>
    <row r="25" spans="1:51" ht="4.5" customHeight="1" x14ac:dyDescent="0.45">
      <c r="I25" s="948"/>
      <c r="J25" s="4"/>
      <c r="K25" s="4"/>
      <c r="L25" s="4"/>
      <c r="M25" s="4"/>
      <c r="N25" s="4"/>
      <c r="O25" s="4"/>
      <c r="P25" s="4"/>
      <c r="Q25" s="4"/>
      <c r="R25" s="4"/>
      <c r="S25" s="4"/>
      <c r="T25" s="4"/>
      <c r="U25" s="4"/>
      <c r="V25" s="930"/>
    </row>
    <row r="26" spans="1:51" ht="21" x14ac:dyDescent="0.65">
      <c r="B26" s="60" t="s">
        <v>1098</v>
      </c>
      <c r="I26" s="948"/>
      <c r="J26" s="4"/>
      <c r="K26" s="4"/>
      <c r="L26" s="4"/>
      <c r="M26" s="4"/>
      <c r="N26" s="4"/>
      <c r="O26" s="4"/>
      <c r="P26" s="4"/>
      <c r="Q26" s="4"/>
      <c r="R26" s="4"/>
      <c r="S26" s="4"/>
      <c r="T26" s="4"/>
      <c r="U26" s="4"/>
      <c r="V26" s="930"/>
      <c r="AA26" s="451" t="s">
        <v>1698</v>
      </c>
    </row>
    <row r="27" spans="1:51" ht="28.5" x14ac:dyDescent="0.45">
      <c r="B27" s="1043"/>
      <c r="C27" s="1044"/>
      <c r="D27" s="1045" t="s">
        <v>1514</v>
      </c>
      <c r="E27" s="1046" t="s">
        <v>1498</v>
      </c>
      <c r="F27" s="1047"/>
      <c r="G27" s="1048"/>
      <c r="I27" s="948"/>
      <c r="J27" s="4"/>
      <c r="K27" s="4"/>
      <c r="L27" s="4"/>
      <c r="M27" s="4"/>
      <c r="N27" s="4"/>
      <c r="O27" s="4"/>
      <c r="P27" s="4"/>
      <c r="Q27" s="4"/>
      <c r="R27" s="4"/>
      <c r="S27" s="4"/>
      <c r="T27" s="4"/>
      <c r="U27" s="4"/>
      <c r="V27" s="930"/>
      <c r="AA27" s="803"/>
      <c r="AB27" s="803" t="s">
        <v>102</v>
      </c>
      <c r="AC27" s="803" t="s">
        <v>103</v>
      </c>
      <c r="AD27" s="803" t="s">
        <v>104</v>
      </c>
      <c r="AE27" s="803" t="s">
        <v>1345</v>
      </c>
      <c r="AF27" s="803" t="s">
        <v>1346</v>
      </c>
      <c r="AG27" s="803" t="s">
        <v>1347</v>
      </c>
      <c r="AH27" s="803" t="s">
        <v>1348</v>
      </c>
      <c r="AI27" s="803" t="s">
        <v>1349</v>
      </c>
      <c r="AJ27" s="803" t="s">
        <v>1350</v>
      </c>
      <c r="AK27" s="803" t="s">
        <v>1351</v>
      </c>
      <c r="AL27" s="803" t="s">
        <v>1352</v>
      </c>
      <c r="AM27" s="803" t="s">
        <v>1353</v>
      </c>
      <c r="AN27" s="803" t="s">
        <v>1354</v>
      </c>
      <c r="AO27" s="803" t="s">
        <v>1355</v>
      </c>
      <c r="AP27" s="803" t="s">
        <v>1410</v>
      </c>
      <c r="AQ27" s="803" t="s">
        <v>1411</v>
      </c>
      <c r="AR27" s="803" t="s">
        <v>1412</v>
      </c>
      <c r="AS27" s="803" t="s">
        <v>1413</v>
      </c>
      <c r="AT27" s="803" t="s">
        <v>1414</v>
      </c>
      <c r="AU27" s="803" t="s">
        <v>1415</v>
      </c>
      <c r="AV27" s="803" t="s">
        <v>1416</v>
      </c>
      <c r="AW27" s="803" t="s">
        <v>1417</v>
      </c>
      <c r="AX27" s="803" t="s">
        <v>1418</v>
      </c>
      <c r="AY27" s="803" t="s">
        <v>1419</v>
      </c>
    </row>
    <row r="28" spans="1:51" x14ac:dyDescent="0.45">
      <c r="B28" s="1049" t="s">
        <v>1551</v>
      </c>
      <c r="C28" s="1050"/>
      <c r="D28" s="1051">
        <v>35291965.545340732</v>
      </c>
      <c r="E28" s="1051">
        <v>56893307.700265884</v>
      </c>
      <c r="F28" s="1051"/>
      <c r="G28" s="1052"/>
      <c r="I28" s="948"/>
      <c r="J28" s="4"/>
      <c r="K28" s="4"/>
      <c r="L28" s="4"/>
      <c r="M28" s="4"/>
      <c r="N28" s="4"/>
      <c r="O28" s="4"/>
      <c r="P28" s="4"/>
      <c r="Q28" s="4"/>
      <c r="R28" s="4"/>
      <c r="S28" s="4"/>
      <c r="T28" s="4"/>
      <c r="U28" s="4"/>
      <c r="V28" s="930"/>
      <c r="AA28" s="803" t="s">
        <v>330</v>
      </c>
      <c r="AB28" s="533">
        <v>13847741.82</v>
      </c>
      <c r="AC28" s="533">
        <v>16595915.43</v>
      </c>
      <c r="AD28" s="533">
        <v>14925625.75</v>
      </c>
      <c r="AE28" s="533">
        <v>11305567.046898484</v>
      </c>
      <c r="AF28" s="533">
        <v>10295775.108026672</v>
      </c>
      <c r="AG28" s="533">
        <v>8369173.8392901234</v>
      </c>
      <c r="AH28" s="533">
        <v>26922791.706050608</v>
      </c>
      <c r="AI28" s="533">
        <v>0</v>
      </c>
      <c r="AJ28" s="533">
        <v>0</v>
      </c>
      <c r="AK28" s="533">
        <v>0</v>
      </c>
      <c r="AL28" s="533">
        <v>0</v>
      </c>
      <c r="AM28" s="533">
        <v>0</v>
      </c>
      <c r="AN28" s="533">
        <v>0</v>
      </c>
      <c r="AO28" s="533">
        <v>0</v>
      </c>
      <c r="AP28" s="533">
        <v>0</v>
      </c>
      <c r="AQ28" s="533">
        <v>0</v>
      </c>
      <c r="AR28" s="533">
        <v>0</v>
      </c>
      <c r="AS28" s="533">
        <v>0</v>
      </c>
      <c r="AT28" s="533">
        <v>0</v>
      </c>
      <c r="AU28" s="533">
        <v>0</v>
      </c>
      <c r="AV28" s="533">
        <v>0</v>
      </c>
      <c r="AW28" s="533">
        <v>0</v>
      </c>
      <c r="AX28" s="533">
        <v>0</v>
      </c>
      <c r="AY28" s="533">
        <v>0</v>
      </c>
    </row>
    <row r="29" spans="1:51" x14ac:dyDescent="0.45">
      <c r="B29" s="1049" t="s">
        <v>1510</v>
      </c>
      <c r="C29" s="1050"/>
      <c r="D29" s="1051">
        <v>163772485.15960705</v>
      </c>
      <c r="E29" s="1051">
        <v>446094075.20983911</v>
      </c>
      <c r="F29" s="1051"/>
      <c r="G29" s="1052"/>
      <c r="I29" s="948"/>
      <c r="J29" s="4"/>
      <c r="K29" s="4"/>
      <c r="L29" s="4"/>
      <c r="M29" s="4"/>
      <c r="N29" s="4"/>
      <c r="O29" s="4"/>
      <c r="P29" s="4"/>
      <c r="Q29" s="4"/>
      <c r="R29" s="4"/>
      <c r="S29" s="4"/>
      <c r="T29" s="4"/>
      <c r="U29" s="4"/>
      <c r="V29" s="930"/>
      <c r="AA29" s="803" t="s">
        <v>369</v>
      </c>
      <c r="AB29" s="533">
        <v>-126486884.31333333</v>
      </c>
      <c r="AC29" s="533">
        <v>-136616043.32333332</v>
      </c>
      <c r="AD29" s="533">
        <v>-143214809.11000001</v>
      </c>
      <c r="AE29" s="533">
        <v>-143253743.71700636</v>
      </c>
      <c r="AF29" s="533">
        <v>-139067846.33322573</v>
      </c>
      <c r="AG29" s="533">
        <v>-133721299.89060706</v>
      </c>
      <c r="AH29" s="533">
        <v>-30051185.268999994</v>
      </c>
      <c r="AI29" s="533">
        <v>0</v>
      </c>
      <c r="AJ29" s="533">
        <v>0</v>
      </c>
      <c r="AK29" s="533">
        <v>0</v>
      </c>
      <c r="AL29" s="533">
        <v>0</v>
      </c>
      <c r="AM29" s="533">
        <v>0</v>
      </c>
      <c r="AN29" s="533">
        <v>0</v>
      </c>
      <c r="AO29" s="533">
        <v>0</v>
      </c>
      <c r="AP29" s="533">
        <v>0</v>
      </c>
      <c r="AQ29" s="533">
        <v>0</v>
      </c>
      <c r="AR29" s="533">
        <v>0</v>
      </c>
      <c r="AS29" s="533">
        <v>0</v>
      </c>
      <c r="AT29" s="533">
        <v>0</v>
      </c>
      <c r="AU29" s="533">
        <v>0</v>
      </c>
      <c r="AV29" s="533">
        <v>0</v>
      </c>
      <c r="AW29" s="533">
        <v>0</v>
      </c>
      <c r="AX29" s="533">
        <v>0</v>
      </c>
      <c r="AY29" s="533">
        <v>0</v>
      </c>
    </row>
    <row r="30" spans="1:51" x14ac:dyDescent="0.45">
      <c r="B30" s="1053" t="s">
        <v>336</v>
      </c>
      <c r="C30" s="1050"/>
      <c r="D30" s="1054">
        <v>19775038.803618848</v>
      </c>
      <c r="E30" s="1054">
        <v>62053962.399215385</v>
      </c>
      <c r="F30" s="1051"/>
      <c r="G30" s="1052"/>
      <c r="I30" s="949"/>
      <c r="J30" s="931"/>
      <c r="K30" s="931"/>
      <c r="L30" s="931"/>
      <c r="M30" s="931"/>
      <c r="N30" s="931"/>
      <c r="O30" s="931"/>
      <c r="P30" s="931"/>
      <c r="Q30" s="931"/>
      <c r="R30" s="931"/>
      <c r="S30" s="931"/>
      <c r="T30" s="931"/>
      <c r="U30" s="931"/>
      <c r="V30" s="932"/>
      <c r="AA30" s="803" t="s">
        <v>371</v>
      </c>
      <c r="AB30" s="533">
        <v>-112639142.49333334</v>
      </c>
      <c r="AC30" s="533">
        <v>-120020127.89333332</v>
      </c>
      <c r="AD30" s="533">
        <v>-128289183.36000001</v>
      </c>
      <c r="AE30" s="533">
        <v>-131948176.67010787</v>
      </c>
      <c r="AF30" s="533">
        <v>-128772071.22519906</v>
      </c>
      <c r="AG30" s="533">
        <v>-125352126.05131693</v>
      </c>
      <c r="AH30" s="533">
        <v>-3128393.5629493855</v>
      </c>
      <c r="AI30" s="533">
        <v>0</v>
      </c>
      <c r="AJ30" s="533">
        <v>0</v>
      </c>
      <c r="AK30" s="533">
        <v>0</v>
      </c>
      <c r="AL30" s="533">
        <v>0</v>
      </c>
      <c r="AM30" s="533">
        <v>0</v>
      </c>
      <c r="AN30" s="533">
        <v>0</v>
      </c>
      <c r="AO30" s="533">
        <v>0</v>
      </c>
      <c r="AP30" s="533">
        <v>0</v>
      </c>
      <c r="AQ30" s="533">
        <v>0</v>
      </c>
      <c r="AR30" s="533">
        <v>0</v>
      </c>
      <c r="AS30" s="533">
        <v>0</v>
      </c>
      <c r="AT30" s="533">
        <v>0</v>
      </c>
      <c r="AU30" s="533">
        <v>0</v>
      </c>
      <c r="AV30" s="533">
        <v>0</v>
      </c>
      <c r="AW30" s="533">
        <v>0</v>
      </c>
      <c r="AX30" s="533">
        <v>0</v>
      </c>
      <c r="AY30" s="533">
        <v>0</v>
      </c>
    </row>
    <row r="31" spans="1:51" x14ac:dyDescent="0.45">
      <c r="B31" s="1053" t="s">
        <v>340</v>
      </c>
      <c r="C31" s="1050"/>
      <c r="D31" s="1055">
        <v>6889147.5907620508</v>
      </c>
      <c r="E31" s="1055">
        <v>22409735.466863006</v>
      </c>
      <c r="F31" s="1051"/>
      <c r="G31" s="1052"/>
      <c r="AA31" s="803" t="s">
        <v>1697</v>
      </c>
      <c r="AB31" s="533">
        <v>-112639142.49333334</v>
      </c>
      <c r="AC31" s="533">
        <v>-232659270.38666666</v>
      </c>
      <c r="AD31" s="533">
        <v>-360948453.74666667</v>
      </c>
      <c r="AE31" s="533">
        <v>-492896630.41677451</v>
      </c>
      <c r="AF31" s="533">
        <v>-621668701.64197361</v>
      </c>
      <c r="AG31" s="533">
        <v>-747020827.69329059</v>
      </c>
      <c r="AH31" s="533">
        <v>-750149221.25624001</v>
      </c>
      <c r="AI31" s="533">
        <v>-750149221.25624001</v>
      </c>
      <c r="AJ31" s="533">
        <v>-750149221.25624001</v>
      </c>
      <c r="AK31" s="533">
        <v>-750149221.25624001</v>
      </c>
      <c r="AL31" s="533">
        <v>-750149221.25624001</v>
      </c>
      <c r="AM31" s="533">
        <v>-750149221.25624001</v>
      </c>
      <c r="AN31" s="533">
        <v>-750149221.25624001</v>
      </c>
      <c r="AO31" s="533">
        <v>-750149221.25624001</v>
      </c>
      <c r="AP31" s="533">
        <v>-750149221.25624001</v>
      </c>
      <c r="AQ31" s="533">
        <v>-750149221.25624001</v>
      </c>
      <c r="AR31" s="533">
        <v>-750149221.25624001</v>
      </c>
      <c r="AS31" s="533">
        <v>-750149221.25624001</v>
      </c>
      <c r="AT31" s="533">
        <v>-750149221.25624001</v>
      </c>
      <c r="AU31" s="533">
        <v>-750149221.25624001</v>
      </c>
      <c r="AV31" s="533">
        <v>-750149221.25624001</v>
      </c>
      <c r="AW31" s="533">
        <v>-750149221.25624001</v>
      </c>
      <c r="AX31" s="533">
        <v>-750149221.25624001</v>
      </c>
      <c r="AY31" s="533">
        <v>-750149221.25624001</v>
      </c>
    </row>
    <row r="32" spans="1:51" x14ac:dyDescent="0.45">
      <c r="B32" s="1053" t="s">
        <v>342</v>
      </c>
      <c r="C32" s="1050"/>
      <c r="D32" s="1055">
        <v>51874378.762447283</v>
      </c>
      <c r="E32" s="1055">
        <v>161866436.23129702</v>
      </c>
      <c r="F32" s="1051"/>
      <c r="G32" s="1052"/>
      <c r="AA32" s="451" t="s">
        <v>1699</v>
      </c>
    </row>
    <row r="33" spans="2:51" x14ac:dyDescent="0.45">
      <c r="B33" s="1053" t="s">
        <v>1042</v>
      </c>
      <c r="C33" s="1050"/>
      <c r="D33" s="1055">
        <v>33759784.568999991</v>
      </c>
      <c r="E33" s="1055">
        <v>41153674.568999991</v>
      </c>
      <c r="F33" s="1051"/>
      <c r="G33" s="1052"/>
      <c r="AA33" s="803" t="s">
        <v>330</v>
      </c>
      <c r="AB33" s="533">
        <v>13847741.82</v>
      </c>
      <c r="AC33" s="533">
        <v>16595915.43</v>
      </c>
      <c r="AD33" s="533">
        <v>14925625.75</v>
      </c>
      <c r="AE33" s="533">
        <v>11305567.046898484</v>
      </c>
      <c r="AF33" s="533">
        <v>10295775.108026672</v>
      </c>
      <c r="AG33" s="533">
        <v>8369173.8392901234</v>
      </c>
      <c r="AH33" s="533">
        <v>26922791.706050608</v>
      </c>
      <c r="AI33" s="533">
        <v>0</v>
      </c>
      <c r="AJ33" s="533">
        <v>0</v>
      </c>
      <c r="AK33" s="533">
        <v>0</v>
      </c>
      <c r="AL33" s="533">
        <v>0</v>
      </c>
      <c r="AM33" s="533">
        <v>0</v>
      </c>
      <c r="AN33" s="533">
        <v>0</v>
      </c>
      <c r="AO33" s="533">
        <v>0</v>
      </c>
      <c r="AP33" s="533">
        <v>0</v>
      </c>
      <c r="AQ33" s="533">
        <v>0</v>
      </c>
      <c r="AR33" s="533">
        <v>0</v>
      </c>
      <c r="AS33" s="533">
        <v>0</v>
      </c>
      <c r="AT33" s="533">
        <v>0</v>
      </c>
      <c r="AU33" s="533">
        <v>0</v>
      </c>
      <c r="AV33" s="533">
        <v>0</v>
      </c>
      <c r="AW33" s="533">
        <v>0</v>
      </c>
      <c r="AX33" s="533">
        <v>0</v>
      </c>
      <c r="AY33" s="533">
        <v>0</v>
      </c>
    </row>
    <row r="34" spans="2:51" x14ac:dyDescent="0.45">
      <c r="B34" s="1053" t="s">
        <v>360</v>
      </c>
      <c r="C34" s="1050"/>
      <c r="D34" s="1055">
        <v>46428646.419023827</v>
      </c>
      <c r="E34" s="1055">
        <v>138219155.16869217</v>
      </c>
      <c r="F34" s="1051"/>
      <c r="G34" s="1052"/>
      <c r="AA34" s="803" t="s">
        <v>369</v>
      </c>
      <c r="AB34" s="533">
        <v>126486884.31333333</v>
      </c>
      <c r="AC34" s="533">
        <v>136616043.32333332</v>
      </c>
      <c r="AD34" s="533">
        <v>143214809.11000001</v>
      </c>
      <c r="AE34" s="533">
        <v>143253743.71700636</v>
      </c>
      <c r="AF34" s="533">
        <v>139067846.33322573</v>
      </c>
      <c r="AG34" s="533">
        <v>133721299.89060707</v>
      </c>
      <c r="AH34" s="533">
        <v>30051185.268999994</v>
      </c>
      <c r="AI34" s="533">
        <v>0</v>
      </c>
      <c r="AJ34" s="533">
        <v>0</v>
      </c>
      <c r="AK34" s="533">
        <v>0</v>
      </c>
      <c r="AL34" s="533">
        <v>0</v>
      </c>
      <c r="AM34" s="533">
        <v>0</v>
      </c>
      <c r="AN34" s="533">
        <v>0</v>
      </c>
      <c r="AO34" s="533">
        <v>0</v>
      </c>
      <c r="AP34" s="533">
        <v>0</v>
      </c>
      <c r="AQ34" s="533">
        <v>0</v>
      </c>
      <c r="AR34" s="533">
        <v>0</v>
      </c>
      <c r="AS34" s="533">
        <v>0</v>
      </c>
      <c r="AT34" s="533">
        <v>0</v>
      </c>
      <c r="AU34" s="533">
        <v>0</v>
      </c>
      <c r="AV34" s="533">
        <v>0</v>
      </c>
      <c r="AW34" s="533">
        <v>0</v>
      </c>
      <c r="AX34" s="533">
        <v>0</v>
      </c>
      <c r="AY34" s="533">
        <v>0</v>
      </c>
    </row>
    <row r="35" spans="2:51" x14ac:dyDescent="0.45">
      <c r="B35" s="1053" t="s">
        <v>444</v>
      </c>
      <c r="C35" s="1050"/>
      <c r="D35" s="1056">
        <v>5045489.0147550702</v>
      </c>
      <c r="E35" s="1056">
        <v>20391111.374771535</v>
      </c>
      <c r="F35" s="1051"/>
      <c r="G35" s="1052"/>
      <c r="AA35" s="803" t="s">
        <v>371</v>
      </c>
      <c r="AB35" s="533">
        <v>-112639142.49333334</v>
      </c>
      <c r="AC35" s="533">
        <v>-120020127.89333332</v>
      </c>
      <c r="AD35" s="533">
        <v>-128289183.36000001</v>
      </c>
      <c r="AE35" s="533">
        <v>-131948176.67010787</v>
      </c>
      <c r="AF35" s="533">
        <v>-128772071.22519906</v>
      </c>
      <c r="AG35" s="533">
        <v>-125352126.05131695</v>
      </c>
      <c r="AH35" s="533">
        <v>-3128393.5629493855</v>
      </c>
      <c r="AI35" s="533">
        <v>0</v>
      </c>
      <c r="AJ35" s="533">
        <v>0</v>
      </c>
      <c r="AK35" s="533">
        <v>0</v>
      </c>
      <c r="AL35" s="533">
        <v>0</v>
      </c>
      <c r="AM35" s="533">
        <v>0</v>
      </c>
      <c r="AN35" s="533">
        <v>0</v>
      </c>
      <c r="AO35" s="533">
        <v>0</v>
      </c>
      <c r="AP35" s="533">
        <v>0</v>
      </c>
      <c r="AQ35" s="533">
        <v>0</v>
      </c>
      <c r="AR35" s="533">
        <v>0</v>
      </c>
      <c r="AS35" s="533">
        <v>0</v>
      </c>
      <c r="AT35" s="533">
        <v>0</v>
      </c>
      <c r="AU35" s="533">
        <v>0</v>
      </c>
      <c r="AV35" s="533">
        <v>0</v>
      </c>
      <c r="AW35" s="533">
        <v>0</v>
      </c>
      <c r="AX35" s="533">
        <v>0</v>
      </c>
      <c r="AY35" s="533">
        <v>0</v>
      </c>
    </row>
    <row r="36" spans="2:51" x14ac:dyDescent="0.45">
      <c r="B36" s="1057"/>
      <c r="C36" s="1050"/>
      <c r="D36" s="1050"/>
      <c r="E36" s="1050"/>
      <c r="F36" s="1050"/>
      <c r="G36" s="1052"/>
      <c r="AA36" s="803" t="s">
        <v>1697</v>
      </c>
      <c r="AB36" s="533">
        <v>-112639142.49333334</v>
      </c>
      <c r="AC36" s="533">
        <v>-232659270.38666666</v>
      </c>
      <c r="AD36" s="533">
        <v>-360948453.74666667</v>
      </c>
      <c r="AE36" s="533">
        <v>-492896630.41677451</v>
      </c>
      <c r="AF36" s="533">
        <v>-621668701.64197361</v>
      </c>
      <c r="AG36" s="533">
        <v>-747020827.69329059</v>
      </c>
      <c r="AH36" s="533">
        <v>-750149221.25624001</v>
      </c>
      <c r="AI36" s="533">
        <v>-750149221.25624001</v>
      </c>
      <c r="AJ36" s="533">
        <v>-750149221.25624001</v>
      </c>
      <c r="AK36" s="533">
        <v>-750149221.25624001</v>
      </c>
      <c r="AL36" s="533">
        <v>-750149221.25624001</v>
      </c>
      <c r="AM36" s="533">
        <v>-750149221.25624001</v>
      </c>
      <c r="AN36" s="533">
        <v>-750149221.25624001</v>
      </c>
      <c r="AO36" s="533">
        <v>-750149221.25624001</v>
      </c>
      <c r="AP36" s="533">
        <v>-750149221.25624001</v>
      </c>
      <c r="AQ36" s="533">
        <v>-750149221.25624001</v>
      </c>
      <c r="AR36" s="533">
        <v>-750149221.25624001</v>
      </c>
      <c r="AS36" s="533">
        <v>-750149221.25624001</v>
      </c>
      <c r="AT36" s="533">
        <v>-750149221.25624001</v>
      </c>
      <c r="AU36" s="533">
        <v>-750149221.25624001</v>
      </c>
      <c r="AV36" s="533">
        <v>-750149221.25624001</v>
      </c>
      <c r="AW36" s="533">
        <v>-750149221.25624001</v>
      </c>
      <c r="AX36" s="533">
        <v>-750149221.25624001</v>
      </c>
      <c r="AY36" s="533">
        <v>-750149221.25624001</v>
      </c>
    </row>
    <row r="37" spans="2:51" ht="14.65" thickBot="1" x14ac:dyDescent="0.5">
      <c r="B37" s="1053" t="s">
        <v>1552</v>
      </c>
      <c r="C37" s="1050"/>
      <c r="D37" s="1058">
        <v>-128480519.61426632</v>
      </c>
      <c r="E37" s="1058">
        <v>-389200767.50957322</v>
      </c>
      <c r="F37" s="1051"/>
      <c r="G37" s="1052"/>
    </row>
    <row r="38" spans="2:51" ht="14.65" thickTop="1" x14ac:dyDescent="0.45">
      <c r="B38" s="1059" t="s">
        <v>1557</v>
      </c>
      <c r="C38" s="1060"/>
      <c r="D38" s="1061">
        <v>4132</v>
      </c>
      <c r="E38" s="1061">
        <v>5160</v>
      </c>
      <c r="F38" s="1061"/>
      <c r="G38" s="1052"/>
    </row>
    <row r="39" spans="2:51" x14ac:dyDescent="0.45">
      <c r="B39" s="1059" t="s">
        <v>1559</v>
      </c>
      <c r="C39" s="1060"/>
      <c r="D39" s="1051">
        <v>31094.02701216513</v>
      </c>
      <c r="E39" s="1051">
        <v>75426.505331312641</v>
      </c>
      <c r="F39" s="1060"/>
      <c r="G39" s="1052"/>
    </row>
    <row r="40" spans="2:51" x14ac:dyDescent="0.45">
      <c r="B40" s="1057" t="s">
        <v>1503</v>
      </c>
      <c r="C40" s="1050"/>
      <c r="D40" s="1051">
        <v>8170.3254039206176</v>
      </c>
      <c r="E40" s="1051">
        <v>7975.5183273255798</v>
      </c>
      <c r="F40" s="1051"/>
      <c r="G40" s="1052"/>
    </row>
    <row r="41" spans="2:51" x14ac:dyDescent="0.45">
      <c r="B41" s="1057" t="s">
        <v>1511</v>
      </c>
      <c r="C41" s="1050"/>
      <c r="D41" s="1062">
        <v>-814570959.69870353</v>
      </c>
      <c r="E41" s="1062">
        <v>-833828355.4311682</v>
      </c>
      <c r="F41" s="1051"/>
      <c r="G41" s="1052"/>
    </row>
    <row r="42" spans="2:51" x14ac:dyDescent="0.45">
      <c r="B42" s="1057" t="s">
        <v>1558</v>
      </c>
      <c r="C42" s="1060"/>
      <c r="D42" s="1051">
        <v>-197137.21193095439</v>
      </c>
      <c r="E42" s="1051">
        <v>-161594.6425254202</v>
      </c>
      <c r="F42" s="1051"/>
      <c r="G42" s="1052"/>
    </row>
    <row r="43" spans="2:51" x14ac:dyDescent="0.45">
      <c r="B43" s="1057" t="s">
        <v>1505</v>
      </c>
      <c r="C43" s="1050"/>
      <c r="D43" s="1062">
        <v>-943051479.31296992</v>
      </c>
      <c r="E43" s="1062">
        <v>-1223029122.9407415</v>
      </c>
      <c r="F43" s="1051"/>
      <c r="G43" s="1052"/>
    </row>
    <row r="44" spans="2:51" x14ac:dyDescent="0.45">
      <c r="B44" s="1057" t="s">
        <v>1504</v>
      </c>
      <c r="C44" s="1050"/>
      <c r="D44" s="1030">
        <v>-652227857.09090519</v>
      </c>
      <c r="E44" s="1030">
        <v>-2756114523.0144925</v>
      </c>
      <c r="F44" s="1050"/>
      <c r="G44" s="1052"/>
    </row>
    <row r="45" spans="2:51" x14ac:dyDescent="0.45">
      <c r="B45" s="1057" t="s">
        <v>1584</v>
      </c>
      <c r="C45" s="1050"/>
      <c r="D45" s="1063">
        <v>-290823622.22206473</v>
      </c>
      <c r="E45" s="1063">
        <v>1533085400.073751</v>
      </c>
      <c r="F45" s="1064"/>
      <c r="G45" s="1052"/>
    </row>
    <row r="46" spans="2:51" x14ac:dyDescent="0.45">
      <c r="B46" s="1057"/>
      <c r="C46" s="1060"/>
      <c r="D46" s="1060"/>
      <c r="E46" s="1060"/>
      <c r="F46" s="1060"/>
      <c r="G46" s="1052"/>
    </row>
    <row r="47" spans="2:51" ht="36" customHeight="1" x14ac:dyDescent="0.45">
      <c r="B47" s="1049" t="s">
        <v>1508</v>
      </c>
      <c r="C47" s="1060"/>
      <c r="D47" s="1045" t="s">
        <v>1512</v>
      </c>
      <c r="E47" s="1045" t="s">
        <v>1515</v>
      </c>
      <c r="F47" s="1045" t="s">
        <v>1523</v>
      </c>
      <c r="G47" s="1052"/>
    </row>
    <row r="48" spans="2:51" x14ac:dyDescent="0.45">
      <c r="B48" s="1057" t="s">
        <v>1346</v>
      </c>
      <c r="C48" s="1060"/>
      <c r="D48" s="1051">
        <v>-128772071.22519906</v>
      </c>
      <c r="E48" s="1065">
        <v>4132</v>
      </c>
      <c r="F48" s="1051">
        <v>-31164.586453339558</v>
      </c>
      <c r="G48" s="1052"/>
    </row>
    <row r="49" spans="1:7" x14ac:dyDescent="0.45">
      <c r="B49" s="1057" t="s">
        <v>1347</v>
      </c>
      <c r="C49" s="1060"/>
      <c r="D49" s="973">
        <v>-125352126.05131693</v>
      </c>
      <c r="E49" s="1066">
        <v>3656</v>
      </c>
      <c r="F49" s="1054">
        <v>-34286.686556705943</v>
      </c>
      <c r="G49" s="1052"/>
    </row>
    <row r="50" spans="1:7" x14ac:dyDescent="0.45">
      <c r="B50" s="1057" t="s">
        <v>1348</v>
      </c>
      <c r="C50" s="1060"/>
      <c r="D50" s="975">
        <v>-3128393.5629493855</v>
      </c>
      <c r="E50" s="1067">
        <v>0</v>
      </c>
      <c r="F50" s="1055">
        <v>0</v>
      </c>
      <c r="G50" s="1052"/>
    </row>
    <row r="51" spans="1:7" x14ac:dyDescent="0.45">
      <c r="B51" s="1057" t="s">
        <v>1349</v>
      </c>
      <c r="C51" s="1060"/>
      <c r="D51" s="975">
        <v>0</v>
      </c>
      <c r="E51" s="1067">
        <v>0</v>
      </c>
      <c r="F51" s="1055">
        <v>0</v>
      </c>
      <c r="G51" s="1052"/>
    </row>
    <row r="52" spans="1:7" x14ac:dyDescent="0.45">
      <c r="B52" s="1057" t="s">
        <v>1350</v>
      </c>
      <c r="C52" s="1060"/>
      <c r="D52" s="975">
        <v>0</v>
      </c>
      <c r="E52" s="1067">
        <v>0</v>
      </c>
      <c r="F52" s="1055">
        <v>0</v>
      </c>
      <c r="G52" s="1052"/>
    </row>
    <row r="53" spans="1:7" x14ac:dyDescent="0.45">
      <c r="B53" s="1057" t="s">
        <v>1351</v>
      </c>
      <c r="C53" s="1060"/>
      <c r="D53" s="977">
        <v>0</v>
      </c>
      <c r="E53" s="1068">
        <v>0</v>
      </c>
      <c r="F53" s="1056">
        <v>0</v>
      </c>
      <c r="G53" s="1052"/>
    </row>
    <row r="54" spans="1:7" x14ac:dyDescent="0.45">
      <c r="B54" s="1057" t="s">
        <v>1516</v>
      </c>
      <c r="C54" s="1060"/>
      <c r="D54" s="970">
        <v>-128480519.61426632</v>
      </c>
      <c r="E54" s="1060"/>
      <c r="F54" s="1060"/>
      <c r="G54" s="1052"/>
    </row>
    <row r="55" spans="1:7" x14ac:dyDescent="0.45">
      <c r="A55" s="18"/>
      <c r="B55" s="1057" t="s">
        <v>1520</v>
      </c>
      <c r="C55" s="1060"/>
      <c r="D55" s="1051">
        <v>-389200767.50957322</v>
      </c>
      <c r="E55" s="1065">
        <v>5160</v>
      </c>
      <c r="F55" s="1051">
        <v>-75426.505331312641</v>
      </c>
      <c r="G55" s="1052"/>
    </row>
    <row r="56" spans="1:7" x14ac:dyDescent="0.45">
      <c r="A56" s="18"/>
      <c r="B56" s="1057"/>
      <c r="C56" s="1060"/>
      <c r="D56" s="1060"/>
      <c r="E56" s="1060"/>
      <c r="F56" s="1060"/>
      <c r="G56" s="1052"/>
    </row>
    <row r="57" spans="1:7" ht="35.25" customHeight="1" x14ac:dyDescent="0.45">
      <c r="A57" s="18"/>
      <c r="B57" s="1049" t="s">
        <v>1573</v>
      </c>
      <c r="C57" s="1060"/>
      <c r="D57" s="1045" t="s">
        <v>1512</v>
      </c>
      <c r="E57" s="1045" t="s">
        <v>1567</v>
      </c>
      <c r="F57" s="1045" t="s">
        <v>1524</v>
      </c>
      <c r="G57" s="1052"/>
    </row>
    <row r="58" spans="1:7" x14ac:dyDescent="0.45">
      <c r="A58" s="18"/>
      <c r="B58" s="1057" t="s">
        <v>1346</v>
      </c>
      <c r="C58" s="1060"/>
      <c r="D58" s="1051">
        <v>-9628697.8662323505</v>
      </c>
      <c r="E58" s="1065">
        <v>514</v>
      </c>
      <c r="F58" s="1051">
        <v>-18732.875226132979</v>
      </c>
      <c r="G58" s="1052"/>
    </row>
    <row r="59" spans="1:7" x14ac:dyDescent="0.45">
      <c r="A59" s="18"/>
      <c r="B59" s="1057" t="s">
        <v>1347</v>
      </c>
      <c r="C59" s="1060"/>
      <c r="D59" s="973">
        <v>-8930433.3100576513</v>
      </c>
      <c r="E59" s="1066">
        <v>476</v>
      </c>
      <c r="F59" s="1054">
        <v>-18761.414516927838</v>
      </c>
      <c r="G59" s="1052"/>
    </row>
    <row r="60" spans="1:7" x14ac:dyDescent="0.45">
      <c r="A60" s="18"/>
      <c r="B60" s="1057" t="s">
        <v>1348</v>
      </c>
      <c r="C60" s="1060"/>
      <c r="D60" s="975">
        <v>-805640526.38864589</v>
      </c>
      <c r="E60" s="1067">
        <v>7399</v>
      </c>
      <c r="F60" s="1055">
        <v>-108885.05560057385</v>
      </c>
      <c r="G60" s="1052"/>
    </row>
    <row r="61" spans="1:7" x14ac:dyDescent="0.45">
      <c r="A61" s="18"/>
      <c r="B61" s="1057" t="s">
        <v>1349</v>
      </c>
      <c r="C61" s="1060"/>
      <c r="D61" s="975">
        <v>0</v>
      </c>
      <c r="E61" s="1067">
        <v>0</v>
      </c>
      <c r="F61" s="1055">
        <v>0</v>
      </c>
      <c r="G61" s="1052"/>
    </row>
    <row r="62" spans="1:7" x14ac:dyDescent="0.45">
      <c r="A62" s="18"/>
      <c r="B62" s="1057" t="s">
        <v>1350</v>
      </c>
      <c r="C62" s="1060"/>
      <c r="D62" s="975">
        <v>0</v>
      </c>
      <c r="E62" s="1067">
        <v>0</v>
      </c>
      <c r="F62" s="1055">
        <v>0</v>
      </c>
      <c r="G62" s="1052"/>
    </row>
    <row r="63" spans="1:7" x14ac:dyDescent="0.45">
      <c r="A63" s="18"/>
      <c r="B63" s="1057" t="s">
        <v>1351</v>
      </c>
      <c r="C63" s="1060"/>
      <c r="D63" s="977">
        <v>0</v>
      </c>
      <c r="E63" s="1068">
        <v>0</v>
      </c>
      <c r="F63" s="1056">
        <v>0</v>
      </c>
      <c r="G63" s="1052"/>
    </row>
    <row r="64" spans="1:7" x14ac:dyDescent="0.45">
      <c r="B64" s="1057" t="s">
        <v>1516</v>
      </c>
      <c r="C64" s="1060"/>
      <c r="D64" s="970">
        <v>-814570959.69870353</v>
      </c>
      <c r="E64" s="1069">
        <v>7875</v>
      </c>
      <c r="F64" s="1051">
        <v>-103437.58218396235</v>
      </c>
      <c r="G64" s="1052"/>
    </row>
    <row r="65" spans="2:7" x14ac:dyDescent="0.45">
      <c r="B65" s="1057" t="s">
        <v>1521</v>
      </c>
      <c r="C65" s="1060"/>
      <c r="D65" s="1051">
        <v>-833828355.4311682</v>
      </c>
      <c r="E65" s="1065">
        <v>7399</v>
      </c>
      <c r="F65" s="1051">
        <v>-112694.73650914559</v>
      </c>
      <c r="G65" s="1052"/>
    </row>
    <row r="66" spans="2:7" outlineLevel="1" x14ac:dyDescent="0.45">
      <c r="B66" s="1057"/>
      <c r="C66" s="1060"/>
      <c r="D66" s="1060"/>
      <c r="E66" s="1060"/>
      <c r="F66" s="1060"/>
      <c r="G66" s="1052"/>
    </row>
    <row r="67" spans="2:7" outlineLevel="1" x14ac:dyDescent="0.45">
      <c r="B67" s="1049"/>
      <c r="C67" s="1060"/>
      <c r="D67" s="1051"/>
      <c r="E67" s="1060"/>
      <c r="F67" s="1060"/>
      <c r="G67" s="1052"/>
    </row>
    <row r="68" spans="2:7" outlineLevel="1" x14ac:dyDescent="0.45">
      <c r="B68" s="1057"/>
      <c r="C68" s="1060"/>
      <c r="D68" s="1060"/>
      <c r="E68" s="1060"/>
      <c r="F68" s="1060"/>
      <c r="G68" s="1052"/>
    </row>
    <row r="69" spans="2:7" outlineLevel="1" x14ac:dyDescent="0.45">
      <c r="B69" s="1057" t="s">
        <v>1550</v>
      </c>
      <c r="C69" s="1060"/>
      <c r="D69" s="1051">
        <v>-1046682088.6771854</v>
      </c>
      <c r="E69" s="1060"/>
      <c r="F69" s="1060"/>
      <c r="G69" s="1052"/>
    </row>
    <row r="70" spans="2:7" outlineLevel="1" x14ac:dyDescent="0.45">
      <c r="B70" s="1057" t="s">
        <v>1560</v>
      </c>
      <c r="C70" s="1060"/>
      <c r="D70" s="1070">
        <v>7399</v>
      </c>
      <c r="E70" s="1060"/>
      <c r="F70" s="1060"/>
      <c r="G70" s="1052"/>
    </row>
    <row r="71" spans="2:7" outlineLevel="1" x14ac:dyDescent="0.45">
      <c r="B71" s="1071" t="s">
        <v>1509</v>
      </c>
      <c r="C71" s="1072"/>
      <c r="D71" s="1073">
        <v>-141462.64207016968</v>
      </c>
      <c r="E71" s="1072"/>
      <c r="F71" s="1072"/>
      <c r="G71" s="1074"/>
    </row>
    <row r="72" spans="2:7" outlineLevel="1" x14ac:dyDescent="0.45"/>
    <row r="73" spans="2:7" outlineLevel="1" x14ac:dyDescent="0.45"/>
    <row r="74" spans="2:7" outlineLevel="1" x14ac:dyDescent="0.45"/>
    <row r="121" spans="2:6" ht="28.5" x14ac:dyDescent="0.45">
      <c r="B121" s="304" t="s">
        <v>1563</v>
      </c>
      <c r="D121" s="969" t="s">
        <v>1512</v>
      </c>
      <c r="E121" s="969" t="s">
        <v>1564</v>
      </c>
      <c r="F121" s="969" t="s">
        <v>1524</v>
      </c>
    </row>
    <row r="122" spans="2:6" x14ac:dyDescent="0.45">
      <c r="B122" s="948" t="str">
        <f>'9. Forecast Results'!R$5</f>
        <v>2017/18</v>
      </c>
      <c r="D122" s="552">
        <f>SUMIF('9. Forecast Results'!$R$5:$W$5,$B122,'9. Forecast Results'!$R$52:$W$52)</f>
        <v>0</v>
      </c>
      <c r="E122" s="785">
        <f>SUMIF('10. Inputs &amp; Calcs'!$D$106:$D$111,$C$6,'10. Inputs &amp; Calcs'!$J$106:$J$111)</f>
        <v>0</v>
      </c>
      <c r="F122" s="552">
        <f>IF(E122&lt;&gt;0,D122/E122,0)</f>
        <v>0</v>
      </c>
    </row>
    <row r="123" spans="2:6" x14ac:dyDescent="0.45">
      <c r="B123" s="948" t="str">
        <f>'9. Forecast Results'!S$5</f>
        <v>2018/19</v>
      </c>
      <c r="D123" s="973">
        <f>SUMIF('9. Forecast Results'!$R$5:$W$5,$B123,'9. Forecast Results'!$R$52:$W$52)</f>
        <v>0</v>
      </c>
      <c r="E123" s="974">
        <f>SUMIF('10. Inputs &amp; Calcs'!$D$106:$D$111,$C$6,'10. Inputs &amp; Calcs'!$K$106:$K$111)</f>
        <v>0</v>
      </c>
      <c r="F123" s="753">
        <f t="shared" ref="F123:F128" si="0">IF(E123&lt;&gt;0,D123/E123,0)</f>
        <v>0</v>
      </c>
    </row>
    <row r="124" spans="2:6" x14ac:dyDescent="0.45">
      <c r="B124" s="948" t="str">
        <f>'9. Forecast Results'!T$5</f>
        <v>2019/20</v>
      </c>
      <c r="D124" s="975">
        <f>SUMIF('9. Forecast Results'!$R$5:$W$5,$B124,'9. Forecast Results'!$R$52:$W$52)</f>
        <v>0</v>
      </c>
      <c r="E124" s="976">
        <f>SUMIF('10. Inputs &amp; Calcs'!$D$106:$D$111,$C$6,'10. Inputs &amp; Calcs'!$L$106:$L$111)</f>
        <v>0</v>
      </c>
      <c r="F124" s="888">
        <f t="shared" si="0"/>
        <v>0</v>
      </c>
    </row>
    <row r="125" spans="2:6" x14ac:dyDescent="0.45">
      <c r="B125" s="948" t="str">
        <f>'9. Forecast Results'!U$5</f>
        <v>2020/21</v>
      </c>
      <c r="D125" s="975">
        <f>SUMIF('9. Forecast Results'!$R$5:$W$5,$B125,'9. Forecast Results'!$R$52:$W$52)</f>
        <v>0</v>
      </c>
      <c r="E125" s="976">
        <f>SUMIF('10. Inputs &amp; Calcs'!$D$106:$D$111,$C$6,'10. Inputs &amp; Calcs'!$M$106:$M$111)</f>
        <v>0</v>
      </c>
      <c r="F125" s="888">
        <f t="shared" si="0"/>
        <v>0</v>
      </c>
    </row>
    <row r="126" spans="2:6" x14ac:dyDescent="0.45">
      <c r="B126" s="948" t="str">
        <f>'9. Forecast Results'!V$5</f>
        <v>2021/22</v>
      </c>
      <c r="D126" s="975">
        <f>SUMIF('9. Forecast Results'!$R$5:$W$5,$B126,'9. Forecast Results'!$R$52:$W$52)</f>
        <v>0</v>
      </c>
      <c r="E126" s="976">
        <f>SUMIF('10. Inputs &amp; Calcs'!$D$106:$D$111,$C$6,'10. Inputs &amp; Calcs'!$N$106:$N$111)</f>
        <v>0</v>
      </c>
      <c r="F126" s="888">
        <f t="shared" si="0"/>
        <v>0</v>
      </c>
    </row>
    <row r="127" spans="2:6" x14ac:dyDescent="0.45">
      <c r="B127" s="948" t="str">
        <f>'9. Forecast Results'!W$5</f>
        <v>2022/23</v>
      </c>
      <c r="D127" s="977">
        <f>SUMIF('9. Forecast Results'!$R$5:$W$5,$B127,'9. Forecast Results'!$R$52:$W$52)</f>
        <v>0</v>
      </c>
      <c r="E127" s="978">
        <f>SUMIF('10. Inputs &amp; Calcs'!$D$106:$D$111,$C$6,'10. Inputs &amp; Calcs'!$O$106:$O$111)</f>
        <v>0</v>
      </c>
      <c r="F127" s="754">
        <f t="shared" si="0"/>
        <v>0</v>
      </c>
    </row>
    <row r="128" spans="2:6" x14ac:dyDescent="0.45">
      <c r="B128" s="948" t="s">
        <v>1516</v>
      </c>
      <c r="D128" s="970">
        <f>SUM(D123:D127)</f>
        <v>0</v>
      </c>
      <c r="E128" s="972">
        <f>SUM(E123:E127)</f>
        <v>0</v>
      </c>
      <c r="F128" s="552">
        <f t="shared" si="0"/>
        <v>0</v>
      </c>
    </row>
    <row r="129" spans="2:7" x14ac:dyDescent="0.45">
      <c r="B129" s="948" t="s">
        <v>1565</v>
      </c>
      <c r="D129" s="971">
        <f>'9. Forecast Results'!AL$52</f>
        <v>0</v>
      </c>
      <c r="E129" s="785">
        <f>SUMIF('10. Inputs &amp; Calcs'!$D$106:$D$111,$C$6,'10. Inputs &amp; Calcs'!$AD$106:$AD$111)</f>
        <v>-7399</v>
      </c>
      <c r="F129" s="552">
        <f>IF(E129&lt;&gt;0,D129/E129,0)</f>
        <v>0</v>
      </c>
    </row>
    <row r="132" spans="2:7" ht="28.5" x14ac:dyDescent="0.45">
      <c r="B132" s="67" t="s">
        <v>1518</v>
      </c>
      <c r="C132" s="46"/>
      <c r="D132" s="70" t="s">
        <v>1512</v>
      </c>
      <c r="E132" s="70" t="s">
        <v>1517</v>
      </c>
      <c r="F132" s="969" t="s">
        <v>1522</v>
      </c>
      <c r="G132" s="930"/>
    </row>
    <row r="133" spans="2:7" x14ac:dyDescent="0.45">
      <c r="B133" s="948" t="str">
        <f>'9. Forecast Results'!R$5</f>
        <v>2017/18</v>
      </c>
      <c r="D133" s="552">
        <f>SUMIF('10. Inputs &amp; Calcs'!$D$619:$D$624,$C$6,'10. Inputs &amp; Calcs'!$J$619:$J$629)-D58</f>
        <v>-964139.19306002557</v>
      </c>
      <c r="E133" s="785">
        <f>SUMIF('10. Inputs &amp; Calcs'!$D$51:$D$56,$C$6,'10. Inputs &amp; Calcs'!$J$51:$J$56)</f>
        <v>514</v>
      </c>
      <c r="F133" s="552">
        <f>IF(E133&lt;&gt;0,D133/E133,0)</f>
        <v>-1875.757184941684</v>
      </c>
      <c r="G133" s="930"/>
    </row>
    <row r="134" spans="2:7" x14ac:dyDescent="0.45">
      <c r="B134" s="948" t="str">
        <f>'9. Forecast Results'!S$5</f>
        <v>2018/19</v>
      </c>
      <c r="D134" s="973">
        <f>SUMIF('10. Inputs &amp; Calcs'!$D$619:$D$624,$C$6,'10. Inputs &amp; Calcs'!$K$619:$K$629)</f>
        <v>-10450381.305273833</v>
      </c>
      <c r="E134" s="974">
        <f>SUMIF('10. Inputs &amp; Calcs'!$D$51:$D$56,$C$6,'10. Inputs &amp; Calcs'!$K$51:$K$56)</f>
        <v>476</v>
      </c>
      <c r="F134" s="753">
        <f t="shared" ref="F134:F140" si="1">IF(E134&lt;&gt;0,D134/E134,0)</f>
        <v>-21954.58257410469</v>
      </c>
      <c r="G134" s="930"/>
    </row>
    <row r="135" spans="2:7" x14ac:dyDescent="0.45">
      <c r="B135" s="948" t="str">
        <f>'9. Forecast Results'!T$5</f>
        <v>2019/20</v>
      </c>
      <c r="D135" s="975">
        <f>SUMIF('10. Inputs &amp; Calcs'!$D$619:$D$624,$C$6,'10. Inputs &amp; Calcs'!$L$619:$L$629)</f>
        <v>-5304579.0622597346</v>
      </c>
      <c r="E135" s="976">
        <f>SUMIF('10. Inputs &amp; Calcs'!$D$51:$D$56,$C$6,'10. Inputs &amp; Calcs'!$L$51:$L$56)</f>
        <v>226</v>
      </c>
      <c r="F135" s="888">
        <f t="shared" si="1"/>
        <v>-23471.588771060771</v>
      </c>
      <c r="G135" s="930"/>
    </row>
    <row r="136" spans="2:7" x14ac:dyDescent="0.45">
      <c r="B136" s="948" t="str">
        <f>'9. Forecast Results'!U$5</f>
        <v>2020/21</v>
      </c>
      <c r="D136" s="975">
        <f>SUMIF('10. Inputs &amp; Calcs'!$D$619:$D$624,$C$6,'10. Inputs &amp; Calcs'!$M$619:$M$629)</f>
        <v>-5562618.7138867881</v>
      </c>
      <c r="E136" s="976">
        <f>SUMIF('10. Inputs &amp; Calcs'!$D$51:$D$56,$C$6,'10. Inputs &amp; Calcs'!$M$51:$M$56)</f>
        <v>226</v>
      </c>
      <c r="F136" s="888">
        <f t="shared" si="1"/>
        <v>-24613.357141091983</v>
      </c>
      <c r="G136" s="930"/>
    </row>
    <row r="137" spans="2:7" x14ac:dyDescent="0.45">
      <c r="B137" s="948" t="str">
        <f>'9. Forecast Results'!V$5</f>
        <v>2021/22</v>
      </c>
      <c r="D137" s="975">
        <f>SUMIF('10. Inputs &amp; Calcs'!$D$619:$D$624,$C$6,'10. Inputs &amp; Calcs'!$N$619:$N$629)</f>
        <v>-5820658.3655138416</v>
      </c>
      <c r="E137" s="976">
        <f>SUMIF('10. Inputs &amp; Calcs'!$D$51:$D$56,$C$6,'10. Inputs &amp; Calcs'!$N$51:$N$56)</f>
        <v>226</v>
      </c>
      <c r="F137" s="888">
        <f t="shared" si="1"/>
        <v>-25755.125511123191</v>
      </c>
      <c r="G137" s="930"/>
    </row>
    <row r="138" spans="2:7" x14ac:dyDescent="0.45">
      <c r="B138" s="948" t="str">
        <f>'9. Forecast Results'!W$5</f>
        <v>2022/23</v>
      </c>
      <c r="D138" s="977">
        <f>SUMIF('10. Inputs &amp; Calcs'!$D$619:$D$624,$C$6,'10. Inputs &amp; Calcs'!$O$619:$O$629)</f>
        <v>-6078698.0171408951</v>
      </c>
      <c r="E138" s="978">
        <f>SUMIF('10. Inputs &amp; Calcs'!$D$51:$D$56,$C$6,'10. Inputs &amp; Calcs'!$O$51:$O$56)</f>
        <v>226</v>
      </c>
      <c r="F138" s="754">
        <f t="shared" si="1"/>
        <v>-26896.893881154403</v>
      </c>
      <c r="G138" s="930"/>
    </row>
    <row r="139" spans="2:7" x14ac:dyDescent="0.45">
      <c r="B139" s="948" t="s">
        <v>1516</v>
      </c>
      <c r="D139" s="970">
        <f>SUM(D134:D138)</f>
        <v>-33216935.464075092</v>
      </c>
      <c r="E139" s="972">
        <f>SUM(E134:E138)</f>
        <v>1380</v>
      </c>
      <c r="F139" s="552">
        <f t="shared" si="1"/>
        <v>-24070.243089909487</v>
      </c>
      <c r="G139" s="930"/>
    </row>
    <row r="140" spans="2:7" x14ac:dyDescent="0.45">
      <c r="B140" s="948" t="s">
        <v>1519</v>
      </c>
      <c r="D140" s="971">
        <f>SUMIF('10. Inputs &amp; Calcs'!$D$619:$D$624,$C$6, '10. Inputs &amp; Calcs'!$AD$619:$AD$624)</f>
        <v>-148103926.95799464</v>
      </c>
      <c r="E140" s="785">
        <f>SUMIF('10. Inputs &amp; Calcs'!$D$520:$D$525,$C$6,'10. Inputs &amp; Calcs'!$H$520:$H$525)</f>
        <v>5160</v>
      </c>
      <c r="F140" s="552">
        <f t="shared" si="1"/>
        <v>-28702.311425967953</v>
      </c>
      <c r="G140" s="930"/>
    </row>
  </sheetData>
  <sheetProtection formatCells="0" formatColumns="0" formatRows="0"/>
  <mergeCells count="3">
    <mergeCell ref="D7:G7"/>
    <mergeCell ref="C14:D14"/>
    <mergeCell ref="E14:F14"/>
  </mergeCells>
  <dataValidations count="3">
    <dataValidation allowBlank="1" showInputMessage="1" showErrorMessage="1" promptTitle="Rent Increase?" prompt="If a rent increase is proposed, enter the % increase from cell F17 to F21 below." sqref="F17" xr:uid="{D64F6710-F295-4806-B806-BE06427F7F56}"/>
    <dataValidation type="list" allowBlank="1" showInputMessage="1" showErrorMessage="1" promptTitle="Rent Increase?" prompt="If a rent increase is proposed, enter the % increase from cell F17 to F21 below._x000a_If rentals are to remain at the same level as the prior year, select &quot;None&quot;&quot;." sqref="C11" xr:uid="{78CB04C6-5FF5-4E4F-8981-CA1CC4D31E63}">
      <formula1>$E$15:$F$15</formula1>
    </dataValidation>
    <dataValidation type="list" allowBlank="1" showInputMessage="1" showErrorMessage="1" promptTitle="Rent Collection %" prompt="Select Existing if the current rent collection % will be continued._x000a_Select target if the rent collection is expected to improve and also set the target in cells D17 to D21." sqref="C10" xr:uid="{B7B9FAD7-6070-4821-838A-173508A100B2}">
      <formula1>$C$15:$D$15</formula1>
    </dataValidation>
  </dataValidations>
  <pageMargins left="0.19685039370078741" right="0.19685039370078741" top="0.35433070866141736" bottom="0.35433070866141736" header="0.19685039370078741" footer="0.11811023622047245"/>
  <pageSetup paperSize="9" scale="46" orientation="landscape" r:id="rId1"/>
  <headerFooter>
    <oddFooter>&amp;R&amp;F &amp;A &amp;D Page &amp;P</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Basis of EEDB Calculation" prompt="It is proposed to use the EEDBS to settle outstanding debt owing by occupants. If the fixed EEDBS rate of R7,500 is to be used, select &quot;Fixed&quot;._x000a_If the EEDBS amount is to flexible and sufficient to cover the outstanding debt, select &quot;Calc&quot;." xr:uid="{860D884B-FF54-4259-AB55-8CCE2BB0A2FA}">
          <x14:formula1>
            <xm:f>'14. Permanent Info'!$M$7:$N$7</xm:f>
          </x14:formula1>
          <xm:sqref>C12</xm:sqref>
        </x14:dataValidation>
        <x14:dataValidation type="list" allowBlank="1" showInputMessage="1" showErrorMessage="1" promptTitle="Select Province" prompt="Select province from the list, or select Total to see the national view. " xr:uid="{C40786C4-EF9D-4A99-BA2A-8868B36C4929}">
          <x14:formula1>
            <xm:f>'14. Permanent Info'!$C$7:$C$12</xm:f>
          </x14:formula1>
          <xm:sqref>C6</xm:sqref>
        </x14:dataValidation>
        <x14:dataValidation type="list" allowBlank="1" showInputMessage="1" showErrorMessage="1" promptTitle="Scenario Selector" prompt="Select the Scenario to be projected AFTER Defining the Scenario using the Input Areas and Selection Boxes in the turquoise area between cell F13 and i17. " xr:uid="{5035A726-3258-409D-9D73-32684F80FA45}">
          <x14:formula1>
            <xm:f>'14. Permanent Info'!$D$7:$D$11</xm:f>
          </x14:formula1>
          <xm:sqref>C7</xm:sqref>
        </x14:dataValidation>
        <x14:dataValidation type="list" allowBlank="1" showInputMessage="1" showErrorMessage="1" promptTitle="Years" prompt="Select the number of years required to close this programme from 2018/19._x000a_" xr:uid="{FFE093D2-7BF9-45C2-9DD8-DE5BE631ABE5}">
          <x14:formula1>
            <xm:f>'14. Permanent Info'!$J$7:$J$23</xm:f>
          </x14:formula1>
          <xm:sqref>C9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BE29-C739-45E9-B8D7-51EC5F1DD248}">
  <sheetPr codeName="Sheet6">
    <tabColor theme="5" tint="0.79998168889431442"/>
    <pageSetUpPr fitToPage="1"/>
  </sheetPr>
  <dimension ref="A1:AA138"/>
  <sheetViews>
    <sheetView showGridLines="0" view="pageBreakPreview" topLeftCell="B1" zoomScale="70" zoomScaleNormal="100" zoomScaleSheetLayoutView="70" workbookViewId="0">
      <selection activeCell="D11" sqref="D11"/>
    </sheetView>
  </sheetViews>
  <sheetFormatPr defaultRowHeight="14.25" outlineLevelRow="1" x14ac:dyDescent="0.45"/>
  <cols>
    <col min="1" max="1" width="2.53125" hidden="1" customWidth="1"/>
    <col min="2" max="2" width="2.53125" customWidth="1"/>
    <col min="3" max="3" width="59.73046875" bestFit="1" customWidth="1"/>
    <col min="4" max="4" width="15.53125" customWidth="1"/>
    <col min="5" max="5" width="15.73046875" customWidth="1"/>
    <col min="6" max="7" width="15.265625" customWidth="1"/>
    <col min="8" max="8" width="17" customWidth="1"/>
    <col min="9" max="9" width="15.265625" customWidth="1"/>
    <col min="10" max="10" width="23.265625" customWidth="1"/>
    <col min="11" max="12" width="22.46484375" customWidth="1"/>
    <col min="13" max="13" width="16.19921875" customWidth="1"/>
    <col min="14" max="14" width="15.53125" customWidth="1"/>
    <col min="15" max="15" width="15.73046875" customWidth="1"/>
    <col min="16" max="16" width="15.46484375" customWidth="1"/>
    <col min="17" max="17" width="15.53125" customWidth="1"/>
    <col min="18" max="18" width="18.46484375" customWidth="1"/>
    <col min="19" max="19" width="15.73046875" bestFit="1" customWidth="1"/>
    <col min="20" max="20" width="14.796875" customWidth="1"/>
    <col min="21" max="21" width="15.53125" customWidth="1"/>
    <col min="22" max="22" width="14.796875" bestFit="1" customWidth="1"/>
    <col min="23" max="23" width="14.46484375" bestFit="1" customWidth="1"/>
    <col min="24" max="24" width="14.53125" customWidth="1"/>
    <col min="25" max="25" width="14.796875" customWidth="1"/>
    <col min="26" max="26" width="15.73046875" bestFit="1" customWidth="1"/>
    <col min="27" max="27" width="13.265625" bestFit="1" customWidth="1"/>
    <col min="28" max="28" width="12" bestFit="1" customWidth="1"/>
    <col min="29" max="29" width="11" bestFit="1" customWidth="1"/>
    <col min="30" max="30" width="9.46484375" bestFit="1" customWidth="1"/>
    <col min="31" max="31" width="8.46484375" bestFit="1" customWidth="1"/>
  </cols>
  <sheetData>
    <row r="1" spans="3:15" ht="21" x14ac:dyDescent="0.65">
      <c r="C1" s="909" t="str">
        <f>'1.Cover'!$C$2</f>
        <v xml:space="preserve">Performance and Expenditure Review of Provincial Government Housing Rental Stock </v>
      </c>
    </row>
    <row r="2" spans="3:15" ht="32.25" customHeight="1" x14ac:dyDescent="0.65">
      <c r="C2" s="912" t="s">
        <v>1513</v>
      </c>
      <c r="J2" s="1344" t="s">
        <v>1449</v>
      </c>
      <c r="K2" s="1350"/>
      <c r="L2" s="1345"/>
      <c r="M2" s="1344" t="s">
        <v>1344</v>
      </c>
      <c r="N2" s="1350"/>
      <c r="O2" s="1345"/>
    </row>
    <row r="3" spans="3:15" ht="87.75" customHeight="1" x14ac:dyDescent="0.45">
      <c r="D3" s="792" t="s">
        <v>1342</v>
      </c>
      <c r="E3" s="792" t="str">
        <f>'7. Scenario Detailed'!F8</f>
        <v>Years to Close the HS Programme (from 2018/19)</v>
      </c>
      <c r="F3" s="851" t="str">
        <f>'7. Scenario Detailed'!G8</f>
        <v>Ave Rent Collection %</v>
      </c>
      <c r="G3" s="851" t="str">
        <f>'7. Scenario Detailed'!H8</f>
        <v>Rent Increase</v>
      </c>
      <c r="H3" s="851" t="str">
        <f>'7. Scenario Detailed'!I8</f>
        <v>EEDBS Amount</v>
      </c>
      <c r="I3" s="851" t="str">
        <f>'7. Scenario Detailed'!J8</f>
        <v>Calc: Settlement of Debt per unit</v>
      </c>
      <c r="J3" s="792" t="s">
        <v>1450</v>
      </c>
      <c r="K3" s="792" t="s">
        <v>1485</v>
      </c>
      <c r="L3" s="792" t="s">
        <v>1343</v>
      </c>
      <c r="M3" s="792" t="str">
        <f>J3</f>
        <v>Net Cash Flow 2017-2037 (=HSDG &amp; EEDBS Spent)</v>
      </c>
      <c r="N3" s="792" t="str">
        <f>K3</f>
        <v>Debtors Balance remaining</v>
      </c>
      <c r="O3" s="792" t="str">
        <f>L3</f>
        <v>Net Cash Flow + Debt w/o</v>
      </c>
    </row>
    <row r="4" spans="3:15" x14ac:dyDescent="0.45">
      <c r="C4" s="451" t="str">
        <f>'7. Scenario Detailed'!D11</f>
        <v>Total HSDG and EEDBS Spent</v>
      </c>
      <c r="D4" s="795"/>
      <c r="E4" s="796"/>
      <c r="F4" s="553"/>
      <c r="G4" s="553"/>
      <c r="H4" s="553"/>
      <c r="I4" s="553"/>
      <c r="J4" s="795"/>
      <c r="K4" s="553"/>
      <c r="L4" s="796"/>
      <c r="M4" s="795"/>
      <c r="N4" s="553"/>
      <c r="O4" s="796"/>
    </row>
    <row r="5" spans="3:15" x14ac:dyDescent="0.45">
      <c r="C5" t="str">
        <f>'7. Scenario Detailed'!D12</f>
        <v>Projected Scenario (Select Scenario):</v>
      </c>
      <c r="D5" s="881" t="str">
        <f>'7. Scenario Detailed'!E12</f>
        <v>BC</v>
      </c>
      <c r="E5" s="881">
        <f>'7. Scenario Detailed'!F12</f>
        <v>17</v>
      </c>
      <c r="F5" s="881" t="str">
        <f>'7. Scenario Detailed'!G12</f>
        <v>Existing</v>
      </c>
      <c r="G5" s="881" t="str">
        <f>'7. Scenario Detailed'!H12</f>
        <v>None</v>
      </c>
      <c r="H5" s="881" t="str">
        <f>'7. Scenario Detailed'!I12</f>
        <v>Fixed</v>
      </c>
      <c r="I5" s="882">
        <f>'7. Scenario Detailed'!J12</f>
        <v>-262069.34048752699</v>
      </c>
      <c r="J5" s="797">
        <f>'7. Scenario Detailed'!K12</f>
        <v>-1939051050.2672122</v>
      </c>
      <c r="K5" s="798">
        <f>'8. Forecast Results National'!E9</f>
        <v>0</v>
      </c>
      <c r="L5" s="799">
        <f>SUM(J5:K5)</f>
        <v>-1939051050.2672122</v>
      </c>
      <c r="M5" s="797">
        <f>J5/('7. Scenario Detailed'!$N33+'7. Scenario Detailed'!$N42)</f>
        <v>-262069.34048752699</v>
      </c>
      <c r="N5" s="798">
        <f>K5/('7. Scenario Detailed'!$N33+'7. Scenario Detailed'!$N42)</f>
        <v>0</v>
      </c>
      <c r="O5" s="799">
        <f>L5/('7. Scenario Detailed'!$N33+'7. Scenario Detailed'!$N42)</f>
        <v>-262069.34048752699</v>
      </c>
    </row>
    <row r="6" spans="3:15" x14ac:dyDescent="0.45">
      <c r="C6" s="873" t="str">
        <f>'7. Scenario Detailed'!D13</f>
        <v>Base Case</v>
      </c>
      <c r="D6" s="881" t="str">
        <f>'7. Scenario Detailed'!E13</f>
        <v>BC</v>
      </c>
      <c r="E6" s="881">
        <f>'7. Scenario Detailed'!F13</f>
        <v>17</v>
      </c>
      <c r="F6" s="881" t="str">
        <f>'7. Scenario Detailed'!G13</f>
        <v>Existing</v>
      </c>
      <c r="G6" s="881" t="str">
        <f>'7. Scenario Detailed'!H13</f>
        <v>None</v>
      </c>
      <c r="H6" s="881" t="str">
        <f>'7. Scenario Detailed'!I13</f>
        <v>Fixed</v>
      </c>
      <c r="I6" s="882">
        <f>'7. Scenario Detailed'!J13</f>
        <v>-372498.24611629854</v>
      </c>
      <c r="J6" s="797">
        <f>'7. Scenario Detailed'!K13</f>
        <v>-2756114523.014493</v>
      </c>
      <c r="K6" s="1323">
        <v>0</v>
      </c>
      <c r="L6" s="1324">
        <f>SUM(J6:K6)</f>
        <v>-2756114523.014493</v>
      </c>
      <c r="M6" s="797">
        <f>J6/('7. Scenario Detailed'!$N34+'7. Scenario Detailed'!$N43)</f>
        <v>-372498.24611629854</v>
      </c>
      <c r="N6" s="798">
        <f>K6/('7. Scenario Detailed'!$N34+'7. Scenario Detailed'!$N43)</f>
        <v>0</v>
      </c>
      <c r="O6" s="799">
        <f>L6/('7. Scenario Detailed'!$N34+'7. Scenario Detailed'!$N43)</f>
        <v>-372498.24611629854</v>
      </c>
    </row>
    <row r="7" spans="3:15" x14ac:dyDescent="0.45">
      <c r="C7" s="865" t="str">
        <f>'7. Scenario Detailed'!D14</f>
        <v>Scenario 1 - Outsource Property Management</v>
      </c>
      <c r="D7" s="881" t="s">
        <v>1315</v>
      </c>
      <c r="E7" s="881">
        <f>'7. Scenario Detailed'!F14</f>
        <v>5</v>
      </c>
      <c r="F7" s="881" t="str">
        <f>'7. Scenario Detailed'!G14</f>
        <v>Target</v>
      </c>
      <c r="G7" s="881" t="str">
        <f>'7. Scenario Detailed'!H14</f>
        <v>None</v>
      </c>
      <c r="H7" s="881" t="str">
        <f>'7. Scenario Detailed'!I14</f>
        <v>Calc</v>
      </c>
      <c r="I7" s="882">
        <f>'7. Scenario Detailed'!J14</f>
        <v>-193014.0713463086</v>
      </c>
      <c r="J7" s="797">
        <v>-1441800711.0595164</v>
      </c>
      <c r="K7" s="1323">
        <v>0</v>
      </c>
      <c r="L7" s="1324">
        <v>-1441800711.0595164</v>
      </c>
      <c r="M7" s="797">
        <v>-194864.26693600707</v>
      </c>
      <c r="N7" s="798">
        <v>0</v>
      </c>
      <c r="O7" s="799">
        <v>-194864.26693600707</v>
      </c>
    </row>
    <row r="8" spans="3:15" x14ac:dyDescent="0.45">
      <c r="C8" s="861" t="str">
        <f>'7. Scenario Detailed'!D15</f>
        <v>Scenario 2 - Accelerate Transfer Voetstoots to Existing Occupants</v>
      </c>
      <c r="D8" s="881" t="s">
        <v>1316</v>
      </c>
      <c r="E8" s="881">
        <f>'7. Scenario Detailed'!F15</f>
        <v>2</v>
      </c>
      <c r="F8" s="881" t="str">
        <f>'7. Scenario Detailed'!G15</f>
        <v>Existing</v>
      </c>
      <c r="G8" s="881" t="str">
        <f>'7. Scenario Detailed'!H15</f>
        <v>None</v>
      </c>
      <c r="H8" s="881" t="str">
        <f>'7. Scenario Detailed'!I15</f>
        <v>Calc</v>
      </c>
      <c r="I8" s="882">
        <f>'7. Scenario Detailed'!J15</f>
        <v>-165616.86038024619</v>
      </c>
      <c r="J8" s="797">
        <v>-1243776432.4103541</v>
      </c>
      <c r="K8" s="1323">
        <v>0</v>
      </c>
      <c r="L8" s="1324">
        <v>-1243776432.4103541</v>
      </c>
      <c r="M8" s="797">
        <v>-168100.61257066551</v>
      </c>
      <c r="N8" s="798">
        <v>0</v>
      </c>
      <c r="O8" s="799">
        <v>-168100.61257066551</v>
      </c>
    </row>
    <row r="9" spans="3:15" x14ac:dyDescent="0.45">
      <c r="C9" s="880" t="str">
        <f>'7. Scenario Detailed'!D16</f>
        <v>Scenario 3 - Devolve to Local Municipality</v>
      </c>
      <c r="D9" s="881" t="s">
        <v>1317</v>
      </c>
      <c r="E9" s="881">
        <f>'7. Scenario Detailed'!F16</f>
        <v>1</v>
      </c>
      <c r="F9" s="881" t="str">
        <f>'7. Scenario Detailed'!G16</f>
        <v>Existing</v>
      </c>
      <c r="G9" s="881" t="str">
        <f>'7. Scenario Detailed'!H16</f>
        <v>None</v>
      </c>
      <c r="H9" s="881" t="str">
        <f>'7. Scenario Detailed'!I16</f>
        <v>Calc</v>
      </c>
      <c r="I9" s="882">
        <f>'7. Scenario Detailed'!J16</f>
        <v>-165296.54317350202</v>
      </c>
      <c r="J9" s="797">
        <v>-1223029122.9407415</v>
      </c>
      <c r="K9" s="1323">
        <v>0</v>
      </c>
      <c r="L9" s="1324">
        <v>-1223029122.9407415</v>
      </c>
      <c r="M9" s="797">
        <v>-165296.54317350202</v>
      </c>
      <c r="N9" s="798">
        <v>0</v>
      </c>
      <c r="O9" s="799">
        <v>-165296.54317350202</v>
      </c>
    </row>
    <row r="10" spans="3:15" x14ac:dyDescent="0.45">
      <c r="C10" s="869" t="str">
        <f>'7. Scenario Detailed'!D17</f>
        <v>Scenario 4 - User creates own scenario</v>
      </c>
      <c r="D10" s="881" t="s">
        <v>1318</v>
      </c>
      <c r="E10" s="938">
        <f>'7. Scenario Detailed'!F17</f>
        <v>0</v>
      </c>
      <c r="F10" s="938">
        <f>'7. Scenario Detailed'!G17</f>
        <v>0</v>
      </c>
      <c r="G10" s="938">
        <f>'7. Scenario Detailed'!H17</f>
        <v>0</v>
      </c>
      <c r="H10" s="938">
        <f>'7. Scenario Detailed'!I17</f>
        <v>0</v>
      </c>
      <c r="I10" s="882">
        <f>'7. Scenario Detailed'!J17</f>
        <v>0</v>
      </c>
      <c r="J10" s="939">
        <f>'7. Scenario Detailed'!K17</f>
        <v>0</v>
      </c>
      <c r="K10" s="940"/>
      <c r="L10" s="941">
        <f>SUM(J10:K10)</f>
        <v>0</v>
      </c>
      <c r="M10" s="939">
        <f>J10/('7. Scenario Detailed'!$N38+'7. Scenario Detailed'!$N47)</f>
        <v>0</v>
      </c>
      <c r="N10" s="940">
        <f>K10/('7. Scenario Detailed'!$N38+'7. Scenario Detailed'!$N47)</f>
        <v>0</v>
      </c>
      <c r="O10" s="941">
        <f>L10/('7. Scenario Detailed'!$N38+'7. Scenario Detailed'!$N47)</f>
        <v>0</v>
      </c>
    </row>
    <row r="11" spans="3:15" ht="28.5" x14ac:dyDescent="0.45">
      <c r="J11" s="853" t="s">
        <v>1452</v>
      </c>
      <c r="L11" s="853" t="s">
        <v>1451</v>
      </c>
      <c r="M11" s="853" t="s">
        <v>1576</v>
      </c>
      <c r="O11" s="853" t="s">
        <v>1577</v>
      </c>
    </row>
    <row r="21" spans="4:4" x14ac:dyDescent="0.45">
      <c r="D21" s="773"/>
    </row>
    <row r="107" spans="3:3" hidden="1" outlineLevel="1" x14ac:dyDescent="0.45">
      <c r="C107" s="46" t="s">
        <v>1388</v>
      </c>
    </row>
    <row r="108" spans="3:3" hidden="1" outlineLevel="1" x14ac:dyDescent="0.45">
      <c r="C108" s="47" t="s">
        <v>1366</v>
      </c>
    </row>
    <row r="109" spans="3:3" hidden="1" outlineLevel="1" x14ac:dyDescent="0.45">
      <c r="C109" s="47" t="s">
        <v>1389</v>
      </c>
    </row>
    <row r="110" spans="3:3" hidden="1" outlineLevel="1" x14ac:dyDescent="0.45">
      <c r="C110" s="47" t="s">
        <v>1390</v>
      </c>
    </row>
    <row r="111" spans="3:3" hidden="1" outlineLevel="1" x14ac:dyDescent="0.45">
      <c r="C111" s="47" t="s">
        <v>1391</v>
      </c>
    </row>
    <row r="112" spans="3:3" hidden="1" outlineLevel="1" x14ac:dyDescent="0.45">
      <c r="C112" s="47" t="s">
        <v>1392</v>
      </c>
    </row>
    <row r="113" spans="3:3" hidden="1" outlineLevel="1" x14ac:dyDescent="0.45">
      <c r="C113" s="47" t="s">
        <v>1393</v>
      </c>
    </row>
    <row r="114" spans="3:3" hidden="1" outlineLevel="1" x14ac:dyDescent="0.45">
      <c r="C114" s="47" t="s">
        <v>1394</v>
      </c>
    </row>
    <row r="115" spans="3:3" hidden="1" outlineLevel="1" x14ac:dyDescent="0.45">
      <c r="C115" s="46" t="s">
        <v>1395</v>
      </c>
    </row>
    <row r="116" spans="3:3" hidden="1" outlineLevel="1" x14ac:dyDescent="0.45">
      <c r="C116" s="46" t="s">
        <v>1396</v>
      </c>
    </row>
    <row r="117" spans="3:3" hidden="1" outlineLevel="1" x14ac:dyDescent="0.45">
      <c r="C117" s="46" t="s">
        <v>1397</v>
      </c>
    </row>
    <row r="118" spans="3:3" hidden="1" outlineLevel="1" x14ac:dyDescent="0.45">
      <c r="C118" s="46" t="s">
        <v>1398</v>
      </c>
    </row>
    <row r="119" spans="3:3" hidden="1" outlineLevel="1" x14ac:dyDescent="0.45">
      <c r="C119" s="46" t="s">
        <v>1399</v>
      </c>
    </row>
    <row r="120" spans="3:3" hidden="1" outlineLevel="1" collapsed="1" x14ac:dyDescent="0.45"/>
    <row r="121" spans="3:3" hidden="1" outlineLevel="1" x14ac:dyDescent="0.45"/>
    <row r="122" spans="3:3" hidden="1" outlineLevel="1" x14ac:dyDescent="0.45"/>
    <row r="123" spans="3:3" hidden="1" outlineLevel="1" x14ac:dyDescent="0.45"/>
    <row r="124" spans="3:3" hidden="1" outlineLevel="1" x14ac:dyDescent="0.45"/>
    <row r="125" spans="3:3" hidden="1" outlineLevel="1" x14ac:dyDescent="0.45"/>
    <row r="126" spans="3:3" hidden="1" outlineLevel="1" x14ac:dyDescent="0.45"/>
    <row r="127" spans="3:3" hidden="1" outlineLevel="1" x14ac:dyDescent="0.45"/>
    <row r="128" spans="3:3" hidden="1" outlineLevel="1" x14ac:dyDescent="0.45"/>
    <row r="129" spans="3:27" hidden="1" outlineLevel="1" x14ac:dyDescent="0.45"/>
    <row r="130" spans="3:27" hidden="1" outlineLevel="1" x14ac:dyDescent="0.45"/>
    <row r="131" spans="3:27" collapsed="1" x14ac:dyDescent="0.45"/>
    <row r="132" spans="3:27" x14ac:dyDescent="0.45">
      <c r="G132" s="529">
        <v>0</v>
      </c>
      <c r="H132" s="529">
        <v>1</v>
      </c>
      <c r="I132" s="530">
        <v>2</v>
      </c>
      <c r="J132" s="529">
        <v>3</v>
      </c>
      <c r="K132" s="529">
        <v>4</v>
      </c>
      <c r="L132" s="529">
        <v>5</v>
      </c>
      <c r="M132" s="530">
        <v>6</v>
      </c>
      <c r="N132" s="529">
        <v>7</v>
      </c>
      <c r="O132" s="529">
        <v>8</v>
      </c>
      <c r="P132" s="529">
        <v>9</v>
      </c>
      <c r="Q132" s="530">
        <v>10</v>
      </c>
      <c r="R132" s="529">
        <v>11</v>
      </c>
      <c r="S132" s="529">
        <v>12</v>
      </c>
      <c r="T132" s="530">
        <v>13</v>
      </c>
      <c r="U132" s="529">
        <v>14</v>
      </c>
      <c r="V132" s="529">
        <v>15</v>
      </c>
      <c r="W132" s="530">
        <v>16</v>
      </c>
      <c r="X132" s="529">
        <v>17</v>
      </c>
      <c r="Y132" s="529">
        <v>18</v>
      </c>
      <c r="Z132" s="530">
        <v>19</v>
      </c>
      <c r="AA132" s="529">
        <v>20</v>
      </c>
    </row>
    <row r="133" spans="3:27" x14ac:dyDescent="0.45">
      <c r="C133" s="451" t="str">
        <f>'7. Scenario Detailed'!D12</f>
        <v>Projected Scenario (Select Scenario):</v>
      </c>
      <c r="D133" s="803" t="str">
        <f>'7. Scenario Detailed'!L10</f>
        <v>2013/14</v>
      </c>
      <c r="E133" s="803" t="str">
        <f>'7. Scenario Detailed'!M10</f>
        <v>2014/15</v>
      </c>
      <c r="F133" s="803" t="str">
        <f>'7. Scenario Detailed'!N10</f>
        <v>2015/16</v>
      </c>
      <c r="G133" s="803" t="str">
        <f>'7. Scenario Detailed'!O10</f>
        <v>2016/17</v>
      </c>
      <c r="H133" s="803" t="str">
        <f>'7. Scenario Detailed'!P10</f>
        <v>2017/18</v>
      </c>
      <c r="I133" s="803" t="str">
        <f>'7. Scenario Detailed'!Q10</f>
        <v>2018/19</v>
      </c>
      <c r="J133" s="803" t="str">
        <f>'7. Scenario Detailed'!R10</f>
        <v>2019/20</v>
      </c>
      <c r="K133" s="803" t="str">
        <f>'7. Scenario Detailed'!S10</f>
        <v>2020/21</v>
      </c>
      <c r="L133" s="803" t="str">
        <f>'7. Scenario Detailed'!T10</f>
        <v>2021/22</v>
      </c>
      <c r="M133" s="803" t="str">
        <f>'7. Scenario Detailed'!U10</f>
        <v>2022/23</v>
      </c>
      <c r="N133" s="803" t="str">
        <f>'7. Scenario Detailed'!V10</f>
        <v>2023/24</v>
      </c>
      <c r="O133" s="803" t="str">
        <f>'7. Scenario Detailed'!W10</f>
        <v>2024/25</v>
      </c>
      <c r="P133" s="578" t="s">
        <v>1354</v>
      </c>
      <c r="Q133" s="536" t="s">
        <v>1355</v>
      </c>
      <c r="R133" s="536" t="s">
        <v>1410</v>
      </c>
      <c r="S133" s="536" t="s">
        <v>1411</v>
      </c>
      <c r="T133" s="536" t="s">
        <v>1412</v>
      </c>
      <c r="U133" s="536" t="s">
        <v>1413</v>
      </c>
      <c r="V133" s="536" t="s">
        <v>1414</v>
      </c>
      <c r="W133" s="536" t="s">
        <v>1415</v>
      </c>
      <c r="X133" s="536" t="s">
        <v>1416</v>
      </c>
      <c r="Y133" s="536" t="s">
        <v>1417</v>
      </c>
      <c r="Z133" s="536" t="s">
        <v>1418</v>
      </c>
      <c r="AA133" s="809" t="s">
        <v>1419</v>
      </c>
    </row>
    <row r="134" spans="3:27" x14ac:dyDescent="0.45">
      <c r="C134" t="str">
        <f>'7. Scenario Detailed'!E13&amp;"- "&amp;'7. Scenario Detailed'!D13</f>
        <v>BC- Base Case</v>
      </c>
      <c r="D134" s="773">
        <f>'7. Scenario Detailed'!L13</f>
        <v>-130562326.49333334</v>
      </c>
      <c r="E134" s="773">
        <f>'7. Scenario Detailed'!M13</f>
        <v>-137624672.89333332</v>
      </c>
      <c r="F134" s="773">
        <f>'7. Scenario Detailed'!N13</f>
        <v>-139007167.36000001</v>
      </c>
      <c r="G134" s="773">
        <f>'7. Scenario Detailed'!O13</f>
        <v>-141576874.53634024</v>
      </c>
      <c r="H134" s="773">
        <f>'7. Scenario Detailed'!P13</f>
        <v>-138400769.09143141</v>
      </c>
      <c r="I134" s="773">
        <f>'7. Scenario Detailed'!Q13</f>
        <v>-134282559.36137459</v>
      </c>
      <c r="J134" s="773">
        <f>'7. Scenario Detailed'!R13</f>
        <v>-131205714.11312266</v>
      </c>
      <c r="K134" s="773">
        <f>'7. Scenario Detailed'!S13</f>
        <v>-130404331.28163506</v>
      </c>
      <c r="L134" s="773">
        <f>'7. Scenario Detailed'!T13</f>
        <v>-129098761.56783602</v>
      </c>
      <c r="M134" s="773">
        <f>'7. Scenario Detailed'!U13</f>
        <v>-127236490.76693685</v>
      </c>
      <c r="N134" s="773">
        <f>'7. Scenario Detailed'!V13</f>
        <v>-124760753.27694118</v>
      </c>
      <c r="O134" s="773">
        <f>'7. Scenario Detailed'!W13</f>
        <v>-121610223.30042145</v>
      </c>
      <c r="P134" s="773">
        <f>'7. Scenario Detailed'!X13</f>
        <v>-117718684.9389676</v>
      </c>
      <c r="Q134" s="773">
        <f>'7. Scenario Detailed'!Y13</f>
        <v>-113014679.79261622</v>
      </c>
      <c r="R134" s="773">
        <f>'7. Scenario Detailed'!Z13</f>
        <v>-107421130.58777231</v>
      </c>
      <c r="S134" s="773">
        <f>'7. Scenario Detailed'!AA13</f>
        <v>-100854939.26276977</v>
      </c>
      <c r="T134" s="773">
        <f>'7. Scenario Detailed'!AB13</f>
        <v>-93226557.839936167</v>
      </c>
      <c r="U134" s="773">
        <f>'7. Scenario Detailed'!AC13</f>
        <v>-84439530.306468591</v>
      </c>
      <c r="V134" s="773">
        <f>'7. Scenario Detailed'!AD13</f>
        <v>-74390003.613201723</v>
      </c>
      <c r="W134" s="773">
        <f>'7. Scenario Detailed'!AE13</f>
        <v>-62966205.780046679</v>
      </c>
      <c r="X134" s="773">
        <f>'7. Scenario Detailed'!AF13</f>
        <v>-50047888.969063312</v>
      </c>
      <c r="Y134" s="773">
        <f>'7. Scenario Detailed'!AG13</f>
        <v>-35505735.250336125</v>
      </c>
      <c r="Z134" s="773">
        <f>'7. Scenario Detailed'!AH13</f>
        <v>-737952689.37727487</v>
      </c>
      <c r="AA134" s="773">
        <f>'7. Scenario Detailed'!AI13</f>
        <v>0</v>
      </c>
    </row>
    <row r="135" spans="3:27" x14ac:dyDescent="0.45">
      <c r="C135" t="str">
        <f>'7. Scenario Detailed'!E14&amp;"- "&amp;'7. Scenario Detailed'!D14</f>
        <v>Sc1- Scenario 1 - Outsource Property Management</v>
      </c>
      <c r="D135" s="773">
        <f>'7. Scenario Detailed'!L14</f>
        <v>-130562326.49333334</v>
      </c>
      <c r="E135" s="773">
        <f>'7. Scenario Detailed'!M14</f>
        <v>-137624672.89333332</v>
      </c>
      <c r="F135" s="773">
        <f>'7. Scenario Detailed'!N14</f>
        <v>-139007167.36000001</v>
      </c>
      <c r="G135" s="773">
        <f>'7. Scenario Detailed'!O14</f>
        <v>-141576874.53634024</v>
      </c>
      <c r="H135" s="773">
        <f>'7. Scenario Detailed'!P14</f>
        <v>-138400769.09143141</v>
      </c>
      <c r="I135" s="773">
        <f>'7. Scenario Detailed'!Q14</f>
        <v>-153814812.48137459</v>
      </c>
      <c r="J135" s="773">
        <f>'7. Scenario Detailed'!R14</f>
        <v>-282906676.29483563</v>
      </c>
      <c r="K135" s="773">
        <f>'7. Scenario Detailed'!S14</f>
        <v>-241448392.66406965</v>
      </c>
      <c r="L135" s="773">
        <f>'7. Scenario Detailed'!T14</f>
        <v>-215770278.24525476</v>
      </c>
      <c r="M135" s="773">
        <f>'7. Scenario Detailed'!U14</f>
        <v>-186967445.83256724</v>
      </c>
      <c r="N135" s="773">
        <f>'7. Scenario Detailed'!V14</f>
        <v>-67225864.745463669</v>
      </c>
      <c r="O135" s="773">
        <f>'7. Scenario Detailed'!W14</f>
        <v>0</v>
      </c>
      <c r="P135" s="773">
        <f>'7. Scenario Detailed'!X14</f>
        <v>0</v>
      </c>
      <c r="Q135" s="773">
        <f>'7. Scenario Detailed'!Y14</f>
        <v>0</v>
      </c>
      <c r="R135" s="773">
        <f>'7. Scenario Detailed'!Z14</f>
        <v>0</v>
      </c>
      <c r="S135" s="773">
        <f>'7. Scenario Detailed'!AA14</f>
        <v>0</v>
      </c>
      <c r="T135" s="773">
        <f>'7. Scenario Detailed'!AB14</f>
        <v>0</v>
      </c>
      <c r="U135" s="773">
        <f>'7. Scenario Detailed'!AC14</f>
        <v>0</v>
      </c>
      <c r="V135" s="773">
        <f>'7. Scenario Detailed'!AD14</f>
        <v>0</v>
      </c>
      <c r="W135" s="773">
        <f>'7. Scenario Detailed'!AE14</f>
        <v>0</v>
      </c>
      <c r="X135" s="773">
        <f>'7. Scenario Detailed'!AF14</f>
        <v>0</v>
      </c>
      <c r="Y135" s="773">
        <f>'7. Scenario Detailed'!AG14</f>
        <v>0</v>
      </c>
      <c r="Z135" s="773">
        <f>'7. Scenario Detailed'!AH14</f>
        <v>0</v>
      </c>
      <c r="AA135" s="773">
        <f>'7. Scenario Detailed'!AI14</f>
        <v>0</v>
      </c>
    </row>
    <row r="136" spans="3:27" x14ac:dyDescent="0.45">
      <c r="C136" t="str">
        <f>'7. Scenario Detailed'!E15&amp;"- "&amp;'7. Scenario Detailed'!D15</f>
        <v>Sc2- Scenario 2 - Accelerate Transfer Voetstoots to Existing Occupants</v>
      </c>
      <c r="D136" s="773">
        <f>'7. Scenario Detailed'!L15</f>
        <v>-130562326.49333334</v>
      </c>
      <c r="E136" s="773">
        <f>'7. Scenario Detailed'!M15</f>
        <v>-137624672.89333332</v>
      </c>
      <c r="F136" s="773">
        <f>'7. Scenario Detailed'!N15</f>
        <v>-139007167.36000001</v>
      </c>
      <c r="G136" s="773">
        <f>'7. Scenario Detailed'!O15</f>
        <v>-141576874.53634024</v>
      </c>
      <c r="H136" s="773">
        <f>'7. Scenario Detailed'!P15</f>
        <v>-138400769.09143141</v>
      </c>
      <c r="I136" s="773">
        <f>'7. Scenario Detailed'!Q15</f>
        <v>-134282559.36137459</v>
      </c>
      <c r="J136" s="773">
        <f>'7. Scenario Detailed'!R15</f>
        <v>-645334119.72052228</v>
      </c>
      <c r="K136" s="773">
        <f>'7. Scenario Detailed'!S15</f>
        <v>-165804827.24377292</v>
      </c>
      <c r="L136" s="773">
        <f>'7. Scenario Detailed'!T15</f>
        <v>0</v>
      </c>
      <c r="M136" s="773">
        <f>'7. Scenario Detailed'!U15</f>
        <v>0</v>
      </c>
      <c r="N136" s="773">
        <f>'7. Scenario Detailed'!V15</f>
        <v>0</v>
      </c>
      <c r="O136" s="773">
        <f>'7. Scenario Detailed'!W15</f>
        <v>0</v>
      </c>
      <c r="P136" s="773">
        <f>'7. Scenario Detailed'!X15</f>
        <v>0</v>
      </c>
      <c r="Q136" s="773">
        <f>'7. Scenario Detailed'!Y15</f>
        <v>0</v>
      </c>
      <c r="R136" s="773">
        <f>'7. Scenario Detailed'!Z15</f>
        <v>0</v>
      </c>
      <c r="S136" s="773">
        <f>'7. Scenario Detailed'!AA15</f>
        <v>0</v>
      </c>
      <c r="T136" s="773">
        <f>'7. Scenario Detailed'!AB15</f>
        <v>0</v>
      </c>
      <c r="U136" s="773">
        <f>'7. Scenario Detailed'!AC15</f>
        <v>0</v>
      </c>
      <c r="V136" s="773">
        <f>'7. Scenario Detailed'!AD15</f>
        <v>0</v>
      </c>
      <c r="W136" s="773">
        <f>'7. Scenario Detailed'!AE15</f>
        <v>0</v>
      </c>
      <c r="X136" s="773">
        <f>'7. Scenario Detailed'!AF15</f>
        <v>0</v>
      </c>
      <c r="Y136" s="773">
        <f>'7. Scenario Detailed'!AG15</f>
        <v>0</v>
      </c>
      <c r="Z136" s="773">
        <f>'7. Scenario Detailed'!AH15</f>
        <v>0</v>
      </c>
      <c r="AA136" s="773">
        <f>'7. Scenario Detailed'!AI15</f>
        <v>0</v>
      </c>
    </row>
    <row r="137" spans="3:27" x14ac:dyDescent="0.45">
      <c r="C137" t="str">
        <f>'7. Scenario Detailed'!E16&amp;"- "&amp;'7. Scenario Detailed'!D16</f>
        <v>Sc3- Scenario 3 - Devolve to Local Municipality</v>
      </c>
      <c r="D137" s="773">
        <f>'7. Scenario Detailed'!L16</f>
        <v>-130562326.49333334</v>
      </c>
      <c r="E137" s="773">
        <f>'7. Scenario Detailed'!M16</f>
        <v>-137624672.89333332</v>
      </c>
      <c r="F137" s="773">
        <f>'7. Scenario Detailed'!N16</f>
        <v>-139007167.36000001</v>
      </c>
      <c r="G137" s="773">
        <f>'7. Scenario Detailed'!O16</f>
        <v>-141576874.53634024</v>
      </c>
      <c r="H137" s="773">
        <f>'7. Scenario Detailed'!P16</f>
        <v>-138400769.09143141</v>
      </c>
      <c r="I137" s="773">
        <f>'7. Scenario Detailed'!Q16</f>
        <v>-134282559.36137459</v>
      </c>
      <c r="J137" s="773">
        <f>'7. Scenario Detailed'!R16</f>
        <v>-808768919.95159531</v>
      </c>
      <c r="K137" s="773">
        <f>'7. Scenario Detailed'!S16</f>
        <v>0</v>
      </c>
      <c r="L137" s="773">
        <f>'7. Scenario Detailed'!T16</f>
        <v>0</v>
      </c>
      <c r="M137" s="773">
        <f>'7. Scenario Detailed'!U16</f>
        <v>0</v>
      </c>
      <c r="N137" s="773">
        <f>'7. Scenario Detailed'!V16</f>
        <v>0</v>
      </c>
      <c r="O137" s="773">
        <f>'7. Scenario Detailed'!W16</f>
        <v>0</v>
      </c>
      <c r="P137" s="773">
        <f>'7. Scenario Detailed'!X16</f>
        <v>0</v>
      </c>
      <c r="Q137" s="773">
        <f>'7. Scenario Detailed'!Y16</f>
        <v>0</v>
      </c>
      <c r="R137" s="773">
        <f>'7. Scenario Detailed'!Z16</f>
        <v>0</v>
      </c>
      <c r="S137" s="773">
        <f>'7. Scenario Detailed'!AA16</f>
        <v>0</v>
      </c>
      <c r="T137" s="773">
        <f>'7. Scenario Detailed'!AB16</f>
        <v>0</v>
      </c>
      <c r="U137" s="773">
        <f>'7. Scenario Detailed'!AC16</f>
        <v>0</v>
      </c>
      <c r="V137" s="773">
        <f>'7. Scenario Detailed'!AD16</f>
        <v>0</v>
      </c>
      <c r="W137" s="773">
        <f>'7. Scenario Detailed'!AE16</f>
        <v>0</v>
      </c>
      <c r="X137" s="773">
        <f>'7. Scenario Detailed'!AF16</f>
        <v>0</v>
      </c>
      <c r="Y137" s="773">
        <f>'7. Scenario Detailed'!AG16</f>
        <v>0</v>
      </c>
      <c r="Z137" s="773">
        <f>'7. Scenario Detailed'!AH16</f>
        <v>0</v>
      </c>
      <c r="AA137" s="773">
        <f>'7. Scenario Detailed'!AI16</f>
        <v>0</v>
      </c>
    </row>
    <row r="138" spans="3:27" x14ac:dyDescent="0.45">
      <c r="C138" t="str">
        <f>'7. Scenario Detailed'!E17&amp;"- "&amp;'7. Scenario Detailed'!D17</f>
        <v>Sc4- Scenario 4 - User creates own scenario</v>
      </c>
      <c r="D138" s="773">
        <f>'7. Scenario Detailed'!L17</f>
        <v>0</v>
      </c>
      <c r="E138" s="773">
        <f>'7. Scenario Detailed'!M17</f>
        <v>0</v>
      </c>
      <c r="F138" s="773">
        <f>'7. Scenario Detailed'!N17</f>
        <v>0</v>
      </c>
      <c r="G138" s="773">
        <f>'7. Scenario Detailed'!O17</f>
        <v>0</v>
      </c>
      <c r="H138" s="773">
        <f>'7. Scenario Detailed'!P17</f>
        <v>0</v>
      </c>
      <c r="I138" s="773">
        <f>'7. Scenario Detailed'!Q17</f>
        <v>0</v>
      </c>
      <c r="J138" s="773">
        <f>'7. Scenario Detailed'!R17</f>
        <v>0</v>
      </c>
      <c r="K138" s="773">
        <f>'7. Scenario Detailed'!S17</f>
        <v>0</v>
      </c>
      <c r="L138" s="773">
        <f>'7. Scenario Detailed'!T17</f>
        <v>0</v>
      </c>
      <c r="M138" s="773">
        <f>'7. Scenario Detailed'!U17</f>
        <v>0</v>
      </c>
      <c r="N138" s="773">
        <f>'7. Scenario Detailed'!V17</f>
        <v>0</v>
      </c>
      <c r="O138" s="773">
        <f>'7. Scenario Detailed'!W17</f>
        <v>0</v>
      </c>
      <c r="P138" s="773">
        <f>'7. Scenario Detailed'!X17</f>
        <v>0</v>
      </c>
      <c r="Q138" s="773">
        <f>'7. Scenario Detailed'!Y17</f>
        <v>0</v>
      </c>
      <c r="R138" s="773">
        <f>'7. Scenario Detailed'!Z17</f>
        <v>0</v>
      </c>
      <c r="S138" s="773">
        <f>'7. Scenario Detailed'!AA17</f>
        <v>0</v>
      </c>
      <c r="T138" s="773">
        <f>'7. Scenario Detailed'!AB17</f>
        <v>0</v>
      </c>
      <c r="U138" s="773">
        <f>'7. Scenario Detailed'!AC17</f>
        <v>0</v>
      </c>
      <c r="V138" s="773">
        <f>'7. Scenario Detailed'!AD17</f>
        <v>0</v>
      </c>
      <c r="W138" s="773">
        <f>'7. Scenario Detailed'!AE17</f>
        <v>0</v>
      </c>
      <c r="X138" s="773">
        <f>'7. Scenario Detailed'!AF17</f>
        <v>0</v>
      </c>
      <c r="Y138" s="773">
        <f>'7. Scenario Detailed'!AG17</f>
        <v>0</v>
      </c>
      <c r="Z138" s="773">
        <f>'7. Scenario Detailed'!AH17</f>
        <v>0</v>
      </c>
      <c r="AA138" s="773">
        <f>'7. Scenario Detailed'!AI17</f>
        <v>0</v>
      </c>
    </row>
  </sheetData>
  <sheetProtection formatCells="0" formatColumns="0" formatRows="0"/>
  <mergeCells count="2">
    <mergeCell ref="M2:O2"/>
    <mergeCell ref="J2:L2"/>
  </mergeCells>
  <pageMargins left="0.23622047244094491" right="3.937007874015748E-2" top="0.43307086614173229" bottom="0.19685039370078741" header="0.11811023622047245" footer="0.11811023622047245"/>
  <pageSetup paperSize="9" scale="37" orientation="landscape" r:id="rId1"/>
  <headerFooter>
    <oddFooter>&amp;R&amp;F &amp;A &amp;D 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3CF4-251D-4818-BE1A-1D3ED38D658D}">
  <sheetPr codeName="Sheet2">
    <tabColor theme="0" tint="-0.14999847407452621"/>
    <pageSetUpPr fitToPage="1"/>
  </sheetPr>
  <dimension ref="A1:E183"/>
  <sheetViews>
    <sheetView showGridLines="0" zoomScaleNormal="100" zoomScaleSheetLayoutView="75" workbookViewId="0">
      <selection activeCell="B3" sqref="B3"/>
    </sheetView>
  </sheetViews>
  <sheetFormatPr defaultRowHeight="14.25" outlineLevelRow="1" x14ac:dyDescent="0.45"/>
  <cols>
    <col min="1" max="1" width="8" customWidth="1"/>
    <col min="2" max="2" width="13.73046875" customWidth="1"/>
    <col min="3" max="3" width="107.19921875" customWidth="1"/>
    <col min="4" max="4" width="13.46484375" customWidth="1"/>
    <col min="5" max="5" width="42.796875" customWidth="1"/>
  </cols>
  <sheetData>
    <row r="1" spans="1:5" ht="21" x14ac:dyDescent="0.65">
      <c r="B1" s="909" t="str">
        <f>'1.Cover'!$C$2</f>
        <v xml:space="preserve">Performance and Expenditure Review of Provincial Government Housing Rental Stock </v>
      </c>
    </row>
    <row r="2" spans="1:5" ht="21" x14ac:dyDescent="0.65">
      <c r="B2" s="60" t="s">
        <v>85</v>
      </c>
    </row>
    <row r="3" spans="1:5" ht="18" x14ac:dyDescent="0.55000000000000004">
      <c r="C3" s="58"/>
    </row>
    <row r="4" spans="1:5" x14ac:dyDescent="0.45">
      <c r="B4" s="542" t="s">
        <v>86</v>
      </c>
      <c r="C4" s="336" t="s">
        <v>1019</v>
      </c>
      <c r="D4" s="336"/>
      <c r="E4" s="336" t="s">
        <v>87</v>
      </c>
    </row>
    <row r="5" spans="1:5" x14ac:dyDescent="0.45">
      <c r="B5" s="1138">
        <v>1</v>
      </c>
      <c r="C5" s="1101" t="s">
        <v>88</v>
      </c>
      <c r="D5" s="4"/>
      <c r="E5" s="917" t="s">
        <v>1409</v>
      </c>
    </row>
    <row r="6" spans="1:5" x14ac:dyDescent="0.45">
      <c r="B6" s="1138">
        <v>2</v>
      </c>
      <c r="C6" s="1101" t="s">
        <v>89</v>
      </c>
      <c r="D6" s="4"/>
      <c r="E6" s="917" t="s">
        <v>1650</v>
      </c>
    </row>
    <row r="7" spans="1:5" x14ac:dyDescent="0.45">
      <c r="B7" s="1138">
        <v>3</v>
      </c>
      <c r="C7" s="1101" t="s">
        <v>1341</v>
      </c>
      <c r="D7" s="4"/>
      <c r="E7" s="917" t="s">
        <v>1651</v>
      </c>
    </row>
    <row r="8" spans="1:5" x14ac:dyDescent="0.45">
      <c r="B8" s="1138">
        <v>4</v>
      </c>
      <c r="C8" s="1101" t="s">
        <v>1579</v>
      </c>
      <c r="D8" s="4"/>
      <c r="E8" s="917" t="s">
        <v>1652</v>
      </c>
    </row>
    <row r="9" spans="1:5" x14ac:dyDescent="0.45">
      <c r="A9" s="451" t="s">
        <v>1675</v>
      </c>
      <c r="B9" s="1040">
        <v>5</v>
      </c>
      <c r="C9" s="1041" t="s">
        <v>1691</v>
      </c>
      <c r="D9" s="336" t="s">
        <v>1675</v>
      </c>
      <c r="E9" s="917" t="s">
        <v>1603</v>
      </c>
    </row>
    <row r="10" spans="1:5" x14ac:dyDescent="0.45">
      <c r="A10" s="451"/>
      <c r="B10" s="1309">
        <v>5</v>
      </c>
      <c r="C10" s="1183" t="s">
        <v>1782</v>
      </c>
      <c r="D10" s="336"/>
      <c r="E10" s="917" t="s">
        <v>1788</v>
      </c>
    </row>
    <row r="11" spans="1:5" x14ac:dyDescent="0.45">
      <c r="A11" s="451"/>
      <c r="B11" s="1309">
        <v>5</v>
      </c>
      <c r="C11" s="1183" t="s">
        <v>1783</v>
      </c>
      <c r="D11" s="336"/>
      <c r="E11" s="917" t="s">
        <v>1789</v>
      </c>
    </row>
    <row r="12" spans="1:5" x14ac:dyDescent="0.45">
      <c r="A12" s="451"/>
      <c r="B12" s="1309">
        <v>5</v>
      </c>
      <c r="C12" s="1183" t="s">
        <v>1784</v>
      </c>
      <c r="D12" s="336"/>
      <c r="E12" s="917" t="s">
        <v>1790</v>
      </c>
    </row>
    <row r="13" spans="1:5" x14ac:dyDescent="0.45">
      <c r="A13" s="451"/>
      <c r="B13" s="1309">
        <v>5</v>
      </c>
      <c r="C13" s="1183" t="s">
        <v>1785</v>
      </c>
      <c r="D13" s="336"/>
      <c r="E13" s="917" t="s">
        <v>1791</v>
      </c>
    </row>
    <row r="14" spans="1:5" x14ac:dyDescent="0.45">
      <c r="A14" s="451"/>
      <c r="B14" s="1309">
        <v>5</v>
      </c>
      <c r="C14" s="1183" t="s">
        <v>1786</v>
      </c>
      <c r="D14" s="336"/>
      <c r="E14" s="917" t="s">
        <v>1792</v>
      </c>
    </row>
    <row r="15" spans="1:5" x14ac:dyDescent="0.45">
      <c r="A15" s="451"/>
      <c r="B15" s="1309">
        <v>5</v>
      </c>
      <c r="C15" s="1183" t="s">
        <v>1787</v>
      </c>
      <c r="D15" s="336"/>
      <c r="E15" s="917" t="s">
        <v>1793</v>
      </c>
    </row>
    <row r="16" spans="1:5" x14ac:dyDescent="0.45">
      <c r="B16" s="1198" t="s">
        <v>1607</v>
      </c>
      <c r="C16" s="1183" t="s">
        <v>1631</v>
      </c>
      <c r="D16" s="4"/>
      <c r="E16" s="917" t="s">
        <v>1599</v>
      </c>
    </row>
    <row r="17" spans="1:5" x14ac:dyDescent="0.45">
      <c r="B17" s="1198" t="s">
        <v>1647</v>
      </c>
      <c r="C17" s="1183" t="s">
        <v>1632</v>
      </c>
      <c r="D17" s="4"/>
      <c r="E17" s="917" t="s">
        <v>1600</v>
      </c>
    </row>
    <row r="18" spans="1:5" x14ac:dyDescent="0.45">
      <c r="B18" s="1198" t="s">
        <v>1648</v>
      </c>
      <c r="C18" s="1183" t="s">
        <v>1633</v>
      </c>
      <c r="D18" s="4"/>
      <c r="E18" s="917" t="s">
        <v>1601</v>
      </c>
    </row>
    <row r="19" spans="1:5" x14ac:dyDescent="0.45">
      <c r="B19" s="1198" t="s">
        <v>1649</v>
      </c>
      <c r="C19" s="1183" t="s">
        <v>1634</v>
      </c>
      <c r="D19" s="4"/>
      <c r="E19" s="917" t="s">
        <v>1602</v>
      </c>
    </row>
    <row r="20" spans="1:5" x14ac:dyDescent="0.45">
      <c r="B20" s="1198">
        <v>6</v>
      </c>
      <c r="C20" s="1183" t="s">
        <v>1605</v>
      </c>
      <c r="D20" s="4"/>
      <c r="E20" s="917" t="s">
        <v>1653</v>
      </c>
    </row>
    <row r="21" spans="1:5" x14ac:dyDescent="0.45">
      <c r="B21" s="1198">
        <v>7</v>
      </c>
      <c r="C21" s="1183" t="s">
        <v>1606</v>
      </c>
      <c r="D21" s="4"/>
      <c r="E21" s="917" t="s">
        <v>1654</v>
      </c>
    </row>
    <row r="22" spans="1:5" x14ac:dyDescent="0.45">
      <c r="B22" s="811">
        <v>8</v>
      </c>
      <c r="C22" s="812" t="s">
        <v>1635</v>
      </c>
      <c r="D22" s="541"/>
      <c r="E22" s="917" t="s">
        <v>1655</v>
      </c>
    </row>
    <row r="23" spans="1:5" x14ac:dyDescent="0.45">
      <c r="B23" s="811">
        <v>9</v>
      </c>
      <c r="C23" s="812" t="s">
        <v>1040</v>
      </c>
      <c r="D23" s="541"/>
      <c r="E23" s="917" t="s">
        <v>1656</v>
      </c>
    </row>
    <row r="24" spans="1:5" x14ac:dyDescent="0.45">
      <c r="B24" s="811" t="s">
        <v>1636</v>
      </c>
      <c r="C24" s="812" t="s">
        <v>1686</v>
      </c>
      <c r="D24" s="541"/>
      <c r="E24" s="917" t="s">
        <v>1657</v>
      </c>
    </row>
    <row r="25" spans="1:5" x14ac:dyDescent="0.45">
      <c r="A25" s="1230"/>
      <c r="B25" s="811" t="s">
        <v>1719</v>
      </c>
      <c r="C25" s="812" t="s">
        <v>1746</v>
      </c>
      <c r="D25" s="541"/>
      <c r="E25" s="917"/>
    </row>
    <row r="26" spans="1:5" x14ac:dyDescent="0.45">
      <c r="A26" s="1230"/>
      <c r="B26" s="811" t="s">
        <v>1720</v>
      </c>
      <c r="C26" s="812" t="s">
        <v>1743</v>
      </c>
      <c r="D26" s="541"/>
      <c r="E26" s="917"/>
    </row>
    <row r="27" spans="1:5" x14ac:dyDescent="0.45">
      <c r="A27" s="1230"/>
      <c r="B27" s="811" t="s">
        <v>1721</v>
      </c>
      <c r="C27" s="812" t="s">
        <v>1744</v>
      </c>
      <c r="D27" s="541"/>
      <c r="E27" s="917"/>
    </row>
    <row r="28" spans="1:5" x14ac:dyDescent="0.45">
      <c r="A28" s="1230"/>
      <c r="B28" s="811" t="s">
        <v>1722</v>
      </c>
      <c r="C28" s="812" t="s">
        <v>1745</v>
      </c>
      <c r="D28" s="541"/>
      <c r="E28" s="917"/>
    </row>
    <row r="29" spans="1:5" x14ac:dyDescent="0.45">
      <c r="B29" s="811" t="s">
        <v>1637</v>
      </c>
      <c r="C29" s="812" t="s">
        <v>1642</v>
      </c>
      <c r="D29" s="541"/>
      <c r="E29" s="917" t="s">
        <v>1658</v>
      </c>
    </row>
    <row r="30" spans="1:5" x14ac:dyDescent="0.45">
      <c r="A30" s="1230"/>
      <c r="B30" s="811" t="s">
        <v>1723</v>
      </c>
      <c r="C30" s="812" t="s">
        <v>1750</v>
      </c>
      <c r="D30" s="541"/>
      <c r="E30" s="917"/>
    </row>
    <row r="31" spans="1:5" x14ac:dyDescent="0.45">
      <c r="A31" s="1230"/>
      <c r="B31" s="811" t="s">
        <v>1724</v>
      </c>
      <c r="C31" s="812" t="s">
        <v>1747</v>
      </c>
      <c r="D31" s="541"/>
      <c r="E31" s="917"/>
    </row>
    <row r="32" spans="1:5" x14ac:dyDescent="0.45">
      <c r="A32" s="1230"/>
      <c r="B32" s="811" t="s">
        <v>1725</v>
      </c>
      <c r="C32" s="812" t="s">
        <v>1748</v>
      </c>
      <c r="D32" s="541"/>
      <c r="E32" s="917"/>
    </row>
    <row r="33" spans="1:5" x14ac:dyDescent="0.45">
      <c r="A33" s="1230"/>
      <c r="B33" s="811" t="s">
        <v>1726</v>
      </c>
      <c r="C33" s="812" t="s">
        <v>1749</v>
      </c>
      <c r="D33" s="541"/>
      <c r="E33" s="917"/>
    </row>
    <row r="34" spans="1:5" x14ac:dyDescent="0.45">
      <c r="B34" s="811" t="s">
        <v>1638</v>
      </c>
      <c r="C34" s="812" t="s">
        <v>1643</v>
      </c>
      <c r="D34" s="541"/>
      <c r="E34" s="917" t="s">
        <v>1659</v>
      </c>
    </row>
    <row r="35" spans="1:5" x14ac:dyDescent="0.45">
      <c r="A35" s="1230"/>
      <c r="B35" s="811" t="s">
        <v>1727</v>
      </c>
      <c r="C35" s="812" t="s">
        <v>1754</v>
      </c>
      <c r="D35" s="541"/>
      <c r="E35" s="917"/>
    </row>
    <row r="36" spans="1:5" x14ac:dyDescent="0.45">
      <c r="A36" s="1230"/>
      <c r="B36" s="811" t="s">
        <v>1728</v>
      </c>
      <c r="C36" s="812" t="s">
        <v>1751</v>
      </c>
      <c r="D36" s="541"/>
      <c r="E36" s="917"/>
    </row>
    <row r="37" spans="1:5" x14ac:dyDescent="0.45">
      <c r="A37" s="1230"/>
      <c r="B37" s="811" t="s">
        <v>1729</v>
      </c>
      <c r="C37" s="812" t="s">
        <v>1752</v>
      </c>
      <c r="D37" s="541"/>
      <c r="E37" s="917"/>
    </row>
    <row r="38" spans="1:5" x14ac:dyDescent="0.45">
      <c r="A38" s="1230"/>
      <c r="B38" s="811" t="s">
        <v>1730</v>
      </c>
      <c r="C38" s="812" t="s">
        <v>1753</v>
      </c>
      <c r="D38" s="541"/>
      <c r="E38" s="917"/>
    </row>
    <row r="39" spans="1:5" x14ac:dyDescent="0.45">
      <c r="B39" s="811" t="s">
        <v>1639</v>
      </c>
      <c r="C39" s="812" t="s">
        <v>1644</v>
      </c>
      <c r="D39" s="541"/>
      <c r="E39" s="917" t="s">
        <v>1660</v>
      </c>
    </row>
    <row r="40" spans="1:5" x14ac:dyDescent="0.45">
      <c r="A40" s="1230"/>
      <c r="B40" s="811" t="s">
        <v>1731</v>
      </c>
      <c r="C40" s="812" t="s">
        <v>1758</v>
      </c>
      <c r="D40" s="541"/>
      <c r="E40" s="917"/>
    </row>
    <row r="41" spans="1:5" x14ac:dyDescent="0.45">
      <c r="A41" s="1230"/>
      <c r="B41" s="811" t="s">
        <v>1732</v>
      </c>
      <c r="C41" s="812" t="s">
        <v>1755</v>
      </c>
      <c r="D41" s="541"/>
      <c r="E41" s="917"/>
    </row>
    <row r="42" spans="1:5" x14ac:dyDescent="0.45">
      <c r="A42" s="1230"/>
      <c r="B42" s="811" t="s">
        <v>1733</v>
      </c>
      <c r="C42" s="812" t="s">
        <v>1756</v>
      </c>
      <c r="D42" s="541"/>
      <c r="E42" s="917"/>
    </row>
    <row r="43" spans="1:5" x14ac:dyDescent="0.45">
      <c r="A43" s="1230"/>
      <c r="B43" s="811" t="s">
        <v>1734</v>
      </c>
      <c r="C43" s="812" t="s">
        <v>1757</v>
      </c>
      <c r="D43" s="541"/>
      <c r="E43" s="917"/>
    </row>
    <row r="44" spans="1:5" x14ac:dyDescent="0.45">
      <c r="B44" s="811" t="s">
        <v>1640</v>
      </c>
      <c r="C44" s="812" t="s">
        <v>1645</v>
      </c>
      <c r="D44" s="541"/>
      <c r="E44" s="917" t="s">
        <v>1661</v>
      </c>
    </row>
    <row r="45" spans="1:5" x14ac:dyDescent="0.45">
      <c r="A45" s="1230"/>
      <c r="B45" s="1251" t="s">
        <v>1735</v>
      </c>
      <c r="C45" s="812" t="s">
        <v>1762</v>
      </c>
      <c r="D45" s="541"/>
      <c r="E45" s="917"/>
    </row>
    <row r="46" spans="1:5" x14ac:dyDescent="0.45">
      <c r="A46" s="1230"/>
      <c r="B46" s="1251" t="s">
        <v>1736</v>
      </c>
      <c r="C46" s="812" t="s">
        <v>1759</v>
      </c>
      <c r="D46" s="541"/>
      <c r="E46" s="917"/>
    </row>
    <row r="47" spans="1:5" x14ac:dyDescent="0.45">
      <c r="A47" s="1230"/>
      <c r="B47" s="1252" t="s">
        <v>1737</v>
      </c>
      <c r="C47" s="812" t="s">
        <v>1760</v>
      </c>
      <c r="D47" s="541"/>
      <c r="E47" s="917"/>
    </row>
    <row r="48" spans="1:5" x14ac:dyDescent="0.45">
      <c r="A48" s="1230"/>
      <c r="B48" s="1251" t="s">
        <v>1738</v>
      </c>
      <c r="C48" s="812" t="s">
        <v>1761</v>
      </c>
      <c r="D48" s="541"/>
      <c r="E48" s="917"/>
    </row>
    <row r="49" spans="1:5" x14ac:dyDescent="0.45">
      <c r="B49" s="811" t="s">
        <v>1641</v>
      </c>
      <c r="C49" s="812" t="s">
        <v>1646</v>
      </c>
      <c r="E49" s="918" t="s">
        <v>1662</v>
      </c>
    </row>
    <row r="50" spans="1:5" x14ac:dyDescent="0.45">
      <c r="A50" s="1230"/>
      <c r="B50" s="811" t="s">
        <v>1739</v>
      </c>
      <c r="C50" s="812" t="s">
        <v>1766</v>
      </c>
      <c r="E50" s="918"/>
    </row>
    <row r="51" spans="1:5" x14ac:dyDescent="0.45">
      <c r="A51" s="1230"/>
      <c r="B51" s="811" t="s">
        <v>1740</v>
      </c>
      <c r="C51" s="812" t="s">
        <v>1763</v>
      </c>
      <c r="E51" s="918"/>
    </row>
    <row r="52" spans="1:5" x14ac:dyDescent="0.45">
      <c r="A52" s="1230"/>
      <c r="B52" s="811" t="s">
        <v>1741</v>
      </c>
      <c r="C52" s="812" t="s">
        <v>1764</v>
      </c>
      <c r="E52" s="918"/>
    </row>
    <row r="53" spans="1:5" x14ac:dyDescent="0.45">
      <c r="A53" s="1230"/>
      <c r="B53" s="811" t="s">
        <v>1742</v>
      </c>
      <c r="C53" s="812" t="s">
        <v>1765</v>
      </c>
      <c r="E53" s="918"/>
    </row>
    <row r="54" spans="1:5" x14ac:dyDescent="0.45">
      <c r="B54" s="1167">
        <v>10</v>
      </c>
      <c r="C54" s="1197" t="s">
        <v>1036</v>
      </c>
      <c r="E54" s="918" t="s">
        <v>1663</v>
      </c>
    </row>
    <row r="55" spans="1:5" x14ac:dyDescent="0.45">
      <c r="B55" s="1165">
        <v>11</v>
      </c>
      <c r="C55" s="1196" t="s">
        <v>1011</v>
      </c>
      <c r="E55" s="918" t="s">
        <v>1664</v>
      </c>
    </row>
    <row r="56" spans="1:5" x14ac:dyDescent="0.45">
      <c r="B56" s="1165">
        <v>12</v>
      </c>
      <c r="C56" s="1196" t="s">
        <v>1035</v>
      </c>
      <c r="E56" s="918" t="s">
        <v>1665</v>
      </c>
    </row>
    <row r="57" spans="1:5" x14ac:dyDescent="0.45">
      <c r="B57" s="1194">
        <v>13</v>
      </c>
      <c r="C57" s="1195" t="s">
        <v>1356</v>
      </c>
      <c r="E57" s="918" t="s">
        <v>1666</v>
      </c>
    </row>
    <row r="58" spans="1:5" x14ac:dyDescent="0.45">
      <c r="B58" s="1165">
        <v>14</v>
      </c>
      <c r="C58" s="1196" t="s">
        <v>1340</v>
      </c>
      <c r="E58" s="918" t="s">
        <v>1667</v>
      </c>
    </row>
    <row r="59" spans="1:5" outlineLevel="1" x14ac:dyDescent="0.45"/>
    <row r="60" spans="1:5" outlineLevel="1" x14ac:dyDescent="0.45">
      <c r="B60" s="451" t="s">
        <v>1292</v>
      </c>
    </row>
    <row r="61" spans="1:5" outlineLevel="1" x14ac:dyDescent="0.45">
      <c r="B61" s="1138"/>
      <c r="C61" t="s">
        <v>1586</v>
      </c>
    </row>
    <row r="62" spans="1:5" outlineLevel="1" x14ac:dyDescent="0.45">
      <c r="B62" s="1040"/>
      <c r="C62" s="747" t="s">
        <v>1587</v>
      </c>
    </row>
    <row r="63" spans="1:5" x14ac:dyDescent="0.45">
      <c r="B63" s="811"/>
      <c r="C63" s="747" t="s">
        <v>1588</v>
      </c>
    </row>
    <row r="64" spans="1:5" x14ac:dyDescent="0.45">
      <c r="B64" s="811"/>
      <c r="C64" s="451"/>
    </row>
    <row r="65" spans="1:5" x14ac:dyDescent="0.45">
      <c r="B65" s="811"/>
      <c r="C65" s="451"/>
    </row>
    <row r="66" spans="1:5" x14ac:dyDescent="0.45">
      <c r="B66" s="811"/>
      <c r="C66" s="451" t="s">
        <v>1668</v>
      </c>
    </row>
    <row r="67" spans="1:5" x14ac:dyDescent="0.45">
      <c r="A67" s="594" t="s">
        <v>324</v>
      </c>
      <c r="C67" s="451" t="str">
        <f>'10. Inputs &amp; Calcs'!D28</f>
        <v>SALES DEBTORS AND SALES INCOME</v>
      </c>
      <c r="E67" s="1139" t="s">
        <v>1670</v>
      </c>
    </row>
    <row r="68" spans="1:5" outlineLevel="1" x14ac:dyDescent="0.45">
      <c r="A68" s="597" t="str">
        <f>A67</f>
        <v>Sales</v>
      </c>
      <c r="B68">
        <f>'10. Inputs &amp; Calcs'!C32</f>
        <v>1</v>
      </c>
      <c r="C68" t="str">
        <f>'10. Inputs &amp; Calcs'!D32</f>
        <v>% of Properties held at 2016 sold in the forecast period</v>
      </c>
      <c r="D68" s="827">
        <v>32</v>
      </c>
      <c r="E68" s="918"/>
    </row>
    <row r="69" spans="1:5" outlineLevel="1" x14ac:dyDescent="0.45">
      <c r="A69" s="597" t="str">
        <f t="shared" ref="A69:A113" si="0">A68</f>
        <v>Sales</v>
      </c>
      <c r="B69">
        <f>'10. Inputs &amp; Calcs'!C41</f>
        <v>2</v>
      </c>
      <c r="C69" t="str">
        <f>'10. Inputs &amp; Calcs'!D41</f>
        <v>Flexed % of Properties held at 2016 sold in the forecast period</v>
      </c>
      <c r="D69" s="827">
        <v>41</v>
      </c>
      <c r="E69" s="918"/>
    </row>
    <row r="70" spans="1:5" outlineLevel="1" x14ac:dyDescent="0.45">
      <c r="A70" s="597" t="str">
        <f t="shared" si="0"/>
        <v>Sales</v>
      </c>
      <c r="B70">
        <f>'10. Inputs &amp; Calcs'!C50</f>
        <v>3</v>
      </c>
      <c r="C70" t="str">
        <f>'10. Inputs &amp; Calcs'!D50</f>
        <v>No. of Rental Units Sold (Increase in No. of Sales Debtors)</v>
      </c>
      <c r="D70" s="827">
        <f>D69+9</f>
        <v>50</v>
      </c>
      <c r="E70" s="918"/>
    </row>
    <row r="71" spans="1:5" outlineLevel="1" x14ac:dyDescent="0.45">
      <c r="A71" s="597" t="str">
        <f t="shared" si="0"/>
        <v>Sales</v>
      </c>
      <c r="B71">
        <f>'10. Inputs &amp; Calcs'!C59</f>
        <v>4</v>
      </c>
      <c r="C71" s="1008" t="str">
        <f>'10. Inputs &amp; Calcs'!D59</f>
        <v>No. of New Sales Debtors Settled in Full Immediately by EEDBS Calculated (Decrease in No. of New Sales Debtors)</v>
      </c>
      <c r="D71" s="827">
        <f>D70+9</f>
        <v>59</v>
      </c>
      <c r="E71" s="918"/>
    </row>
    <row r="72" spans="1:5" outlineLevel="1" x14ac:dyDescent="0.45">
      <c r="A72" s="597" t="str">
        <f t="shared" si="0"/>
        <v>Sales</v>
      </c>
      <c r="B72">
        <f>'10. Inputs &amp; Calcs'!C68</f>
        <v>5</v>
      </c>
      <c r="C72" t="str">
        <f>'10. Inputs &amp; Calcs'!D68</f>
        <v>No. of Units Devolved to Municipalties</v>
      </c>
      <c r="D72" s="827">
        <f>D71+9</f>
        <v>68</v>
      </c>
      <c r="E72" s="918"/>
    </row>
    <row r="73" spans="1:5" outlineLevel="1" x14ac:dyDescent="0.45">
      <c r="A73" s="597" t="str">
        <f t="shared" si="0"/>
        <v>Sales</v>
      </c>
      <c r="B73">
        <f>'10. Inputs &amp; Calcs'!C77</f>
        <v>6</v>
      </c>
      <c r="C73" t="str">
        <f>'10. Inputs &amp; Calcs'!D77</f>
        <v>No. of Sale &amp; Loan Debtors Accounts</v>
      </c>
      <c r="D73" s="827">
        <f>D72+9</f>
        <v>77</v>
      </c>
      <c r="E73" s="918"/>
    </row>
    <row r="74" spans="1:5" outlineLevel="1" x14ac:dyDescent="0.45">
      <c r="A74" s="597" t="str">
        <f t="shared" si="0"/>
        <v>Sales</v>
      </c>
      <c r="B74">
        <f>'10. Inputs &amp; Calcs'!C86</f>
        <v>7</v>
      </c>
      <c r="C74" t="str">
        <f>'10. Inputs &amp; Calcs'!D86</f>
        <v>Total Sales And Loan Debtors Opening Balance</v>
      </c>
      <c r="D74" s="827">
        <f>D73+9</f>
        <v>86</v>
      </c>
      <c r="E74" s="918"/>
    </row>
    <row r="75" spans="1:5" outlineLevel="1" x14ac:dyDescent="0.45">
      <c r="A75" s="597" t="str">
        <f t="shared" si="0"/>
        <v>Sales</v>
      </c>
      <c r="B75">
        <f>'10. Inputs &amp; Calcs'!C96</f>
        <v>8</v>
      </c>
      <c r="C75" t="str">
        <f>'10. Inputs &amp; Calcs'!D96</f>
        <v>% of Sales Debtors Accounts Cleared (% Decrease in No. of Sales Debtors)</v>
      </c>
      <c r="D75" s="827">
        <f>D74+10</f>
        <v>96</v>
      </c>
      <c r="E75" s="543"/>
    </row>
    <row r="76" spans="1:5" outlineLevel="1" x14ac:dyDescent="0.45">
      <c r="A76" s="597" t="str">
        <f t="shared" si="0"/>
        <v>Sales</v>
      </c>
      <c r="B76">
        <f>'10. Inputs &amp; Calcs'!C105</f>
        <v>9</v>
      </c>
      <c r="C76" t="str">
        <f>'10. Inputs &amp; Calcs'!D105</f>
        <v>No. of Sales Debtors Accounts Cleared (Decrease in No. of Sales Debtors)</v>
      </c>
      <c r="D76" s="827">
        <f t="shared" ref="D76:D113" si="1">D75+9</f>
        <v>105</v>
      </c>
      <c r="E76" s="543"/>
    </row>
    <row r="77" spans="1:5" outlineLevel="1" x14ac:dyDescent="0.45">
      <c r="A77" s="597" t="str">
        <f t="shared" si="0"/>
        <v>Sales</v>
      </c>
      <c r="B77">
        <f>'10. Inputs &amp; Calcs'!C114</f>
        <v>10</v>
      </c>
      <c r="C77" t="str">
        <f>'10. Inputs &amp; Calcs'!D114</f>
        <v>No. of Sales Debtors Remaining After Clearance</v>
      </c>
      <c r="D77" s="827">
        <f t="shared" si="1"/>
        <v>114</v>
      </c>
      <c r="E77" s="543"/>
    </row>
    <row r="78" spans="1:5" outlineLevel="1" x14ac:dyDescent="0.45">
      <c r="A78" s="597" t="str">
        <f t="shared" si="0"/>
        <v>Sales</v>
      </c>
      <c r="B78">
        <f>'10. Inputs &amp; Calcs'!C123</f>
        <v>11</v>
      </c>
      <c r="C78" t="str">
        <f>'10. Inputs &amp; Calcs'!D123</f>
        <v>% of Tenants Qualifying for EEDBS</v>
      </c>
      <c r="D78" s="827">
        <f t="shared" si="1"/>
        <v>123</v>
      </c>
      <c r="E78" s="543"/>
    </row>
    <row r="79" spans="1:5" outlineLevel="1" x14ac:dyDescent="0.45">
      <c r="A79" s="597" t="str">
        <f t="shared" si="0"/>
        <v>Sales</v>
      </c>
      <c r="B79">
        <f>'10. Inputs &amp; Calcs'!C132</f>
        <v>12</v>
      </c>
      <c r="C79" t="str">
        <f>'10. Inputs &amp; Calcs'!D132</f>
        <v>EEDBS Calculated</v>
      </c>
      <c r="D79" s="827">
        <f t="shared" si="1"/>
        <v>132</v>
      </c>
      <c r="E79" s="543"/>
    </row>
    <row r="80" spans="1:5" outlineLevel="1" x14ac:dyDescent="0.45">
      <c r="A80" s="597" t="str">
        <f t="shared" si="0"/>
        <v>Sales</v>
      </c>
      <c r="B80">
        <f>'10. Inputs &amp; Calcs'!C142</f>
        <v>13</v>
      </c>
      <c r="C80" t="str">
        <f>'10. Inputs &amp; Calcs'!D142</f>
        <v>Total EEDBS Paid p.a. i.r.o. Existing Rental Units</v>
      </c>
      <c r="D80" s="827">
        <f>D79+10</f>
        <v>142</v>
      </c>
      <c r="E80" s="543"/>
    </row>
    <row r="81" spans="1:5" outlineLevel="1" x14ac:dyDescent="0.45">
      <c r="A81" s="597" t="str">
        <f t="shared" si="0"/>
        <v>Sales</v>
      </c>
      <c r="B81">
        <f>'10. Inputs &amp; Calcs'!C151</f>
        <v>14</v>
      </c>
      <c r="C81" t="str">
        <f>'10. Inputs &amp; Calcs'!D151</f>
        <v>Alternate EEDBS Paid i.r.o Sale Debtors p.a.</v>
      </c>
      <c r="D81" s="827">
        <f>D80+9</f>
        <v>151</v>
      </c>
      <c r="E81" s="543"/>
    </row>
    <row r="82" spans="1:5" outlineLevel="1" x14ac:dyDescent="0.45">
      <c r="A82" s="597" t="str">
        <f t="shared" si="0"/>
        <v>Sales</v>
      </c>
      <c r="B82">
        <f>'10. Inputs &amp; Calcs'!C160</f>
        <v>15</v>
      </c>
      <c r="C82" t="str">
        <f>'10. Inputs &amp; Calcs'!D160</f>
        <v>No. of Sales &amp; Loans Accounts Raised</v>
      </c>
      <c r="D82" s="827">
        <f>D81+9</f>
        <v>160</v>
      </c>
      <c r="E82" s="543"/>
    </row>
    <row r="83" spans="1:5" outlineLevel="1" x14ac:dyDescent="0.45">
      <c r="A83" s="597" t="str">
        <f t="shared" si="0"/>
        <v>Sales</v>
      </c>
      <c r="B83">
        <f>'10. Inputs &amp; Calcs'!C169</f>
        <v>16</v>
      </c>
      <c r="C83" t="str">
        <f>'10. Inputs &amp; Calcs'!D169</f>
        <v>Average debt per sale debtor</v>
      </c>
      <c r="D83" s="827">
        <f t="shared" si="1"/>
        <v>169</v>
      </c>
      <c r="E83" s="543"/>
    </row>
    <row r="84" spans="1:5" outlineLevel="1" x14ac:dyDescent="0.45">
      <c r="A84" s="597" t="str">
        <f t="shared" si="0"/>
        <v>Sales</v>
      </c>
      <c r="B84">
        <f>'10. Inputs &amp; Calcs'!C178</f>
        <v>17</v>
      </c>
      <c r="C84" t="str">
        <f>'10. Inputs &amp; Calcs'!D178</f>
        <v>Movement in No. of Sales Debtors</v>
      </c>
      <c r="D84" s="827">
        <f t="shared" si="1"/>
        <v>178</v>
      </c>
      <c r="E84" s="543"/>
    </row>
    <row r="85" spans="1:5" outlineLevel="1" x14ac:dyDescent="0.45">
      <c r="A85" s="597" t="str">
        <f t="shared" si="0"/>
        <v>Sales</v>
      </c>
      <c r="B85">
        <f>'10. Inputs &amp; Calcs'!C186</f>
        <v>18</v>
      </c>
      <c r="C85" t="str">
        <f>'10. Inputs &amp; Calcs'!D186</f>
        <v>Movement in Sales Debtors Balance</v>
      </c>
      <c r="D85" s="827">
        <f>D84+8</f>
        <v>186</v>
      </c>
      <c r="E85" s="543"/>
    </row>
    <row r="86" spans="1:5" outlineLevel="1" x14ac:dyDescent="0.45">
      <c r="A86" s="597" t="str">
        <f t="shared" si="0"/>
        <v>Sales</v>
      </c>
      <c r="B86">
        <f>'10. Inputs &amp; Calcs'!C194</f>
        <v>19</v>
      </c>
      <c r="C86" t="str">
        <f>'10. Inputs &amp; Calcs'!D194</f>
        <v>No. of New Sale Debtors (Rental Properties Sold to Occupants)</v>
      </c>
      <c r="D86" s="827">
        <f>D85+8</f>
        <v>194</v>
      </c>
      <c r="E86" s="543"/>
    </row>
    <row r="87" spans="1:5" outlineLevel="1" x14ac:dyDescent="0.45">
      <c r="A87" s="597" t="str">
        <f t="shared" si="0"/>
        <v>Sales</v>
      </c>
      <c r="B87">
        <f>'10. Inputs &amp; Calcs'!C203</f>
        <v>20</v>
      </c>
      <c r="C87" t="str">
        <f>'10. Inputs &amp; Calcs'!D203</f>
        <v>EEDBS Fixed - per Unit</v>
      </c>
      <c r="D87" s="827">
        <f t="shared" si="1"/>
        <v>203</v>
      </c>
      <c r="E87" s="543"/>
    </row>
    <row r="88" spans="1:5" outlineLevel="1" x14ac:dyDescent="0.45">
      <c r="A88" s="597" t="str">
        <f t="shared" si="0"/>
        <v>Sales</v>
      </c>
      <c r="B88">
        <f>'10. Inputs &amp; Calcs'!C212</f>
        <v>21</v>
      </c>
      <c r="C88" t="str">
        <f>'10. Inputs &amp; Calcs'!D212</f>
        <v>EEDBS Fixed - Total Utilised on Transfer to Tenants</v>
      </c>
      <c r="D88" s="827">
        <f t="shared" si="1"/>
        <v>212</v>
      </c>
      <c r="E88" s="543"/>
    </row>
    <row r="89" spans="1:5" outlineLevel="1" x14ac:dyDescent="0.45">
      <c r="A89" s="597" t="str">
        <f t="shared" si="0"/>
        <v>Sales</v>
      </c>
      <c r="B89">
        <f>'10. Inputs &amp; Calcs'!C221</f>
        <v>22</v>
      </c>
      <c r="C89" t="str">
        <f>'10. Inputs &amp; Calcs'!D221</f>
        <v>Amount of New Sale Debtors after deduction of fixed EEDBS amount (Settled by EEDBS under the Calc option)</v>
      </c>
      <c r="D89" s="827">
        <f t="shared" si="1"/>
        <v>221</v>
      </c>
      <c r="E89" s="543"/>
    </row>
    <row r="90" spans="1:5" outlineLevel="1" x14ac:dyDescent="0.45">
      <c r="A90" s="597" t="str">
        <f t="shared" si="0"/>
        <v>Sales</v>
      </c>
      <c r="B90">
        <f>'10. Inputs &amp; Calcs'!C230</f>
        <v>23</v>
      </c>
      <c r="C90" t="str">
        <f>'10. Inputs &amp; Calcs'!D230</f>
        <v>Total New Sale Debtors settled</v>
      </c>
      <c r="D90" s="827">
        <f t="shared" si="1"/>
        <v>230</v>
      </c>
      <c r="E90" s="543"/>
    </row>
    <row r="91" spans="1:5" outlineLevel="1" x14ac:dyDescent="0.45">
      <c r="A91" s="597" t="str">
        <f t="shared" si="0"/>
        <v>Sales</v>
      </c>
      <c r="B91">
        <f>'10. Inputs &amp; Calcs'!C239</f>
        <v>24</v>
      </c>
      <c r="C91" t="str">
        <f>'10. Inputs &amp; Calcs'!D239</f>
        <v>No. of Existing Sale Debtors settled</v>
      </c>
      <c r="D91" s="827">
        <f t="shared" si="1"/>
        <v>239</v>
      </c>
      <c r="E91" s="543"/>
    </row>
    <row r="92" spans="1:5" outlineLevel="1" x14ac:dyDescent="0.45">
      <c r="A92" s="597" t="str">
        <f t="shared" si="0"/>
        <v>Sales</v>
      </c>
      <c r="B92">
        <f>'10. Inputs &amp; Calcs'!C248</f>
        <v>25</v>
      </c>
      <c r="C92" t="str">
        <f>'10. Inputs &amp; Calcs'!D248</f>
        <v>Existing Sale Debtors settled</v>
      </c>
      <c r="D92" s="827">
        <f t="shared" si="1"/>
        <v>248</v>
      </c>
      <c r="E92" s="543"/>
    </row>
    <row r="93" spans="1:5" outlineLevel="1" x14ac:dyDescent="0.45">
      <c r="A93" s="597" t="str">
        <f t="shared" si="0"/>
        <v>Sales</v>
      </c>
      <c r="B93">
        <f>'10. Inputs &amp; Calcs'!C257</f>
        <v>26</v>
      </c>
      <c r="C93" t="str">
        <f>'10. Inputs &amp; Calcs'!D257</f>
        <v>New Sale Debtors (Rental Properties Sold to Occupants)</v>
      </c>
      <c r="D93" s="827">
        <f t="shared" si="1"/>
        <v>257</v>
      </c>
      <c r="E93" s="543"/>
    </row>
    <row r="94" spans="1:5" outlineLevel="1" x14ac:dyDescent="0.45">
      <c r="A94" s="597" t="str">
        <f t="shared" si="0"/>
        <v>Sales</v>
      </c>
      <c r="B94">
        <f>'10. Inputs &amp; Calcs'!C267</f>
        <v>27</v>
      </c>
      <c r="C94" t="str">
        <f>'10. Inputs &amp; Calcs'!D267</f>
        <v>Sales Debtors Control Account</v>
      </c>
      <c r="D94" s="827">
        <f>D93+10</f>
        <v>267</v>
      </c>
      <c r="E94" s="543"/>
    </row>
    <row r="95" spans="1:5" outlineLevel="1" x14ac:dyDescent="0.45">
      <c r="A95" s="597" t="str">
        <f t="shared" si="0"/>
        <v>Sales</v>
      </c>
      <c r="B95">
        <f>'10. Inputs &amp; Calcs'!C278</f>
        <v>28</v>
      </c>
      <c r="C95" t="str">
        <f>'10. Inputs &amp; Calcs'!D278</f>
        <v>Total EEDBS per Province and Scenario Tested</v>
      </c>
      <c r="D95" s="827">
        <f>D94+11</f>
        <v>278</v>
      </c>
      <c r="E95" s="543"/>
    </row>
    <row r="96" spans="1:5" outlineLevel="1" x14ac:dyDescent="0.45">
      <c r="A96" s="597" t="str">
        <f t="shared" si="0"/>
        <v>Sales</v>
      </c>
      <c r="B96">
        <f>'10. Inputs &amp; Calcs'!C287</f>
        <v>29</v>
      </c>
      <c r="C96" t="str">
        <f>'10. Inputs &amp; Calcs'!D287</f>
        <v>Total EEDBS per Province Base Case - Forecast Period</v>
      </c>
      <c r="D96" s="827">
        <f t="shared" si="1"/>
        <v>287</v>
      </c>
      <c r="E96" s="543"/>
    </row>
    <row r="97" spans="1:5" outlineLevel="1" x14ac:dyDescent="0.45">
      <c r="A97" s="597" t="str">
        <f t="shared" si="0"/>
        <v>Sales</v>
      </c>
      <c r="B97">
        <f>'10. Inputs &amp; Calcs'!C296</f>
        <v>30</v>
      </c>
      <c r="C97" t="str">
        <f>'10. Inputs &amp; Calcs'!D296</f>
        <v>Total EEDBS per Province Base Case - MTEF Period</v>
      </c>
      <c r="D97" s="827">
        <f t="shared" si="1"/>
        <v>296</v>
      </c>
      <c r="E97" s="543"/>
    </row>
    <row r="98" spans="1:5" outlineLevel="1" x14ac:dyDescent="0.45">
      <c r="A98" s="597" t="str">
        <f t="shared" si="0"/>
        <v>Sales</v>
      </c>
      <c r="B98">
        <f>'10. Inputs &amp; Calcs'!C305</f>
        <v>31</v>
      </c>
      <c r="C98" t="str">
        <f>'10. Inputs &amp; Calcs'!D305</f>
        <v>Debtors Control Accounts per Province - EC</v>
      </c>
      <c r="D98" s="827">
        <f t="shared" si="1"/>
        <v>305</v>
      </c>
      <c r="E98" s="543"/>
    </row>
    <row r="99" spans="1:5" outlineLevel="1" x14ac:dyDescent="0.45">
      <c r="A99" s="597" t="str">
        <f t="shared" si="0"/>
        <v>Sales</v>
      </c>
      <c r="B99">
        <f>'10. Inputs &amp; Calcs'!C314</f>
        <v>32</v>
      </c>
      <c r="C99" t="str">
        <f>'10. Inputs &amp; Calcs'!D314</f>
        <v>Debtors Control Accounts per Province - FS</v>
      </c>
      <c r="D99" s="827">
        <f t="shared" si="1"/>
        <v>314</v>
      </c>
      <c r="E99" s="543"/>
    </row>
    <row r="100" spans="1:5" outlineLevel="1" x14ac:dyDescent="0.45">
      <c r="A100" s="597" t="str">
        <f t="shared" si="0"/>
        <v>Sales</v>
      </c>
      <c r="B100">
        <f>'10. Inputs &amp; Calcs'!C323</f>
        <v>33</v>
      </c>
      <c r="C100" t="str">
        <f>'10. Inputs &amp; Calcs'!D323</f>
        <v>Debtors Control Accounts per Province - Gau</v>
      </c>
      <c r="D100" s="827">
        <f t="shared" si="1"/>
        <v>323</v>
      </c>
      <c r="E100" s="543"/>
    </row>
    <row r="101" spans="1:5" outlineLevel="1" x14ac:dyDescent="0.45">
      <c r="A101" s="597" t="str">
        <f t="shared" si="0"/>
        <v>Sales</v>
      </c>
      <c r="B101">
        <f>'10. Inputs &amp; Calcs'!C332</f>
        <v>34</v>
      </c>
      <c r="C101" t="str">
        <f>'10. Inputs &amp; Calcs'!D332</f>
        <v>Debtors Control Accounts per Province - KZN</v>
      </c>
      <c r="D101" s="827">
        <f t="shared" si="1"/>
        <v>332</v>
      </c>
      <c r="E101" s="543"/>
    </row>
    <row r="102" spans="1:5" outlineLevel="1" x14ac:dyDescent="0.45">
      <c r="A102" s="597" t="str">
        <f t="shared" si="0"/>
        <v>Sales</v>
      </c>
      <c r="B102">
        <f>'10. Inputs &amp; Calcs'!C341</f>
        <v>35</v>
      </c>
      <c r="C102" t="str">
        <f>'10. Inputs &amp; Calcs'!D341</f>
        <v>Debtors Control Accounts per Province - WC</v>
      </c>
      <c r="D102" s="827">
        <f t="shared" si="1"/>
        <v>341</v>
      </c>
      <c r="E102" s="543"/>
    </row>
    <row r="103" spans="1:5" outlineLevel="1" x14ac:dyDescent="0.45">
      <c r="A103" s="597" t="str">
        <f t="shared" si="0"/>
        <v>Sales</v>
      </c>
      <c r="B103">
        <f>'10. Inputs &amp; Calcs'!C350</f>
        <v>36</v>
      </c>
      <c r="C103" t="str">
        <f>'10. Inputs &amp; Calcs'!D350</f>
        <v>Debtors Control Accounts per Province - Total</v>
      </c>
      <c r="D103" s="827">
        <f t="shared" si="1"/>
        <v>350</v>
      </c>
      <c r="E103" s="543"/>
    </row>
    <row r="104" spans="1:5" outlineLevel="1" x14ac:dyDescent="0.45">
      <c r="A104" s="597" t="str">
        <f t="shared" si="0"/>
        <v>Sales</v>
      </c>
      <c r="B104">
        <f>'10. Inputs &amp; Calcs'!C359</f>
        <v>37</v>
      </c>
      <c r="C104" t="str">
        <f>'10. Inputs &amp; Calcs'!D359</f>
        <v>Total EEDBS Paid per Province for Transfer of Rental Properties</v>
      </c>
      <c r="D104" s="827">
        <f t="shared" si="1"/>
        <v>359</v>
      </c>
      <c r="E104" s="543"/>
    </row>
    <row r="105" spans="1:5" outlineLevel="1" x14ac:dyDescent="0.45">
      <c r="A105" s="597" t="str">
        <f t="shared" si="0"/>
        <v>Sales</v>
      </c>
      <c r="B105">
        <f>'10. Inputs &amp; Calcs'!C368</f>
        <v>38</v>
      </c>
      <c r="C105" t="str">
        <f>'10. Inputs &amp; Calcs'!D368</f>
        <v>Total EEDBS Paid per Province for Closure of Existing Sale Accounts</v>
      </c>
      <c r="D105" s="827">
        <f t="shared" si="1"/>
        <v>368</v>
      </c>
      <c r="E105" s="543"/>
    </row>
    <row r="106" spans="1:5" outlineLevel="1" x14ac:dyDescent="0.45">
      <c r="A106" s="597" t="str">
        <f t="shared" si="0"/>
        <v>Sales</v>
      </c>
      <c r="B106">
        <f>'10. Inputs &amp; Calcs'!C377</f>
        <v>39</v>
      </c>
      <c r="C106" t="str">
        <f>'10. Inputs &amp; Calcs'!D377</f>
        <v>Total EEDBS for Previous Rentals and Closure of Sale Accounts</v>
      </c>
      <c r="D106" s="827">
        <f t="shared" si="1"/>
        <v>377</v>
      </c>
      <c r="E106" s="543"/>
    </row>
    <row r="107" spans="1:5" outlineLevel="1" x14ac:dyDescent="0.45">
      <c r="A107" s="597" t="str">
        <f t="shared" si="0"/>
        <v>Sales</v>
      </c>
      <c r="B107">
        <f>'10. Inputs &amp; Calcs'!C386</f>
        <v>40</v>
      </c>
      <c r="C107" t="str">
        <f>'10. Inputs &amp; Calcs'!D386</f>
        <v>Total EEDBS Utilised for Settlement of Existing Sales &amp; Loan Accounts</v>
      </c>
      <c r="D107" s="827">
        <f t="shared" si="1"/>
        <v>386</v>
      </c>
      <c r="E107" s="543"/>
    </row>
    <row r="108" spans="1:5" outlineLevel="1" x14ac:dyDescent="0.45">
      <c r="A108" s="597" t="str">
        <f t="shared" si="0"/>
        <v>Sales</v>
      </c>
      <c r="B108">
        <f>'10. Inputs &amp; Calcs'!C395</f>
        <v>41</v>
      </c>
      <c r="C108" t="str">
        <f>'10. Inputs &amp; Calcs'!D395</f>
        <v>Total Sale &amp; Loan Debtors (Existing)</v>
      </c>
      <c r="D108" s="827">
        <f t="shared" si="1"/>
        <v>395</v>
      </c>
      <c r="E108" s="543"/>
    </row>
    <row r="109" spans="1:5" outlineLevel="1" x14ac:dyDescent="0.45">
      <c r="A109" s="597" t="str">
        <f t="shared" si="0"/>
        <v>Sales</v>
      </c>
      <c r="B109">
        <f>'10. Inputs &amp; Calcs'!C404</f>
        <v>42</v>
      </c>
      <c r="C109" t="str">
        <f>'10. Inputs &amp; Calcs'!D404</f>
        <v>Sales - Average Sales Value per unit</v>
      </c>
      <c r="D109" s="827">
        <f t="shared" si="1"/>
        <v>404</v>
      </c>
      <c r="E109" s="543"/>
    </row>
    <row r="110" spans="1:5" outlineLevel="1" x14ac:dyDescent="0.45">
      <c r="A110" s="597" t="str">
        <f t="shared" si="0"/>
        <v>Sales</v>
      </c>
      <c r="B110">
        <f>'10. Inputs &amp; Calcs'!C413</f>
        <v>43</v>
      </c>
      <c r="C110" t="str">
        <f>'10. Inputs &amp; Calcs'!D413</f>
        <v>Sales Raised - Historic Over the Last 3 Years</v>
      </c>
      <c r="D110" s="827">
        <f t="shared" si="1"/>
        <v>413</v>
      </c>
      <c r="E110" s="543"/>
    </row>
    <row r="111" spans="1:5" outlineLevel="1" x14ac:dyDescent="0.45">
      <c r="A111" s="597" t="str">
        <f t="shared" si="0"/>
        <v>Sales</v>
      </c>
      <c r="B111">
        <f>'10. Inputs &amp; Calcs'!C422</f>
        <v>44</v>
      </c>
      <c r="C111" t="str">
        <f>'10. Inputs &amp; Calcs'!D422</f>
        <v>Sales Raised - Forecast</v>
      </c>
      <c r="D111" s="827">
        <f t="shared" si="1"/>
        <v>422</v>
      </c>
      <c r="E111" s="543"/>
    </row>
    <row r="112" spans="1:5" outlineLevel="1" x14ac:dyDescent="0.45">
      <c r="A112" s="597" t="str">
        <f t="shared" si="0"/>
        <v>Sales</v>
      </c>
      <c r="B112">
        <f>'10. Inputs &amp; Calcs'!C431</f>
        <v>45</v>
      </c>
      <c r="C112" t="str">
        <f>'10. Inputs &amp; Calcs'!D431</f>
        <v>Sales Collected</v>
      </c>
      <c r="D112" s="827">
        <f t="shared" si="1"/>
        <v>431</v>
      </c>
      <c r="E112" s="543"/>
    </row>
    <row r="113" spans="1:5" outlineLevel="1" x14ac:dyDescent="0.45">
      <c r="A113" s="622" t="str">
        <f t="shared" si="0"/>
        <v>Sales</v>
      </c>
      <c r="B113">
        <f>'10. Inputs &amp; Calcs'!C440</f>
        <v>46</v>
      </c>
      <c r="C113" t="str">
        <f>'10. Inputs &amp; Calcs'!D440</f>
        <v>Sales Collection %</v>
      </c>
      <c r="D113" s="827">
        <f t="shared" si="1"/>
        <v>440</v>
      </c>
      <c r="E113" s="543"/>
    </row>
    <row r="114" spans="1:5" x14ac:dyDescent="0.45">
      <c r="A114" s="654"/>
      <c r="D114" s="827"/>
    </row>
    <row r="115" spans="1:5" x14ac:dyDescent="0.45">
      <c r="A115" s="655" t="s">
        <v>324</v>
      </c>
      <c r="C115" s="451" t="str">
        <f>'10. Inputs &amp; Calcs'!D449</f>
        <v>DISPOSAL COSTS</v>
      </c>
      <c r="D115" s="827"/>
      <c r="E115" s="1139" t="s">
        <v>1671</v>
      </c>
    </row>
    <row r="116" spans="1:5" outlineLevel="1" x14ac:dyDescent="0.45">
      <c r="A116" s="652" t="str">
        <f t="shared" ref="A116:A122" si="2">A115</f>
        <v>Sales</v>
      </c>
      <c r="B116">
        <f>'10. Inputs &amp; Calcs'!C453</f>
        <v>47</v>
      </c>
      <c r="C116" t="str">
        <f>'10. Inputs &amp; Calcs'!D453</f>
        <v>Municipal Clearance Certficate per unit</v>
      </c>
      <c r="D116" s="827">
        <f>D113+13</f>
        <v>453</v>
      </c>
      <c r="E116" s="543"/>
    </row>
    <row r="117" spans="1:5" outlineLevel="1" x14ac:dyDescent="0.45">
      <c r="A117" s="652" t="str">
        <f t="shared" si="2"/>
        <v>Sales</v>
      </c>
      <c r="B117">
        <f>'10. Inputs &amp; Calcs'!C462</f>
        <v>48</v>
      </c>
      <c r="C117" t="str">
        <f>'10. Inputs &amp; Calcs'!D462</f>
        <v>Conveyancing Fees per unit</v>
      </c>
      <c r="D117" s="827">
        <f t="shared" ref="D117:D122" si="3">D116+9</f>
        <v>462</v>
      </c>
      <c r="E117" s="543"/>
    </row>
    <row r="118" spans="1:5" outlineLevel="1" x14ac:dyDescent="0.45">
      <c r="A118" s="652" t="str">
        <f t="shared" si="2"/>
        <v>Sales</v>
      </c>
      <c r="B118">
        <f>'10. Inputs &amp; Calcs'!C471</f>
        <v>49</v>
      </c>
      <c r="C118" t="str">
        <f>'10. Inputs &amp; Calcs'!D471</f>
        <v>Social Facilitation and Audit per unit</v>
      </c>
      <c r="D118" s="827">
        <f t="shared" si="3"/>
        <v>471</v>
      </c>
      <c r="E118" s="543"/>
    </row>
    <row r="119" spans="1:5" outlineLevel="1" x14ac:dyDescent="0.45">
      <c r="A119" s="652" t="str">
        <f t="shared" si="2"/>
        <v>Sales</v>
      </c>
      <c r="B119">
        <f>'10. Inputs &amp; Calcs'!C480</f>
        <v>50</v>
      </c>
      <c r="C119" t="str">
        <f>'10. Inputs &amp; Calcs'!D480</f>
        <v>Maintenance per unit</v>
      </c>
      <c r="D119" s="827">
        <f t="shared" si="3"/>
        <v>480</v>
      </c>
      <c r="E119" s="543"/>
    </row>
    <row r="120" spans="1:5" outlineLevel="1" x14ac:dyDescent="0.45">
      <c r="A120" s="652" t="str">
        <f t="shared" si="2"/>
        <v>Sales</v>
      </c>
      <c r="B120">
        <f>'10. Inputs &amp; Calcs'!C489</f>
        <v>51</v>
      </c>
      <c r="C120" t="str">
        <f>'10. Inputs &amp; Calcs'!D489</f>
        <v>Outsourced Sales Administration per unit</v>
      </c>
      <c r="D120" s="827">
        <f t="shared" si="3"/>
        <v>489</v>
      </c>
      <c r="E120" s="543"/>
    </row>
    <row r="121" spans="1:5" outlineLevel="1" x14ac:dyDescent="0.45">
      <c r="A121" s="652" t="str">
        <f t="shared" si="2"/>
        <v>Sales</v>
      </c>
      <c r="B121">
        <f>'10. Inputs &amp; Calcs'!C498</f>
        <v>52</v>
      </c>
      <c r="C121" t="str">
        <f>'10. Inputs &amp; Calcs'!D498</f>
        <v>Total Disposal Costs per unit</v>
      </c>
      <c r="D121" s="827">
        <f t="shared" si="3"/>
        <v>498</v>
      </c>
      <c r="E121" s="543"/>
    </row>
    <row r="122" spans="1:5" outlineLevel="1" x14ac:dyDescent="0.45">
      <c r="A122" s="653" t="str">
        <f t="shared" si="2"/>
        <v>Sales</v>
      </c>
      <c r="B122">
        <f>'10. Inputs &amp; Calcs'!C507</f>
        <v>53</v>
      </c>
      <c r="C122" t="str">
        <f>'10. Inputs &amp; Calcs'!D507</f>
        <v>Total Disposal Costs</v>
      </c>
      <c r="D122" s="827">
        <f t="shared" si="3"/>
        <v>507</v>
      </c>
      <c r="E122" s="543"/>
    </row>
    <row r="123" spans="1:5" x14ac:dyDescent="0.45">
      <c r="D123" s="827"/>
    </row>
    <row r="124" spans="1:5" x14ac:dyDescent="0.45">
      <c r="A124" s="624" t="s">
        <v>59</v>
      </c>
      <c r="C124" s="451" t="str">
        <f>'10. Inputs &amp; Calcs'!D516</f>
        <v>RENTAL DEBTORS AND RENTAL INCOME</v>
      </c>
      <c r="D124" s="827"/>
      <c r="E124" s="1139" t="s">
        <v>1672</v>
      </c>
    </row>
    <row r="125" spans="1:5" outlineLevel="1" x14ac:dyDescent="0.45">
      <c r="A125" s="626" t="str">
        <f>A124</f>
        <v>Rent</v>
      </c>
      <c r="B125">
        <f>'10. Inputs &amp; Calcs'!C519</f>
        <v>54</v>
      </c>
      <c r="C125" t="str">
        <f>'10. Inputs &amp; Calcs'!D519</f>
        <v>No. of Rental Debtors</v>
      </c>
      <c r="D125" s="827">
        <f>D122+12</f>
        <v>519</v>
      </c>
      <c r="E125" s="543"/>
    </row>
    <row r="126" spans="1:5" outlineLevel="1" x14ac:dyDescent="0.45">
      <c r="A126" s="626" t="str">
        <f t="shared" ref="A126:A138" si="4">A125</f>
        <v>Rent</v>
      </c>
      <c r="B126">
        <f>'10. Inputs &amp; Calcs'!C528</f>
        <v>55</v>
      </c>
      <c r="C126" t="str">
        <f>'10. Inputs &amp; Calcs'!D528</f>
        <v>Rental Escalation p.a.</v>
      </c>
      <c r="D126" s="827">
        <f t="shared" ref="D126:D138" si="5">D125+9</f>
        <v>528</v>
      </c>
      <c r="E126" s="543"/>
    </row>
    <row r="127" spans="1:5" outlineLevel="1" x14ac:dyDescent="0.45">
      <c r="A127" s="626" t="str">
        <f t="shared" si="4"/>
        <v>Rent</v>
      </c>
      <c r="B127">
        <f>'10. Inputs &amp; Calcs'!C537</f>
        <v>56</v>
      </c>
      <c r="C127" t="str">
        <f>'10. Inputs &amp; Calcs'!D537</f>
        <v>Total Rental Raised p.a.</v>
      </c>
      <c r="D127" s="827">
        <f t="shared" si="5"/>
        <v>537</v>
      </c>
      <c r="E127" s="543"/>
    </row>
    <row r="128" spans="1:5" outlineLevel="1" x14ac:dyDescent="0.45">
      <c r="A128" s="626" t="str">
        <f t="shared" si="4"/>
        <v>Rent</v>
      </c>
      <c r="B128">
        <f>'10. Inputs &amp; Calcs'!C546</f>
        <v>57</v>
      </c>
      <c r="C128" t="str">
        <f>'10. Inputs &amp; Calcs'!D546</f>
        <v>Total Rental Raised p.u.p.a</v>
      </c>
      <c r="D128" s="827">
        <f t="shared" si="5"/>
        <v>546</v>
      </c>
      <c r="E128" s="543"/>
    </row>
    <row r="129" spans="1:5" outlineLevel="1" x14ac:dyDescent="0.45">
      <c r="A129" s="626" t="str">
        <f t="shared" si="4"/>
        <v>Rent</v>
      </c>
      <c r="B129">
        <f>'10. Inputs &amp; Calcs'!C555</f>
        <v>58</v>
      </c>
      <c r="C129" t="str">
        <f>'10. Inputs &amp; Calcs'!D555</f>
        <v>Total Rental Raised p.u.p.m</v>
      </c>
      <c r="D129" s="827">
        <f t="shared" si="5"/>
        <v>555</v>
      </c>
      <c r="E129" s="543"/>
    </row>
    <row r="130" spans="1:5" outlineLevel="1" x14ac:dyDescent="0.45">
      <c r="A130" s="626" t="str">
        <f t="shared" si="4"/>
        <v>Rent</v>
      </c>
      <c r="B130">
        <f>'10. Inputs &amp; Calcs'!C564</f>
        <v>59</v>
      </c>
      <c r="C130" t="str">
        <f>'10. Inputs &amp; Calcs'!D564</f>
        <v>% of Rental Collected p.a.</v>
      </c>
      <c r="D130" s="827">
        <f t="shared" si="5"/>
        <v>564</v>
      </c>
      <c r="E130" s="543"/>
    </row>
    <row r="131" spans="1:5" outlineLevel="1" x14ac:dyDescent="0.45">
      <c r="A131" s="626" t="str">
        <f t="shared" si="4"/>
        <v>Rent</v>
      </c>
      <c r="B131">
        <f>'10. Inputs &amp; Calcs'!C573</f>
        <v>60</v>
      </c>
      <c r="C131" t="str">
        <f>'10. Inputs &amp; Calcs'!D573</f>
        <v>Total Rental Collected p.a.</v>
      </c>
      <c r="D131" s="827">
        <f t="shared" si="5"/>
        <v>573</v>
      </c>
      <c r="E131" s="543"/>
    </row>
    <row r="132" spans="1:5" outlineLevel="1" x14ac:dyDescent="0.45">
      <c r="A132" s="626" t="str">
        <f t="shared" si="4"/>
        <v>Rent</v>
      </c>
      <c r="B132">
        <f>'10. Inputs &amp; Calcs'!C582</f>
        <v>61</v>
      </c>
      <c r="C132" t="str">
        <f>'10. Inputs &amp; Calcs'!D582</f>
        <v>Increase in Rental Debtors (=Rental Raised - Rent Collected)</v>
      </c>
      <c r="D132" s="827">
        <f t="shared" si="5"/>
        <v>582</v>
      </c>
      <c r="E132" s="543"/>
    </row>
    <row r="133" spans="1:5" outlineLevel="1" x14ac:dyDescent="0.45">
      <c r="A133" s="626" t="str">
        <f t="shared" si="4"/>
        <v>Rent</v>
      </c>
      <c r="B133">
        <f>'10. Inputs &amp; Calcs'!C591</f>
        <v>62</v>
      </c>
      <c r="C133" t="str">
        <f>'10. Inputs &amp; Calcs'!D591</f>
        <v>Increase in Rental Debtors p.u.p.a.(=Rental Raised - Rent Collected)</v>
      </c>
      <c r="D133" s="827">
        <f t="shared" si="5"/>
        <v>591</v>
      </c>
      <c r="E133" s="543"/>
    </row>
    <row r="134" spans="1:5" outlineLevel="1" x14ac:dyDescent="0.45">
      <c r="A134" s="626" t="str">
        <f t="shared" si="4"/>
        <v>Rent</v>
      </c>
      <c r="B134">
        <f>'10. Inputs &amp; Calcs'!C600</f>
        <v>63</v>
      </c>
      <c r="C134" t="str">
        <f>'10. Inputs &amp; Calcs'!D600</f>
        <v>Increase in Rental Debtors p.a.(=Existing Debtors Less Sales x Increase per debtor)</v>
      </c>
      <c r="D134" s="827">
        <f t="shared" si="5"/>
        <v>600</v>
      </c>
      <c r="E134" s="543"/>
    </row>
    <row r="135" spans="1:5" outlineLevel="1" x14ac:dyDescent="0.45">
      <c r="A135" s="626" t="str">
        <f t="shared" si="4"/>
        <v>Rent</v>
      </c>
      <c r="B135">
        <f>'10. Inputs &amp; Calcs'!C609</f>
        <v>64</v>
      </c>
      <c r="C135" t="str">
        <f>'10. Inputs &amp; Calcs'!D609</f>
        <v>Average Rental Debtors Balance per Debtor</v>
      </c>
      <c r="D135" s="827">
        <f t="shared" si="5"/>
        <v>609</v>
      </c>
      <c r="E135" s="543"/>
    </row>
    <row r="136" spans="1:5" outlineLevel="1" x14ac:dyDescent="0.45">
      <c r="A136" s="626" t="str">
        <f t="shared" si="4"/>
        <v>Rent</v>
      </c>
      <c r="B136">
        <f>'10. Inputs &amp; Calcs'!C618</f>
        <v>65</v>
      </c>
      <c r="C136" t="str">
        <f>'10. Inputs &amp; Calcs'!D618</f>
        <v>Rental Debtors Balance Repaid</v>
      </c>
      <c r="D136" s="827">
        <f t="shared" si="5"/>
        <v>618</v>
      </c>
      <c r="E136" s="543"/>
    </row>
    <row r="137" spans="1:5" outlineLevel="1" x14ac:dyDescent="0.45">
      <c r="A137" s="626" t="str">
        <f t="shared" si="4"/>
        <v>Rent</v>
      </c>
      <c r="B137">
        <f>'10. Inputs &amp; Calcs'!C627</f>
        <v>66</v>
      </c>
      <c r="C137" t="str">
        <f>'10. Inputs &amp; Calcs'!D627</f>
        <v>Total Rental Debtors Balance</v>
      </c>
      <c r="D137" s="827">
        <f t="shared" si="5"/>
        <v>627</v>
      </c>
      <c r="E137" s="543"/>
    </row>
    <row r="138" spans="1:5" outlineLevel="1" x14ac:dyDescent="0.45">
      <c r="A138" s="656" t="str">
        <f t="shared" si="4"/>
        <v>Rent</v>
      </c>
      <c r="B138">
        <f>'10. Inputs &amp; Calcs'!C636</f>
        <v>67</v>
      </c>
      <c r="C138" t="str">
        <f>'10. Inputs &amp; Calcs'!D636</f>
        <v>Total Units for Rental</v>
      </c>
      <c r="D138" s="827">
        <f t="shared" si="5"/>
        <v>636</v>
      </c>
      <c r="E138" s="543"/>
    </row>
    <row r="139" spans="1:5" x14ac:dyDescent="0.45">
      <c r="D139" s="827"/>
    </row>
    <row r="140" spans="1:5" x14ac:dyDescent="0.45">
      <c r="A140" s="635" t="s">
        <v>59</v>
      </c>
      <c r="C140" s="451" t="str">
        <f>'10. Inputs &amp; Calcs'!D646</f>
        <v>EXPENSES FOR RENTAL</v>
      </c>
      <c r="D140" s="827"/>
      <c r="E140" s="1139" t="s">
        <v>1673</v>
      </c>
    </row>
    <row r="141" spans="1:5" outlineLevel="1" x14ac:dyDescent="0.45">
      <c r="A141" s="637" t="str">
        <f t="shared" ref="A141:A150" si="6">A140</f>
        <v>Rent</v>
      </c>
      <c r="B141">
        <f>'10. Inputs &amp; Calcs'!C649</f>
        <v>68</v>
      </c>
      <c r="C141" t="str">
        <f>'10. Inputs &amp; Calcs'!D649</f>
        <v>Rates &amp; Taxes</v>
      </c>
      <c r="D141" s="827">
        <f>D138+13</f>
        <v>649</v>
      </c>
      <c r="E141" s="543"/>
    </row>
    <row r="142" spans="1:5" outlineLevel="1" x14ac:dyDescent="0.45">
      <c r="A142" s="637" t="str">
        <f t="shared" si="6"/>
        <v>Rent</v>
      </c>
      <c r="B142">
        <f>'10. Inputs &amp; Calcs'!C658</f>
        <v>69</v>
      </c>
      <c r="C142" t="str">
        <f>'10. Inputs &amp; Calcs'!D658</f>
        <v>Municipal Charges</v>
      </c>
      <c r="D142" s="827">
        <f>D141+9</f>
        <v>658</v>
      </c>
      <c r="E142" s="543"/>
    </row>
    <row r="143" spans="1:5" outlineLevel="1" x14ac:dyDescent="0.45">
      <c r="A143" s="637" t="str">
        <f t="shared" si="6"/>
        <v>Rent</v>
      </c>
      <c r="B143">
        <f>'10. Inputs &amp; Calcs'!C667</f>
        <v>70</v>
      </c>
      <c r="C143" t="str">
        <f>'10. Inputs &amp; Calcs'!D667</f>
        <v>Maintenance</v>
      </c>
      <c r="D143" s="827">
        <f t="shared" ref="D143:D149" si="7">D142+9</f>
        <v>667</v>
      </c>
      <c r="E143" s="543"/>
    </row>
    <row r="144" spans="1:5" outlineLevel="1" x14ac:dyDescent="0.45">
      <c r="A144" s="637" t="str">
        <f t="shared" si="6"/>
        <v>Rent</v>
      </c>
      <c r="B144">
        <f>'10. Inputs &amp; Calcs'!C676</f>
        <v>71</v>
      </c>
      <c r="C144" t="str">
        <f>'10. Inputs &amp; Calcs'!D676</f>
        <v>Property Payments</v>
      </c>
      <c r="D144" s="827">
        <f t="shared" si="7"/>
        <v>676</v>
      </c>
      <c r="E144" s="543"/>
    </row>
    <row r="145" spans="1:5" outlineLevel="1" x14ac:dyDescent="0.45">
      <c r="A145" s="637" t="str">
        <f t="shared" si="6"/>
        <v>Rent</v>
      </c>
      <c r="B145">
        <f>'10. Inputs &amp; Calcs'!C685</f>
        <v>72</v>
      </c>
      <c r="C145" t="str">
        <f>'10. Inputs &amp; Calcs'!D685</f>
        <v>Administering Assets</v>
      </c>
      <c r="D145" s="827">
        <f t="shared" si="7"/>
        <v>685</v>
      </c>
      <c r="E145" s="543"/>
    </row>
    <row r="146" spans="1:5" outlineLevel="1" x14ac:dyDescent="0.45">
      <c r="A146" s="637" t="str">
        <f t="shared" si="6"/>
        <v>Rent</v>
      </c>
      <c r="B146">
        <f>'10. Inputs &amp; Calcs'!C694</f>
        <v>73</v>
      </c>
      <c r="C146" t="str">
        <f>'10. Inputs &amp; Calcs'!D694</f>
        <v>Management Costs p.u.p.m. Paid to Outsourced Property Rental Manager</v>
      </c>
      <c r="D146" s="827">
        <f t="shared" si="7"/>
        <v>694</v>
      </c>
      <c r="E146" s="543"/>
    </row>
    <row r="147" spans="1:5" outlineLevel="1" x14ac:dyDescent="0.45">
      <c r="A147" s="637" t="str">
        <f t="shared" si="6"/>
        <v>Rent</v>
      </c>
      <c r="B147">
        <f>'10. Inputs &amp; Calcs'!C703</f>
        <v>74</v>
      </c>
      <c r="C147" t="str">
        <f>'10. Inputs &amp; Calcs'!D703</f>
        <v>Management Costs Paid to Outsourced Rental Property Manager p.a.</v>
      </c>
      <c r="D147" s="827">
        <f t="shared" si="7"/>
        <v>703</v>
      </c>
      <c r="E147" s="543"/>
    </row>
    <row r="148" spans="1:5" outlineLevel="1" x14ac:dyDescent="0.45">
      <c r="A148" s="637" t="str">
        <f t="shared" si="6"/>
        <v>Rent</v>
      </c>
      <c r="B148">
        <f>'10. Inputs &amp; Calcs'!C712</f>
        <v>75</v>
      </c>
      <c r="C148" t="str">
        <f>'10. Inputs &amp; Calcs'!D712</f>
        <v>Unallocated Expenses</v>
      </c>
      <c r="D148" s="827">
        <f>D147+9</f>
        <v>712</v>
      </c>
      <c r="E148" s="543"/>
    </row>
    <row r="149" spans="1:5" outlineLevel="1" x14ac:dyDescent="0.45">
      <c r="A149" s="637" t="str">
        <f t="shared" si="6"/>
        <v>Rent</v>
      </c>
      <c r="B149">
        <f>'10. Inputs &amp; Calcs'!C721</f>
        <v>76</v>
      </c>
      <c r="C149" t="str">
        <f>'10. Inputs &amp; Calcs'!D721</f>
        <v>Overheads</v>
      </c>
      <c r="D149" s="827">
        <f t="shared" si="7"/>
        <v>721</v>
      </c>
      <c r="E149" s="543"/>
    </row>
    <row r="150" spans="1:5" outlineLevel="1" x14ac:dyDescent="0.45">
      <c r="A150" s="638" t="str">
        <f t="shared" si="6"/>
        <v>Rent</v>
      </c>
      <c r="B150">
        <f>'10. Inputs &amp; Calcs'!C741</f>
        <v>77</v>
      </c>
      <c r="C150" t="str">
        <f>'10. Inputs &amp; Calcs'!D741</f>
        <v>Total Expenditure for Rental Operations</v>
      </c>
      <c r="D150" s="827">
        <f>D149+10</f>
        <v>731</v>
      </c>
      <c r="E150" s="543"/>
    </row>
    <row r="152" spans="1:5" x14ac:dyDescent="0.45">
      <c r="A152" s="944" t="s">
        <v>400</v>
      </c>
      <c r="B152" s="803"/>
      <c r="C152" s="451" t="str">
        <f>'8. Forecast Results National'!D103</f>
        <v>Ratios</v>
      </c>
      <c r="E152" s="1139" t="s">
        <v>1674</v>
      </c>
    </row>
    <row r="153" spans="1:5" outlineLevel="1" x14ac:dyDescent="0.45">
      <c r="A153" s="945" t="str">
        <f t="shared" ref="A153:A166" si="8">A152</f>
        <v>Ratios</v>
      </c>
      <c r="B153" s="803" t="str">
        <f>'10. Inputs &amp; Calcs'!C772</f>
        <v>E1.43</v>
      </c>
      <c r="C153" t="str">
        <f>'10. Inputs &amp; Calcs'!D772</f>
        <v>Sales &amp; Loans Collections/Sales &amp; Loans Raised</v>
      </c>
      <c r="D153" s="1143">
        <f>D150+41</f>
        <v>772</v>
      </c>
      <c r="E153" s="543"/>
    </row>
    <row r="154" spans="1:5" outlineLevel="1" x14ac:dyDescent="0.45">
      <c r="A154" s="945" t="str">
        <f t="shared" si="8"/>
        <v>Ratios</v>
      </c>
      <c r="B154" s="803" t="str">
        <f>'10. Inputs &amp; Calcs'!C781</f>
        <v>E1.44</v>
      </c>
      <c r="C154" t="str">
        <f>'10. Inputs &amp; Calcs'!D781</f>
        <v>Rental Collections/Rentals Raised</v>
      </c>
      <c r="D154" s="1143">
        <f>D153+9</f>
        <v>781</v>
      </c>
      <c r="E154" s="543"/>
    </row>
    <row r="155" spans="1:5" outlineLevel="1" x14ac:dyDescent="0.45">
      <c r="A155" s="945" t="str">
        <f t="shared" si="8"/>
        <v>Ratios</v>
      </c>
      <c r="B155" s="803" t="str">
        <f>'10. Inputs &amp; Calcs'!C790</f>
        <v>E1.45</v>
      </c>
      <c r="C155" t="str">
        <f>'10. Inputs &amp; Calcs'!D790</f>
        <v>No. of Sales Accounts Where Any Collections Were Made/Sales Accounts Raised</v>
      </c>
      <c r="D155" s="1143">
        <f t="shared" ref="D155:D165" si="9">D154+9</f>
        <v>790</v>
      </c>
      <c r="E155" s="543"/>
    </row>
    <row r="156" spans="1:5" outlineLevel="1" x14ac:dyDescent="0.45">
      <c r="A156" s="945" t="str">
        <f t="shared" si="8"/>
        <v>Ratios</v>
      </c>
      <c r="B156" s="803" t="str">
        <f>'10. Inputs &amp; Calcs'!C799</f>
        <v>E1.46</v>
      </c>
      <c r="C156" t="str">
        <f>'10. Inputs &amp; Calcs'!D799</f>
        <v>No. of Rental Accounts Where Any Collections Were Made/Rental Accounts Raised</v>
      </c>
      <c r="D156" s="1143">
        <f t="shared" si="9"/>
        <v>799</v>
      </c>
      <c r="E156" s="543"/>
    </row>
    <row r="157" spans="1:5" outlineLevel="1" x14ac:dyDescent="0.45">
      <c r="A157" s="945" t="str">
        <f t="shared" si="8"/>
        <v>Ratios</v>
      </c>
      <c r="B157" s="803" t="str">
        <f>'10. Inputs &amp; Calcs'!C808</f>
        <v>E1.47</v>
      </c>
      <c r="C157" t="str">
        <f>'10. Inputs &amp; Calcs'!D808</f>
        <v>% Increase/(Decrease) in Rental Debtors</v>
      </c>
      <c r="D157" s="1143">
        <f t="shared" si="9"/>
        <v>808</v>
      </c>
      <c r="E157" s="543"/>
    </row>
    <row r="158" spans="1:5" outlineLevel="1" x14ac:dyDescent="0.45">
      <c r="A158" s="945" t="str">
        <f t="shared" si="8"/>
        <v>Ratios</v>
      </c>
      <c r="B158" s="803" t="str">
        <f>'10. Inputs &amp; Calcs'!C817</f>
        <v>E1.48</v>
      </c>
      <c r="C158" t="str">
        <f>'10. Inputs &amp; Calcs'!D817</f>
        <v>Eviction rate</v>
      </c>
      <c r="D158" s="1143">
        <f t="shared" si="9"/>
        <v>817</v>
      </c>
      <c r="E158" s="543"/>
    </row>
    <row r="159" spans="1:5" outlineLevel="1" x14ac:dyDescent="0.45">
      <c r="A159" s="945" t="str">
        <f t="shared" si="8"/>
        <v>Ratios</v>
      </c>
      <c r="B159" s="803" t="str">
        <f>'10. Inputs &amp; Calcs'!C826</f>
        <v>E1.49</v>
      </c>
      <c r="C159" t="str">
        <f>'10. Inputs &amp; Calcs'!D826</f>
        <v>Cost to Income Ratio</v>
      </c>
      <c r="D159" s="1143">
        <f t="shared" si="9"/>
        <v>826</v>
      </c>
      <c r="E159" s="543"/>
    </row>
    <row r="160" spans="1:5" outlineLevel="1" x14ac:dyDescent="0.45">
      <c r="A160" s="945" t="str">
        <f t="shared" si="8"/>
        <v>Ratios</v>
      </c>
      <c r="B160" s="803" t="str">
        <f>'10. Inputs &amp; Calcs'!C835</f>
        <v>E1.50</v>
      </c>
      <c r="C160" t="str">
        <f>'10. Inputs &amp; Calcs'!D835</f>
        <v>Maintenance as % of Expenses</v>
      </c>
      <c r="D160" s="1143">
        <f t="shared" si="9"/>
        <v>835</v>
      </c>
      <c r="E160" s="543"/>
    </row>
    <row r="161" spans="1:5" outlineLevel="1" x14ac:dyDescent="0.45">
      <c r="A161" s="945" t="str">
        <f t="shared" si="8"/>
        <v>Ratios</v>
      </c>
      <c r="B161" s="803" t="str">
        <f>'10. Inputs &amp; Calcs'!C844</f>
        <v>E1.51</v>
      </c>
      <c r="C161" t="str">
        <f>'10. Inputs &amp; Calcs'!D844</f>
        <v>Maintenance Cost per Unit</v>
      </c>
      <c r="D161" s="1143">
        <f t="shared" si="9"/>
        <v>844</v>
      </c>
      <c r="E161" s="543"/>
    </row>
    <row r="162" spans="1:5" outlineLevel="1" x14ac:dyDescent="0.45">
      <c r="A162" s="945" t="str">
        <f t="shared" si="8"/>
        <v>Ratios</v>
      </c>
      <c r="B162" s="803" t="str">
        <f>'10. Inputs &amp; Calcs'!C853</f>
        <v>E1.52</v>
      </c>
      <c r="C162" t="str">
        <f>'10. Inputs &amp; Calcs'!D853</f>
        <v>Net Deficit as % of HSDG Grant -  NDoHS Calc  (excl staff costs)</v>
      </c>
      <c r="D162" s="1143">
        <f t="shared" si="9"/>
        <v>853</v>
      </c>
      <c r="E162" s="543"/>
    </row>
    <row r="163" spans="1:5" outlineLevel="1" x14ac:dyDescent="0.45">
      <c r="A163" s="945" t="str">
        <f t="shared" si="8"/>
        <v>Ratios</v>
      </c>
      <c r="B163" s="803" t="str">
        <f>'10. Inputs &amp; Calcs'!C862</f>
        <v>E1.53</v>
      </c>
      <c r="C163" t="str">
        <f>'10. Inputs &amp; Calcs'!D862</f>
        <v>Net Deficit (Surplus) as % of HSDG Grant - Calculated Above</v>
      </c>
      <c r="D163" s="1143">
        <f t="shared" si="9"/>
        <v>862</v>
      </c>
      <c r="E163" s="543"/>
    </row>
    <row r="164" spans="1:5" outlineLevel="1" x14ac:dyDescent="0.45">
      <c r="A164" s="945" t="str">
        <f t="shared" si="8"/>
        <v>Ratios</v>
      </c>
      <c r="B164" s="803" t="str">
        <f>'10. Inputs &amp; Calcs'!C871</f>
        <v>E1.54</v>
      </c>
      <c r="C164" t="str">
        <f>'10. Inputs &amp; Calcs'!D871</f>
        <v>EEDBS as % of HSDG</v>
      </c>
      <c r="D164" s="1143">
        <f t="shared" si="9"/>
        <v>871</v>
      </c>
      <c r="E164" s="543"/>
    </row>
    <row r="165" spans="1:5" outlineLevel="1" x14ac:dyDescent="0.45">
      <c r="A165" s="945" t="str">
        <f t="shared" si="8"/>
        <v>Ratios</v>
      </c>
      <c r="B165" s="803" t="str">
        <f>'10. Inputs &amp; Calcs'!C889</f>
        <v>E1.56</v>
      </c>
      <c r="C165" t="str">
        <f>'10. Inputs &amp; Calcs'!D880</f>
        <v>Debtors Balance as % of Rental Raised</v>
      </c>
      <c r="D165" s="1143">
        <f t="shared" si="9"/>
        <v>880</v>
      </c>
      <c r="E165" s="543"/>
    </row>
    <row r="166" spans="1:5" outlineLevel="1" x14ac:dyDescent="0.45">
      <c r="A166" s="946" t="str">
        <f t="shared" si="8"/>
        <v>Ratios</v>
      </c>
      <c r="B166" s="803" t="str">
        <f>'10. Inputs &amp; Calcs'!C898</f>
        <v>E1.57</v>
      </c>
      <c r="C166" s="1142" t="str">
        <f>'10. Inputs &amp; Calcs'!D898</f>
        <v>Net Surplus/Deficit p.u.p.m.</v>
      </c>
      <c r="D166" s="1143">
        <f>D165+18</f>
        <v>898</v>
      </c>
      <c r="E166" s="543"/>
    </row>
    <row r="167" spans="1:5" outlineLevel="1" x14ac:dyDescent="0.45">
      <c r="A167" s="1144"/>
      <c r="B167" s="1145"/>
      <c r="E167" s="543"/>
    </row>
    <row r="168" spans="1:5" x14ac:dyDescent="0.45">
      <c r="A168" s="1144"/>
      <c r="B168" s="1145"/>
      <c r="E168" s="543"/>
    </row>
    <row r="169" spans="1:5" x14ac:dyDescent="0.45">
      <c r="A169" s="1144"/>
      <c r="B169" s="1145"/>
      <c r="E169" s="543"/>
    </row>
    <row r="170" spans="1:5" x14ac:dyDescent="0.45">
      <c r="A170" s="1144"/>
      <c r="B170" s="1145"/>
      <c r="E170" s="543"/>
    </row>
    <row r="171" spans="1:5" x14ac:dyDescent="0.45">
      <c r="A171" s="1144"/>
      <c r="B171" s="1145"/>
      <c r="E171" s="543"/>
    </row>
    <row r="172" spans="1:5" x14ac:dyDescent="0.45">
      <c r="A172" s="1144"/>
      <c r="B172" s="1145"/>
      <c r="E172" s="543"/>
    </row>
    <row r="173" spans="1:5" x14ac:dyDescent="0.45">
      <c r="A173" s="1144"/>
      <c r="B173" s="1145"/>
      <c r="E173" s="543"/>
    </row>
    <row r="174" spans="1:5" x14ac:dyDescent="0.45">
      <c r="A174" s="1144"/>
      <c r="B174" s="1145"/>
      <c r="E174" s="543"/>
    </row>
    <row r="175" spans="1:5" x14ac:dyDescent="0.45">
      <c r="A175" s="1144"/>
      <c r="B175" s="1145"/>
      <c r="E175" s="543"/>
    </row>
    <row r="176" spans="1:5" x14ac:dyDescent="0.45">
      <c r="A176" s="1144"/>
      <c r="B176" s="1145"/>
      <c r="E176" s="543"/>
    </row>
    <row r="177" spans="1:5" x14ac:dyDescent="0.45">
      <c r="A177" s="1144"/>
      <c r="B177" s="1145"/>
      <c r="E177" s="543"/>
    </row>
    <row r="178" spans="1:5" x14ac:dyDescent="0.45">
      <c r="A178" s="1144"/>
      <c r="B178" s="1145"/>
      <c r="E178" s="543"/>
    </row>
    <row r="179" spans="1:5" x14ac:dyDescent="0.45">
      <c r="A179" s="1144"/>
      <c r="B179" s="1145"/>
      <c r="E179" s="543"/>
    </row>
    <row r="180" spans="1:5" x14ac:dyDescent="0.45">
      <c r="A180" s="1144"/>
      <c r="B180" s="1145"/>
      <c r="E180" s="543"/>
    </row>
    <row r="181" spans="1:5" x14ac:dyDescent="0.45">
      <c r="A181" s="1144"/>
      <c r="B181" s="1145"/>
      <c r="E181" s="543"/>
    </row>
    <row r="182" spans="1:5" x14ac:dyDescent="0.45">
      <c r="B182" s="803"/>
    </row>
    <row r="183" spans="1:5" x14ac:dyDescent="0.45">
      <c r="B183" s="803"/>
    </row>
  </sheetData>
  <sheetProtection formatCells="0" formatColumns="0" formatRows="0"/>
  <hyperlinks>
    <hyperlink ref="E5" location="'1.Cover'!A1" display="'1.Cover'!A1" xr:uid="{D50D033C-BFB0-4990-BBC4-A562DB116588}"/>
    <hyperlink ref="E6" location="'2.Contents'!A1" display="'2.Contents'!A1" xr:uid="{6B6D61CD-CBDD-4C7C-A08C-483E6B478890}"/>
    <hyperlink ref="E7" location="'3. User Instructions'!A1" display="'3. User Instructions'!A1" xr:uid="{332FE057-AF71-4E82-96CC-84102C293A5B}"/>
    <hyperlink ref="E8" location="'4. Model Design &amp; Scenario Desc'!A1" display="'4. Model Design &amp; Scenario Desc'!A1" xr:uid="{8DEC65AB-A5E2-4EDD-B1ED-61AA2C25E7A9}"/>
    <hyperlink ref="E9" location="'5. Dashboard Live'!A1" display="'5. Dashboard Live'!A1" xr:uid="{ED65F097-7135-4193-A39B-5A9431285A68}"/>
    <hyperlink ref="E16" location="'5a. Dashboard Total BC'!A1" display="'5a. Dashboard Total BC'!A1" xr:uid="{62BA86D5-2869-457F-83FD-E9FDC356D1A5}"/>
    <hyperlink ref="E17" location="'5b. Dashboard Total Sc 1'!A1" display="'5b. Dashboard Total Sc 1'!A1" xr:uid="{5DC57DA1-9C72-48AA-BAE5-4C2EA06A1FEE}"/>
    <hyperlink ref="E18" location="'5c. Dashboard Total Sc 2'!A1" display="'5c. Dashboard Total Sc 2'!A1" xr:uid="{5E00461D-4DD9-44A1-8220-E4A0AF02F0DB}"/>
    <hyperlink ref="E19" location="'5d. Dashboard Total Sc 3'!A1" display="'5d. Dashboard Total Sc 3'!A1" xr:uid="{442EFA79-4684-4604-AC64-0DD5884BDAD7}"/>
    <hyperlink ref="E20" location="'6. Scenario Summary'!A1" display="'6. Scenario Summary'!A1" xr:uid="{0019664F-0C20-49FE-91FA-EFDD687BA169}"/>
    <hyperlink ref="E21" location="'7. Scenario Detailed'!A1" display="'7. Scenario Detailed'!A1" xr:uid="{AEDFAB68-F09B-42D9-B861-9573E154C481}"/>
    <hyperlink ref="E22" location="'8. Forecast Results National'!A1" display="'8. Forecast Results National'!A1" xr:uid="{EA5B3887-3CCD-43B1-94F0-FE706D239F7D}"/>
    <hyperlink ref="E23" location="'9. Forecast Results'!A1" display="'9. Forecast Results'!A1" xr:uid="{48C116C6-6AD8-4336-84D2-C4DCE92FAA6B}"/>
    <hyperlink ref="E24" location="'9a. Forecast Results - Total'!A1" display="'9a. Forecast Results - Total'!A1" xr:uid="{229A0D09-89F8-4AFB-9AA3-470BBB4E3482}"/>
    <hyperlink ref="E29" location="'9b. Forecast Results - EC'!A1" display="'9b. Forecast Results - EC'!A1" xr:uid="{F2C7DABF-D2E5-4148-A1A9-0BAF7056B9D3}"/>
    <hyperlink ref="E34" location="'9c. Forecast Results - FS'!A1" display="'9c. Forecast Results - FS'!A1" xr:uid="{6B6F540F-CA9E-4751-BA1B-DBC4B33D46D6}"/>
    <hyperlink ref="E39" location="'9d. Forecast Results - Gau'!A1" display="'9d. Forecast Results - Gau'!A1" xr:uid="{D026CE0F-3F9E-44D7-AD7F-399781097416}"/>
    <hyperlink ref="E44" location="'9e. Forecast Results - KZN'!A1" display="'9e. Forecast Results - KZN'!A1" xr:uid="{2A09BB76-E939-4CFC-AB98-D44CE79B685A}"/>
    <hyperlink ref="E49" location="'9f. Forecast Results - WC'!A1" display="'9f. Forecast Results - WC'!A1" xr:uid="{BDEEAC79-8DB2-44DA-9859-68B39C371C30}"/>
    <hyperlink ref="E54" location="'10. Inputs &amp; Calcs'!A1" display="'10. Inputs &amp; Calcs'!A1" xr:uid="{BF718A7E-37DC-481B-8CD4-2CD5F90A61F6}"/>
    <hyperlink ref="E55" location="'11. Table - Expenditure Review'!A1" display="'11. Table - Expenditure Review'!A1" xr:uid="{914AFC59-1074-403B-B62C-80DAECA70749}"/>
    <hyperlink ref="E56" location="'12. Inputs-Props &amp; Debtors 2016'!A1" display="'12. Inputs-Props &amp; Debtors 2016'!A1" xr:uid="{AD3F8509-D4C8-4799-A8FA-790F174CB5B4}"/>
    <hyperlink ref="E57" location="'13. Logframe HS'!A1" display="'13. Logframe HS'!A1" xr:uid="{6D297440-76D9-47DD-A720-43B05E7628E3}"/>
    <hyperlink ref="E58" location="'14. Permanent Info'!A1" display="'14. Permanent Info'!A1" xr:uid="{392F38D5-730E-47D9-B52B-48DAD930418E}"/>
    <hyperlink ref="E67" location="'10. Inputs &amp; Calcs'!D30" display="'10. Inputs &amp; Calcs'!D30" xr:uid="{9DB65FDC-A18A-4BB9-A607-43396CB71784}"/>
    <hyperlink ref="E115" location="'10. Inputs &amp; Calcs'!D450" display="'10. Inputs &amp; Calcs'!D450" xr:uid="{0730B5FA-E419-4B35-AF17-6A6EB10B9321}"/>
    <hyperlink ref="E124" location="'10. Inputs &amp; Calcs'!D517" display="'10. Inputs &amp; Calcs'!D517" xr:uid="{A1011D3B-8D9F-4F19-8358-ABD94713685A}"/>
    <hyperlink ref="E140" location="'10. Inputs &amp; Calcs'!D647" display="'10. Inputs &amp; Calcs'!D647" xr:uid="{1314402E-6E3E-4182-95E9-06E2F8764CD5}"/>
    <hyperlink ref="E152" location="'10. Inputs &amp; Calcs'!D771" display="'10. Inputs &amp; Calcs'!D771" xr:uid="{D156FB63-AE2D-4563-85B6-E5C219C9439E}"/>
    <hyperlink ref="E10" location="'5. Dashboard Total'!A1" display="'5. Dashboard Total'!A1" xr:uid="{35C5FD8A-A2D2-4D57-B0C7-80BD065FCA2B}"/>
    <hyperlink ref="E11" location="'5. Dashboard EC'!A1" display="'5. Dashboard EC'!A1" xr:uid="{0E82AB6E-F4E9-43F2-B32D-59393DEF1613}"/>
    <hyperlink ref="E12" location="'5. Dashboard FS'!A1" display="'5. Dashboard FS'!A1" xr:uid="{4D71A3FC-A3C0-41A2-9677-BA223051DF65}"/>
    <hyperlink ref="E13" location="'5. Dashboard KZN'!A1" display="5. Dashboard Gau'!A1" xr:uid="{38DB9AAD-998F-46F3-A702-CC9F5AF39E1E}"/>
    <hyperlink ref="E14" location="'5. Dashboard KZN'!A1" display="'5. Dashboard KZN'!A1" xr:uid="{BE702FB5-34D9-48CC-95C6-6517A4F2CD9D}"/>
    <hyperlink ref="E15" location="'5. Dashboard WC'!A1" display="'5. Dashboard WC'!A1" xr:uid="{F5B4F580-5A4A-4BF2-8D1E-4AAD5E0F880C}"/>
  </hyperlinks>
  <pageMargins left="0.35433070866141736" right="0.62992125984251968" top="0.47244094488188981" bottom="0.35433070866141736" header="0.31496062992125984" footer="0.11811023622047245"/>
  <pageSetup paperSize="9" scale="57" orientation="landscape" r:id="rId1"/>
  <headerFooter>
    <oddFooter>&amp;R&amp;F &amp;A &amp;D 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F2260-C5F9-4A06-B82A-D69A48C3603B}">
  <sheetPr codeName="Sheet7">
    <tabColor theme="5" tint="0.79998168889431442"/>
    <pageSetUpPr fitToPage="1"/>
  </sheetPr>
  <dimension ref="C1:AM79"/>
  <sheetViews>
    <sheetView showGridLines="0" view="pageBreakPreview" zoomScale="75" zoomScaleNormal="100" zoomScaleSheetLayoutView="75" workbookViewId="0">
      <selection activeCell="D7" sqref="D7"/>
    </sheetView>
  </sheetViews>
  <sheetFormatPr defaultRowHeight="14.25" outlineLevelRow="1" outlineLevelCol="1" x14ac:dyDescent="0.45"/>
  <cols>
    <col min="1" max="2" width="3.53125" customWidth="1"/>
    <col min="3" max="3" width="5.265625" customWidth="1"/>
    <col min="4" max="4" width="64.265625" customWidth="1"/>
    <col min="5" max="5" width="5.265625" bestFit="1" customWidth="1"/>
    <col min="6" max="6" width="15.73046875" customWidth="1"/>
    <col min="7" max="7" width="13.265625" customWidth="1"/>
    <col min="8" max="8" width="12.265625" customWidth="1"/>
    <col min="9" max="9" width="12.19921875" customWidth="1"/>
    <col min="10" max="10" width="15.53125" customWidth="1"/>
    <col min="11" max="11" width="22.73046875" customWidth="1"/>
    <col min="12" max="14" width="15.265625" bestFit="1" customWidth="1" outlineLevel="1"/>
    <col min="15" max="15" width="15.73046875" bestFit="1" customWidth="1"/>
    <col min="16" max="17" width="15.265625" bestFit="1" customWidth="1"/>
    <col min="18" max="18" width="16.265625" bestFit="1" customWidth="1"/>
    <col min="19" max="19" width="15.265625" bestFit="1" customWidth="1"/>
    <col min="20" max="23" width="15.73046875" bestFit="1" customWidth="1"/>
    <col min="24" max="33" width="15.73046875" customWidth="1"/>
    <col min="34" max="34" width="15.73046875" bestFit="1" customWidth="1"/>
    <col min="35" max="35" width="14.796875" bestFit="1" customWidth="1"/>
    <col min="36" max="36" width="20.73046875" bestFit="1" customWidth="1"/>
    <col min="37" max="37" width="1.46484375" customWidth="1"/>
    <col min="38" max="38" width="21" bestFit="1" customWidth="1"/>
    <col min="39" max="39" width="13" customWidth="1"/>
    <col min="40" max="40" width="15" bestFit="1" customWidth="1"/>
  </cols>
  <sheetData>
    <row r="1" spans="3:39" x14ac:dyDescent="0.45">
      <c r="J1" s="773">
        <v>1000</v>
      </c>
      <c r="K1" s="773">
        <v>1000</v>
      </c>
      <c r="L1" s="773">
        <v>1000</v>
      </c>
      <c r="M1" s="773">
        <v>1000</v>
      </c>
      <c r="N1" s="773">
        <v>1000</v>
      </c>
      <c r="O1" s="773">
        <v>1000</v>
      </c>
      <c r="P1" s="773">
        <v>1000</v>
      </c>
      <c r="Q1" s="773">
        <v>1000</v>
      </c>
      <c r="R1" s="773">
        <v>1000</v>
      </c>
      <c r="S1" s="773">
        <v>1000</v>
      </c>
      <c r="T1" s="773">
        <v>1000</v>
      </c>
      <c r="U1" s="773">
        <v>1000</v>
      </c>
      <c r="V1" s="773">
        <v>1000</v>
      </c>
      <c r="W1" s="773">
        <v>1000</v>
      </c>
      <c r="X1" s="773">
        <v>1000</v>
      </c>
      <c r="Y1" s="773">
        <v>1000</v>
      </c>
      <c r="Z1" s="773">
        <v>1000</v>
      </c>
      <c r="AA1" s="773">
        <v>1000</v>
      </c>
      <c r="AB1" s="773">
        <v>1000</v>
      </c>
      <c r="AC1" s="773">
        <v>1000</v>
      </c>
      <c r="AD1" s="773">
        <v>1000</v>
      </c>
      <c r="AE1" s="773">
        <v>1000</v>
      </c>
      <c r="AF1" s="773">
        <v>1000</v>
      </c>
      <c r="AG1" s="773">
        <v>1000</v>
      </c>
      <c r="AH1" s="773">
        <v>1000</v>
      </c>
      <c r="AI1" s="773">
        <v>1000</v>
      </c>
    </row>
    <row r="2" spans="3:39" ht="21" x14ac:dyDescent="0.65">
      <c r="C2" s="60" t="str">
        <f>'1.Cover'!$C$2</f>
        <v xml:space="preserve">Performance and Expenditure Review of Provincial Government Housing Rental Stock </v>
      </c>
    </row>
    <row r="3" spans="3:39" ht="21" x14ac:dyDescent="0.65">
      <c r="C3" s="60" t="s">
        <v>1039</v>
      </c>
    </row>
    <row r="4" spans="3:39" ht="5.25" customHeight="1" x14ac:dyDescent="0.45"/>
    <row r="5" spans="3:39" ht="15.75" x14ac:dyDescent="0.5">
      <c r="E5" s="755"/>
      <c r="F5" s="755"/>
      <c r="G5" s="755"/>
      <c r="H5" s="755"/>
      <c r="I5" s="755"/>
      <c r="J5" s="755"/>
      <c r="K5" s="755"/>
      <c r="L5" s="1351" t="s">
        <v>1364</v>
      </c>
      <c r="M5" s="1351"/>
      <c r="N5" s="1351"/>
      <c r="O5" s="1352" t="s">
        <v>1034</v>
      </c>
      <c r="P5" s="1352"/>
      <c r="Q5" s="1352"/>
      <c r="R5" s="1352"/>
      <c r="S5" s="1352"/>
      <c r="T5" s="1352"/>
      <c r="U5" s="1352"/>
      <c r="V5" s="1352"/>
      <c r="W5" s="1352"/>
      <c r="X5" s="1352"/>
      <c r="Y5" s="1352"/>
      <c r="Z5" s="1352"/>
      <c r="AA5" s="1352"/>
      <c r="AB5" s="1352"/>
      <c r="AC5" s="1352"/>
      <c r="AD5" s="1352"/>
      <c r="AE5" s="1352"/>
      <c r="AF5" s="1352"/>
      <c r="AG5" s="1352"/>
      <c r="AH5" s="1352"/>
      <c r="AI5" s="1352"/>
    </row>
    <row r="6" spans="3:39" ht="15.75" x14ac:dyDescent="0.5">
      <c r="E6" s="755"/>
      <c r="F6" s="755"/>
      <c r="G6" s="755"/>
      <c r="H6" s="755"/>
      <c r="I6" s="755"/>
      <c r="J6" s="755"/>
      <c r="K6" s="755"/>
      <c r="L6" s="819" t="s">
        <v>1033</v>
      </c>
      <c r="M6" s="819" t="s">
        <v>1033</v>
      </c>
      <c r="N6" s="819" t="s">
        <v>1033</v>
      </c>
      <c r="O6" s="816" t="s">
        <v>1360</v>
      </c>
      <c r="P6" s="816" t="s">
        <v>1361</v>
      </c>
      <c r="Q6" s="817" t="s">
        <v>1362</v>
      </c>
      <c r="R6" s="906" t="s">
        <v>1363</v>
      </c>
      <c r="S6" s="906" t="s">
        <v>1363</v>
      </c>
      <c r="T6" s="906" t="s">
        <v>1363</v>
      </c>
      <c r="U6" s="906" t="s">
        <v>1363</v>
      </c>
      <c r="V6" s="906" t="s">
        <v>1363</v>
      </c>
      <c r="W6" s="906" t="s">
        <v>1363</v>
      </c>
      <c r="X6" s="906" t="s">
        <v>1363</v>
      </c>
      <c r="Y6" s="906" t="s">
        <v>1363</v>
      </c>
      <c r="Z6" s="906" t="s">
        <v>1363</v>
      </c>
      <c r="AA6" s="906" t="s">
        <v>1363</v>
      </c>
      <c r="AB6" s="906" t="s">
        <v>1363</v>
      </c>
      <c r="AC6" s="906" t="s">
        <v>1363</v>
      </c>
      <c r="AD6" s="906" t="s">
        <v>1363</v>
      </c>
      <c r="AE6" s="906" t="s">
        <v>1363</v>
      </c>
      <c r="AF6" s="906" t="s">
        <v>1363</v>
      </c>
      <c r="AG6" s="906" t="s">
        <v>1363</v>
      </c>
      <c r="AH6" s="906" t="s">
        <v>1363</v>
      </c>
      <c r="AI6" s="906" t="s">
        <v>1363</v>
      </c>
    </row>
    <row r="8" spans="3:39" ht="82.5" customHeight="1" x14ac:dyDescent="0.45">
      <c r="F8" s="839" t="s">
        <v>1506</v>
      </c>
      <c r="G8" s="829" t="s">
        <v>1438</v>
      </c>
      <c r="H8" s="829" t="s">
        <v>1426</v>
      </c>
      <c r="I8" s="829" t="s">
        <v>1446</v>
      </c>
      <c r="J8" s="828" t="s">
        <v>1445</v>
      </c>
      <c r="K8" s="847" t="s">
        <v>1450</v>
      </c>
      <c r="L8" s="1356" t="s">
        <v>1033</v>
      </c>
      <c r="M8" s="1357"/>
      <c r="N8" s="1357"/>
      <c r="O8" s="1353" t="s">
        <v>1034</v>
      </c>
      <c r="P8" s="1354"/>
      <c r="Q8" s="1354"/>
      <c r="R8" s="1354"/>
      <c r="S8" s="1354"/>
      <c r="T8" s="1354"/>
      <c r="U8" s="1354"/>
      <c r="V8" s="1354"/>
      <c r="W8" s="1354"/>
      <c r="X8" s="1354"/>
      <c r="Y8" s="1354"/>
      <c r="Z8" s="1354"/>
      <c r="AA8" s="1354"/>
      <c r="AB8" s="1354"/>
      <c r="AC8" s="1354"/>
      <c r="AD8" s="1354"/>
      <c r="AE8" s="1354"/>
      <c r="AF8" s="1354"/>
      <c r="AG8" s="1354"/>
      <c r="AH8" s="1354"/>
      <c r="AI8" s="1355"/>
      <c r="AL8" s="907" t="s">
        <v>1444</v>
      </c>
      <c r="AM8" s="851" t="s">
        <v>1470</v>
      </c>
    </row>
    <row r="9" spans="3:39" x14ac:dyDescent="0.45">
      <c r="G9" s="840"/>
      <c r="H9" s="840"/>
      <c r="I9" s="840"/>
      <c r="J9" s="856"/>
      <c r="K9" s="536" t="s">
        <v>1420</v>
      </c>
      <c r="L9" s="756">
        <v>-3</v>
      </c>
      <c r="M9" s="756">
        <v>-2</v>
      </c>
      <c r="N9" s="756">
        <v>-1</v>
      </c>
      <c r="O9" s="822">
        <v>0</v>
      </c>
      <c r="P9" s="822">
        <v>1</v>
      </c>
      <c r="Q9" s="530">
        <v>2</v>
      </c>
      <c r="R9" s="529">
        <v>3</v>
      </c>
      <c r="S9" s="529">
        <v>4</v>
      </c>
      <c r="T9" s="529">
        <v>5</v>
      </c>
      <c r="U9" s="529">
        <v>6</v>
      </c>
      <c r="V9" s="530">
        <v>7</v>
      </c>
      <c r="W9" s="529">
        <v>8</v>
      </c>
      <c r="X9" s="529">
        <v>9</v>
      </c>
      <c r="Y9" s="530">
        <v>10</v>
      </c>
      <c r="Z9" s="529">
        <v>11</v>
      </c>
      <c r="AA9" s="529">
        <v>12</v>
      </c>
      <c r="AB9" s="530">
        <v>13</v>
      </c>
      <c r="AC9" s="529">
        <v>14</v>
      </c>
      <c r="AD9" s="529">
        <v>15</v>
      </c>
      <c r="AE9" s="530">
        <v>16</v>
      </c>
      <c r="AF9" s="529">
        <v>17</v>
      </c>
      <c r="AG9" s="529">
        <v>18</v>
      </c>
      <c r="AH9" s="530">
        <v>19</v>
      </c>
      <c r="AI9" s="529">
        <v>20</v>
      </c>
      <c r="AL9" s="536" t="s">
        <v>1443</v>
      </c>
    </row>
    <row r="10" spans="3:39" x14ac:dyDescent="0.45">
      <c r="G10" s="840"/>
      <c r="H10" s="840"/>
      <c r="I10" s="840"/>
      <c r="J10" s="856"/>
      <c r="K10" s="583"/>
      <c r="L10" s="806" t="s">
        <v>102</v>
      </c>
      <c r="M10" s="806" t="s">
        <v>103</v>
      </c>
      <c r="N10" s="806" t="s">
        <v>104</v>
      </c>
      <c r="O10" s="823" t="s">
        <v>1345</v>
      </c>
      <c r="P10" s="824" t="s">
        <v>1346</v>
      </c>
      <c r="Q10" s="807" t="s">
        <v>1347</v>
      </c>
      <c r="R10" s="808" t="s">
        <v>1348</v>
      </c>
      <c r="S10" s="807" t="s">
        <v>1349</v>
      </c>
      <c r="T10" s="808" t="s">
        <v>1350</v>
      </c>
      <c r="U10" s="807" t="s">
        <v>1351</v>
      </c>
      <c r="V10" s="808" t="s">
        <v>1352</v>
      </c>
      <c r="W10" s="807" t="s">
        <v>1353</v>
      </c>
      <c r="X10" s="578" t="s">
        <v>1354</v>
      </c>
      <c r="Y10" s="536" t="s">
        <v>1355</v>
      </c>
      <c r="Z10" s="536" t="s">
        <v>1410</v>
      </c>
      <c r="AA10" s="536" t="s">
        <v>1411</v>
      </c>
      <c r="AB10" s="536" t="s">
        <v>1412</v>
      </c>
      <c r="AC10" s="536" t="s">
        <v>1413</v>
      </c>
      <c r="AD10" s="536" t="s">
        <v>1414</v>
      </c>
      <c r="AE10" s="536" t="s">
        <v>1415</v>
      </c>
      <c r="AF10" s="536" t="s">
        <v>1416</v>
      </c>
      <c r="AG10" s="536" t="s">
        <v>1417</v>
      </c>
      <c r="AH10" s="536" t="s">
        <v>1418</v>
      </c>
      <c r="AI10" s="809" t="s">
        <v>1419</v>
      </c>
    </row>
    <row r="11" spans="3:39" x14ac:dyDescent="0.45">
      <c r="D11" s="451" t="str">
        <f>'8. Forecast Results National'!D54</f>
        <v>Total HSDG and EEDBS Spent</v>
      </c>
      <c r="J11" s="18"/>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row>
    <row r="12" spans="3:39" ht="15.75" x14ac:dyDescent="0.5">
      <c r="D12" s="747" t="s">
        <v>1474</v>
      </c>
      <c r="E12" s="951" t="str">
        <f>'5. Dashboard Live'!C13</f>
        <v>BC</v>
      </c>
      <c r="F12" s="897">
        <f>SUMIF($E13:$E17,$E12,F13:F17)</f>
        <v>17</v>
      </c>
      <c r="G12" s="849" t="str">
        <f>'5. Dashboard Live'!AA17</f>
        <v>Existing</v>
      </c>
      <c r="H12" s="849" t="str">
        <f>'5. Dashboard Live'!AA18</f>
        <v>None</v>
      </c>
      <c r="I12" s="850" t="str">
        <f>'5. Dashboard Live'!AA19</f>
        <v>Fixed</v>
      </c>
      <c r="J12" s="905">
        <f>K12/$N$49</f>
        <v>-262069.34048752699</v>
      </c>
      <c r="K12" s="772">
        <f>'8. Forecast Results National'!AL54</f>
        <v>-1939051050.2672122</v>
      </c>
      <c r="L12" s="820">
        <f>'8. Forecast Results National'!N54</f>
        <v>-130562326.49333334</v>
      </c>
      <c r="M12" s="820">
        <f>'8. Forecast Results National'!O54</f>
        <v>-137624672.89333332</v>
      </c>
      <c r="N12" s="820">
        <f>'8. Forecast Results National'!P54</f>
        <v>-139007167.36000001</v>
      </c>
      <c r="O12" s="814">
        <f>'8. Forecast Results National'!Q54</f>
        <v>-132158586.5546748</v>
      </c>
      <c r="P12" s="814">
        <f>'8. Forecast Results National'!R54</f>
        <v>-128982481.10976599</v>
      </c>
      <c r="Q12" s="771">
        <f>'8. Forecast Results National'!S54</f>
        <v>-125562535.93588388</v>
      </c>
      <c r="R12" s="1103">
        <f>'8. Forecast Results National'!T54</f>
        <v>-126980311.12447454</v>
      </c>
      <c r="S12" s="1103">
        <f>'8. Forecast Results National'!U54</f>
        <v>-126178928.29298694</v>
      </c>
      <c r="T12" s="1103">
        <f>'8. Forecast Results National'!V54</f>
        <v>-124873358.5791879</v>
      </c>
      <c r="U12" s="1103">
        <f>'8. Forecast Results National'!W54</f>
        <v>-123011087.77828874</v>
      </c>
      <c r="V12" s="1103">
        <f>'8. Forecast Results National'!X54</f>
        <v>-120535350.28829306</v>
      </c>
      <c r="W12" s="1103">
        <f>'8. Forecast Results National'!Y54</f>
        <v>-117384820.31177333</v>
      </c>
      <c r="X12" s="1103">
        <f>'8. Forecast Results National'!Z54</f>
        <v>-113493281.95031948</v>
      </c>
      <c r="Y12" s="1103">
        <f>'8. Forecast Results National'!AA54</f>
        <v>-108789276.8039681</v>
      </c>
      <c r="Z12" s="1103">
        <f>'8. Forecast Results National'!AB54</f>
        <v>-103195727.59912419</v>
      </c>
      <c r="AA12" s="1103">
        <f>'8. Forecast Results National'!AC54</f>
        <v>-96629536.274121657</v>
      </c>
      <c r="AB12" s="1103">
        <f>'8. Forecast Results National'!AD54</f>
        <v>-89001154.85128805</v>
      </c>
      <c r="AC12" s="1103">
        <f>'8. Forecast Results National'!AE54</f>
        <v>-80214127.317820475</v>
      </c>
      <c r="AD12" s="1103">
        <f>'8. Forecast Results National'!AF54</f>
        <v>-70164600.624553606</v>
      </c>
      <c r="AE12" s="1103">
        <f>'8. Forecast Results National'!AG54</f>
        <v>-58740802.791398562</v>
      </c>
      <c r="AF12" s="1103">
        <f>'8. Forecast Results National'!AH54</f>
        <v>-45822485.980415195</v>
      </c>
      <c r="AG12" s="1103">
        <f>'8. Forecast Results National'!AI54</f>
        <v>-31280332.261688013</v>
      </c>
      <c r="AH12" s="1103">
        <f>'8. Forecast Results National'!AJ54</f>
        <v>-16052263.837185454</v>
      </c>
      <c r="AI12" s="1103">
        <f>'8. Forecast Results National'!AK54</f>
        <v>0</v>
      </c>
      <c r="AL12" s="773">
        <f t="shared" ref="AL12:AL17" si="0">SUM(R12:AI12)</f>
        <v>-1552347446.6668873</v>
      </c>
      <c r="AM12" s="883"/>
    </row>
    <row r="13" spans="3:39" ht="15.75" outlineLevel="1" x14ac:dyDescent="0.5">
      <c r="C13" s="873" t="str">
        <f>'10. Inputs &amp; Calcs'!C14</f>
        <v>A</v>
      </c>
      <c r="D13" s="873" t="str">
        <f>'10. Inputs &amp; Calcs'!D14</f>
        <v>Base Case</v>
      </c>
      <c r="E13" s="873" t="str">
        <f>'14. Permanent Info'!D7</f>
        <v>BC</v>
      </c>
      <c r="F13" s="965">
        <v>17</v>
      </c>
      <c r="G13" s="966" t="s">
        <v>1435</v>
      </c>
      <c r="H13" s="966" t="s">
        <v>1436</v>
      </c>
      <c r="I13" s="967" t="s">
        <v>1447</v>
      </c>
      <c r="J13" s="905">
        <v>-372498.24611629854</v>
      </c>
      <c r="K13" s="772">
        <v>-2756114523.014493</v>
      </c>
      <c r="L13" s="821">
        <v>-130562326.49333334</v>
      </c>
      <c r="M13" s="821">
        <v>-137624672.89333332</v>
      </c>
      <c r="N13" s="821">
        <v>-139007167.36000001</v>
      </c>
      <c r="O13" s="815">
        <v>-141576874.53634024</v>
      </c>
      <c r="P13" s="815">
        <v>-138400769.09143141</v>
      </c>
      <c r="Q13" s="773">
        <v>-134282559.36137459</v>
      </c>
      <c r="R13" s="1104">
        <v>-131205714.11312266</v>
      </c>
      <c r="S13" s="1104">
        <v>-130404331.28163506</v>
      </c>
      <c r="T13" s="1104">
        <v>-129098761.56783602</v>
      </c>
      <c r="U13" s="1104">
        <v>-127236490.76693685</v>
      </c>
      <c r="V13" s="1104">
        <v>-124760753.27694118</v>
      </c>
      <c r="W13" s="1104">
        <v>-121610223.30042145</v>
      </c>
      <c r="X13" s="1104">
        <v>-117718684.9389676</v>
      </c>
      <c r="Y13" s="1104">
        <v>-113014679.79261622</v>
      </c>
      <c r="Z13" s="1104">
        <v>-107421130.58777231</v>
      </c>
      <c r="AA13" s="1104">
        <v>-100854939.26276977</v>
      </c>
      <c r="AB13" s="1104">
        <v>-93226557.839936167</v>
      </c>
      <c r="AC13" s="1104">
        <v>-84439530.306468591</v>
      </c>
      <c r="AD13" s="1104">
        <v>-74390003.613201723</v>
      </c>
      <c r="AE13" s="1104">
        <v>-62966205.780046679</v>
      </c>
      <c r="AF13" s="1104">
        <v>-50047888.969063312</v>
      </c>
      <c r="AG13" s="1104">
        <v>-35505735.250336125</v>
      </c>
      <c r="AH13" s="1104">
        <v>-737952689.37727487</v>
      </c>
      <c r="AI13" s="1104">
        <v>0</v>
      </c>
      <c r="AL13" s="773">
        <f t="shared" si="0"/>
        <v>-2341854320.0253463</v>
      </c>
      <c r="AM13" s="883">
        <v>4</v>
      </c>
    </row>
    <row r="14" spans="3:39" ht="15.75" outlineLevel="1" x14ac:dyDescent="0.5">
      <c r="C14" s="865" t="str">
        <f>'10. Inputs &amp; Calcs'!C15</f>
        <v>B</v>
      </c>
      <c r="D14" s="865" t="str">
        <f>'10. Inputs &amp; Calcs'!D15</f>
        <v>Scenario 1 - Outsource Property Management</v>
      </c>
      <c r="E14" s="865" t="str">
        <f>'14. Permanent Info'!D8</f>
        <v>Sc1</v>
      </c>
      <c r="F14" s="965">
        <v>5</v>
      </c>
      <c r="G14" s="966" t="s">
        <v>1437</v>
      </c>
      <c r="H14" s="966" t="s">
        <v>1436</v>
      </c>
      <c r="I14" s="967" t="s">
        <v>1428</v>
      </c>
      <c r="J14" s="905">
        <v>-193014.0713463086</v>
      </c>
      <c r="K14" s="772">
        <v>-1428111113.8913374</v>
      </c>
      <c r="L14" s="821">
        <v>-130562326.49333334</v>
      </c>
      <c r="M14" s="821">
        <v>-137624672.89333332</v>
      </c>
      <c r="N14" s="821">
        <v>-139007167.36000001</v>
      </c>
      <c r="O14" s="815">
        <v>-141576874.53634024</v>
      </c>
      <c r="P14" s="815">
        <v>-138400769.09143141</v>
      </c>
      <c r="Q14" s="773">
        <v>-153814812.48137459</v>
      </c>
      <c r="R14" s="1104">
        <v>-282906676.29483563</v>
      </c>
      <c r="S14" s="1104">
        <v>-241448392.66406965</v>
      </c>
      <c r="T14" s="1104">
        <v>-215770278.24525476</v>
      </c>
      <c r="U14" s="1104">
        <v>-186967445.83256724</v>
      </c>
      <c r="V14" s="1104">
        <v>-67225864.745463669</v>
      </c>
      <c r="W14" s="1104">
        <v>0</v>
      </c>
      <c r="X14" s="1104">
        <v>0</v>
      </c>
      <c r="Y14" s="1104">
        <v>0</v>
      </c>
      <c r="Z14" s="1104">
        <v>0</v>
      </c>
      <c r="AA14" s="1104">
        <v>0</v>
      </c>
      <c r="AB14" s="1104">
        <v>0</v>
      </c>
      <c r="AC14" s="1104">
        <v>0</v>
      </c>
      <c r="AD14" s="1104">
        <v>0</v>
      </c>
      <c r="AE14" s="1104">
        <v>0</v>
      </c>
      <c r="AF14" s="1104">
        <v>0</v>
      </c>
      <c r="AG14" s="1104">
        <v>0</v>
      </c>
      <c r="AH14" s="1104">
        <v>0</v>
      </c>
      <c r="AI14" s="1104">
        <v>0</v>
      </c>
      <c r="AL14" s="773">
        <f t="shared" si="0"/>
        <v>-994318657.7821908</v>
      </c>
      <c r="AM14" s="883">
        <v>3</v>
      </c>
    </row>
    <row r="15" spans="3:39" ht="15.75" outlineLevel="1" x14ac:dyDescent="0.5">
      <c r="C15" s="861" t="str">
        <f>'10. Inputs &amp; Calcs'!C16</f>
        <v>C</v>
      </c>
      <c r="D15" s="861" t="str">
        <f>'10. Inputs &amp; Calcs'!D16</f>
        <v>Scenario 2 - Accelerate Transfer Voetstoots to Existing Occupants</v>
      </c>
      <c r="E15" s="861" t="str">
        <f>'14. Permanent Info'!D9</f>
        <v>Sc2</v>
      </c>
      <c r="F15" s="965">
        <v>2</v>
      </c>
      <c r="G15" s="966" t="s">
        <v>1435</v>
      </c>
      <c r="H15" s="966" t="s">
        <v>1436</v>
      </c>
      <c r="I15" s="967" t="s">
        <v>1428</v>
      </c>
      <c r="J15" s="905">
        <v>-165616.86038024619</v>
      </c>
      <c r="K15" s="772">
        <v>-1225399149.9534416</v>
      </c>
      <c r="L15" s="821">
        <v>-130562326.49333334</v>
      </c>
      <c r="M15" s="821">
        <v>-137624672.89333332</v>
      </c>
      <c r="N15" s="821">
        <v>-139007167.36000001</v>
      </c>
      <c r="O15" s="815">
        <v>-141576874.53634024</v>
      </c>
      <c r="P15" s="815">
        <v>-138400769.09143141</v>
      </c>
      <c r="Q15" s="773">
        <v>-134282559.36137459</v>
      </c>
      <c r="R15" s="1104">
        <v>-645334119.72052228</v>
      </c>
      <c r="S15" s="1104">
        <v>-165804827.24377292</v>
      </c>
      <c r="T15" s="1104">
        <v>0</v>
      </c>
      <c r="U15" s="1104">
        <v>0</v>
      </c>
      <c r="V15" s="1104">
        <v>0</v>
      </c>
      <c r="W15" s="1104">
        <v>0</v>
      </c>
      <c r="X15" s="1104">
        <v>0</v>
      </c>
      <c r="Y15" s="1104">
        <v>0</v>
      </c>
      <c r="Z15" s="1104">
        <v>0</v>
      </c>
      <c r="AA15" s="1104">
        <v>0</v>
      </c>
      <c r="AB15" s="1104">
        <v>0</v>
      </c>
      <c r="AC15" s="1104">
        <v>0</v>
      </c>
      <c r="AD15" s="1104">
        <v>0</v>
      </c>
      <c r="AE15" s="1104">
        <v>0</v>
      </c>
      <c r="AF15" s="1104">
        <v>0</v>
      </c>
      <c r="AG15" s="1104">
        <v>0</v>
      </c>
      <c r="AH15" s="1104">
        <v>0</v>
      </c>
      <c r="AI15" s="1104">
        <v>0</v>
      </c>
      <c r="AL15" s="773">
        <f t="shared" si="0"/>
        <v>-811138946.96429515</v>
      </c>
      <c r="AM15" s="883">
        <v>2</v>
      </c>
    </row>
    <row r="16" spans="3:39" ht="15.75" outlineLevel="1" x14ac:dyDescent="0.5">
      <c r="C16" s="880" t="str">
        <f>'10. Inputs &amp; Calcs'!C17</f>
        <v>D</v>
      </c>
      <c r="D16" s="880" t="str">
        <f>'10. Inputs &amp; Calcs'!D17</f>
        <v>Scenario 3 - Devolve to Local Municipality</v>
      </c>
      <c r="E16" s="880" t="str">
        <f>'14. Permanent Info'!D10</f>
        <v>Sc3</v>
      </c>
      <c r="F16" s="965">
        <v>1</v>
      </c>
      <c r="G16" s="966" t="s">
        <v>1435</v>
      </c>
      <c r="H16" s="966" t="s">
        <v>1436</v>
      </c>
      <c r="I16" s="967" t="s">
        <v>1428</v>
      </c>
      <c r="J16" s="905">
        <v>-165296.54317350202</v>
      </c>
      <c r="K16" s="772">
        <v>-1223029122.9407415</v>
      </c>
      <c r="L16" s="820">
        <v>-130562326.49333334</v>
      </c>
      <c r="M16" s="820">
        <v>-137624672.89333332</v>
      </c>
      <c r="N16" s="820">
        <v>-139007167.36000001</v>
      </c>
      <c r="O16" s="814">
        <v>-141576874.53634024</v>
      </c>
      <c r="P16" s="814">
        <v>-138400769.09143141</v>
      </c>
      <c r="Q16" s="771">
        <v>-134282559.36137459</v>
      </c>
      <c r="R16" s="1103">
        <v>-808768919.95159531</v>
      </c>
      <c r="S16" s="1103">
        <v>0</v>
      </c>
      <c r="T16" s="1103">
        <v>0</v>
      </c>
      <c r="U16" s="1103">
        <v>0</v>
      </c>
      <c r="V16" s="1103">
        <v>0</v>
      </c>
      <c r="W16" s="1103">
        <v>0</v>
      </c>
      <c r="X16" s="1103">
        <v>0</v>
      </c>
      <c r="Y16" s="1103">
        <v>0</v>
      </c>
      <c r="Z16" s="1103">
        <v>0</v>
      </c>
      <c r="AA16" s="1103">
        <v>0</v>
      </c>
      <c r="AB16" s="1103">
        <v>0</v>
      </c>
      <c r="AC16" s="1103">
        <v>0</v>
      </c>
      <c r="AD16" s="1103">
        <v>0</v>
      </c>
      <c r="AE16" s="1103">
        <v>0</v>
      </c>
      <c r="AF16" s="1103">
        <v>0</v>
      </c>
      <c r="AG16" s="1103">
        <v>0</v>
      </c>
      <c r="AH16" s="1103">
        <v>0</v>
      </c>
      <c r="AI16" s="1103">
        <v>0</v>
      </c>
      <c r="AL16" s="773">
        <f t="shared" si="0"/>
        <v>-808768919.95159531</v>
      </c>
      <c r="AM16" s="883">
        <v>1</v>
      </c>
    </row>
    <row r="17" spans="3:39" ht="15.75" outlineLevel="1" x14ac:dyDescent="0.5">
      <c r="C17" s="869" t="str">
        <f>'10. Inputs &amp; Calcs'!C18</f>
        <v>E</v>
      </c>
      <c r="D17" s="869" t="str">
        <f>'10. Inputs &amp; Calcs'!D18</f>
        <v>Scenario 4 - User creates own scenario</v>
      </c>
      <c r="E17" s="869" t="str">
        <f>'14. Permanent Info'!D11</f>
        <v>Sc4</v>
      </c>
      <c r="F17" s="936">
        <f>IF('5. Dashboard Live'!$C$13='7. Scenario Detailed'!$E$17,'5. Dashboard Live'!$AA$16,0)</f>
        <v>0</v>
      </c>
      <c r="G17" s="937">
        <f>IF('5. Dashboard Live'!$C$13='7. Scenario Detailed'!$E$17,'5. Dashboard Live'!$AA$17,0)</f>
        <v>0</v>
      </c>
      <c r="H17" s="1318">
        <f>IF('5. Dashboard Live'!$C$13='7. Scenario Detailed'!$E$17,'5. Dashboard Live'!$AA$18,0)</f>
        <v>0</v>
      </c>
      <c r="I17" s="1319">
        <f>IF('5. Dashboard Live'!$C$13='7. Scenario Detailed'!$E$17,'5. Dashboard Live'!$AA$19,0)</f>
        <v>0</v>
      </c>
      <c r="J17" s="905">
        <f>IF($E$12=$E$17,J$12,0)</f>
        <v>0</v>
      </c>
      <c r="K17" s="772">
        <f t="shared" ref="K17:AI17" si="1">IF($E$12=$E$17,K$12,0)</f>
        <v>0</v>
      </c>
      <c r="L17" s="821">
        <f t="shared" si="1"/>
        <v>0</v>
      </c>
      <c r="M17" s="821">
        <f t="shared" si="1"/>
        <v>0</v>
      </c>
      <c r="N17" s="821">
        <f t="shared" si="1"/>
        <v>0</v>
      </c>
      <c r="O17" s="815">
        <f t="shared" si="1"/>
        <v>0</v>
      </c>
      <c r="P17" s="815">
        <f t="shared" si="1"/>
        <v>0</v>
      </c>
      <c r="Q17" s="773">
        <f t="shared" si="1"/>
        <v>0</v>
      </c>
      <c r="R17" s="1104">
        <f t="shared" si="1"/>
        <v>0</v>
      </c>
      <c r="S17" s="1104">
        <f t="shared" si="1"/>
        <v>0</v>
      </c>
      <c r="T17" s="1104">
        <f t="shared" si="1"/>
        <v>0</v>
      </c>
      <c r="U17" s="1104">
        <f t="shared" si="1"/>
        <v>0</v>
      </c>
      <c r="V17" s="1104">
        <f t="shared" si="1"/>
        <v>0</v>
      </c>
      <c r="W17" s="1104">
        <f t="shared" si="1"/>
        <v>0</v>
      </c>
      <c r="X17" s="1104">
        <f t="shared" si="1"/>
        <v>0</v>
      </c>
      <c r="Y17" s="1104">
        <f t="shared" si="1"/>
        <v>0</v>
      </c>
      <c r="Z17" s="1104">
        <f t="shared" si="1"/>
        <v>0</v>
      </c>
      <c r="AA17" s="1104">
        <f t="shared" si="1"/>
        <v>0</v>
      </c>
      <c r="AB17" s="1104">
        <f t="shared" si="1"/>
        <v>0</v>
      </c>
      <c r="AC17" s="1104">
        <f t="shared" si="1"/>
        <v>0</v>
      </c>
      <c r="AD17" s="1104">
        <f t="shared" si="1"/>
        <v>0</v>
      </c>
      <c r="AE17" s="1104">
        <f t="shared" si="1"/>
        <v>0</v>
      </c>
      <c r="AF17" s="1104">
        <f t="shared" si="1"/>
        <v>0</v>
      </c>
      <c r="AG17" s="1104">
        <f t="shared" si="1"/>
        <v>0</v>
      </c>
      <c r="AH17" s="1104">
        <f t="shared" si="1"/>
        <v>0</v>
      </c>
      <c r="AI17" s="1104">
        <f t="shared" si="1"/>
        <v>0</v>
      </c>
      <c r="AL17" s="773">
        <f t="shared" si="0"/>
        <v>0</v>
      </c>
      <c r="AM17" s="883"/>
    </row>
    <row r="21" spans="3:39" outlineLevel="1" x14ac:dyDescent="0.45"/>
    <row r="22" spans="3:39" outlineLevel="1" x14ac:dyDescent="0.45"/>
    <row r="23" spans="3:39" outlineLevel="1" x14ac:dyDescent="0.45"/>
    <row r="24" spans="3:39" outlineLevel="1" x14ac:dyDescent="0.45"/>
    <row r="25" spans="3:39" outlineLevel="1" x14ac:dyDescent="0.45"/>
    <row r="26" spans="3:39" outlineLevel="1" x14ac:dyDescent="0.45"/>
    <row r="31" spans="3:39" x14ac:dyDescent="0.45">
      <c r="T31" s="855"/>
    </row>
    <row r="32" spans="3:39" x14ac:dyDescent="0.45">
      <c r="D32" s="451" t="s">
        <v>1401</v>
      </c>
    </row>
    <row r="33" spans="3:35" x14ac:dyDescent="0.45">
      <c r="C33" s="747"/>
      <c r="D33" s="747" t="str">
        <f>D$12</f>
        <v>Projected Scenario (Select Scenario):</v>
      </c>
      <c r="E33" s="747" t="str">
        <f>E$12</f>
        <v>BC</v>
      </c>
      <c r="F33">
        <f>F12</f>
        <v>17</v>
      </c>
      <c r="L33" s="785">
        <f>'8. Forecast Results National'!N12</f>
        <v>0</v>
      </c>
      <c r="M33" s="785">
        <f>'8. Forecast Results National'!O12</f>
        <v>0</v>
      </c>
      <c r="N33" s="785">
        <f>'8. Forecast Results National'!P12</f>
        <v>2239</v>
      </c>
      <c r="O33" s="785">
        <f>'8. Forecast Results National'!Q12</f>
        <v>2753</v>
      </c>
      <c r="P33" s="785">
        <f>'8. Forecast Results National'!R12</f>
        <v>3267</v>
      </c>
      <c r="Q33" s="785">
        <f>'8. Forecast Results National'!S12</f>
        <v>3743</v>
      </c>
      <c r="R33" s="785">
        <f>'8. Forecast Results National'!T12</f>
        <v>3969</v>
      </c>
      <c r="S33" s="785">
        <f>'8. Forecast Results National'!U12</f>
        <v>4195</v>
      </c>
      <c r="T33" s="785">
        <f>'8. Forecast Results National'!V12</f>
        <v>4421</v>
      </c>
      <c r="U33" s="785">
        <f>'8. Forecast Results National'!W12</f>
        <v>4647</v>
      </c>
      <c r="V33" s="785">
        <f>'8. Forecast Results National'!X12</f>
        <v>4873</v>
      </c>
      <c r="W33" s="785">
        <f>'8. Forecast Results National'!Y12</f>
        <v>5099</v>
      </c>
      <c r="X33" s="785">
        <f>'8. Forecast Results National'!Z12</f>
        <v>5325</v>
      </c>
      <c r="Y33" s="785">
        <f>'8. Forecast Results National'!AA12</f>
        <v>5551</v>
      </c>
      <c r="Z33" s="785">
        <f>'8. Forecast Results National'!AB12</f>
        <v>5777</v>
      </c>
      <c r="AA33" s="785">
        <f>'8. Forecast Results National'!AC12</f>
        <v>6003</v>
      </c>
      <c r="AB33" s="785">
        <f>'8. Forecast Results National'!AD12</f>
        <v>6229</v>
      </c>
      <c r="AC33" s="785">
        <f>'8. Forecast Results National'!AE12</f>
        <v>6455</v>
      </c>
      <c r="AD33" s="785">
        <f>'8. Forecast Results National'!AF12</f>
        <v>6681</v>
      </c>
      <c r="AE33" s="785">
        <f>'8. Forecast Results National'!AG12</f>
        <v>6907</v>
      </c>
      <c r="AF33" s="785">
        <f>'8. Forecast Results National'!AH12</f>
        <v>7133</v>
      </c>
      <c r="AG33" s="785">
        <f>'8. Forecast Results National'!AI12</f>
        <v>7359</v>
      </c>
      <c r="AH33" s="785">
        <f>'8. Forecast Results National'!AJ12</f>
        <v>7399</v>
      </c>
      <c r="AI33" s="785">
        <f>'8. Forecast Results National'!AK12</f>
        <v>0</v>
      </c>
    </row>
    <row r="34" spans="3:35" outlineLevel="1" x14ac:dyDescent="0.45">
      <c r="C34" s="747" t="str">
        <f>C$13</f>
        <v>A</v>
      </c>
      <c r="D34" s="747" t="str">
        <f>D$13</f>
        <v>Base Case</v>
      </c>
      <c r="E34" s="747" t="str">
        <f>E$13</f>
        <v>BC</v>
      </c>
      <c r="L34" s="785">
        <v>0</v>
      </c>
      <c r="M34" s="785">
        <v>0</v>
      </c>
      <c r="N34" s="785">
        <v>2239</v>
      </c>
      <c r="O34" s="785">
        <v>2752</v>
      </c>
      <c r="P34" s="785">
        <v>3265</v>
      </c>
      <c r="Q34" s="785">
        <v>3741</v>
      </c>
      <c r="R34" s="785">
        <v>4217</v>
      </c>
      <c r="S34" s="785">
        <v>4318.8999999999996</v>
      </c>
      <c r="T34" s="785">
        <v>4402.8</v>
      </c>
      <c r="U34" s="785">
        <v>4371.7000000000007</v>
      </c>
      <c r="V34" s="785">
        <v>4341.6000000000004</v>
      </c>
      <c r="W34" s="785">
        <v>4312.5</v>
      </c>
      <c r="X34" s="785">
        <v>4312.5</v>
      </c>
      <c r="Y34" s="785">
        <v>4312.5</v>
      </c>
      <c r="Z34" s="785">
        <v>4312.5</v>
      </c>
      <c r="AA34" s="785">
        <v>4312.5</v>
      </c>
      <c r="AB34" s="785">
        <v>4312.5</v>
      </c>
      <c r="AC34" s="785">
        <v>4312.5</v>
      </c>
      <c r="AD34" s="785">
        <v>4312.5</v>
      </c>
      <c r="AE34" s="785">
        <v>4312.5</v>
      </c>
      <c r="AF34" s="785">
        <v>4312.5</v>
      </c>
      <c r="AG34" s="785">
        <v>4312.5</v>
      </c>
      <c r="AH34" s="785">
        <v>4312.5</v>
      </c>
      <c r="AI34" s="785">
        <v>4783.3000000000011</v>
      </c>
    </row>
    <row r="35" spans="3:35" outlineLevel="1" x14ac:dyDescent="0.45">
      <c r="C35" s="747" t="str">
        <f>C$14</f>
        <v>B</v>
      </c>
      <c r="D35" s="747" t="str">
        <f>D$14</f>
        <v>Scenario 1 - Outsource Property Management</v>
      </c>
      <c r="E35" s="747" t="s">
        <v>1315</v>
      </c>
      <c r="F35">
        <v>5</v>
      </c>
      <c r="L35" s="785">
        <v>0</v>
      </c>
      <c r="M35" s="785">
        <v>0</v>
      </c>
      <c r="N35" s="785">
        <v>2239</v>
      </c>
      <c r="O35" s="785">
        <v>2752</v>
      </c>
      <c r="P35" s="785">
        <v>3265</v>
      </c>
      <c r="Q35" s="785">
        <v>3741</v>
      </c>
      <c r="R35" s="785">
        <v>4473</v>
      </c>
      <c r="S35" s="785">
        <v>4456.8</v>
      </c>
      <c r="T35" s="785">
        <v>4440.6000000000004</v>
      </c>
      <c r="U35" s="785">
        <v>4424.4000000000005</v>
      </c>
      <c r="V35" s="785">
        <v>4408.2000000000007</v>
      </c>
      <c r="W35" s="785">
        <v>0</v>
      </c>
      <c r="X35" s="785">
        <v>0</v>
      </c>
      <c r="Y35" s="785">
        <v>0</v>
      </c>
      <c r="Z35" s="785">
        <v>0</v>
      </c>
      <c r="AA35" s="785">
        <v>0</v>
      </c>
      <c r="AB35" s="785">
        <v>0</v>
      </c>
      <c r="AC35" s="785">
        <v>0</v>
      </c>
      <c r="AD35" s="785">
        <v>0</v>
      </c>
      <c r="AE35" s="785">
        <v>0</v>
      </c>
      <c r="AF35" s="785">
        <v>0</v>
      </c>
      <c r="AG35" s="785">
        <v>0</v>
      </c>
      <c r="AH35" s="785">
        <v>0</v>
      </c>
      <c r="AI35" s="785">
        <v>0</v>
      </c>
    </row>
    <row r="36" spans="3:35" outlineLevel="1" x14ac:dyDescent="0.45">
      <c r="C36" s="747" t="str">
        <f>C$15</f>
        <v>C</v>
      </c>
      <c r="D36" s="747" t="str">
        <f>D$15</f>
        <v>Scenario 2 - Accelerate Transfer Voetstoots to Existing Occupants</v>
      </c>
      <c r="E36" s="747" t="s">
        <v>1316</v>
      </c>
      <c r="F36">
        <v>2</v>
      </c>
      <c r="L36" s="785">
        <v>0</v>
      </c>
      <c r="M36" s="785">
        <v>0</v>
      </c>
      <c r="N36" s="785">
        <v>2239</v>
      </c>
      <c r="O36" s="785">
        <v>2752</v>
      </c>
      <c r="P36" s="785">
        <v>3265</v>
      </c>
      <c r="Q36" s="785">
        <v>3741</v>
      </c>
      <c r="R36" s="785">
        <v>5570</v>
      </c>
      <c r="S36" s="785">
        <v>5528.5</v>
      </c>
      <c r="T36" s="785">
        <v>0</v>
      </c>
      <c r="U36" s="785">
        <v>0</v>
      </c>
      <c r="V36" s="785">
        <v>0</v>
      </c>
      <c r="W36" s="785">
        <v>0</v>
      </c>
      <c r="X36" s="785">
        <v>0</v>
      </c>
      <c r="Y36" s="785">
        <v>0</v>
      </c>
      <c r="Z36" s="785">
        <v>0</v>
      </c>
      <c r="AA36" s="785">
        <v>0</v>
      </c>
      <c r="AB36" s="785">
        <v>0</v>
      </c>
      <c r="AC36" s="785">
        <v>0</v>
      </c>
      <c r="AD36" s="785">
        <v>0</v>
      </c>
      <c r="AE36" s="785">
        <v>0</v>
      </c>
      <c r="AF36" s="785">
        <v>0</v>
      </c>
      <c r="AG36" s="785">
        <v>0</v>
      </c>
      <c r="AH36" s="785">
        <v>0</v>
      </c>
      <c r="AI36" s="785">
        <v>0</v>
      </c>
    </row>
    <row r="37" spans="3:35" outlineLevel="1" x14ac:dyDescent="0.45">
      <c r="C37" s="747" t="str">
        <f>C$16</f>
        <v>D</v>
      </c>
      <c r="D37" s="747" t="str">
        <f>D$16</f>
        <v>Scenario 3 - Devolve to Local Municipality</v>
      </c>
      <c r="E37" s="747" t="s">
        <v>1317</v>
      </c>
      <c r="F37">
        <v>1</v>
      </c>
      <c r="L37" s="785">
        <v>0</v>
      </c>
      <c r="M37" s="785">
        <v>0</v>
      </c>
      <c r="N37" s="785">
        <v>2239</v>
      </c>
      <c r="O37" s="785">
        <v>2752</v>
      </c>
      <c r="P37" s="785">
        <v>3265</v>
      </c>
      <c r="Q37" s="785">
        <v>3741</v>
      </c>
      <c r="R37" s="785">
        <v>7399</v>
      </c>
      <c r="S37" s="785">
        <v>0</v>
      </c>
      <c r="T37" s="785">
        <v>0</v>
      </c>
      <c r="U37" s="785">
        <v>0</v>
      </c>
      <c r="V37" s="785">
        <v>0</v>
      </c>
      <c r="W37" s="785">
        <v>0</v>
      </c>
      <c r="X37" s="785">
        <v>0</v>
      </c>
      <c r="Y37" s="785">
        <v>0</v>
      </c>
      <c r="Z37" s="785">
        <v>0</v>
      </c>
      <c r="AA37" s="785">
        <v>0</v>
      </c>
      <c r="AB37" s="785">
        <v>0</v>
      </c>
      <c r="AC37" s="785">
        <v>0</v>
      </c>
      <c r="AD37" s="785">
        <v>0</v>
      </c>
      <c r="AE37" s="785">
        <v>0</v>
      </c>
      <c r="AF37" s="785">
        <v>0</v>
      </c>
      <c r="AG37" s="785">
        <v>0</v>
      </c>
      <c r="AH37" s="785">
        <v>0</v>
      </c>
      <c r="AI37" s="785">
        <v>0</v>
      </c>
    </row>
    <row r="38" spans="3:35" outlineLevel="1" x14ac:dyDescent="0.45">
      <c r="C38" s="747" t="str">
        <f>C$17</f>
        <v>E</v>
      </c>
      <c r="D38" s="747" t="str">
        <f>D$17</f>
        <v>Scenario 4 - User creates own scenario</v>
      </c>
      <c r="E38" s="747" t="s">
        <v>1318</v>
      </c>
      <c r="F38">
        <v>6</v>
      </c>
      <c r="L38" s="785">
        <v>0</v>
      </c>
      <c r="M38" s="785">
        <v>0</v>
      </c>
      <c r="N38" s="785">
        <v>2239</v>
      </c>
      <c r="O38" s="785">
        <v>2752</v>
      </c>
      <c r="P38" s="785">
        <v>3265</v>
      </c>
      <c r="Q38" s="785">
        <v>3741</v>
      </c>
      <c r="R38" s="785">
        <v>4350</v>
      </c>
      <c r="S38" s="785">
        <v>4335.5</v>
      </c>
      <c r="T38" s="785">
        <v>4321</v>
      </c>
      <c r="U38" s="785">
        <v>4306.5</v>
      </c>
      <c r="V38" s="785">
        <v>4294.0000000000009</v>
      </c>
      <c r="W38" s="785">
        <v>4282.5000000000009</v>
      </c>
      <c r="X38" s="785">
        <v>4282.5000000000009</v>
      </c>
      <c r="Y38" s="785">
        <v>4282.5000000000009</v>
      </c>
      <c r="Z38" s="785">
        <v>4282.5000000000009</v>
      </c>
      <c r="AA38" s="785">
        <v>4282.5000000000009</v>
      </c>
      <c r="AB38" s="785">
        <v>4282.5000000000009</v>
      </c>
      <c r="AC38" s="785">
        <v>4282.5000000000009</v>
      </c>
      <c r="AD38" s="785">
        <v>4282.5000000000009</v>
      </c>
      <c r="AE38" s="785">
        <v>4282.5000000000009</v>
      </c>
      <c r="AF38" s="785">
        <v>4282.5000000000009</v>
      </c>
      <c r="AG38" s="785">
        <v>4282.5000000000009</v>
      </c>
      <c r="AH38" s="785">
        <v>4282.5000000000009</v>
      </c>
      <c r="AI38" s="785">
        <v>0</v>
      </c>
    </row>
    <row r="39" spans="3:35" x14ac:dyDescent="0.45">
      <c r="C39" s="747"/>
      <c r="D39" s="747"/>
      <c r="E39" s="747"/>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row>
    <row r="40" spans="3:35" x14ac:dyDescent="0.45">
      <c r="L40" s="785"/>
      <c r="M40" s="785"/>
      <c r="N40" s="785"/>
      <c r="O40" s="785"/>
      <c r="P40" s="785"/>
      <c r="Q40" s="785"/>
      <c r="R40" s="785"/>
      <c r="S40" s="785"/>
      <c r="T40" s="785"/>
      <c r="U40" s="785"/>
      <c r="V40" s="785"/>
      <c r="W40" s="785"/>
      <c r="X40" s="785"/>
      <c r="Y40" s="785"/>
      <c r="Z40" s="785"/>
      <c r="AA40" s="785"/>
      <c r="AB40" s="785"/>
      <c r="AC40" s="785"/>
      <c r="AD40" s="785"/>
      <c r="AE40" s="785"/>
      <c r="AF40" s="785"/>
      <c r="AG40" s="785"/>
      <c r="AH40" s="785"/>
      <c r="AI40" s="785"/>
    </row>
    <row r="41" spans="3:35" x14ac:dyDescent="0.45">
      <c r="D41" s="451" t="s">
        <v>1329</v>
      </c>
      <c r="L41" s="785"/>
      <c r="M41" s="785"/>
      <c r="N41" s="785"/>
      <c r="O41" s="785"/>
      <c r="P41" s="785"/>
      <c r="Q41" s="785"/>
      <c r="R41" s="785"/>
      <c r="S41" s="785"/>
      <c r="T41" s="785"/>
      <c r="U41" s="785"/>
      <c r="V41" s="785"/>
      <c r="W41" s="785"/>
      <c r="X41" s="785"/>
      <c r="Y41" s="785"/>
      <c r="Z41" s="785"/>
      <c r="AA41" s="785"/>
      <c r="AB41" s="785"/>
      <c r="AC41" s="785"/>
      <c r="AD41" s="785"/>
      <c r="AE41" s="785"/>
      <c r="AF41" s="785"/>
      <c r="AG41" s="785"/>
      <c r="AH41" s="785"/>
      <c r="AI41" s="785"/>
    </row>
    <row r="42" spans="3:35" x14ac:dyDescent="0.45">
      <c r="C42" s="747"/>
      <c r="D42" s="747" t="str">
        <f>D$12</f>
        <v>Projected Scenario (Select Scenario):</v>
      </c>
      <c r="E42" s="747" t="str">
        <f>E$12</f>
        <v>BC</v>
      </c>
      <c r="F42">
        <f>F12</f>
        <v>17</v>
      </c>
      <c r="L42" s="785">
        <f>'8. Forecast Results National'!N13</f>
        <v>0</v>
      </c>
      <c r="M42" s="785">
        <f>'8. Forecast Results National'!O13</f>
        <v>0</v>
      </c>
      <c r="N42" s="785">
        <f>'8. Forecast Results National'!P13</f>
        <v>5160</v>
      </c>
      <c r="O42" s="785">
        <f>'8. Forecast Results National'!Q13</f>
        <v>4646</v>
      </c>
      <c r="P42" s="785">
        <f>'8. Forecast Results National'!R13</f>
        <v>4132</v>
      </c>
      <c r="Q42" s="785">
        <f>'8. Forecast Results National'!S13</f>
        <v>3656</v>
      </c>
      <c r="R42" s="785">
        <f>'8. Forecast Results National'!T13</f>
        <v>3430</v>
      </c>
      <c r="S42" s="785">
        <f>'8. Forecast Results National'!U13</f>
        <v>3204</v>
      </c>
      <c r="T42" s="785">
        <f>'8. Forecast Results National'!V13</f>
        <v>2978</v>
      </c>
      <c r="U42" s="785">
        <f>'8. Forecast Results National'!W13</f>
        <v>2752</v>
      </c>
      <c r="V42" s="785">
        <f>'8. Forecast Results National'!X13</f>
        <v>2526</v>
      </c>
      <c r="W42" s="785">
        <f>'8. Forecast Results National'!Y13</f>
        <v>2300</v>
      </c>
      <c r="X42" s="785">
        <f>'8. Forecast Results National'!Z13</f>
        <v>2074</v>
      </c>
      <c r="Y42" s="785">
        <f>'8. Forecast Results National'!AA13</f>
        <v>1848</v>
      </c>
      <c r="Z42" s="785">
        <f>'8. Forecast Results National'!AB13</f>
        <v>1622</v>
      </c>
      <c r="AA42" s="785">
        <f>'8. Forecast Results National'!AC13</f>
        <v>1396</v>
      </c>
      <c r="AB42" s="785">
        <f>'8. Forecast Results National'!AD13</f>
        <v>1170</v>
      </c>
      <c r="AC42" s="785">
        <f>'8. Forecast Results National'!AE13</f>
        <v>944</v>
      </c>
      <c r="AD42" s="785">
        <f>'8. Forecast Results National'!AF13</f>
        <v>718</v>
      </c>
      <c r="AE42" s="785">
        <f>'8. Forecast Results National'!AG13</f>
        <v>492</v>
      </c>
      <c r="AF42" s="785">
        <f>'8. Forecast Results National'!AH13</f>
        <v>266</v>
      </c>
      <c r="AG42" s="785">
        <f>'8. Forecast Results National'!AI13</f>
        <v>40</v>
      </c>
      <c r="AH42" s="785">
        <f>'8. Forecast Results National'!AJ13</f>
        <v>0</v>
      </c>
      <c r="AI42" s="785">
        <f>'8. Forecast Results National'!AK13</f>
        <v>0</v>
      </c>
    </row>
    <row r="43" spans="3:35" outlineLevel="1" x14ac:dyDescent="0.45">
      <c r="C43" s="747" t="str">
        <f>C$13</f>
        <v>A</v>
      </c>
      <c r="D43" s="747" t="str">
        <f>D$13</f>
        <v>Base Case</v>
      </c>
      <c r="E43" s="747" t="str">
        <f>E$13</f>
        <v>BC</v>
      </c>
      <c r="L43" s="785">
        <v>0</v>
      </c>
      <c r="M43" s="785">
        <v>0</v>
      </c>
      <c r="N43" s="785">
        <v>5160</v>
      </c>
      <c r="O43" s="785">
        <v>4647</v>
      </c>
      <c r="P43" s="785">
        <v>4134</v>
      </c>
      <c r="Q43" s="785">
        <v>3658</v>
      </c>
      <c r="R43" s="785">
        <v>3182</v>
      </c>
      <c r="S43" s="785">
        <v>2706</v>
      </c>
      <c r="T43" s="785">
        <v>2249</v>
      </c>
      <c r="U43" s="785">
        <v>1906</v>
      </c>
      <c r="V43" s="785">
        <v>1562</v>
      </c>
      <c r="W43" s="785">
        <v>1217</v>
      </c>
      <c r="X43" s="785">
        <v>1217</v>
      </c>
      <c r="Y43" s="785">
        <v>1217</v>
      </c>
      <c r="Z43" s="785">
        <v>1217</v>
      </c>
      <c r="AA43" s="785">
        <v>1217</v>
      </c>
      <c r="AB43" s="785">
        <v>1217</v>
      </c>
      <c r="AC43" s="785">
        <v>1217</v>
      </c>
      <c r="AD43" s="785">
        <v>1217</v>
      </c>
      <c r="AE43" s="785">
        <v>1217</v>
      </c>
      <c r="AF43" s="785">
        <v>1217</v>
      </c>
      <c r="AG43" s="785">
        <v>1217</v>
      </c>
      <c r="AH43" s="785">
        <v>1217</v>
      </c>
      <c r="AI43" s="785">
        <v>0</v>
      </c>
    </row>
    <row r="44" spans="3:35" outlineLevel="1" x14ac:dyDescent="0.45">
      <c r="C44" s="747" t="str">
        <f>C$14</f>
        <v>B</v>
      </c>
      <c r="D44" s="747" t="str">
        <f>D$14</f>
        <v>Scenario 1 - Outsource Property Management</v>
      </c>
      <c r="E44" s="747" t="s">
        <v>1315</v>
      </c>
      <c r="F44">
        <v>5</v>
      </c>
      <c r="L44" s="785">
        <v>0</v>
      </c>
      <c r="M44" s="785">
        <v>0</v>
      </c>
      <c r="N44" s="785">
        <v>5160</v>
      </c>
      <c r="O44" s="785">
        <v>4647</v>
      </c>
      <c r="P44" s="785">
        <v>4134</v>
      </c>
      <c r="Q44" s="785">
        <v>3658</v>
      </c>
      <c r="R44" s="785">
        <v>2926</v>
      </c>
      <c r="S44" s="785">
        <v>2194</v>
      </c>
      <c r="T44" s="785">
        <v>1462</v>
      </c>
      <c r="U44" s="785">
        <v>730</v>
      </c>
      <c r="V44" s="785">
        <v>0</v>
      </c>
      <c r="W44" s="785">
        <v>0</v>
      </c>
      <c r="X44" s="785">
        <v>0</v>
      </c>
      <c r="Y44" s="785">
        <v>0</v>
      </c>
      <c r="Z44" s="785">
        <v>0</v>
      </c>
      <c r="AA44" s="785">
        <v>0</v>
      </c>
      <c r="AB44" s="785">
        <v>0</v>
      </c>
      <c r="AC44" s="785">
        <v>0</v>
      </c>
      <c r="AD44" s="785">
        <v>0</v>
      </c>
      <c r="AE44" s="785">
        <v>0</v>
      </c>
      <c r="AF44" s="785">
        <v>0</v>
      </c>
      <c r="AG44" s="785">
        <v>0</v>
      </c>
      <c r="AH44" s="785">
        <v>0</v>
      </c>
      <c r="AI44" s="785">
        <v>0</v>
      </c>
    </row>
    <row r="45" spans="3:35" outlineLevel="1" x14ac:dyDescent="0.45">
      <c r="C45" s="747" t="str">
        <f>C$15</f>
        <v>C</v>
      </c>
      <c r="D45" s="747" t="str">
        <f>D$15</f>
        <v>Scenario 2 - Accelerate Transfer Voetstoots to Existing Occupants</v>
      </c>
      <c r="E45" s="747" t="s">
        <v>1316</v>
      </c>
      <c r="F45">
        <v>2</v>
      </c>
      <c r="L45" s="785">
        <v>0</v>
      </c>
      <c r="M45" s="785">
        <v>0</v>
      </c>
      <c r="N45" s="785">
        <v>5160</v>
      </c>
      <c r="O45" s="785">
        <v>4647</v>
      </c>
      <c r="P45" s="785">
        <v>4134</v>
      </c>
      <c r="Q45" s="785">
        <v>3658</v>
      </c>
      <c r="R45" s="785">
        <v>1829</v>
      </c>
      <c r="S45" s="785">
        <v>0</v>
      </c>
      <c r="T45" s="785">
        <v>0</v>
      </c>
      <c r="U45" s="785">
        <v>0</v>
      </c>
      <c r="V45" s="785">
        <v>0</v>
      </c>
      <c r="W45" s="785">
        <v>0</v>
      </c>
      <c r="X45" s="785">
        <v>0</v>
      </c>
      <c r="Y45" s="785">
        <v>0</v>
      </c>
      <c r="Z45" s="785">
        <v>0</v>
      </c>
      <c r="AA45" s="785">
        <v>0</v>
      </c>
      <c r="AB45" s="785">
        <v>0</v>
      </c>
      <c r="AC45" s="785">
        <v>0</v>
      </c>
      <c r="AD45" s="785">
        <v>0</v>
      </c>
      <c r="AE45" s="785">
        <v>0</v>
      </c>
      <c r="AF45" s="785">
        <v>0</v>
      </c>
      <c r="AG45" s="785">
        <v>0</v>
      </c>
      <c r="AH45" s="785">
        <v>0</v>
      </c>
      <c r="AI45" s="785">
        <v>0</v>
      </c>
    </row>
    <row r="46" spans="3:35" outlineLevel="1" x14ac:dyDescent="0.45">
      <c r="C46" s="747" t="str">
        <f>C$16</f>
        <v>D</v>
      </c>
      <c r="D46" s="747" t="str">
        <f>D$16</f>
        <v>Scenario 3 - Devolve to Local Municipality</v>
      </c>
      <c r="E46" s="747" t="s">
        <v>1317</v>
      </c>
      <c r="F46">
        <v>1</v>
      </c>
      <c r="L46" s="785">
        <v>0</v>
      </c>
      <c r="M46" s="785">
        <v>0</v>
      </c>
      <c r="N46" s="785">
        <v>5160</v>
      </c>
      <c r="O46" s="785">
        <v>4647</v>
      </c>
      <c r="P46" s="785">
        <v>4134</v>
      </c>
      <c r="Q46" s="785">
        <v>3658</v>
      </c>
      <c r="R46" s="785">
        <v>0</v>
      </c>
      <c r="S46" s="785">
        <v>0</v>
      </c>
      <c r="T46" s="785">
        <v>0</v>
      </c>
      <c r="U46" s="785">
        <v>0</v>
      </c>
      <c r="V46" s="785">
        <v>0</v>
      </c>
      <c r="W46" s="785">
        <v>0</v>
      </c>
      <c r="X46" s="785">
        <v>0</v>
      </c>
      <c r="Y46" s="785">
        <v>0</v>
      </c>
      <c r="Z46" s="785">
        <v>0</v>
      </c>
      <c r="AA46" s="785">
        <v>0</v>
      </c>
      <c r="AB46" s="785">
        <v>0</v>
      </c>
      <c r="AC46" s="785">
        <v>0</v>
      </c>
      <c r="AD46" s="785">
        <v>0</v>
      </c>
      <c r="AE46" s="785">
        <v>0</v>
      </c>
      <c r="AF46" s="785">
        <v>0</v>
      </c>
      <c r="AG46" s="785">
        <v>0</v>
      </c>
      <c r="AH46" s="785">
        <v>0</v>
      </c>
      <c r="AI46" s="785">
        <v>0</v>
      </c>
    </row>
    <row r="47" spans="3:35" outlineLevel="1" x14ac:dyDescent="0.45">
      <c r="C47" s="747" t="str">
        <f>C$17</f>
        <v>E</v>
      </c>
      <c r="D47" s="747" t="str">
        <f>D$17</f>
        <v>Scenario 4 - User creates own scenario</v>
      </c>
      <c r="E47" s="747" t="s">
        <v>1318</v>
      </c>
      <c r="F47">
        <v>6</v>
      </c>
      <c r="L47" s="785">
        <v>0</v>
      </c>
      <c r="M47" s="785">
        <v>0</v>
      </c>
      <c r="N47" s="785">
        <v>5160</v>
      </c>
      <c r="O47" s="785">
        <v>4647</v>
      </c>
      <c r="P47" s="785">
        <v>4134</v>
      </c>
      <c r="Q47" s="785">
        <v>3658</v>
      </c>
      <c r="R47" s="785">
        <v>3049</v>
      </c>
      <c r="S47" s="785">
        <v>2440</v>
      </c>
      <c r="T47" s="785">
        <v>1831</v>
      </c>
      <c r="U47" s="785">
        <v>1222</v>
      </c>
      <c r="V47" s="785">
        <v>611</v>
      </c>
      <c r="W47" s="785">
        <v>0</v>
      </c>
      <c r="X47" s="785">
        <v>0</v>
      </c>
      <c r="Y47" s="785">
        <v>0</v>
      </c>
      <c r="Z47" s="785">
        <v>0</v>
      </c>
      <c r="AA47" s="785">
        <v>0</v>
      </c>
      <c r="AB47" s="785">
        <v>0</v>
      </c>
      <c r="AC47" s="785">
        <v>0</v>
      </c>
      <c r="AD47" s="785">
        <v>0</v>
      </c>
      <c r="AE47" s="785">
        <v>0</v>
      </c>
      <c r="AF47" s="785">
        <v>0</v>
      </c>
      <c r="AG47" s="785">
        <v>0</v>
      </c>
      <c r="AH47" s="785">
        <v>0</v>
      </c>
      <c r="AI47" s="785">
        <v>0</v>
      </c>
    </row>
    <row r="49" spans="3:35" x14ac:dyDescent="0.45">
      <c r="D49" t="s">
        <v>1467</v>
      </c>
      <c r="N49" s="896">
        <f>N33+N42</f>
        <v>7399</v>
      </c>
      <c r="O49" s="896">
        <f t="shared" ref="O49:AI49" si="2">O33+O42</f>
        <v>7399</v>
      </c>
      <c r="P49" s="896">
        <f t="shared" si="2"/>
        <v>7399</v>
      </c>
      <c r="Q49" s="896">
        <f t="shared" si="2"/>
        <v>7399</v>
      </c>
      <c r="R49" s="896">
        <f t="shared" si="2"/>
        <v>7399</v>
      </c>
      <c r="S49" s="896">
        <f t="shared" si="2"/>
        <v>7399</v>
      </c>
      <c r="T49" s="896">
        <f t="shared" si="2"/>
        <v>7399</v>
      </c>
      <c r="U49" s="896">
        <f t="shared" si="2"/>
        <v>7399</v>
      </c>
      <c r="V49" s="896">
        <f t="shared" si="2"/>
        <v>7399</v>
      </c>
      <c r="W49" s="896">
        <f t="shared" si="2"/>
        <v>7399</v>
      </c>
      <c r="X49" s="896">
        <f t="shared" si="2"/>
        <v>7399</v>
      </c>
      <c r="Y49" s="896">
        <f t="shared" si="2"/>
        <v>7399</v>
      </c>
      <c r="Z49" s="896">
        <f t="shared" si="2"/>
        <v>7399</v>
      </c>
      <c r="AA49" s="896">
        <f t="shared" si="2"/>
        <v>7399</v>
      </c>
      <c r="AB49" s="896">
        <f t="shared" si="2"/>
        <v>7399</v>
      </c>
      <c r="AC49" s="896">
        <f t="shared" si="2"/>
        <v>7399</v>
      </c>
      <c r="AD49" s="896">
        <f t="shared" si="2"/>
        <v>7399</v>
      </c>
      <c r="AE49" s="896">
        <f t="shared" si="2"/>
        <v>7399</v>
      </c>
      <c r="AF49" s="896">
        <f t="shared" si="2"/>
        <v>7399</v>
      </c>
      <c r="AG49" s="896">
        <f t="shared" si="2"/>
        <v>7399</v>
      </c>
      <c r="AH49" s="896">
        <f t="shared" si="2"/>
        <v>7399</v>
      </c>
      <c r="AI49" s="896">
        <f t="shared" si="2"/>
        <v>0</v>
      </c>
    </row>
    <row r="51" spans="3:35" x14ac:dyDescent="0.45">
      <c r="D51" s="336" t="s">
        <v>1332</v>
      </c>
    </row>
    <row r="52" spans="3:35" x14ac:dyDescent="0.45">
      <c r="C52" s="747"/>
      <c r="D52" s="747" t="str">
        <f>D$12</f>
        <v>Projected Scenario (Select Scenario):</v>
      </c>
      <c r="E52" s="747" t="str">
        <f>E$12</f>
        <v>BC</v>
      </c>
      <c r="F52">
        <f>F12</f>
        <v>17</v>
      </c>
      <c r="O52" s="771">
        <f t="shared" ref="O52:AI52" si="3">IF(O42&gt;0,O12/O42,0)</f>
        <v>-28445.670803847355</v>
      </c>
      <c r="P52" s="771">
        <f t="shared" si="3"/>
        <v>-31215.508497039205</v>
      </c>
      <c r="Q52" s="771">
        <f t="shared" si="3"/>
        <v>-34344.238494497782</v>
      </c>
      <c r="R52" s="771">
        <f t="shared" si="3"/>
        <v>-37020.498870109193</v>
      </c>
      <c r="S52" s="771">
        <f t="shared" si="3"/>
        <v>-39381.687981581446</v>
      </c>
      <c r="T52" s="771">
        <f t="shared" si="3"/>
        <v>-41931.953854663501</v>
      </c>
      <c r="U52" s="771">
        <f t="shared" si="3"/>
        <v>-44698.79643106422</v>
      </c>
      <c r="V52" s="771">
        <f t="shared" si="3"/>
        <v>-47717.874223393927</v>
      </c>
      <c r="W52" s="771">
        <f t="shared" si="3"/>
        <v>-51036.878396423184</v>
      </c>
      <c r="X52" s="771">
        <f t="shared" ref="X52:AH52" si="4">IF(X42&gt;0,X12/X42,0)</f>
        <v>-54721.929580674776</v>
      </c>
      <c r="Y52" s="771">
        <f t="shared" si="4"/>
        <v>-58868.656279203518</v>
      </c>
      <c r="Z52" s="771">
        <f t="shared" si="4"/>
        <v>-63622.520098103698</v>
      </c>
      <c r="AA52" s="771">
        <f t="shared" si="4"/>
        <v>-69218.86552587511</v>
      </c>
      <c r="AB52" s="771">
        <f t="shared" si="4"/>
        <v>-76069.363120759022</v>
      </c>
      <c r="AC52" s="771">
        <f t="shared" si="4"/>
        <v>-84972.592497691177</v>
      </c>
      <c r="AD52" s="771">
        <f t="shared" si="4"/>
        <v>-97722.284992414498</v>
      </c>
      <c r="AE52" s="771">
        <f t="shared" si="4"/>
        <v>-119391.8755922735</v>
      </c>
      <c r="AF52" s="771">
        <f t="shared" si="4"/>
        <v>-172264.98488877894</v>
      </c>
      <c r="AG52" s="771">
        <f t="shared" si="4"/>
        <v>-782008.30654220027</v>
      </c>
      <c r="AH52" s="771">
        <f t="shared" si="4"/>
        <v>0</v>
      </c>
      <c r="AI52" s="771">
        <f t="shared" si="3"/>
        <v>0</v>
      </c>
    </row>
    <row r="53" spans="3:35" hidden="1" outlineLevel="1" x14ac:dyDescent="0.45">
      <c r="C53" s="747" t="str">
        <f>C$13</f>
        <v>A</v>
      </c>
      <c r="D53" s="747" t="str">
        <f>D$13</f>
        <v>Base Case</v>
      </c>
      <c r="E53" s="747" t="str">
        <f>E$13</f>
        <v>BC</v>
      </c>
      <c r="F53">
        <v>10</v>
      </c>
      <c r="O53" s="771">
        <f t="shared" ref="O53:AI53" si="5">IF(N43&gt;0,O13/N43,0)</f>
        <v>-27437.378786112447</v>
      </c>
      <c r="P53" s="771">
        <f t="shared" si="5"/>
        <v>-29782.820979434346</v>
      </c>
      <c r="Q53" s="771">
        <f t="shared" si="5"/>
        <v>-32482.476865354278</v>
      </c>
      <c r="R53" s="771">
        <f t="shared" si="5"/>
        <v>-35868.15585377875</v>
      </c>
      <c r="S53" s="771">
        <f t="shared" si="5"/>
        <v>-40981.87658128066</v>
      </c>
      <c r="T53" s="771">
        <f t="shared" si="5"/>
        <v>-47708.337608217298</v>
      </c>
      <c r="U53" s="771">
        <f t="shared" si="5"/>
        <v>-56574.695761199131</v>
      </c>
      <c r="V53" s="771">
        <f t="shared" si="5"/>
        <v>-65456.848518856859</v>
      </c>
      <c r="W53" s="771">
        <f t="shared" si="5"/>
        <v>-77855.456658400421</v>
      </c>
      <c r="X53" s="771">
        <f t="shared" ref="X53:AH53" si="6">IF(W43&gt;0,X13/W43,0)</f>
        <v>-96728.582529965162</v>
      </c>
      <c r="Y53" s="771">
        <f t="shared" si="6"/>
        <v>-92863.335901903221</v>
      </c>
      <c r="Z53" s="771">
        <f t="shared" si="6"/>
        <v>-88267.157426271413</v>
      </c>
      <c r="AA53" s="771">
        <f t="shared" si="6"/>
        <v>-82871.766033500229</v>
      </c>
      <c r="AB53" s="771">
        <f t="shared" si="6"/>
        <v>-76603.58080520638</v>
      </c>
      <c r="AC53" s="771">
        <f t="shared" si="6"/>
        <v>-69383.344541058832</v>
      </c>
      <c r="AD53" s="771">
        <f t="shared" si="6"/>
        <v>-61125.721950042498</v>
      </c>
      <c r="AE53" s="771">
        <f t="shared" si="6"/>
        <v>-51738.870813514113</v>
      </c>
      <c r="AF53" s="771">
        <f t="shared" si="6"/>
        <v>-41123.984362418501</v>
      </c>
      <c r="AG53" s="771">
        <f t="shared" si="6"/>
        <v>-29174.8029994545</v>
      </c>
      <c r="AH53" s="771">
        <f t="shared" si="6"/>
        <v>-606370.3281653861</v>
      </c>
      <c r="AI53" s="771">
        <f t="shared" si="5"/>
        <v>0</v>
      </c>
    </row>
    <row r="54" spans="3:35" hidden="1" outlineLevel="1" x14ac:dyDescent="0.45">
      <c r="C54" s="747" t="str">
        <f>C$14</f>
        <v>B</v>
      </c>
      <c r="D54" s="747" t="str">
        <f>D$14</f>
        <v>Scenario 1 - Outsource Property Management</v>
      </c>
      <c r="E54" s="747" t="str">
        <f>E$14</f>
        <v>Sc1</v>
      </c>
      <c r="F54">
        <v>5</v>
      </c>
      <c r="O54" s="771">
        <f t="shared" ref="O54:AI54" si="7">IF(N44&gt;0,O14/N44,0)</f>
        <v>-27437.378786112447</v>
      </c>
      <c r="P54" s="771">
        <f t="shared" si="7"/>
        <v>-29782.820979434346</v>
      </c>
      <c r="Q54" s="771">
        <f t="shared" si="7"/>
        <v>-37207.259913249778</v>
      </c>
      <c r="R54" s="771">
        <f t="shared" si="7"/>
        <v>-77339.16793188508</v>
      </c>
      <c r="S54" s="771">
        <f t="shared" si="7"/>
        <v>-82518.247663728514</v>
      </c>
      <c r="T54" s="771">
        <f t="shared" si="7"/>
        <v>-98345.614514701345</v>
      </c>
      <c r="U54" s="771">
        <f t="shared" si="7"/>
        <v>-127884.70987179702</v>
      </c>
      <c r="V54" s="771">
        <f t="shared" si="7"/>
        <v>-92090.225678717354</v>
      </c>
      <c r="W54" s="771">
        <f t="shared" si="7"/>
        <v>0</v>
      </c>
      <c r="X54" s="771">
        <f t="shared" si="7"/>
        <v>0</v>
      </c>
      <c r="Y54" s="771">
        <f t="shared" si="7"/>
        <v>0</v>
      </c>
      <c r="Z54" s="771">
        <f t="shared" si="7"/>
        <v>0</v>
      </c>
      <c r="AA54" s="771">
        <f t="shared" si="7"/>
        <v>0</v>
      </c>
      <c r="AB54" s="771">
        <f t="shared" si="7"/>
        <v>0</v>
      </c>
      <c r="AC54" s="771">
        <f t="shared" si="7"/>
        <v>0</v>
      </c>
      <c r="AD54" s="771">
        <f t="shared" si="7"/>
        <v>0</v>
      </c>
      <c r="AE54" s="771">
        <f t="shared" si="7"/>
        <v>0</v>
      </c>
      <c r="AF54" s="771">
        <f t="shared" si="7"/>
        <v>0</v>
      </c>
      <c r="AG54" s="771">
        <f t="shared" si="7"/>
        <v>0</v>
      </c>
      <c r="AH54" s="771">
        <f t="shared" si="7"/>
        <v>0</v>
      </c>
      <c r="AI54" s="771">
        <f t="shared" si="7"/>
        <v>0</v>
      </c>
    </row>
    <row r="55" spans="3:35" hidden="1" outlineLevel="1" x14ac:dyDescent="0.45">
      <c r="C55" s="747" t="str">
        <f>C$15</f>
        <v>C</v>
      </c>
      <c r="D55" s="747" t="str">
        <f>D$15</f>
        <v>Scenario 2 - Accelerate Transfer Voetstoots to Existing Occupants</v>
      </c>
      <c r="E55" s="747" t="str">
        <f>E$15</f>
        <v>Sc2</v>
      </c>
      <c r="F55">
        <v>2</v>
      </c>
      <c r="O55" s="771">
        <f t="shared" ref="O55:AI55" si="8">IF(N45&gt;0,O15/N45,0)</f>
        <v>-27437.378786112447</v>
      </c>
      <c r="P55" s="771">
        <f t="shared" si="8"/>
        <v>-29782.820979434346</v>
      </c>
      <c r="Q55" s="771">
        <f t="shared" si="8"/>
        <v>-32482.476865354278</v>
      </c>
      <c r="R55" s="771">
        <f t="shared" si="8"/>
        <v>-176417.20057969444</v>
      </c>
      <c r="S55" s="771">
        <f t="shared" si="8"/>
        <v>-90653.268039241622</v>
      </c>
      <c r="T55" s="771">
        <f t="shared" si="8"/>
        <v>0</v>
      </c>
      <c r="U55" s="771">
        <f t="shared" si="8"/>
        <v>0</v>
      </c>
      <c r="V55" s="771">
        <f t="shared" si="8"/>
        <v>0</v>
      </c>
      <c r="W55" s="771">
        <f t="shared" si="8"/>
        <v>0</v>
      </c>
      <c r="X55" s="771">
        <f t="shared" si="8"/>
        <v>0</v>
      </c>
      <c r="Y55" s="771">
        <f t="shared" si="8"/>
        <v>0</v>
      </c>
      <c r="Z55" s="771">
        <f t="shared" si="8"/>
        <v>0</v>
      </c>
      <c r="AA55" s="771">
        <f t="shared" si="8"/>
        <v>0</v>
      </c>
      <c r="AB55" s="771">
        <f t="shared" si="8"/>
        <v>0</v>
      </c>
      <c r="AC55" s="771">
        <f t="shared" si="8"/>
        <v>0</v>
      </c>
      <c r="AD55" s="771">
        <f t="shared" si="8"/>
        <v>0</v>
      </c>
      <c r="AE55" s="771">
        <f t="shared" si="8"/>
        <v>0</v>
      </c>
      <c r="AF55" s="771">
        <f t="shared" si="8"/>
        <v>0</v>
      </c>
      <c r="AG55" s="771">
        <f t="shared" si="8"/>
        <v>0</v>
      </c>
      <c r="AH55" s="771">
        <f t="shared" si="8"/>
        <v>0</v>
      </c>
      <c r="AI55" s="771">
        <f t="shared" si="8"/>
        <v>0</v>
      </c>
    </row>
    <row r="56" spans="3:35" hidden="1" outlineLevel="1" x14ac:dyDescent="0.45">
      <c r="C56" s="747" t="str">
        <f>C$16</f>
        <v>D</v>
      </c>
      <c r="D56" s="747" t="str">
        <f>D$16</f>
        <v>Scenario 3 - Devolve to Local Municipality</v>
      </c>
      <c r="E56" s="747" t="str">
        <f>E$16</f>
        <v>Sc3</v>
      </c>
      <c r="F56">
        <v>1</v>
      </c>
      <c r="O56" s="771">
        <f t="shared" ref="O56:AI56" si="9">IF(N46&gt;0,O16/N46,0)</f>
        <v>-27437.378786112447</v>
      </c>
      <c r="P56" s="771">
        <f t="shared" si="9"/>
        <v>-29782.820979434346</v>
      </c>
      <c r="Q56" s="771">
        <f t="shared" si="9"/>
        <v>-32482.476865354278</v>
      </c>
      <c r="R56" s="771">
        <f t="shared" si="9"/>
        <v>-221095.93219015727</v>
      </c>
      <c r="S56" s="771">
        <f t="shared" si="9"/>
        <v>0</v>
      </c>
      <c r="T56" s="771">
        <f t="shared" si="9"/>
        <v>0</v>
      </c>
      <c r="U56" s="771">
        <f t="shared" si="9"/>
        <v>0</v>
      </c>
      <c r="V56" s="771">
        <f t="shared" si="9"/>
        <v>0</v>
      </c>
      <c r="W56" s="771">
        <f t="shared" si="9"/>
        <v>0</v>
      </c>
      <c r="X56" s="771">
        <f t="shared" si="9"/>
        <v>0</v>
      </c>
      <c r="Y56" s="771">
        <f t="shared" si="9"/>
        <v>0</v>
      </c>
      <c r="Z56" s="771">
        <f t="shared" si="9"/>
        <v>0</v>
      </c>
      <c r="AA56" s="771">
        <f t="shared" si="9"/>
        <v>0</v>
      </c>
      <c r="AB56" s="771">
        <f t="shared" si="9"/>
        <v>0</v>
      </c>
      <c r="AC56" s="771">
        <f t="shared" si="9"/>
        <v>0</v>
      </c>
      <c r="AD56" s="771">
        <f t="shared" si="9"/>
        <v>0</v>
      </c>
      <c r="AE56" s="771">
        <f t="shared" si="9"/>
        <v>0</v>
      </c>
      <c r="AF56" s="771">
        <f t="shared" si="9"/>
        <v>0</v>
      </c>
      <c r="AG56" s="771">
        <f t="shared" si="9"/>
        <v>0</v>
      </c>
      <c r="AH56" s="771">
        <f t="shared" si="9"/>
        <v>0</v>
      </c>
      <c r="AI56" s="771">
        <f t="shared" si="9"/>
        <v>0</v>
      </c>
    </row>
    <row r="57" spans="3:35" hidden="1" outlineLevel="1" x14ac:dyDescent="0.45">
      <c r="C57" s="747" t="str">
        <f>C$17</f>
        <v>E</v>
      </c>
      <c r="D57" s="747" t="str">
        <f>D$17</f>
        <v>Scenario 4 - User creates own scenario</v>
      </c>
      <c r="E57" s="747" t="s">
        <v>1318</v>
      </c>
      <c r="F57">
        <v>6</v>
      </c>
      <c r="O57" s="771">
        <v>-27666.758274976048</v>
      </c>
      <c r="P57" s="771">
        <v>-29548.734261765319</v>
      </c>
      <c r="Q57" s="771">
        <v>-31602.548464980744</v>
      </c>
      <c r="R57" s="771">
        <v>-33870.792040875931</v>
      </c>
      <c r="S57" s="771">
        <v>-35707.693549954485</v>
      </c>
      <c r="T57" s="771">
        <v>-37592.356435323985</v>
      </c>
      <c r="U57" s="771">
        <v>-39443.787310560918</v>
      </c>
      <c r="V57" s="771">
        <v>-40848.873237297936</v>
      </c>
      <c r="W57" s="771">
        <v>0</v>
      </c>
      <c r="X57" s="771">
        <v>0</v>
      </c>
      <c r="Y57" s="771">
        <v>0</v>
      </c>
      <c r="Z57" s="771">
        <v>0</v>
      </c>
      <c r="AA57" s="771">
        <v>0</v>
      </c>
      <c r="AB57" s="771">
        <v>0</v>
      </c>
      <c r="AC57" s="771">
        <v>0</v>
      </c>
      <c r="AD57" s="771">
        <v>0</v>
      </c>
      <c r="AE57" s="771">
        <v>0</v>
      </c>
      <c r="AF57" s="771">
        <v>0</v>
      </c>
      <c r="AG57" s="771">
        <v>0</v>
      </c>
      <c r="AH57" s="771">
        <v>0</v>
      </c>
      <c r="AI57" s="771">
        <v>0</v>
      </c>
    </row>
    <row r="58" spans="3:35" collapsed="1" x14ac:dyDescent="0.45"/>
    <row r="75" spans="4:4" ht="15.75" x14ac:dyDescent="0.5">
      <c r="D75" s="755"/>
    </row>
    <row r="76" spans="4:4" ht="15.75" x14ac:dyDescent="0.5">
      <c r="D76" s="755"/>
    </row>
    <row r="77" spans="4:4" ht="15.75" x14ac:dyDescent="0.5">
      <c r="D77" s="755"/>
    </row>
    <row r="78" spans="4:4" ht="15.75" x14ac:dyDescent="0.5">
      <c r="D78" s="755"/>
    </row>
    <row r="79" spans="4:4" ht="15.75" x14ac:dyDescent="0.5">
      <c r="D79" s="755"/>
    </row>
  </sheetData>
  <sheetProtection formatCells="0" formatColumns="0" formatRows="0"/>
  <mergeCells count="4">
    <mergeCell ref="L5:N5"/>
    <mergeCell ref="O5:AI5"/>
    <mergeCell ref="O8:AI8"/>
    <mergeCell ref="L8:N8"/>
  </mergeCells>
  <pageMargins left="0.27559055118110237" right="0.62992125984251968" top="0.74803149606299213" bottom="0.74803149606299213" header="0.31496062992125984" footer="0.31496062992125984"/>
  <pageSetup paperSize="9" scale="32" fitToWidth="2" orientation="landscape" r:id="rId1"/>
  <headerFooter>
    <oddFooter>&amp;R&amp;F &amp;A &amp;D 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Title="Scenario Selector" prompt="Select the Scenario to be projected AFTER Defining the Scenario using the Input Areas and Selection Boxes in the turquoise area between cell F13 and i17. " xr:uid="{22EC5EF5-23B0-4BDA-AECB-E51D529076DA}">
          <x14:formula1>
            <xm:f>'10. Inputs &amp; Calcs'!$E$14:$E$18</xm:f>
          </x14:formula1>
          <xm:sqref>E12</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8A53D-F460-4742-8874-5EC18B3A4F35}">
  <sheetPr codeName="Sheet8">
    <tabColor theme="5" tint="0.59999389629810485"/>
  </sheetPr>
  <dimension ref="B2:AX388"/>
  <sheetViews>
    <sheetView showGridLines="0" topLeftCell="B1" zoomScale="75" zoomScaleNormal="75" workbookViewId="0">
      <selection activeCell="N33" sqref="N33"/>
    </sheetView>
  </sheetViews>
  <sheetFormatPr defaultRowHeight="14.25" outlineLevelRow="1" x14ac:dyDescent="0.45"/>
  <cols>
    <col min="1" max="1" width="3.19921875" customWidth="1"/>
    <col min="2" max="2" width="7.73046875" customWidth="1"/>
    <col min="3" max="3" width="4.46484375" customWidth="1"/>
    <col min="4" max="4" width="63" customWidth="1"/>
    <col min="5" max="5" width="16.265625" customWidth="1"/>
    <col min="6" max="6" width="12.265625" customWidth="1"/>
    <col min="7" max="7" width="12.73046875" customWidth="1"/>
    <col min="8" max="8" width="3.73046875" customWidth="1"/>
    <col min="9" max="9" width="16.73046875" customWidth="1"/>
    <col min="10" max="10" width="16.46484375" customWidth="1"/>
    <col min="11" max="11" width="17.19921875" customWidth="1"/>
    <col min="12" max="12" width="12.53125" customWidth="1"/>
    <col min="13" max="13" width="3" customWidth="1"/>
    <col min="14" max="37" width="16.796875" bestFit="1" customWidth="1"/>
    <col min="38" max="38" width="18" bestFit="1" customWidth="1"/>
    <col min="39" max="39" width="2.796875" customWidth="1"/>
    <col min="40" max="40" width="11" customWidth="1"/>
    <col min="41" max="41" width="11.265625" customWidth="1"/>
    <col min="42" max="42" width="3" customWidth="1"/>
    <col min="43" max="43" width="14.265625" customWidth="1"/>
    <col min="44" max="44" width="14.73046875" customWidth="1"/>
    <col min="45" max="45" width="15.53125" customWidth="1"/>
    <col min="46" max="46" width="12.73046875" bestFit="1" customWidth="1"/>
    <col min="50" max="50" width="13.53125" customWidth="1"/>
  </cols>
  <sheetData>
    <row r="2" spans="4:38" ht="21" x14ac:dyDescent="0.65">
      <c r="D2" s="60" t="str">
        <f>'1.Cover'!$C$2</f>
        <v xml:space="preserve">Performance and Expenditure Review of Provincial Government Housing Rental Stock </v>
      </c>
      <c r="E2" s="60"/>
      <c r="F2" s="60"/>
      <c r="G2" s="60"/>
      <c r="H2" s="60"/>
      <c r="I2" s="60"/>
      <c r="J2" s="60"/>
      <c r="K2" s="60"/>
      <c r="L2" s="60"/>
      <c r="M2" s="60"/>
    </row>
    <row r="3" spans="4:38" ht="32.25" customHeight="1" x14ac:dyDescent="0.65">
      <c r="D3" s="910" t="s">
        <v>1473</v>
      </c>
      <c r="E3" s="60"/>
      <c r="F3" s="1361" t="s">
        <v>1460</v>
      </c>
      <c r="G3" s="1361"/>
      <c r="I3" s="1344" t="s">
        <v>1457</v>
      </c>
      <c r="J3" s="1350"/>
      <c r="K3" s="1350"/>
      <c r="L3" s="1345"/>
      <c r="M3" s="60"/>
      <c r="N3" s="1358" t="s">
        <v>1033</v>
      </c>
      <c r="O3" s="1359"/>
      <c r="P3" s="1356"/>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4:38" ht="21" x14ac:dyDescent="0.45">
      <c r="D4" s="910" t="s">
        <v>1484</v>
      </c>
      <c r="E4" s="1003" t="str">
        <f>'5. Dashboard Live'!C13</f>
        <v>BC</v>
      </c>
      <c r="F4" s="848" t="s">
        <v>1458</v>
      </c>
      <c r="G4" s="848" t="s">
        <v>1459</v>
      </c>
      <c r="I4" s="841" t="s">
        <v>1328</v>
      </c>
      <c r="J4" s="841" t="s">
        <v>1405</v>
      </c>
      <c r="K4" s="841" t="s">
        <v>1453</v>
      </c>
      <c r="L4" s="841" t="s">
        <v>1456</v>
      </c>
      <c r="M4" s="536"/>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4:38" x14ac:dyDescent="0.45">
      <c r="E5" s="536"/>
      <c r="F5" s="848" t="s">
        <v>1364</v>
      </c>
      <c r="G5" s="848" t="s">
        <v>1034</v>
      </c>
      <c r="I5" s="890" t="str">
        <f>'7. Scenario Detailed'!E12</f>
        <v>BC</v>
      </c>
      <c r="M5" s="536"/>
      <c r="N5" s="578" t="s">
        <v>102</v>
      </c>
      <c r="O5" s="578" t="s">
        <v>103</v>
      </c>
      <c r="P5" s="578" t="s">
        <v>104</v>
      </c>
      <c r="Q5" s="578" t="s">
        <v>1345</v>
      </c>
      <c r="R5" s="892"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4:38" outlineLevel="1" x14ac:dyDescent="0.45">
      <c r="D6" s="1102" t="s">
        <v>1323</v>
      </c>
      <c r="E6" s="781">
        <f>-ROUND('8. Forecast Results National'!AL67,0)</f>
        <v>-16764883</v>
      </c>
      <c r="F6" s="548"/>
      <c r="G6" s="548"/>
      <c r="H6" s="548"/>
      <c r="I6" s="548"/>
      <c r="J6" s="548"/>
      <c r="K6" s="548"/>
      <c r="L6" s="548"/>
      <c r="M6" s="781"/>
      <c r="N6" s="781">
        <f>-'8. Forecast Results National'!N67</f>
        <v>-17923184</v>
      </c>
      <c r="O6" s="781">
        <f>-'8. Forecast Results National'!O67</f>
        <v>-17604545</v>
      </c>
      <c r="P6" s="781">
        <f>-'8. Forecast Results National'!P67</f>
        <v>-10717984</v>
      </c>
      <c r="Q6" s="781">
        <f>-'8. Forecast Results National'!Q67</f>
        <v>-210409.8845669291</v>
      </c>
      <c r="R6" s="781">
        <f>-'8. Forecast Results National'!R67</f>
        <v>-210409.8845669291</v>
      </c>
      <c r="S6" s="781">
        <f>-'8. Forecast Results National'!S67</f>
        <v>-210409.8845669291</v>
      </c>
      <c r="T6" s="781">
        <f>-'8. Forecast Results National'!T67</f>
        <v>-23378.876062992123</v>
      </c>
      <c r="U6" s="781">
        <f>-'8. Forecast Results National'!U67</f>
        <v>-23378.876062992123</v>
      </c>
      <c r="V6" s="781">
        <f>-'8. Forecast Results National'!V67</f>
        <v>-23378.876062992123</v>
      </c>
      <c r="W6" s="781">
        <f>-'8. Forecast Results National'!W67</f>
        <v>-23378.876062992123</v>
      </c>
      <c r="X6" s="781">
        <f>-'8. Forecast Results National'!X67</f>
        <v>-23378.876062992123</v>
      </c>
      <c r="Y6" s="781">
        <f>-'8. Forecast Results National'!Y67</f>
        <v>-23378.876062992123</v>
      </c>
      <c r="Z6" s="781">
        <f>-'8. Forecast Results National'!Z67</f>
        <v>-23378.876062992123</v>
      </c>
      <c r="AA6" s="781">
        <f>-'8. Forecast Results National'!AA67</f>
        <v>-23378.876062992123</v>
      </c>
      <c r="AB6" s="781">
        <f>-'8. Forecast Results National'!AB67</f>
        <v>-23378.876062992123</v>
      </c>
      <c r="AC6" s="781">
        <f>-'8. Forecast Results National'!AC67</f>
        <v>-23378.876062992123</v>
      </c>
      <c r="AD6" s="781">
        <f>-'8. Forecast Results National'!AD67</f>
        <v>-23378.876062992123</v>
      </c>
      <c r="AE6" s="781">
        <f>-'8. Forecast Results National'!AE67</f>
        <v>-23378.876062992123</v>
      </c>
      <c r="AF6" s="781">
        <f>-'8. Forecast Results National'!AF67</f>
        <v>-23378.876062992123</v>
      </c>
      <c r="AG6" s="781">
        <f>-'8. Forecast Results National'!AG67</f>
        <v>-23378.876062992123</v>
      </c>
      <c r="AH6" s="781">
        <f>-'8. Forecast Results National'!AH67</f>
        <v>-23378.876062992123</v>
      </c>
      <c r="AI6" s="781">
        <f>-'8. Forecast Results National'!AI67</f>
        <v>-23378.876062992123</v>
      </c>
      <c r="AJ6" s="781">
        <f>-'8. Forecast Results National'!AJ67</f>
        <v>-15759591.013178613</v>
      </c>
      <c r="AK6" s="781">
        <f>-'8. Forecast Results National'!AK67</f>
        <v>0</v>
      </c>
      <c r="AL6" s="781">
        <f>-'8. Forecast Results National'!AL67</f>
        <v>-16764882.683887275</v>
      </c>
    </row>
    <row r="7" spans="4:38" outlineLevel="1" x14ac:dyDescent="0.45">
      <c r="D7" s="1102" t="s">
        <v>1324</v>
      </c>
      <c r="E7" s="781">
        <f>ROUND('8. Forecast Results National'!AL51,0)</f>
        <v>-1922286168</v>
      </c>
      <c r="F7" s="548"/>
      <c r="G7" s="548"/>
      <c r="H7" s="548"/>
      <c r="I7" s="548"/>
      <c r="J7" s="548"/>
      <c r="K7" s="548"/>
      <c r="L7" s="548"/>
      <c r="M7" s="781"/>
      <c r="N7" s="781">
        <f>'8. Forecast Results National'!N51</f>
        <v>-112639142.49333334</v>
      </c>
      <c r="O7" s="781">
        <f>'8. Forecast Results National'!O51</f>
        <v>-120020127.89333332</v>
      </c>
      <c r="P7" s="781">
        <f>'8. Forecast Results National'!P51</f>
        <v>-128289183.36000001</v>
      </c>
      <c r="Q7" s="781">
        <f>'8. Forecast Results National'!Q51</f>
        <v>-131948176.67010787</v>
      </c>
      <c r="R7" s="781">
        <f>'8. Forecast Results National'!R51</f>
        <v>-128772071.22519906</v>
      </c>
      <c r="S7" s="781">
        <f>'8. Forecast Results National'!S51</f>
        <v>-125352126.05131695</v>
      </c>
      <c r="T7" s="781">
        <f>'8. Forecast Results National'!T51</f>
        <v>-126956932.24841155</v>
      </c>
      <c r="U7" s="781">
        <f>'8. Forecast Results National'!U51</f>
        <v>-126155549.41692396</v>
      </c>
      <c r="V7" s="781">
        <f>'8. Forecast Results National'!V51</f>
        <v>-124849979.70312491</v>
      </c>
      <c r="W7" s="781">
        <f>'8. Forecast Results National'!W51</f>
        <v>-122987708.90222575</v>
      </c>
      <c r="X7" s="781">
        <f>'8. Forecast Results National'!X51</f>
        <v>-120511971.41223007</v>
      </c>
      <c r="Y7" s="781">
        <f>'8. Forecast Results National'!Y51</f>
        <v>-117361441.43571034</v>
      </c>
      <c r="Z7" s="781">
        <f>'8. Forecast Results National'!Z51</f>
        <v>-113469903.07425649</v>
      </c>
      <c r="AA7" s="781">
        <f>'8. Forecast Results National'!AA51</f>
        <v>-108765897.92790511</v>
      </c>
      <c r="AB7" s="781">
        <f>'8. Forecast Results National'!AB51</f>
        <v>-103172348.7230612</v>
      </c>
      <c r="AC7" s="781">
        <f>'8. Forecast Results National'!AC51</f>
        <v>-96606157.398058668</v>
      </c>
      <c r="AD7" s="781">
        <f>'8. Forecast Results National'!AD51</f>
        <v>-88977775.975225061</v>
      </c>
      <c r="AE7" s="781">
        <f>'8. Forecast Results National'!AE51</f>
        <v>-80190748.441757485</v>
      </c>
      <c r="AF7" s="781">
        <f>'8. Forecast Results National'!AF51</f>
        <v>-70141221.748490617</v>
      </c>
      <c r="AG7" s="781">
        <f>'8. Forecast Results National'!AG51</f>
        <v>-58717423.915335573</v>
      </c>
      <c r="AH7" s="781">
        <f>'8. Forecast Results National'!AH51</f>
        <v>-45799107.104352206</v>
      </c>
      <c r="AI7" s="781">
        <f>'8. Forecast Results National'!AI51</f>
        <v>-31256953.38562502</v>
      </c>
      <c r="AJ7" s="781">
        <f>'8. Forecast Results National'!AJ51</f>
        <v>-292672.82400684012</v>
      </c>
      <c r="AK7" s="781">
        <f>'8. Forecast Results National'!AK51</f>
        <v>0</v>
      </c>
      <c r="AL7" s="781">
        <f>'8. Forecast Results National'!AL48</f>
        <v>-1922286167.5833244</v>
      </c>
    </row>
    <row r="8" spans="4:38" outlineLevel="1" x14ac:dyDescent="0.45">
      <c r="D8" s="1102" t="s">
        <v>1311</v>
      </c>
      <c r="E8" s="781">
        <f>'8. Forecast Results National'!$AL$20+'8. Forecast Results National'!$AL$24</f>
        <v>-541784615.03935695</v>
      </c>
      <c r="F8" s="548"/>
      <c r="G8" s="548"/>
      <c r="H8" s="548"/>
      <c r="I8" s="548"/>
      <c r="J8" s="548"/>
      <c r="K8" s="548"/>
      <c r="L8" s="548"/>
      <c r="M8" s="781"/>
      <c r="N8" s="781">
        <f>'8. Forecast Results National'!N20+'8. Forecast Results National'!N24</f>
        <v>-63462443.63000001</v>
      </c>
      <c r="O8" s="781">
        <f>'8. Forecast Results National'!O20+'8. Forecast Results National'!O24</f>
        <v>-46881462.119999997</v>
      </c>
      <c r="P8" s="781">
        <f>'8. Forecast Results National'!P20+'8. Forecast Results National'!P24</f>
        <v>-35522339.870000005</v>
      </c>
      <c r="Q8" s="781">
        <f>'8. Forecast Results National'!Q20+'8. Forecast Results National'!Q24</f>
        <v>-44554886.808945611</v>
      </c>
      <c r="R8" s="781">
        <f>'8. Forecast Results National'!R20+'8. Forecast Results National'!R24</f>
        <v>-43895932.50356546</v>
      </c>
      <c r="S8" s="781">
        <f>'8. Forecast Results National'!S20+'8. Forecast Results National'!S24</f>
        <v>-42458506.13208662</v>
      </c>
      <c r="T8" s="781">
        <f>'8. Forecast Results National'!T20+'8. Forecast Results National'!T24</f>
        <v>-27417863.463207867</v>
      </c>
      <c r="U8" s="781">
        <f>'8. Forecast Results National'!U20+'8. Forecast Results National'!U24</f>
        <v>-27159823.811580811</v>
      </c>
      <c r="V8" s="781">
        <f>'8. Forecast Results National'!V20+'8. Forecast Results National'!V24</f>
        <v>-26901784.159953758</v>
      </c>
      <c r="W8" s="781">
        <f>'8. Forecast Results National'!W20+'8. Forecast Results National'!W24</f>
        <v>-26643744.508326706</v>
      </c>
      <c r="X8" s="781">
        <f>'8. Forecast Results National'!X20+'8. Forecast Results National'!X24</f>
        <v>-26385704.856699653</v>
      </c>
      <c r="Y8" s="781">
        <f>'8. Forecast Results National'!Y20+'8. Forecast Results National'!Y24</f>
        <v>-26127665.2050726</v>
      </c>
      <c r="Z8" s="781">
        <f>'8. Forecast Results National'!Z20+'8. Forecast Results National'!Z24</f>
        <v>-25869625.553445544</v>
      </c>
      <c r="AA8" s="781">
        <f>'8. Forecast Results National'!AA20+'8. Forecast Results National'!AA24</f>
        <v>-25611585.901818492</v>
      </c>
      <c r="AB8" s="781">
        <f>'8. Forecast Results National'!AB20+'8. Forecast Results National'!AB24</f>
        <v>-25353546.250191439</v>
      </c>
      <c r="AC8" s="781">
        <f>'8. Forecast Results National'!AC20+'8. Forecast Results National'!AC24</f>
        <v>-25095506.598564386</v>
      </c>
      <c r="AD8" s="781">
        <f>'8. Forecast Results National'!AD20+'8. Forecast Results National'!AD24</f>
        <v>-24837466.946937334</v>
      </c>
      <c r="AE8" s="781">
        <f>'8. Forecast Results National'!AE20+'8. Forecast Results National'!AE24</f>
        <v>-24579427.295310277</v>
      </c>
      <c r="AF8" s="781">
        <f>'8. Forecast Results National'!AF20+'8. Forecast Results National'!AF24</f>
        <v>-24321387.643683225</v>
      </c>
      <c r="AG8" s="781">
        <f>'8. Forecast Results National'!AG20+'8. Forecast Results National'!AG24</f>
        <v>-24063347.992056172</v>
      </c>
      <c r="AH8" s="781">
        <f>'8. Forecast Results National'!AH20+'8. Forecast Results National'!AH24</f>
        <v>-23805308.34042912</v>
      </c>
      <c r="AI8" s="781">
        <f>'8. Forecast Results National'!AI20+'8. Forecast Results National'!AI24</f>
        <v>-23547268.688802067</v>
      </c>
      <c r="AJ8" s="781">
        <f>'8. Forecast Results National'!AJ20+'8. Forecast Results National'!AJ24</f>
        <v>-3154232.3786798497</v>
      </c>
      <c r="AK8" s="781">
        <f>'8. Forecast Results National'!AK20+'8. Forecast Results National'!AK24</f>
        <v>0</v>
      </c>
      <c r="AL8" s="781">
        <f>'8. Forecast Results National'!AL20+'8. Forecast Results National'!AL24</f>
        <v>-541784615.03935695</v>
      </c>
    </row>
    <row r="9" spans="4:38" outlineLevel="1" x14ac:dyDescent="0.45">
      <c r="D9" s="1102" t="s">
        <v>1322</v>
      </c>
      <c r="E9" s="1110">
        <f>-('10. Inputs &amp; Calcs'!AC191+'10. Inputs &amp; Calcs'!AC633)</f>
        <v>0</v>
      </c>
      <c r="F9" s="548"/>
      <c r="G9" s="548"/>
      <c r="H9" s="548"/>
      <c r="I9" s="548"/>
      <c r="J9" s="548"/>
      <c r="K9" s="548"/>
      <c r="L9" s="548"/>
      <c r="M9" s="1110"/>
      <c r="N9" s="780"/>
      <c r="O9" s="780"/>
      <c r="P9" s="781">
        <f>-('10. Inputs &amp; Calcs'!H191+'10. Inputs &amp; Calcs'!H633)</f>
        <v>-105187689.88000001</v>
      </c>
      <c r="Q9" s="781">
        <f>-('10. Inputs &amp; Calcs'!I191+'10. Inputs &amp; Calcs'!I633)</f>
        <v>-102745526.37029831</v>
      </c>
      <c r="R9" s="781">
        <f>-('10. Inputs &amp; Calcs'!J191+'10. Inputs &amp; Calcs'!J633)</f>
        <v>-98985454.249836311</v>
      </c>
      <c r="S9" s="781">
        <f>-('10. Inputs &amp; Calcs'!K191+'10. Inputs &amp; Calcs'!K633)</f>
        <v>-94708883.578012705</v>
      </c>
      <c r="T9" s="781">
        <f>-('10. Inputs &amp; Calcs'!L191+'10. Inputs &amp; Calcs'!L633)</f>
        <v>-93493862.233054623</v>
      </c>
      <c r="U9" s="781">
        <f>-('10. Inputs &amp; Calcs'!M191+'10. Inputs &amp; Calcs'!M633)</f>
        <v>-91762761.584842429</v>
      </c>
      <c r="V9" s="781">
        <f>-('10. Inputs &amp; Calcs'!N191+'10. Inputs &amp; Calcs'!N633)</f>
        <v>-89515581.633376107</v>
      </c>
      <c r="W9" s="781">
        <f>-('10. Inputs &amp; Calcs'!O191+'10. Inputs &amp; Calcs'!O633)</f>
        <v>-87010362.030282751</v>
      </c>
      <c r="X9" s="781">
        <f>-('10. Inputs &amp; Calcs'!P191+'10. Inputs &amp; Calcs'!P633)</f>
        <v>-83989063.123935282</v>
      </c>
      <c r="Y9" s="781">
        <f>-('10. Inputs &amp; Calcs'!Q191+'10. Inputs &amp; Calcs'!Q633)</f>
        <v>-80451684.914333701</v>
      </c>
      <c r="Z9" s="781">
        <f>-('10. Inputs &amp; Calcs'!R191+'10. Inputs &amp; Calcs'!R633)</f>
        <v>-76398227.401478022</v>
      </c>
      <c r="AA9" s="781">
        <f>-('10. Inputs &amp; Calcs'!S191+'10. Inputs &amp; Calcs'!S633)</f>
        <v>-71828690.585368231</v>
      </c>
      <c r="AB9" s="781">
        <f>-('10. Inputs &amp; Calcs'!T191+'10. Inputs &amp; Calcs'!T633)</f>
        <v>-66743074.466004342</v>
      </c>
      <c r="AC9" s="781">
        <f>-('10. Inputs &amp; Calcs'!U191+'10. Inputs &amp; Calcs'!U633)</f>
        <v>-61141379.04338634</v>
      </c>
      <c r="AD9" s="781">
        <f>-('10. Inputs &amp; Calcs'!V191+'10. Inputs &amp; Calcs'!V633)</f>
        <v>-55023604.317514233</v>
      </c>
      <c r="AE9" s="781">
        <f>-('10. Inputs &amp; Calcs'!W191+'10. Inputs &amp; Calcs'!W633)</f>
        <v>-48389750.288388014</v>
      </c>
      <c r="AF9" s="781">
        <f>-('10. Inputs &amp; Calcs'!X191+'10. Inputs &amp; Calcs'!X633)</f>
        <v>-41239816.956007697</v>
      </c>
      <c r="AG9" s="781">
        <f>-('10. Inputs &amp; Calcs'!Y191+'10. Inputs &amp; Calcs'!Y633)</f>
        <v>-33573804.320373267</v>
      </c>
      <c r="AH9" s="781">
        <f>-('10. Inputs &amp; Calcs'!Z191+'10. Inputs &amp; Calcs'!Z633)</f>
        <v>-25391712.381484732</v>
      </c>
      <c r="AI9" s="781">
        <f>-('10. Inputs &amp; Calcs'!AA191+'10. Inputs &amp; Calcs'!AA633)</f>
        <v>-17064827.314991739</v>
      </c>
      <c r="AJ9" s="781">
        <f>-('10. Inputs &amp; Calcs'!AB191+'10. Inputs &amp; Calcs'!AB633)</f>
        <v>0</v>
      </c>
      <c r="AK9" s="781">
        <f>-('10. Inputs &amp; Calcs'!AC191+'10. Inputs &amp; Calcs'!AC633)</f>
        <v>0</v>
      </c>
      <c r="AL9" s="781">
        <f>-('10. Inputs &amp; Calcs'!AC191+'10. Inputs &amp; Calcs'!AC633)</f>
        <v>0</v>
      </c>
    </row>
    <row r="10" spans="4:38" ht="12" customHeight="1" x14ac:dyDescent="0.45">
      <c r="E10" s="1002" t="str">
        <f>'5. Dashboard Live'!C12</f>
        <v>EC</v>
      </c>
    </row>
    <row r="11" spans="4:38" ht="3" customHeight="1" x14ac:dyDescent="0.45"/>
    <row r="12" spans="4:38" x14ac:dyDescent="0.45">
      <c r="D12" t="s">
        <v>1330</v>
      </c>
      <c r="N12" s="578"/>
      <c r="O12" s="578"/>
      <c r="P12" s="784">
        <f>'10. Inputs &amp; Calcs'!H83</f>
        <v>2239</v>
      </c>
      <c r="Q12" s="784">
        <f>'10. Inputs &amp; Calcs'!I83</f>
        <v>2753</v>
      </c>
      <c r="R12" s="784">
        <f>'10. Inputs &amp; Calcs'!J83</f>
        <v>3267</v>
      </c>
      <c r="S12" s="784">
        <f>'10. Inputs &amp; Calcs'!K83</f>
        <v>3743</v>
      </c>
      <c r="T12" s="784">
        <f>'10. Inputs &amp; Calcs'!L83</f>
        <v>3969</v>
      </c>
      <c r="U12" s="784">
        <f>'10. Inputs &amp; Calcs'!M83</f>
        <v>4195</v>
      </c>
      <c r="V12" s="784">
        <f>'10. Inputs &amp; Calcs'!N83</f>
        <v>4421</v>
      </c>
      <c r="W12" s="784">
        <f>'10. Inputs &amp; Calcs'!O83</f>
        <v>4647</v>
      </c>
      <c r="X12" s="784">
        <f>'10. Inputs &amp; Calcs'!P83</f>
        <v>4873</v>
      </c>
      <c r="Y12" s="784">
        <f>'10. Inputs &amp; Calcs'!Q83</f>
        <v>5099</v>
      </c>
      <c r="Z12" s="784">
        <f>'10. Inputs &amp; Calcs'!R83</f>
        <v>5325</v>
      </c>
      <c r="AA12" s="784">
        <f>'10. Inputs &amp; Calcs'!S83</f>
        <v>5551</v>
      </c>
      <c r="AB12" s="784">
        <f>'10. Inputs &amp; Calcs'!T83</f>
        <v>5777</v>
      </c>
      <c r="AC12" s="784">
        <f>'10. Inputs &amp; Calcs'!U83</f>
        <v>6003</v>
      </c>
      <c r="AD12" s="784">
        <f>'10. Inputs &amp; Calcs'!V83</f>
        <v>6229</v>
      </c>
      <c r="AE12" s="784">
        <f>'10. Inputs &amp; Calcs'!W83</f>
        <v>6455</v>
      </c>
      <c r="AF12" s="784">
        <f>'10. Inputs &amp; Calcs'!X83</f>
        <v>6681</v>
      </c>
      <c r="AG12" s="784">
        <f>'10. Inputs &amp; Calcs'!Y83</f>
        <v>6907</v>
      </c>
      <c r="AH12" s="784">
        <f>'10. Inputs &amp; Calcs'!Z83</f>
        <v>7133</v>
      </c>
      <c r="AI12" s="784">
        <f>'10. Inputs &amp; Calcs'!AA83</f>
        <v>7359</v>
      </c>
      <c r="AJ12" s="784">
        <f>'10. Inputs &amp; Calcs'!AB83</f>
        <v>7399</v>
      </c>
      <c r="AK12" s="784">
        <f>'10. Inputs &amp; Calcs'!AC83</f>
        <v>0</v>
      </c>
      <c r="AL12" s="536"/>
    </row>
    <row r="13" spans="4:38" x14ac:dyDescent="0.45">
      <c r="D13" t="s">
        <v>1329</v>
      </c>
      <c r="N13" s="578"/>
      <c r="O13" s="578"/>
      <c r="P13" s="784">
        <f>'10. Inputs &amp; Calcs'!H525</f>
        <v>5160</v>
      </c>
      <c r="Q13" s="784">
        <f>'10. Inputs &amp; Calcs'!I525</f>
        <v>4646</v>
      </c>
      <c r="R13" s="784">
        <f>'10. Inputs &amp; Calcs'!J525</f>
        <v>4132</v>
      </c>
      <c r="S13" s="784">
        <f>'10. Inputs &amp; Calcs'!K525</f>
        <v>3656</v>
      </c>
      <c r="T13" s="784">
        <f>'10. Inputs &amp; Calcs'!L525</f>
        <v>3430</v>
      </c>
      <c r="U13" s="784">
        <f>'10. Inputs &amp; Calcs'!M525</f>
        <v>3204</v>
      </c>
      <c r="V13" s="784">
        <f>'10. Inputs &amp; Calcs'!N525</f>
        <v>2978</v>
      </c>
      <c r="W13" s="784">
        <f>'10. Inputs &amp; Calcs'!O525</f>
        <v>2752</v>
      </c>
      <c r="X13" s="784">
        <f>'10. Inputs &amp; Calcs'!P525</f>
        <v>2526</v>
      </c>
      <c r="Y13" s="784">
        <f>'10. Inputs &amp; Calcs'!Q525</f>
        <v>2300</v>
      </c>
      <c r="Z13" s="784">
        <f>'10. Inputs &amp; Calcs'!R525</f>
        <v>2074</v>
      </c>
      <c r="AA13" s="784">
        <f>'10. Inputs &amp; Calcs'!S525</f>
        <v>1848</v>
      </c>
      <c r="AB13" s="784">
        <f>'10. Inputs &amp; Calcs'!T525</f>
        <v>1622</v>
      </c>
      <c r="AC13" s="784">
        <f>'10. Inputs &amp; Calcs'!U525</f>
        <v>1396</v>
      </c>
      <c r="AD13" s="784">
        <f>'10. Inputs &amp; Calcs'!V525</f>
        <v>1170</v>
      </c>
      <c r="AE13" s="784">
        <f>'10. Inputs &amp; Calcs'!W525</f>
        <v>944</v>
      </c>
      <c r="AF13" s="784">
        <f>'10. Inputs &amp; Calcs'!X525</f>
        <v>718</v>
      </c>
      <c r="AG13" s="784">
        <f>'10. Inputs &amp; Calcs'!Y525</f>
        <v>492</v>
      </c>
      <c r="AH13" s="784">
        <f>'10. Inputs &amp; Calcs'!Z525</f>
        <v>266</v>
      </c>
      <c r="AI13" s="784">
        <f>'10. Inputs &amp; Calcs'!AA525</f>
        <v>40</v>
      </c>
      <c r="AJ13" s="784">
        <f>'10. Inputs &amp; Calcs'!AB525</f>
        <v>0</v>
      </c>
      <c r="AK13" s="784">
        <f>'10. Inputs &amp; Calcs'!AC525</f>
        <v>0</v>
      </c>
      <c r="AL13" s="536"/>
    </row>
    <row r="14" spans="4: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4: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4:38" x14ac:dyDescent="0.45">
      <c r="D16" s="451" t="s">
        <v>266</v>
      </c>
      <c r="E16" s="451"/>
      <c r="M16" s="451"/>
    </row>
    <row r="17" spans="2:50" x14ac:dyDescent="0.45">
      <c r="R17" t="s">
        <v>55</v>
      </c>
    </row>
    <row r="18" spans="2:50" ht="9"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50" x14ac:dyDescent="0.45">
      <c r="B19" t="s">
        <v>1075</v>
      </c>
      <c r="D19" t="str">
        <f>'11. Table - Expenditure Review'!E172</f>
        <v>Sales</v>
      </c>
      <c r="F19" s="852"/>
      <c r="G19" s="852"/>
      <c r="I19" s="753">
        <f>AL19</f>
        <v>541188154.3171711</v>
      </c>
      <c r="J19" s="899">
        <v>541188154.3171711</v>
      </c>
      <c r="K19" s="753">
        <f t="shared" ref="K19:K28" si="0">I19-J19</f>
        <v>0</v>
      </c>
      <c r="L19" s="885">
        <f t="shared" ref="L19:L28" si="1">IF(J19&lt;&gt;0,K19/J19,0)</f>
        <v>0</v>
      </c>
      <c r="N19" s="763">
        <f>'11. Table - Expenditure Review'!F207</f>
        <v>64493890.520000011</v>
      </c>
      <c r="O19" s="567">
        <f>'11. Table - Expenditure Review'!G207</f>
        <v>51803055.629999995</v>
      </c>
      <c r="P19" s="764">
        <f>'11. Table - Expenditure Review'!H207</f>
        <v>38707569.810000002</v>
      </c>
      <c r="Q19" s="748">
        <f>'10. Inputs &amp; Calcs'!I428</f>
        <v>45788804.290096059</v>
      </c>
      <c r="R19" s="535">
        <f>'10. Inputs &amp; Calcs'!J428</f>
        <v>45788804.290096059</v>
      </c>
      <c r="S19" s="535">
        <f>'10. Inputs &amp; Calcs'!K428</f>
        <v>43815871.559152238</v>
      </c>
      <c r="T19" s="535">
        <f>'10. Inputs &amp; Calcs'!L428</f>
        <v>25134920.843012903</v>
      </c>
      <c r="U19" s="535">
        <f>'10. Inputs &amp; Calcs'!M428</f>
        <v>25134920.843012903</v>
      </c>
      <c r="V19" s="535">
        <f>'10. Inputs &amp; Calcs'!N428</f>
        <v>25134920.843012903</v>
      </c>
      <c r="W19" s="535">
        <f>'10. Inputs &amp; Calcs'!O428</f>
        <v>25134920.843012903</v>
      </c>
      <c r="X19" s="535">
        <f>'10. Inputs &amp; Calcs'!P428</f>
        <v>25134920.843012903</v>
      </c>
      <c r="Y19" s="535">
        <f>'10. Inputs &amp; Calcs'!Q428</f>
        <v>25134920.843012903</v>
      </c>
      <c r="Z19" s="535">
        <f>'10. Inputs &amp; Calcs'!R428</f>
        <v>25134920.843012903</v>
      </c>
      <c r="AA19" s="535">
        <f>'10. Inputs &amp; Calcs'!S428</f>
        <v>25134920.843012903</v>
      </c>
      <c r="AB19" s="535">
        <f>'10. Inputs &amp; Calcs'!T428</f>
        <v>25134920.843012903</v>
      </c>
      <c r="AC19" s="535">
        <f>'10. Inputs &amp; Calcs'!U428</f>
        <v>25134920.843012903</v>
      </c>
      <c r="AD19" s="535">
        <f>'10. Inputs &amp; Calcs'!V428</f>
        <v>25134920.843012903</v>
      </c>
      <c r="AE19" s="535">
        <f>'10. Inputs &amp; Calcs'!W428</f>
        <v>25134920.843012903</v>
      </c>
      <c r="AF19" s="535">
        <f>'10. Inputs &amp; Calcs'!X428</f>
        <v>25134920.843012903</v>
      </c>
      <c r="AG19" s="535">
        <f>'10. Inputs &amp; Calcs'!Y428</f>
        <v>25134920.843012903</v>
      </c>
      <c r="AH19" s="535">
        <f>'10. Inputs &amp; Calcs'!Z428</f>
        <v>25134920.843012903</v>
      </c>
      <c r="AI19" s="535">
        <f>'10. Inputs &amp; Calcs'!AA428</f>
        <v>25134920.843012903</v>
      </c>
      <c r="AJ19" s="535">
        <f>'10. Inputs &amp; Calcs'!AB428</f>
        <v>3635940.6896200664</v>
      </c>
      <c r="AK19" s="749">
        <f>'10. Inputs &amp; Calcs'!AC428</f>
        <v>0</v>
      </c>
      <c r="AL19" s="753">
        <f>SUM(Q19:AK19)</f>
        <v>541188154.3171711</v>
      </c>
    </row>
    <row r="20" spans="2:50" x14ac:dyDescent="0.45">
      <c r="B20" t="s">
        <v>1075</v>
      </c>
      <c r="D20" s="18" t="s">
        <v>1076</v>
      </c>
      <c r="F20" s="852"/>
      <c r="G20" s="852"/>
      <c r="I20" s="754">
        <f>AL20</f>
        <v>-495353935.28849757</v>
      </c>
      <c r="J20" s="900">
        <v>-495353935.28849757</v>
      </c>
      <c r="K20" s="754">
        <f t="shared" si="0"/>
        <v>0</v>
      </c>
      <c r="L20" s="886">
        <f t="shared" si="1"/>
        <v>0</v>
      </c>
      <c r="N20" s="765">
        <f t="shared" ref="N20:Y20" si="2">N21-N19</f>
        <v>-56166767.190000013</v>
      </c>
      <c r="O20" s="766">
        <f t="shared" si="2"/>
        <v>-40081977.339999996</v>
      </c>
      <c r="P20" s="767">
        <f t="shared" si="2"/>
        <v>-29417047.090000004</v>
      </c>
      <c r="Q20" s="750">
        <f t="shared" si="2"/>
        <v>-39108548.334325761</v>
      </c>
      <c r="R20" s="751">
        <f t="shared" si="2"/>
        <v>-39108548.334325761</v>
      </c>
      <c r="S20" s="751">
        <f t="shared" si="2"/>
        <v>-38264956.148070209</v>
      </c>
      <c r="T20" s="751">
        <f t="shared" si="2"/>
        <v>-23482353.130818505</v>
      </c>
      <c r="U20" s="751">
        <f t="shared" si="2"/>
        <v>-23482353.130818505</v>
      </c>
      <c r="V20" s="751">
        <f t="shared" si="2"/>
        <v>-23482353.130818505</v>
      </c>
      <c r="W20" s="751">
        <f t="shared" si="2"/>
        <v>-23482353.130818505</v>
      </c>
      <c r="X20" s="751">
        <f t="shared" si="2"/>
        <v>-23482353.130818505</v>
      </c>
      <c r="Y20" s="751">
        <f t="shared" si="2"/>
        <v>-23482353.130818505</v>
      </c>
      <c r="Z20" s="751">
        <f t="shared" ref="Z20:AJ20" si="3">Z21-Z19</f>
        <v>-23482353.130818505</v>
      </c>
      <c r="AA20" s="751">
        <f t="shared" si="3"/>
        <v>-23482353.130818505</v>
      </c>
      <c r="AB20" s="751">
        <f t="shared" si="3"/>
        <v>-23482353.130818505</v>
      </c>
      <c r="AC20" s="751">
        <f t="shared" si="3"/>
        <v>-23482353.130818505</v>
      </c>
      <c r="AD20" s="751">
        <f t="shared" si="3"/>
        <v>-23482353.130818505</v>
      </c>
      <c r="AE20" s="751">
        <f t="shared" si="3"/>
        <v>-23482353.130818505</v>
      </c>
      <c r="AF20" s="751">
        <f t="shared" si="3"/>
        <v>-23482353.130818505</v>
      </c>
      <c r="AG20" s="751">
        <f t="shared" si="3"/>
        <v>-23482353.130818505</v>
      </c>
      <c r="AH20" s="751">
        <f t="shared" si="3"/>
        <v>-23482353.130818505</v>
      </c>
      <c r="AI20" s="751">
        <f t="shared" si="3"/>
        <v>-23482353.130818505</v>
      </c>
      <c r="AJ20" s="751">
        <f t="shared" si="3"/>
        <v>-3154232.3786798497</v>
      </c>
      <c r="AK20" s="752">
        <f>AK21-AK19</f>
        <v>0</v>
      </c>
      <c r="AL20" s="754">
        <f>SUM(Q20:AK20)</f>
        <v>-495353935.28849757</v>
      </c>
    </row>
    <row r="21" spans="2:50" x14ac:dyDescent="0.45">
      <c r="D21" s="18" t="s">
        <v>1307</v>
      </c>
      <c r="F21" s="852">
        <f>P21/P$28</f>
        <v>0.62245448704219319</v>
      </c>
      <c r="G21" s="852">
        <f>AL21/AL$28</f>
        <v>0.58380545077436086</v>
      </c>
      <c r="I21" s="533">
        <f>AL21</f>
        <v>45834219.02867353</v>
      </c>
      <c r="J21" s="898">
        <v>45834219.02867353</v>
      </c>
      <c r="K21" s="533">
        <f t="shared" si="0"/>
        <v>0</v>
      </c>
      <c r="L21" s="813">
        <f t="shared" si="1"/>
        <v>0</v>
      </c>
      <c r="N21" s="566">
        <f>'10. Inputs &amp; Calcs'!F437</f>
        <v>8327123.3300000001</v>
      </c>
      <c r="O21" s="566">
        <f>'10. Inputs &amp; Calcs'!G437</f>
        <v>11721078.289999999</v>
      </c>
      <c r="P21" s="566">
        <f>'10. Inputs &amp; Calcs'!H437</f>
        <v>9290522.7200000007</v>
      </c>
      <c r="Q21" s="533">
        <f>'10. Inputs &amp; Calcs'!I437</f>
        <v>6680255.9557702979</v>
      </c>
      <c r="R21" s="533">
        <f>'10. Inputs &amp; Calcs'!J437</f>
        <v>6680255.9557702979</v>
      </c>
      <c r="S21" s="533">
        <f>'10. Inputs &amp; Calcs'!K437</f>
        <v>5550915.4110820312</v>
      </c>
      <c r="T21" s="533">
        <f>'10. Inputs &amp; Calcs'!L437</f>
        <v>1652567.7121943994</v>
      </c>
      <c r="U21" s="533">
        <f>'10. Inputs &amp; Calcs'!M437</f>
        <v>1652567.7121943994</v>
      </c>
      <c r="V21" s="533">
        <f>'10. Inputs &amp; Calcs'!N437</f>
        <v>1652567.7121943994</v>
      </c>
      <c r="W21" s="533">
        <f>'10. Inputs &amp; Calcs'!O437</f>
        <v>1652567.7121943994</v>
      </c>
      <c r="X21" s="533">
        <f>'10. Inputs &amp; Calcs'!P437</f>
        <v>1652567.7121943994</v>
      </c>
      <c r="Y21" s="533">
        <f>'10. Inputs &amp; Calcs'!Q437</f>
        <v>1652567.7121943994</v>
      </c>
      <c r="Z21" s="533">
        <f>'10. Inputs &amp; Calcs'!R437</f>
        <v>1652567.7121943994</v>
      </c>
      <c r="AA21" s="533">
        <f>'10. Inputs &amp; Calcs'!S437</f>
        <v>1652567.7121943994</v>
      </c>
      <c r="AB21" s="533">
        <f>'10. Inputs &amp; Calcs'!T437</f>
        <v>1652567.7121943994</v>
      </c>
      <c r="AC21" s="533">
        <f>'10. Inputs &amp; Calcs'!U437</f>
        <v>1652567.7121943994</v>
      </c>
      <c r="AD21" s="533">
        <f>'10. Inputs &amp; Calcs'!V437</f>
        <v>1652567.7121943994</v>
      </c>
      <c r="AE21" s="533">
        <f>'10. Inputs &amp; Calcs'!W437</f>
        <v>1652567.7121943994</v>
      </c>
      <c r="AF21" s="533">
        <f>'10. Inputs &amp; Calcs'!X437</f>
        <v>1652567.7121943994</v>
      </c>
      <c r="AG21" s="533">
        <f>'10. Inputs &amp; Calcs'!Y437</f>
        <v>1652567.7121943994</v>
      </c>
      <c r="AH21" s="533">
        <f>'10. Inputs &amp; Calcs'!Z437</f>
        <v>1652567.7121943994</v>
      </c>
      <c r="AI21" s="533">
        <f>'10. Inputs &amp; Calcs'!AA437</f>
        <v>1652567.7121943994</v>
      </c>
      <c r="AJ21" s="533">
        <f>'10. Inputs &amp; Calcs'!AB437</f>
        <v>481708.31094021688</v>
      </c>
      <c r="AK21" s="533">
        <f>'10. Inputs &amp; Calcs'!AC437</f>
        <v>0</v>
      </c>
      <c r="AL21" s="533">
        <f>SUM(AL19:AL20)</f>
        <v>45834219.02867353</v>
      </c>
    </row>
    <row r="22" spans="2:50" ht="6" customHeight="1" x14ac:dyDescent="0.45">
      <c r="D22" s="18"/>
      <c r="F22" s="852"/>
      <c r="G22" s="852"/>
      <c r="I22" s="533"/>
      <c r="J22" s="898"/>
      <c r="K22" s="533"/>
      <c r="L22" s="813"/>
      <c r="N22" s="566"/>
      <c r="O22" s="566"/>
      <c r="P22" s="566"/>
      <c r="Q22" s="533"/>
      <c r="R22" s="533"/>
      <c r="S22" s="533"/>
      <c r="T22" s="533"/>
      <c r="U22" s="533"/>
      <c r="V22" s="533"/>
      <c r="W22" s="533"/>
      <c r="X22" s="533"/>
      <c r="Y22" s="533"/>
      <c r="Z22" s="533"/>
      <c r="AA22" s="533"/>
      <c r="AB22" s="533"/>
      <c r="AC22" s="533"/>
      <c r="AD22" s="533"/>
      <c r="AE22" s="533"/>
      <c r="AF22" s="533"/>
      <c r="AG22" s="533"/>
      <c r="AH22" s="533"/>
      <c r="AI22" s="533"/>
      <c r="AJ22" s="533"/>
      <c r="AK22" s="533"/>
      <c r="AL22" s="533"/>
    </row>
    <row r="23" spans="2:50" x14ac:dyDescent="0.45">
      <c r="B23" t="s">
        <v>59</v>
      </c>
      <c r="D23" t="str">
        <f>'11. Table - Expenditure Review'!E170</f>
        <v>Rent raised</v>
      </c>
      <c r="F23" s="852"/>
      <c r="G23" s="852"/>
      <c r="I23" s="753">
        <f>AL23</f>
        <v>79105866.497481197</v>
      </c>
      <c r="J23" s="899">
        <v>79105866.497481197</v>
      </c>
      <c r="K23" s="753">
        <f t="shared" si="0"/>
        <v>0</v>
      </c>
      <c r="L23" s="885">
        <f t="shared" si="1"/>
        <v>0</v>
      </c>
      <c r="N23" s="763">
        <f>'11. Table - Expenditure Review'!F206</f>
        <v>12816294.93</v>
      </c>
      <c r="O23" s="567">
        <f>'11. Table - Expenditure Review'!G206</f>
        <v>11674321.920000002</v>
      </c>
      <c r="P23" s="764">
        <f>'11. Table - Expenditure Review'!H206</f>
        <v>11740395.810000002</v>
      </c>
      <c r="Q23" s="748">
        <f>'10. Inputs &amp; Calcs'!I543</f>
        <v>10071649.56574804</v>
      </c>
      <c r="R23" s="535">
        <f>'10. Inputs &amp; Calcs'!J543</f>
        <v>8402903.321496075</v>
      </c>
      <c r="S23" s="535">
        <f>'10. Inputs &amp; Calcs'!K543</f>
        <v>7011808.4122245051</v>
      </c>
      <c r="T23" s="535">
        <f>'10. Inputs &amp; Calcs'!L543</f>
        <v>6581150.8431246569</v>
      </c>
      <c r="U23" s="535">
        <f>'10. Inputs &amp; Calcs'!M543</f>
        <v>6150493.2740248069</v>
      </c>
      <c r="V23" s="535">
        <f>'10. Inputs &amp; Calcs'!N543</f>
        <v>5719835.7049249578</v>
      </c>
      <c r="W23" s="535">
        <f>'10. Inputs &amp; Calcs'!O543</f>
        <v>5289178.1358251087</v>
      </c>
      <c r="X23" s="535">
        <f>'10. Inputs &amp; Calcs'!P543</f>
        <v>4858520.5667252587</v>
      </c>
      <c r="Y23" s="535">
        <f>'10. Inputs &amp; Calcs'!Q543</f>
        <v>4427862.9976254096</v>
      </c>
      <c r="Z23" s="535">
        <f>'10. Inputs &amp; Calcs'!R543</f>
        <v>3997205.4285255596</v>
      </c>
      <c r="AA23" s="535">
        <f>'10. Inputs &amp; Calcs'!S543</f>
        <v>3566547.8594257105</v>
      </c>
      <c r="AB23" s="535">
        <f>'10. Inputs &amp; Calcs'!T543</f>
        <v>3135890.2903258614</v>
      </c>
      <c r="AC23" s="535">
        <f>'10. Inputs &amp; Calcs'!U543</f>
        <v>2705232.7212260119</v>
      </c>
      <c r="AD23" s="535">
        <f>'10. Inputs &amp; Calcs'!V543</f>
        <v>2274575.1521261623</v>
      </c>
      <c r="AE23" s="535">
        <f>'10. Inputs &amp; Calcs'!W543</f>
        <v>1843917.583026313</v>
      </c>
      <c r="AF23" s="535">
        <f>'10. Inputs &amp; Calcs'!X543</f>
        <v>1413260.0139264637</v>
      </c>
      <c r="AG23" s="535">
        <f>'10. Inputs &amp; Calcs'!Y543</f>
        <v>982602.44482661434</v>
      </c>
      <c r="AH23" s="535">
        <f>'10. Inputs &amp; Calcs'!Z543</f>
        <v>551944.87572676491</v>
      </c>
      <c r="AI23" s="535">
        <f>'10. Inputs &amp; Calcs'!AA543</f>
        <v>121287.30662691555</v>
      </c>
      <c r="AJ23" s="535">
        <f>'10. Inputs &amp; Calcs'!AB543</f>
        <v>0</v>
      </c>
      <c r="AK23" s="749">
        <f>'10. Inputs &amp; Calcs'!AC543</f>
        <v>0</v>
      </c>
      <c r="AL23" s="753">
        <f>SUM(Q23:AK23)</f>
        <v>79105866.497481197</v>
      </c>
    </row>
    <row r="24" spans="2:50" x14ac:dyDescent="0.45">
      <c r="B24" t="s">
        <v>59</v>
      </c>
      <c r="D24" s="18" t="s">
        <v>1306</v>
      </c>
      <c r="F24" s="852"/>
      <c r="G24" s="852"/>
      <c r="I24" s="754">
        <f>AL24</f>
        <v>-46430679.750859335</v>
      </c>
      <c r="J24" s="900">
        <v>-46430679.750859335</v>
      </c>
      <c r="K24" s="754">
        <f t="shared" si="0"/>
        <v>0</v>
      </c>
      <c r="L24" s="886">
        <f t="shared" si="1"/>
        <v>0</v>
      </c>
      <c r="N24" s="765">
        <f t="shared" ref="N24:Y24" si="4">N25-N23</f>
        <v>-7295676.4399999995</v>
      </c>
      <c r="O24" s="766">
        <f t="shared" si="4"/>
        <v>-6799484.7800000012</v>
      </c>
      <c r="P24" s="767">
        <f t="shared" si="4"/>
        <v>-6105292.7800000031</v>
      </c>
      <c r="Q24" s="750">
        <f t="shared" si="4"/>
        <v>-5446338.4746198524</v>
      </c>
      <c r="R24" s="751">
        <f t="shared" si="4"/>
        <v>-4787384.1692396998</v>
      </c>
      <c r="S24" s="751">
        <f t="shared" si="4"/>
        <v>-4193549.9840164129</v>
      </c>
      <c r="T24" s="751">
        <f t="shared" si="4"/>
        <v>-3935510.3323893608</v>
      </c>
      <c r="U24" s="751">
        <f t="shared" si="4"/>
        <v>-3677470.6807623068</v>
      </c>
      <c r="V24" s="751">
        <f t="shared" si="4"/>
        <v>-3419431.0291352542</v>
      </c>
      <c r="W24" s="751">
        <f t="shared" si="4"/>
        <v>-3161391.3775082012</v>
      </c>
      <c r="X24" s="751">
        <f t="shared" si="4"/>
        <v>-2903351.7258811472</v>
      </c>
      <c r="Y24" s="751">
        <f t="shared" si="4"/>
        <v>-2645312.0742540942</v>
      </c>
      <c r="Z24" s="751">
        <f t="shared" ref="Z24:AJ24" si="5">Z25-Z23</f>
        <v>-2387272.4226270402</v>
      </c>
      <c r="AA24" s="751">
        <f t="shared" si="5"/>
        <v>-2129232.7709999876</v>
      </c>
      <c r="AB24" s="751">
        <f t="shared" si="5"/>
        <v>-1871193.1193729343</v>
      </c>
      <c r="AC24" s="751">
        <f t="shared" si="5"/>
        <v>-1613153.4677458811</v>
      </c>
      <c r="AD24" s="751">
        <f t="shared" si="5"/>
        <v>-1355113.8161188276</v>
      </c>
      <c r="AE24" s="751">
        <f t="shared" si="5"/>
        <v>-1097074.1644917743</v>
      </c>
      <c r="AF24" s="751">
        <f t="shared" si="5"/>
        <v>-839034.51286472112</v>
      </c>
      <c r="AG24" s="751">
        <f t="shared" si="5"/>
        <v>-580994.86123766797</v>
      </c>
      <c r="AH24" s="751">
        <f t="shared" si="5"/>
        <v>-322955.20961061463</v>
      </c>
      <c r="AI24" s="751">
        <f t="shared" si="5"/>
        <v>-64915.557983561375</v>
      </c>
      <c r="AJ24" s="751">
        <f t="shared" si="5"/>
        <v>0</v>
      </c>
      <c r="AK24" s="752">
        <f>AK25-AK23</f>
        <v>0</v>
      </c>
      <c r="AL24" s="754">
        <f>SUM(Q24:AK24)</f>
        <v>-46430679.750859335</v>
      </c>
    </row>
    <row r="25" spans="2:50" x14ac:dyDescent="0.45">
      <c r="D25" s="18" t="str">
        <f>'10. Inputs &amp; Calcs'!D573</f>
        <v>Total Rental Collected p.a.</v>
      </c>
      <c r="F25" s="852">
        <f>P25/P$28</f>
        <v>0.37754551295780675</v>
      </c>
      <c r="G25" s="852">
        <f>AL25/AL$28</f>
        <v>0.41619454922563914</v>
      </c>
      <c r="I25" s="533">
        <f>AL25</f>
        <v>32675186.746621851</v>
      </c>
      <c r="J25" s="898">
        <v>32675186.746621851</v>
      </c>
      <c r="K25" s="533">
        <f t="shared" si="0"/>
        <v>0</v>
      </c>
      <c r="L25" s="813">
        <f t="shared" si="1"/>
        <v>0</v>
      </c>
      <c r="N25" s="566">
        <f>'11. Table - Expenditure Review'!F198</f>
        <v>5520618.4900000002</v>
      </c>
      <c r="O25" s="566">
        <f>'11. Table - Expenditure Review'!G198</f>
        <v>4874837.1400000006</v>
      </c>
      <c r="P25" s="566">
        <f>'11. Table - Expenditure Review'!H198</f>
        <v>5635103.0299999993</v>
      </c>
      <c r="Q25" s="535">
        <f>'10. Inputs &amp; Calcs'!I579</f>
        <v>4625311.0911281873</v>
      </c>
      <c r="R25" s="535">
        <f>'10. Inputs &amp; Calcs'!J579</f>
        <v>3615519.1522563747</v>
      </c>
      <c r="S25" s="535">
        <f>'10. Inputs &amp; Calcs'!K579</f>
        <v>2818258.4282080922</v>
      </c>
      <c r="T25" s="535">
        <f>'10. Inputs &amp; Calcs'!L579</f>
        <v>2645640.5107352962</v>
      </c>
      <c r="U25" s="535">
        <f>'10. Inputs &amp; Calcs'!M579</f>
        <v>2473022.5932625001</v>
      </c>
      <c r="V25" s="535">
        <f>'10. Inputs &amp; Calcs'!N579</f>
        <v>2300404.6757897036</v>
      </c>
      <c r="W25" s="535">
        <f>'10. Inputs &amp; Calcs'!O579</f>
        <v>2127786.7583169076</v>
      </c>
      <c r="X25" s="535">
        <f>'10. Inputs &amp; Calcs'!P579</f>
        <v>1955168.8408441113</v>
      </c>
      <c r="Y25" s="535">
        <f>'10. Inputs &amp; Calcs'!Q579</f>
        <v>1782550.9233713155</v>
      </c>
      <c r="Z25" s="535">
        <f>'10. Inputs &amp; Calcs'!R579</f>
        <v>1609933.0058985192</v>
      </c>
      <c r="AA25" s="535">
        <f>'10. Inputs &amp; Calcs'!S579</f>
        <v>1437315.0884257231</v>
      </c>
      <c r="AB25" s="535">
        <f>'10. Inputs &amp; Calcs'!T579</f>
        <v>1264697.1709529271</v>
      </c>
      <c r="AC25" s="535">
        <f>'10. Inputs &amp; Calcs'!U579</f>
        <v>1092079.2534801308</v>
      </c>
      <c r="AD25" s="535">
        <f>'10. Inputs &amp; Calcs'!V579</f>
        <v>919461.33600733476</v>
      </c>
      <c r="AE25" s="535">
        <f>'10. Inputs &amp; Calcs'!W579</f>
        <v>746843.41853453871</v>
      </c>
      <c r="AF25" s="535">
        <f>'10. Inputs &amp; Calcs'!X579</f>
        <v>574225.50106174254</v>
      </c>
      <c r="AG25" s="535">
        <f>'10. Inputs &amp; Calcs'!Y579</f>
        <v>401607.58358894638</v>
      </c>
      <c r="AH25" s="535">
        <f>'10. Inputs &amp; Calcs'!Z579</f>
        <v>228989.66611615027</v>
      </c>
      <c r="AI25" s="535">
        <f>'10. Inputs &amp; Calcs'!AA579</f>
        <v>56371.748643354178</v>
      </c>
      <c r="AJ25" s="535">
        <f>'10. Inputs &amp; Calcs'!AB579</f>
        <v>0</v>
      </c>
      <c r="AK25" s="535">
        <f>'10. Inputs &amp; Calcs'!AC579</f>
        <v>0</v>
      </c>
      <c r="AL25" s="533">
        <f>SUM(Q25:AK25)</f>
        <v>32675186.746621851</v>
      </c>
    </row>
    <row r="26" spans="2:50" ht="5.25"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50" x14ac:dyDescent="0.45">
      <c r="B27" t="s">
        <v>1077</v>
      </c>
      <c r="D27" t="str">
        <f>'11. Table - Expenditure Review'!E173</f>
        <v>Sales and Rental Income Combined</v>
      </c>
      <c r="I27" s="533">
        <f>AL27</f>
        <v>0</v>
      </c>
      <c r="J27" s="898">
        <v>0</v>
      </c>
      <c r="K27" s="533">
        <f t="shared" si="0"/>
        <v>0</v>
      </c>
      <c r="L27" s="813">
        <f t="shared" si="1"/>
        <v>0</v>
      </c>
      <c r="N27" s="566">
        <f>'11. Table - Expenditure Review'!F173*0</f>
        <v>0</v>
      </c>
      <c r="O27" s="566">
        <f>'11. Table - Expenditure Review'!G173*0</f>
        <v>0</v>
      </c>
      <c r="P27" s="566">
        <f>'11. Table - Expenditure Review'!H173*0</f>
        <v>0</v>
      </c>
      <c r="Q27" s="533"/>
      <c r="R27" s="533"/>
      <c r="S27" s="533"/>
      <c r="T27" s="533"/>
      <c r="U27" s="533"/>
      <c r="V27" s="533"/>
      <c r="W27" s="533"/>
      <c r="X27" s="533"/>
      <c r="Y27" s="533"/>
      <c r="Z27" s="533"/>
      <c r="AA27" s="533"/>
      <c r="AB27" s="533"/>
      <c r="AC27" s="533"/>
      <c r="AD27" s="533"/>
      <c r="AE27" s="533"/>
      <c r="AF27" s="533"/>
      <c r="AG27" s="533"/>
      <c r="AH27" s="533"/>
      <c r="AI27" s="533"/>
      <c r="AJ27" s="533"/>
      <c r="AK27" s="533"/>
      <c r="AL27" s="533">
        <f>SUM(Q27:AK27)</f>
        <v>0</v>
      </c>
    </row>
    <row r="28" spans="2:50" x14ac:dyDescent="0.45">
      <c r="D28" t="s">
        <v>330</v>
      </c>
      <c r="F28" s="891">
        <f>P28/P$28</f>
        <v>1</v>
      </c>
      <c r="G28" s="891">
        <f>AL28/AL$28</f>
        <v>1</v>
      </c>
      <c r="I28" s="535">
        <f>AL28</f>
        <v>78509405.775295377</v>
      </c>
      <c r="J28" s="901">
        <v>78509405.775295377</v>
      </c>
      <c r="K28" s="535">
        <f t="shared" si="0"/>
        <v>0</v>
      </c>
      <c r="L28" s="884">
        <f t="shared" si="1"/>
        <v>0</v>
      </c>
      <c r="N28" s="992">
        <f>N25+N67*0+N21+N27</f>
        <v>13847741.82</v>
      </c>
      <c r="O28" s="567">
        <f t="shared" ref="O28:AK28" si="6">O25+O67*0+O21+O27</f>
        <v>16595915.43</v>
      </c>
      <c r="P28" s="567">
        <f t="shared" si="6"/>
        <v>14925625.75</v>
      </c>
      <c r="Q28" s="535">
        <f t="shared" si="6"/>
        <v>11305567.046898484</v>
      </c>
      <c r="R28" s="535">
        <f t="shared" si="6"/>
        <v>10295775.108026672</v>
      </c>
      <c r="S28" s="535">
        <f t="shared" si="6"/>
        <v>8369173.8392901234</v>
      </c>
      <c r="T28" s="535">
        <f t="shared" si="6"/>
        <v>4298208.2229296956</v>
      </c>
      <c r="U28" s="535">
        <f t="shared" si="6"/>
        <v>4125590.3054568996</v>
      </c>
      <c r="V28" s="535">
        <f t="shared" si="6"/>
        <v>3952972.3879841031</v>
      </c>
      <c r="W28" s="535">
        <f t="shared" si="6"/>
        <v>3780354.470511307</v>
      </c>
      <c r="X28" s="535">
        <f t="shared" si="6"/>
        <v>3607736.5530385105</v>
      </c>
      <c r="Y28" s="535">
        <f t="shared" si="6"/>
        <v>3435118.6355657149</v>
      </c>
      <c r="Z28" s="535">
        <f t="shared" si="6"/>
        <v>3262500.7180929184</v>
      </c>
      <c r="AA28" s="535">
        <f t="shared" si="6"/>
        <v>3089882.8006201228</v>
      </c>
      <c r="AB28" s="535">
        <f t="shared" si="6"/>
        <v>2917264.8831473263</v>
      </c>
      <c r="AC28" s="535">
        <f t="shared" si="6"/>
        <v>2744646.9656745302</v>
      </c>
      <c r="AD28" s="535">
        <f t="shared" si="6"/>
        <v>2572029.0482017342</v>
      </c>
      <c r="AE28" s="535">
        <f t="shared" si="6"/>
        <v>2399411.1307289382</v>
      </c>
      <c r="AF28" s="535">
        <f t="shared" si="6"/>
        <v>2226793.2132561421</v>
      </c>
      <c r="AG28" s="535">
        <f t="shared" si="6"/>
        <v>2054175.2957833458</v>
      </c>
      <c r="AH28" s="535">
        <f t="shared" si="6"/>
        <v>1881557.3783105498</v>
      </c>
      <c r="AI28" s="535">
        <f t="shared" si="6"/>
        <v>1708939.4608377537</v>
      </c>
      <c r="AJ28" s="535">
        <f t="shared" si="6"/>
        <v>481708.31094021688</v>
      </c>
      <c r="AK28" s="535">
        <f t="shared" si="6"/>
        <v>0</v>
      </c>
      <c r="AL28" s="1000">
        <f>AL25+AL67*0+AL21+AL27</f>
        <v>78509405.775295377</v>
      </c>
    </row>
    <row r="29" spans="2:50" x14ac:dyDescent="0.45">
      <c r="J29" s="902"/>
      <c r="N29" s="533"/>
      <c r="O29" s="533"/>
      <c r="P29" s="533"/>
      <c r="AL29" s="533"/>
    </row>
    <row r="30" spans="2:50" x14ac:dyDescent="0.45">
      <c r="D30" s="451" t="s">
        <v>934</v>
      </c>
      <c r="E30" s="451"/>
      <c r="J30" s="902"/>
      <c r="M30" s="451"/>
      <c r="N30" s="533"/>
      <c r="O30" s="533"/>
      <c r="P30" s="533"/>
    </row>
    <row r="31" spans="2:50" x14ac:dyDescent="0.45">
      <c r="B31" t="s">
        <v>59</v>
      </c>
      <c r="D31" t="str">
        <f>'11. Table - Expenditure Review'!E177</f>
        <v>Rates &amp; Taxes</v>
      </c>
      <c r="F31" s="885">
        <f t="shared" ref="F31:F47" si="7">P31/P$47</f>
        <v>0.15514848435076056</v>
      </c>
      <c r="G31" s="885">
        <f t="shared" ref="G31:G47" si="8">AL31/AL$47</f>
        <v>0.13434721873330574</v>
      </c>
      <c r="I31" s="753">
        <f t="shared" ref="I31:I48" si="9">AL31</f>
        <v>268801320.53464037</v>
      </c>
      <c r="J31" s="899">
        <v>268801320.53464037</v>
      </c>
      <c r="K31" s="753">
        <f t="shared" ref="K31:K48" si="10">I31-J31</f>
        <v>0</v>
      </c>
      <c r="L31" s="885">
        <f t="shared" ref="L31:L48" si="11">IF(J31&lt;&gt;0,K31/J31,0)</f>
        <v>0</v>
      </c>
      <c r="N31" s="566">
        <f>'11. Table - Expenditure Review'!F177</f>
        <v>22201605.559999999</v>
      </c>
      <c r="O31" s="566">
        <f>'11. Table - Expenditure Review'!G177</f>
        <v>31875055.409999996</v>
      </c>
      <c r="P31" s="566">
        <f>'11. Table - Expenditure Review'!H177</f>
        <v>22219560.57</v>
      </c>
      <c r="Q31" s="533">
        <f>'10. Inputs &amp; Calcs'!I655</f>
        <v>21546575.562386103</v>
      </c>
      <c r="R31" s="533">
        <f>'10. Inputs &amp; Calcs'!J655</f>
        <v>20732348.03321043</v>
      </c>
      <c r="S31" s="533">
        <f>'10. Inputs &amp; Calcs'!K655</f>
        <v>19775038.803618848</v>
      </c>
      <c r="T31" s="533">
        <f>'10. Inputs &amp; Calcs'!L655</f>
        <v>19566705.932478413</v>
      </c>
      <c r="U31" s="533">
        <f>'10. Inputs &amp; Calcs'!M655</f>
        <v>19275636.953131586</v>
      </c>
      <c r="V31" s="533">
        <f>'10. Inputs &amp; Calcs'!N655</f>
        <v>18893361.100610856</v>
      </c>
      <c r="W31" s="533">
        <f>'10. Inputs &amp; Calcs'!O655</f>
        <v>18410726.102529619</v>
      </c>
      <c r="X31" s="533">
        <f>'10. Inputs &amp; Calcs'!P655</f>
        <v>17817848.837330107</v>
      </c>
      <c r="Y31" s="533">
        <f>'10. Inputs &amp; Calcs'!Q655</f>
        <v>17104062.626498491</v>
      </c>
      <c r="Z31" s="533">
        <f>'10. Inputs &amp; Calcs'!R655</f>
        <v>16257860.939742474</v>
      </c>
      <c r="AA31" s="533">
        <f>'10. Inputs &amp; Calcs'!S655</f>
        <v>15266837.27799814</v>
      </c>
      <c r="AB31" s="533">
        <f>'10. Inputs &amp; Calcs'!T655</f>
        <v>14117620.984119207</v>
      </c>
      <c r="AC31" s="533">
        <f>'10. Inputs &amp; Calcs'!U655</f>
        <v>12795808.715147646</v>
      </c>
      <c r="AD31" s="533">
        <f>'10. Inputs &amp; Calcs'!V655</f>
        <v>11285891.293112252</v>
      </c>
      <c r="AE31" s="533">
        <f>'10. Inputs &amp; Calcs'!W655</f>
        <v>9571175.6332896445</v>
      </c>
      <c r="AF31" s="533">
        <f>'10. Inputs &amp; Calcs'!X655</f>
        <v>7633701.4297248879</v>
      </c>
      <c r="AG31" s="533">
        <f>'10. Inputs &amp; Calcs'!Y655</f>
        <v>5454152.2574773058</v>
      </c>
      <c r="AH31" s="533">
        <f>'10. Inputs &amp; Calcs'!Z655</f>
        <v>3011760.7294575721</v>
      </c>
      <c r="AI31" s="533">
        <f>'10. Inputs &amp; Calcs'!AA655</f>
        <v>284207.32277679926</v>
      </c>
      <c r="AJ31" s="533">
        <f>'10. Inputs &amp; Calcs'!AB655</f>
        <v>0</v>
      </c>
      <c r="AK31" s="533">
        <f>'10. Inputs &amp; Calcs'!AC655</f>
        <v>0</v>
      </c>
      <c r="AL31" s="533">
        <f t="shared" ref="AL31:AL46" si="12">SUM(Q31:AK31)</f>
        <v>268801320.53464037</v>
      </c>
      <c r="AX31" s="533">
        <f t="shared" ref="AX31:AX46" si="13">SUM(T31:AK31)</f>
        <v>206747358.13542497</v>
      </c>
    </row>
    <row r="32" spans="2:50" x14ac:dyDescent="0.45">
      <c r="B32" t="s">
        <v>59</v>
      </c>
      <c r="D32" t="str">
        <f>'11. Table - Expenditure Review'!E178</f>
        <v>Municipal Charges</v>
      </c>
      <c r="F32" s="889">
        <f t="shared" si="7"/>
        <v>5.9170471783084155E-2</v>
      </c>
      <c r="G32" s="889">
        <f t="shared" si="8"/>
        <v>4.7513763673432297E-2</v>
      </c>
      <c r="I32" s="888">
        <f t="shared" si="9"/>
        <v>95065328.031410933</v>
      </c>
      <c r="J32" s="903">
        <v>95065328.031410933</v>
      </c>
      <c r="K32" s="888">
        <f t="shared" si="10"/>
        <v>0</v>
      </c>
      <c r="L32" s="889">
        <f t="shared" si="11"/>
        <v>0</v>
      </c>
      <c r="N32" s="566">
        <f>'11. Table - Expenditure Review'!F178</f>
        <v>6109634.9890155438</v>
      </c>
      <c r="O32" s="566">
        <f>'11. Table - Expenditure Review'!G178</f>
        <v>10590648.855097087</v>
      </c>
      <c r="P32" s="566">
        <f>'11. Table - Expenditure Review'!H178</f>
        <v>8474087.8213630393</v>
      </c>
      <c r="Q32" s="533">
        <f>'10. Inputs &amp; Calcs'!I664</f>
        <v>8023298.8660686668</v>
      </c>
      <c r="R32" s="533">
        <f>'10. Inputs &amp; Calcs'!J664</f>
        <v>7497289.0100322887</v>
      </c>
      <c r="S32" s="533">
        <f>'10. Inputs &amp; Calcs'!K664</f>
        <v>6889147.5907620508</v>
      </c>
      <c r="T32" s="533">
        <f>'10. Inputs &amp; Calcs'!L664</f>
        <v>6819225.1264019199</v>
      </c>
      <c r="U32" s="533">
        <f>'10. Inputs &amp; Calcs'!M664</f>
        <v>6720771.5195001205</v>
      </c>
      <c r="V32" s="533">
        <f>'10. Inputs &amp; Calcs'!N664</f>
        <v>6590859.8598317569</v>
      </c>
      <c r="W32" s="533">
        <f>'10. Inputs &amp; Calcs'!O664</f>
        <v>6426327.5837533865</v>
      </c>
      <c r="X32" s="533">
        <f>'10. Inputs &amp; Calcs'!P664</f>
        <v>6223759.4062304031</v>
      </c>
      <c r="Y32" s="533">
        <f>'10. Inputs &amp; Calcs'!Q664</f>
        <v>5979469.0882390393</v>
      </c>
      <c r="Z32" s="533">
        <f>'10. Inputs &amp; Calcs'!R664</f>
        <v>5689479.9630647767</v>
      </c>
      <c r="AA32" s="533">
        <f>'10. Inputs &amp; Calcs'!S664</f>
        <v>5349504.1401294228</v>
      </c>
      <c r="AB32" s="533">
        <f>'10. Inputs &amp; Calcs'!T664</f>
        <v>4954920.2997829095</v>
      </c>
      <c r="AC32" s="533">
        <f>'10. Inputs &amp; Calcs'!U664</f>
        <v>4500749.9869743874</v>
      </c>
      <c r="AD32" s="533">
        <f>'10. Inputs &amp; Calcs'!V664</f>
        <v>3981632.3058500849</v>
      </c>
      <c r="AE32" s="533">
        <f>'10. Inputs &amp; Calcs'!W664</f>
        <v>3391796.9110915125</v>
      </c>
      <c r="AF32" s="533">
        <f>'10. Inputs &amp; Calcs'!X664</f>
        <v>2725035.1851842999</v>
      </c>
      <c r="AG32" s="533">
        <f>'10. Inputs &amp; Calcs'!Y664</f>
        <v>1974669.4837712429</v>
      </c>
      <c r="AH32" s="533">
        <f>'10. Inputs &amp; Calcs'!Z664</f>
        <v>1133520.3237675671</v>
      </c>
      <c r="AI32" s="533">
        <f>'10. Inputs &amp; Calcs'!AA664</f>
        <v>193871.38097507902</v>
      </c>
      <c r="AJ32" s="533">
        <f>'10. Inputs &amp; Calcs'!AB664</f>
        <v>0</v>
      </c>
      <c r="AK32" s="533">
        <f>'10. Inputs &amp; Calcs'!AC664</f>
        <v>0</v>
      </c>
      <c r="AL32" s="533">
        <f t="shared" si="12"/>
        <v>95065328.031410933</v>
      </c>
      <c r="AX32" s="533">
        <f t="shared" si="13"/>
        <v>72655592.564547926</v>
      </c>
    </row>
    <row r="33" spans="2:50" x14ac:dyDescent="0.45">
      <c r="B33" t="s">
        <v>59</v>
      </c>
      <c r="D33" t="str">
        <f>'11. Table - Expenditure Review'!E179</f>
        <v>Maintenance</v>
      </c>
      <c r="F33" s="889">
        <f t="shared" si="7"/>
        <v>0.40096302405356743</v>
      </c>
      <c r="G33" s="889">
        <f t="shared" si="8"/>
        <v>0.35204265561108117</v>
      </c>
      <c r="I33" s="888">
        <f t="shared" si="9"/>
        <v>704365386.98006427</v>
      </c>
      <c r="J33" s="903">
        <v>704365386.98006427</v>
      </c>
      <c r="K33" s="888">
        <f t="shared" si="10"/>
        <v>0</v>
      </c>
      <c r="L33" s="889">
        <f t="shared" si="11"/>
        <v>0</v>
      </c>
      <c r="N33" s="566">
        <f>'11. Table - Expenditure Review'!F179</f>
        <v>52103485.890000001</v>
      </c>
      <c r="O33" s="566">
        <f>'11. Table - Expenditure Review'!G179</f>
        <v>44466162.890000001</v>
      </c>
      <c r="P33" s="566">
        <f>'11. Table - Expenditure Review'!H179</f>
        <v>57423842.950000003</v>
      </c>
      <c r="Q33" s="533">
        <f>'10. Inputs &amp; Calcs'!I673</f>
        <v>55918402.015522011</v>
      </c>
      <c r="R33" s="533">
        <f>'10. Inputs &amp; Calcs'!J673</f>
        <v>54073655.4533277</v>
      </c>
      <c r="S33" s="533">
        <f>'10. Inputs &amp; Calcs'!K673</f>
        <v>51874378.762447283</v>
      </c>
      <c r="T33" s="533">
        <f>'10. Inputs &amp; Calcs'!L673</f>
        <v>51328524.485179819</v>
      </c>
      <c r="U33" s="533">
        <f>'10. Inputs &amp; Calcs'!M673</f>
        <v>50565706.241656549</v>
      </c>
      <c r="V33" s="533">
        <f>'10. Inputs &amp; Calcs'!N673</f>
        <v>49563709.204778045</v>
      </c>
      <c r="W33" s="533">
        <f>'10. Inputs &amp; Calcs'!O673</f>
        <v>48298531.232461877</v>
      </c>
      <c r="X33" s="533">
        <f>'10. Inputs &amp; Calcs'!P673</f>
        <v>46744253.462846495</v>
      </c>
      <c r="Y33" s="533">
        <f>'10. Inputs &amp; Calcs'!Q673</f>
        <v>44872902.08159522</v>
      </c>
      <c r="Z33" s="533">
        <f>'10. Inputs &amp; Calcs'!R673</f>
        <v>42654300.681681193</v>
      </c>
      <c r="AA33" s="533">
        <f>'10. Inputs &amp; Calcs'!S673</f>
        <v>40055912.598979801</v>
      </c>
      <c r="AB33" s="533">
        <f>'10. Inputs &amp; Calcs'!T673</f>
        <v>37042672.567619175</v>
      </c>
      <c r="AC33" s="533">
        <f>'10. Inputs &amp; Calcs'!U673</f>
        <v>33576806.997196957</v>
      </c>
      <c r="AD33" s="533">
        <f>'10. Inputs &amp; Calcs'!V673</f>
        <v>29617642.129511256</v>
      </c>
      <c r="AE33" s="533">
        <f>'10. Inputs &amp; Calcs'!W673</f>
        <v>25121399.285213601</v>
      </c>
      <c r="AF33" s="533">
        <f>'10. Inputs &amp; Calcs'!X673</f>
        <v>20040976.360601436</v>
      </c>
      <c r="AG33" s="533">
        <f>'10. Inputs &amp; Calcs'!Y673</f>
        <v>14325714.681444168</v>
      </c>
      <c r="AH33" s="533">
        <f>'10. Inputs &amp; Calcs'!Z673</f>
        <v>7921150.2640887769</v>
      </c>
      <c r="AI33" s="533">
        <f>'10. Inputs &amp; Calcs'!AA673</f>
        <v>768748.47391292371</v>
      </c>
      <c r="AJ33" s="533">
        <f>'10. Inputs &amp; Calcs'!AB673</f>
        <v>0</v>
      </c>
      <c r="AK33" s="533">
        <f>'10. Inputs &amp; Calcs'!AC673</f>
        <v>0</v>
      </c>
      <c r="AL33" s="533">
        <f t="shared" si="12"/>
        <v>704365386.98006427</v>
      </c>
      <c r="AX33" s="533">
        <f t="shared" si="13"/>
        <v>542498950.74876738</v>
      </c>
    </row>
    <row r="34" spans="2:50" x14ac:dyDescent="0.45">
      <c r="B34" t="s">
        <v>59</v>
      </c>
      <c r="D34" t="str">
        <f>'11. Table - Expenditure Review'!E180</f>
        <v>Property Payments</v>
      </c>
      <c r="F34" s="889">
        <f t="shared" si="7"/>
        <v>0</v>
      </c>
      <c r="G34" s="889">
        <f t="shared" si="8"/>
        <v>0</v>
      </c>
      <c r="I34" s="888">
        <f t="shared" si="9"/>
        <v>0</v>
      </c>
      <c r="J34" s="903">
        <v>0</v>
      </c>
      <c r="K34" s="888">
        <f t="shared" si="10"/>
        <v>0</v>
      </c>
      <c r="L34" s="889">
        <f t="shared" si="11"/>
        <v>0</v>
      </c>
      <c r="N34" s="566">
        <f>'11. Table - Expenditure Review'!F180</f>
        <v>882482.78</v>
      </c>
      <c r="O34" s="566">
        <f>'11. Table - Expenditure Review'!G180</f>
        <v>0</v>
      </c>
      <c r="P34" s="566">
        <f>'11. Table - Expenditure Review'!H180</f>
        <v>0</v>
      </c>
      <c r="Q34" s="533">
        <f>'10. Inputs &amp; Calcs'!I682</f>
        <v>0</v>
      </c>
      <c r="R34" s="533">
        <f>'10. Inputs &amp; Calcs'!J682</f>
        <v>0</v>
      </c>
      <c r="S34" s="533">
        <f>'10. Inputs &amp; Calcs'!K682</f>
        <v>0</v>
      </c>
      <c r="T34" s="533">
        <f>'10. Inputs &amp; Calcs'!L682</f>
        <v>0</v>
      </c>
      <c r="U34" s="533">
        <f>'10. Inputs &amp; Calcs'!M682</f>
        <v>0</v>
      </c>
      <c r="V34" s="533">
        <f>'10. Inputs &amp; Calcs'!N682</f>
        <v>0</v>
      </c>
      <c r="W34" s="533">
        <f>'10. Inputs &amp; Calcs'!O682</f>
        <v>0</v>
      </c>
      <c r="X34" s="533">
        <f>'10. Inputs &amp; Calcs'!P682</f>
        <v>0</v>
      </c>
      <c r="Y34" s="533">
        <f>'10. Inputs &amp; Calcs'!Q682</f>
        <v>0</v>
      </c>
      <c r="Z34" s="533">
        <f>'10. Inputs &amp; Calcs'!R682</f>
        <v>0</v>
      </c>
      <c r="AA34" s="533">
        <f>'10. Inputs &amp; Calcs'!S682</f>
        <v>0</v>
      </c>
      <c r="AB34" s="533">
        <f>'10. Inputs &amp; Calcs'!T682</f>
        <v>0</v>
      </c>
      <c r="AC34" s="533">
        <f>'10. Inputs &amp; Calcs'!U682</f>
        <v>0</v>
      </c>
      <c r="AD34" s="533">
        <f>'10. Inputs &amp; Calcs'!V682</f>
        <v>0</v>
      </c>
      <c r="AE34" s="533">
        <f>'10. Inputs &amp; Calcs'!W682</f>
        <v>0</v>
      </c>
      <c r="AF34" s="533">
        <f>'10. Inputs &amp; Calcs'!X682</f>
        <v>0</v>
      </c>
      <c r="AG34" s="533">
        <f>'10. Inputs &amp; Calcs'!Y682</f>
        <v>0</v>
      </c>
      <c r="AH34" s="533">
        <f>'10. Inputs &amp; Calcs'!Z682</f>
        <v>0</v>
      </c>
      <c r="AI34" s="533">
        <f>'10. Inputs &amp; Calcs'!AA682</f>
        <v>0</v>
      </c>
      <c r="AJ34" s="533">
        <f>'10. Inputs &amp; Calcs'!AB682</f>
        <v>0</v>
      </c>
      <c r="AK34" s="533">
        <f>'10. Inputs &amp; Calcs'!AC682</f>
        <v>0</v>
      </c>
      <c r="AL34" s="533">
        <f t="shared" si="12"/>
        <v>0</v>
      </c>
      <c r="AX34" s="533">
        <f t="shared" si="13"/>
        <v>0</v>
      </c>
    </row>
    <row r="35" spans="2:50" x14ac:dyDescent="0.45">
      <c r="B35" t="s">
        <v>1077</v>
      </c>
      <c r="D35" t="str">
        <f>'11. Table - Expenditure Review'!E181</f>
        <v>Administering Assets</v>
      </c>
      <c r="F35" s="889">
        <f t="shared" si="7"/>
        <v>7.1581284531308893E-3</v>
      </c>
      <c r="G35" s="889">
        <f t="shared" si="8"/>
        <v>3.9265154857760333E-3</v>
      </c>
      <c r="I35" s="888">
        <f t="shared" si="9"/>
        <v>7856154.8026647586</v>
      </c>
      <c r="J35" s="903">
        <v>7856154.8026647586</v>
      </c>
      <c r="K35" s="888">
        <f t="shared" si="10"/>
        <v>0</v>
      </c>
      <c r="L35" s="889">
        <f t="shared" si="11"/>
        <v>0</v>
      </c>
      <c r="N35" s="566">
        <f>'11. Table - Expenditure Review'!F181</f>
        <v>2858990</v>
      </c>
      <c r="O35" s="566">
        <f>'11. Table - Expenditure Review'!G181</f>
        <v>3028121</v>
      </c>
      <c r="P35" s="566">
        <f>'11. Table - Expenditure Review'!H181</f>
        <v>1025150</v>
      </c>
      <c r="Q35" s="533">
        <f>'10. Inputs &amp; Calcs'!I691</f>
        <v>865226.6</v>
      </c>
      <c r="R35" s="533">
        <f>'10. Inputs &amp; Calcs'!J691</f>
        <v>684610.54724999995</v>
      </c>
      <c r="S35" s="533">
        <f>'10. Inputs &amp; Calcs'!K691</f>
        <v>481509.41823249997</v>
      </c>
      <c r="T35" s="857">
        <f>'10. Inputs &amp; Calcs'!L691</f>
        <v>479770.63422221591</v>
      </c>
      <c r="U35" s="857">
        <f>'10. Inputs &amp; Calcs'!M691</f>
        <v>476384.01798064727</v>
      </c>
      <c r="V35" s="857">
        <f>'10. Inputs &amp; Calcs'!N691</f>
        <v>471173.56778398389</v>
      </c>
      <c r="W35" s="857">
        <f>'10. Inputs &amp; Calcs'!O691</f>
        <v>463948.90641129611</v>
      </c>
      <c r="X35" s="857">
        <f>'10. Inputs &amp; Calcs'!P691</f>
        <v>454504.23224506614</v>
      </c>
      <c r="Y35" s="533">
        <f>'10. Inputs &amp; Calcs'!Q691</f>
        <v>442617.1984786567</v>
      </c>
      <c r="Z35" s="533">
        <f>'10. Inputs &amp; Calcs'!R691</f>
        <v>428047.7156954009</v>
      </c>
      <c r="AA35" s="533">
        <f>'10. Inputs &amp; Calcs'!S691</f>
        <v>410536.67278058903</v>
      </c>
      <c r="AB35" s="533">
        <f>'10. Inputs &amp; Calcs'!T691</f>
        <v>389804.57080516929</v>
      </c>
      <c r="AC35" s="533">
        <f>'10. Inputs &amp; Calcs'!U691</f>
        <v>365550.06417729205</v>
      </c>
      <c r="AD35" s="533">
        <f>'10. Inputs &amp; Calcs'!V691</f>
        <v>337448.40299366269</v>
      </c>
      <c r="AE35" s="533">
        <f>'10. Inputs &amp; Calcs'!W691</f>
        <v>305149.77013569779</v>
      </c>
      <c r="AF35" s="533">
        <f>'10. Inputs &amp; Calcs'!X691</f>
        <v>268277.50624430098</v>
      </c>
      <c r="AG35" s="533">
        <f>'10. Inputs &amp; Calcs'!Y691</f>
        <v>226426.21527019</v>
      </c>
      <c r="AH35" s="533">
        <f>'10. Inputs &amp; Calcs'!Z691</f>
        <v>179159.74283253783</v>
      </c>
      <c r="AI35" s="533">
        <f>'10. Inputs &amp; Calcs'!AA691</f>
        <v>126009.0191255516</v>
      </c>
      <c r="AJ35" s="533">
        <f>'10. Inputs &amp; Calcs'!AB691</f>
        <v>0</v>
      </c>
      <c r="AK35" s="533">
        <f>'10. Inputs &amp; Calcs'!AC691</f>
        <v>0</v>
      </c>
      <c r="AL35" s="533">
        <f t="shared" si="12"/>
        <v>7856154.8026647586</v>
      </c>
      <c r="AX35" s="533">
        <f t="shared" si="13"/>
        <v>5824808.2371822577</v>
      </c>
    </row>
    <row r="36" spans="2:50" x14ac:dyDescent="0.45">
      <c r="B36" t="s">
        <v>1075</v>
      </c>
      <c r="D36" t="str">
        <f>'10. Inputs &amp; Calcs'!D507</f>
        <v>Total Disposal Costs</v>
      </c>
      <c r="F36" s="889">
        <f t="shared" si="7"/>
        <v>0</v>
      </c>
      <c r="G36" s="889">
        <f t="shared" si="8"/>
        <v>2.8814278346835719E-2</v>
      </c>
      <c r="I36" s="888">
        <f t="shared" si="9"/>
        <v>57651480.565872036</v>
      </c>
      <c r="J36" s="903">
        <v>57651480.565872036</v>
      </c>
      <c r="K36" s="888">
        <f t="shared" si="10"/>
        <v>0</v>
      </c>
      <c r="L36" s="889">
        <f t="shared" si="11"/>
        <v>0</v>
      </c>
      <c r="N36" s="566">
        <f>'11. Table - Expenditure Review'!F182</f>
        <v>0</v>
      </c>
      <c r="O36" s="566">
        <f>'11. Table - Expenditure Review'!G182</f>
        <v>0</v>
      </c>
      <c r="P36" s="566">
        <f>'11. Table - Expenditure Review'!H182</f>
        <v>0</v>
      </c>
      <c r="Q36" s="533">
        <f>'10. Inputs &amp; Calcs'!I513</f>
        <v>3598000</v>
      </c>
      <c r="R36" s="533">
        <f>'10. Inputs &amp; Calcs'!J513</f>
        <v>3795890</v>
      </c>
      <c r="S36" s="533">
        <f>'10. Inputs &amp; Calcs'!K513</f>
        <v>3708599.3</v>
      </c>
      <c r="T36" s="533">
        <f>'10. Inputs &amp; Calcs'!L513</f>
        <v>1857649.85525</v>
      </c>
      <c r="U36" s="533">
        <f>'10. Inputs &amp; Calcs'!M513</f>
        <v>1959820.5972887499</v>
      </c>
      <c r="V36" s="533">
        <f>'10. Inputs &amp; Calcs'!N513</f>
        <v>2067610.7301396311</v>
      </c>
      <c r="W36" s="533">
        <f>'10. Inputs &amp; Calcs'!O513</f>
        <v>2181329.3202973106</v>
      </c>
      <c r="X36" s="533">
        <f>'10. Inputs &amp; Calcs'!P513</f>
        <v>2301302.4329136633</v>
      </c>
      <c r="Y36" s="533">
        <f>'10. Inputs &amp; Calcs'!Q513</f>
        <v>2427874.0667239139</v>
      </c>
      <c r="Z36" s="533">
        <f>'10. Inputs &amp; Calcs'!R513</f>
        <v>2561407.1403937289</v>
      </c>
      <c r="AA36" s="533">
        <f>'10. Inputs &amp; Calcs'!S513</f>
        <v>2702284.5331153837</v>
      </c>
      <c r="AB36" s="533">
        <f>'10. Inputs &amp; Calcs'!T513</f>
        <v>2850910.1824367298</v>
      </c>
      <c r="AC36" s="533">
        <f>'10. Inputs &amp; Calcs'!U513</f>
        <v>3007710.2424707501</v>
      </c>
      <c r="AD36" s="533">
        <f>'10. Inputs &amp; Calcs'!V513</f>
        <v>3173134.305806641</v>
      </c>
      <c r="AE36" s="533">
        <f>'10. Inputs &amp; Calcs'!W513</f>
        <v>3347656.692626006</v>
      </c>
      <c r="AF36" s="533">
        <f>'10. Inputs &amp; Calcs'!X513</f>
        <v>3531777.8107204367</v>
      </c>
      <c r="AG36" s="533">
        <f>'10. Inputs &amp; Calcs'!Y513</f>
        <v>3726025.5903100595</v>
      </c>
      <c r="AH36" s="533">
        <f>'10. Inputs &amp; Calcs'!Z513</f>
        <v>3930956.9977771137</v>
      </c>
      <c r="AI36" s="533">
        <f>'10. Inputs &amp; Calcs'!AA513</f>
        <v>4147159.6326548541</v>
      </c>
      <c r="AJ36" s="533">
        <f>'10. Inputs &amp; Calcs'!AB513</f>
        <v>774381.134947057</v>
      </c>
      <c r="AK36" s="533">
        <f>'10. Inputs &amp; Calcs'!AC513</f>
        <v>0</v>
      </c>
      <c r="AL36" s="533">
        <f t="shared" si="12"/>
        <v>57651480.565872036</v>
      </c>
      <c r="AX36" s="533">
        <f t="shared" si="13"/>
        <v>46548991.265872024</v>
      </c>
    </row>
    <row r="37" spans="2:50" x14ac:dyDescent="0.45">
      <c r="B37" t="s">
        <v>59</v>
      </c>
      <c r="C37" t="str">
        <f>'10. Inputs &amp; Calcs'!E15</f>
        <v>Sc1</v>
      </c>
      <c r="D37" t="str">
        <f>'10. Inputs &amp; Calcs'!D703</f>
        <v>Management Costs Paid to Outsourced Rental Property Manager p.a.</v>
      </c>
      <c r="F37" s="889">
        <f t="shared" si="7"/>
        <v>0</v>
      </c>
      <c r="G37" s="889">
        <f t="shared" si="8"/>
        <v>0</v>
      </c>
      <c r="I37" s="888">
        <f t="shared" si="9"/>
        <v>0</v>
      </c>
      <c r="J37" s="903">
        <v>0</v>
      </c>
      <c r="K37" s="888">
        <f t="shared" si="10"/>
        <v>0</v>
      </c>
      <c r="L37" s="889">
        <f t="shared" si="11"/>
        <v>0</v>
      </c>
      <c r="N37" s="566">
        <f>'11. Table - Expenditure Review'!F183</f>
        <v>0</v>
      </c>
      <c r="O37" s="566">
        <f>'11. Table - Expenditure Review'!G183</f>
        <v>0</v>
      </c>
      <c r="P37" s="566">
        <f>'11. Table - Expenditure Review'!H183</f>
        <v>0</v>
      </c>
      <c r="Q37" s="533">
        <f>IF('7. Scenario Detailed'!$E$12='7. Scenario Detailed'!$E$14,'10. Inputs &amp; Calcs'!I709,0)</f>
        <v>0</v>
      </c>
      <c r="R37" s="533">
        <f>IF('7. Scenario Detailed'!$E$12='7. Scenario Detailed'!$E$14,'10. Inputs &amp; Calcs'!J709,0)</f>
        <v>0</v>
      </c>
      <c r="S37" s="533">
        <f>IF('7. Scenario Detailed'!$E$12='7. Scenario Detailed'!$E$14,'10. Inputs &amp; Calcs'!K709,0)</f>
        <v>0</v>
      </c>
      <c r="T37" s="533">
        <f>IF('7. Scenario Detailed'!$E$12='7. Scenario Detailed'!$E$14,'10. Inputs &amp; Calcs'!L709,0)</f>
        <v>0</v>
      </c>
      <c r="U37" s="533">
        <f>IF('7. Scenario Detailed'!$E$12='7. Scenario Detailed'!$E$14,'10. Inputs &amp; Calcs'!M709,0)</f>
        <v>0</v>
      </c>
      <c r="V37" s="533">
        <f>IF('7. Scenario Detailed'!$E$12='7. Scenario Detailed'!$E$14,'10. Inputs &amp; Calcs'!N709,0)</f>
        <v>0</v>
      </c>
      <c r="W37" s="533">
        <f>IF('7. Scenario Detailed'!$E$12='7. Scenario Detailed'!$E$14,'10. Inputs &amp; Calcs'!O709,0)</f>
        <v>0</v>
      </c>
      <c r="X37" s="533">
        <f>IF('7. Scenario Detailed'!$E$12='7. Scenario Detailed'!$E$14,'10. Inputs &amp; Calcs'!P709,0)</f>
        <v>0</v>
      </c>
      <c r="Y37" s="533">
        <f>IF('7. Scenario Detailed'!$E$12='7. Scenario Detailed'!$E$14,'10. Inputs &amp; Calcs'!Q709,0)</f>
        <v>0</v>
      </c>
      <c r="Z37" s="533">
        <f>IF('7. Scenario Detailed'!$E$12='7. Scenario Detailed'!$E$14,'10. Inputs &amp; Calcs'!R709,0)</f>
        <v>0</v>
      </c>
      <c r="AA37" s="533">
        <f>IF('7. Scenario Detailed'!$E$12='7. Scenario Detailed'!$E$14,'10. Inputs &amp; Calcs'!S709,0)</f>
        <v>0</v>
      </c>
      <c r="AB37" s="533">
        <f>IF('7. Scenario Detailed'!$E$12='7. Scenario Detailed'!$E$14,'10. Inputs &amp; Calcs'!T709,0)</f>
        <v>0</v>
      </c>
      <c r="AC37" s="533">
        <f>IF('7. Scenario Detailed'!$E$12='7. Scenario Detailed'!$E$14,'10. Inputs &amp; Calcs'!U709,0)</f>
        <v>0</v>
      </c>
      <c r="AD37" s="533">
        <f>IF('7. Scenario Detailed'!$E$12='7. Scenario Detailed'!$E$14,'10. Inputs &amp; Calcs'!V709,0)</f>
        <v>0</v>
      </c>
      <c r="AE37" s="533">
        <f>IF('7. Scenario Detailed'!$E$12='7. Scenario Detailed'!$E$14,'10. Inputs &amp; Calcs'!W709,0)</f>
        <v>0</v>
      </c>
      <c r="AF37" s="533">
        <f>IF('7. Scenario Detailed'!$E$12='7. Scenario Detailed'!$E$14,'10. Inputs &amp; Calcs'!X709,0)</f>
        <v>0</v>
      </c>
      <c r="AG37" s="533">
        <f>IF('7. Scenario Detailed'!$E$12='7. Scenario Detailed'!$E$14,'10. Inputs &amp; Calcs'!Y709,0)</f>
        <v>0</v>
      </c>
      <c r="AH37" s="533">
        <f>IF('7. Scenario Detailed'!$E$12='7. Scenario Detailed'!$E$14,'10. Inputs &amp; Calcs'!Z709,0)</f>
        <v>0</v>
      </c>
      <c r="AI37" s="533">
        <f>IF('7. Scenario Detailed'!$E$12='7. Scenario Detailed'!$E$14,'10. Inputs &amp; Calcs'!AA709,0)</f>
        <v>0</v>
      </c>
      <c r="AJ37" s="533">
        <f>IF('7. Scenario Detailed'!$E$12='7. Scenario Detailed'!$E$14,'10. Inputs &amp; Calcs'!AB709,0)</f>
        <v>0</v>
      </c>
      <c r="AK37" s="533">
        <f>IF('7. Scenario Detailed'!$E$12='7. Scenario Detailed'!$E$14,'10. Inputs &amp; Calcs'!AC709,0)</f>
        <v>0</v>
      </c>
      <c r="AL37" s="533">
        <f t="shared" si="12"/>
        <v>0</v>
      </c>
      <c r="AX37" s="533">
        <f t="shared" si="13"/>
        <v>0</v>
      </c>
    </row>
    <row r="38" spans="2:50" hidden="1" outlineLevel="1" x14ac:dyDescent="0.45">
      <c r="D38">
        <f>'11. Table - Expenditure Review'!E184</f>
        <v>0</v>
      </c>
      <c r="F38" s="889">
        <f t="shared" si="7"/>
        <v>0</v>
      </c>
      <c r="G38" s="889">
        <f t="shared" si="8"/>
        <v>0</v>
      </c>
      <c r="I38" s="888">
        <f t="shared" si="9"/>
        <v>0</v>
      </c>
      <c r="J38" s="903">
        <v>0</v>
      </c>
      <c r="K38" s="888">
        <f t="shared" si="10"/>
        <v>0</v>
      </c>
      <c r="L38" s="889">
        <f t="shared" si="11"/>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2"/>
        <v>0</v>
      </c>
      <c r="AX38" s="533">
        <f t="shared" si="13"/>
        <v>0</v>
      </c>
    </row>
    <row r="39" spans="2:50" hidden="1" outlineLevel="1" x14ac:dyDescent="0.45">
      <c r="D39">
        <f>'11. Table - Expenditure Review'!E185</f>
        <v>0</v>
      </c>
      <c r="F39" s="889">
        <f t="shared" si="7"/>
        <v>0</v>
      </c>
      <c r="G39" s="889">
        <f t="shared" si="8"/>
        <v>0</v>
      </c>
      <c r="I39" s="888">
        <f t="shared" si="9"/>
        <v>0</v>
      </c>
      <c r="J39" s="903">
        <v>0</v>
      </c>
      <c r="K39" s="888">
        <f t="shared" si="10"/>
        <v>0</v>
      </c>
      <c r="L39" s="889">
        <f t="shared" si="11"/>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2"/>
        <v>0</v>
      </c>
      <c r="AX39" s="533">
        <f t="shared" si="13"/>
        <v>0</v>
      </c>
    </row>
    <row r="40" spans="2:50" hidden="1" outlineLevel="1" x14ac:dyDescent="0.45">
      <c r="D40">
        <f>'11. Table - Expenditure Review'!E186</f>
        <v>0</v>
      </c>
      <c r="F40" s="889">
        <f t="shared" si="7"/>
        <v>0</v>
      </c>
      <c r="G40" s="889">
        <f t="shared" si="8"/>
        <v>0</v>
      </c>
      <c r="I40" s="888">
        <f t="shared" si="9"/>
        <v>0</v>
      </c>
      <c r="J40" s="903">
        <v>0</v>
      </c>
      <c r="K40" s="888">
        <f t="shared" si="10"/>
        <v>0</v>
      </c>
      <c r="L40" s="889">
        <f t="shared" si="11"/>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2"/>
        <v>0</v>
      </c>
      <c r="AX40" s="533">
        <f t="shared" si="13"/>
        <v>0</v>
      </c>
    </row>
    <row r="41" spans="2:50" collapsed="1" x14ac:dyDescent="0.45">
      <c r="B41" t="s">
        <v>59</v>
      </c>
      <c r="D41" t="str">
        <f>'11. Table - Expenditure Review'!E187</f>
        <v>Unallocated Expenses</v>
      </c>
      <c r="F41" s="889">
        <f t="shared" si="7"/>
        <v>6.2035700245307954E-2</v>
      </c>
      <c r="G41" s="889">
        <f t="shared" si="8"/>
        <v>3.7485224939267106E-2</v>
      </c>
      <c r="I41" s="888">
        <f t="shared" si="9"/>
        <v>75000272.124837771</v>
      </c>
      <c r="J41" s="903">
        <v>75000272.124837771</v>
      </c>
      <c r="K41" s="888">
        <f t="shared" si="10"/>
        <v>0</v>
      </c>
      <c r="L41" s="889">
        <f t="shared" si="11"/>
        <v>0</v>
      </c>
      <c r="N41" s="566">
        <f>'11. Table - Expenditure Review'!F187</f>
        <v>4419763.7609844562</v>
      </c>
      <c r="O41" s="566">
        <f>'11. Table - Expenditure Review'!G187</f>
        <v>5086874.4349029129</v>
      </c>
      <c r="P41" s="566">
        <f>'11. Table - Expenditure Review'!H187</f>
        <v>8884430.9686369598</v>
      </c>
      <c r="Q41" s="533">
        <f>'10. Inputs &amp; Calcs'!I718</f>
        <v>7615555.9458629265</v>
      </c>
      <c r="R41" s="533">
        <f>'10. Inputs &amp; Calcs'!J718</f>
        <v>6180229.2669036239</v>
      </c>
      <c r="S41" s="533">
        <f>'10. Inputs &amp; Calcs'!K718</f>
        <v>4563979.5965225622</v>
      </c>
      <c r="T41" s="533">
        <f>'10. Inputs &amp; Calcs'!L718</f>
        <v>4553529.226313509</v>
      </c>
      <c r="U41" s="533">
        <f>'10. Inputs &amp; Calcs'!M718</f>
        <v>4528123.2771019796</v>
      </c>
      <c r="V41" s="533">
        <f>'10. Inputs &amp; Calcs'!N718</f>
        <v>4486148.2475675829</v>
      </c>
      <c r="W41" s="533">
        <f>'10. Inputs &amp; Calcs'!O718</f>
        <v>4425858.3918711701</v>
      </c>
      <c r="X41" s="533">
        <f>'10. Inputs &amp; Calcs'!P718</f>
        <v>4345366.0535992589</v>
      </c>
      <c r="Y41" s="533">
        <f>'10. Inputs &amp; Calcs'!Q718</f>
        <v>4242631.3364820285</v>
      </c>
      <c r="Z41" s="533">
        <f>'10. Inputs &amp; Calcs'!R718</f>
        <v>4115451.0681697652</v>
      </c>
      <c r="AA41" s="533">
        <f>'10. Inputs &amp; Calcs'!S718</f>
        <v>3961447.0105502936</v>
      </c>
      <c r="AB41" s="533">
        <f>'10. Inputs &amp; Calcs'!T718</f>
        <v>3778053.2671114667</v>
      </c>
      <c r="AC41" s="533">
        <f>'10. Inputs &amp; Calcs'!U718</f>
        <v>3562502.8346874542</v>
      </c>
      <c r="AD41" s="533">
        <f>'10. Inputs &amp; Calcs'!V718</f>
        <v>3311813.2435637885</v>
      </c>
      <c r="AE41" s="533">
        <f>'10. Inputs &amp; Calcs'!W718</f>
        <v>3022771.2263415894</v>
      </c>
      <c r="AF41" s="533">
        <f>'10. Inputs &amp; Calcs'!X718</f>
        <v>2691916.3521631695</v>
      </c>
      <c r="AG41" s="533">
        <f>'10. Inputs &amp; Calcs'!Y718</f>
        <v>2315523.5588654391</v>
      </c>
      <c r="AH41" s="533">
        <f>'10. Inputs &amp; Calcs'!Z718</f>
        <v>1889584.5113396649</v>
      </c>
      <c r="AI41" s="533">
        <f>'10. Inputs &amp; Calcs'!AA718</f>
        <v>1409787.709820488</v>
      </c>
      <c r="AJ41" s="533">
        <f>'10. Inputs &amp; Calcs'!AB718</f>
        <v>0</v>
      </c>
      <c r="AK41" s="533">
        <f>'10. Inputs &amp; Calcs'!AC718</f>
        <v>0</v>
      </c>
      <c r="AL41" s="533">
        <f t="shared" si="12"/>
        <v>75000272.124837771</v>
      </c>
      <c r="AX41" s="533">
        <f t="shared" si="13"/>
        <v>56640507.315548651</v>
      </c>
    </row>
    <row r="42" spans="2:50" x14ac:dyDescent="0.45">
      <c r="D42" t="str">
        <f>'11. Table - Expenditure Review'!E188</f>
        <v>Overheads</v>
      </c>
      <c r="F42" s="889">
        <f t="shared" si="7"/>
        <v>0</v>
      </c>
      <c r="G42" s="889">
        <f t="shared" si="8"/>
        <v>0</v>
      </c>
      <c r="I42" s="888">
        <f t="shared" si="9"/>
        <v>0</v>
      </c>
      <c r="J42" s="903">
        <v>0</v>
      </c>
      <c r="K42" s="888">
        <f t="shared" si="10"/>
        <v>0</v>
      </c>
      <c r="L42" s="889">
        <f t="shared" si="11"/>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2"/>
        <v>0</v>
      </c>
      <c r="AX42" s="533">
        <f t="shared" si="13"/>
        <v>0</v>
      </c>
    </row>
    <row r="43" spans="2:50" x14ac:dyDescent="0.45">
      <c r="B43" t="s">
        <v>1077</v>
      </c>
      <c r="D43" t="str">
        <f>'11. Table - Expenditure Review'!E189</f>
        <v>Staff</v>
      </c>
      <c r="F43" s="889">
        <f t="shared" si="7"/>
        <v>0.31552419111414892</v>
      </c>
      <c r="G43" s="889">
        <f t="shared" si="8"/>
        <v>0.39587034321030196</v>
      </c>
      <c r="I43" s="888">
        <f t="shared" si="9"/>
        <v>792055630.31912971</v>
      </c>
      <c r="J43" s="903">
        <v>792055630.31912971</v>
      </c>
      <c r="K43" s="888">
        <f t="shared" si="10"/>
        <v>0</v>
      </c>
      <c r="L43" s="889">
        <f t="shared" si="11"/>
        <v>0</v>
      </c>
      <c r="N43" s="566">
        <f>'11. Table - Expenditure Review'!F189</f>
        <v>37910921.333333336</v>
      </c>
      <c r="O43" s="566">
        <f>'11. Table - Expenditure Review'!G189</f>
        <v>41569180.733333334</v>
      </c>
      <c r="P43" s="566">
        <f>'11. Table - Expenditure Review'!H189</f>
        <v>45187736.799999997</v>
      </c>
      <c r="Q43" s="533">
        <f>'10. Inputs &amp; Calcs'!I738</f>
        <v>45686684.72716666</v>
      </c>
      <c r="R43" s="533">
        <f>'10. Inputs &amp; Calcs'!J738</f>
        <v>46103824.022501662</v>
      </c>
      <c r="S43" s="533">
        <f>'10. Inputs &amp; Calcs'!K738</f>
        <v>46428646.419023827</v>
      </c>
      <c r="T43" s="533">
        <f>'10. Inputs &amp; Calcs'!L738</f>
        <v>46649735.211495362</v>
      </c>
      <c r="U43" s="533">
        <f>'10. Inputs &amp; Calcs'!M738</f>
        <v>46754697.115721226</v>
      </c>
      <c r="V43" s="533">
        <f>'10. Inputs &amp; Calcs'!N738</f>
        <v>46730089.380397163</v>
      </c>
      <c r="W43" s="533">
        <f>'10. Inputs &amp; Calcs'!O738</f>
        <v>46561341.835412391</v>
      </c>
      <c r="X43" s="533">
        <f>'10. Inputs &amp; Calcs'!P738</f>
        <v>46232673.540103585</v>
      </c>
      <c r="Y43" s="533">
        <f>'10. Inputs &amp; Calcs'!Q738</f>
        <v>45727003.673258707</v>
      </c>
      <c r="Z43" s="533">
        <f>'10. Inputs &amp; Calcs'!R738</f>
        <v>45025856.283602074</v>
      </c>
      <c r="AA43" s="533">
        <f>'10. Inputs &amp; Calcs'!S738</f>
        <v>44109258.494971603</v>
      </c>
      <c r="AB43" s="533">
        <f>'10. Inputs &amp; Calcs'!T738</f>
        <v>42955631.734333873</v>
      </c>
      <c r="AC43" s="533">
        <f>'10. Inputs &amp; Calcs'!U738</f>
        <v>41541675.523078717</v>
      </c>
      <c r="AD43" s="533">
        <f>'10. Inputs &amp; Calcs'!V738</f>
        <v>39842243.342589125</v>
      </c>
      <c r="AE43" s="533">
        <f>'10. Inputs &amp; Calcs'!W738</f>
        <v>37830210.053788371</v>
      </c>
      <c r="AF43" s="533">
        <f>'10. Inputs &amp; Calcs'!X738</f>
        <v>35476330.317108206</v>
      </c>
      <c r="AG43" s="533">
        <f>'10. Inputs &amp; Calcs'!Y738</f>
        <v>32749087.423980512</v>
      </c>
      <c r="AH43" s="533">
        <f>'10. Inputs &amp; Calcs'!Z738</f>
        <v>29614531.913399518</v>
      </c>
      <c r="AI43" s="533">
        <f>'10. Inputs &amp; Calcs'!AA738</f>
        <v>26036109.307197079</v>
      </c>
      <c r="AJ43" s="533">
        <f>'10. Inputs &amp; Calcs'!AB738</f>
        <v>0</v>
      </c>
      <c r="AK43" s="533">
        <f>'10. Inputs &amp; Calcs'!AC738</f>
        <v>0</v>
      </c>
      <c r="AL43" s="533">
        <f t="shared" si="12"/>
        <v>792055630.31912971</v>
      </c>
      <c r="AX43" s="533">
        <f t="shared" si="13"/>
        <v>653836475.15043736</v>
      </c>
    </row>
    <row r="44" spans="2:50" x14ac:dyDescent="0.45">
      <c r="D44" t="str">
        <f>'11. Table - Expenditure Review'!E190</f>
        <v>Office</v>
      </c>
      <c r="F44" s="889">
        <f t="shared" si="7"/>
        <v>0</v>
      </c>
      <c r="G44" s="889">
        <f t="shared" si="8"/>
        <v>0</v>
      </c>
      <c r="I44" s="888">
        <f t="shared" si="9"/>
        <v>0</v>
      </c>
      <c r="J44" s="903">
        <v>0</v>
      </c>
      <c r="K44" s="888">
        <f t="shared" si="10"/>
        <v>0</v>
      </c>
      <c r="L44" s="889">
        <f t="shared" si="11"/>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2"/>
        <v>0</v>
      </c>
      <c r="AX44" s="533">
        <f t="shared" si="13"/>
        <v>0</v>
      </c>
    </row>
    <row r="45" spans="2:50" outlineLevel="1" x14ac:dyDescent="0.45">
      <c r="D45">
        <f>'11. Table - Expenditure Review'!E191</f>
        <v>0</v>
      </c>
      <c r="F45" s="889">
        <f t="shared" si="7"/>
        <v>0</v>
      </c>
      <c r="G45" s="889">
        <f t="shared" si="8"/>
        <v>0</v>
      </c>
      <c r="I45" s="888">
        <f t="shared" si="9"/>
        <v>0</v>
      </c>
      <c r="J45" s="903">
        <v>0</v>
      </c>
      <c r="K45" s="888">
        <f t="shared" si="10"/>
        <v>0</v>
      </c>
      <c r="L45" s="889">
        <f t="shared" si="11"/>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2"/>
        <v>0</v>
      </c>
      <c r="AX45" s="533">
        <f t="shared" si="13"/>
        <v>0</v>
      </c>
    </row>
    <row r="46" spans="2:50" outlineLevel="1" x14ac:dyDescent="0.45">
      <c r="D46">
        <f>'11. Table - Expenditure Review'!E192</f>
        <v>0</v>
      </c>
      <c r="F46" s="886">
        <f t="shared" si="7"/>
        <v>0</v>
      </c>
      <c r="G46" s="886">
        <f t="shared" si="8"/>
        <v>0</v>
      </c>
      <c r="I46" s="754">
        <f t="shared" si="9"/>
        <v>0</v>
      </c>
      <c r="J46" s="900">
        <v>0</v>
      </c>
      <c r="K46" s="754">
        <f t="shared" si="10"/>
        <v>0</v>
      </c>
      <c r="L46" s="886">
        <f t="shared" si="11"/>
        <v>0</v>
      </c>
      <c r="N46" s="566">
        <f>'11. Table - Expenditure Review'!F192</f>
        <v>0</v>
      </c>
      <c r="O46" s="566">
        <f>'11. Table - Expenditure Review'!G192</f>
        <v>0</v>
      </c>
      <c r="P46" s="566">
        <f>'11. Table - Expenditure Review'!H192</f>
        <v>0</v>
      </c>
      <c r="Q46" s="533"/>
      <c r="R46" s="533"/>
      <c r="S46" s="533"/>
      <c r="T46" s="533"/>
      <c r="U46" s="533"/>
      <c r="V46" s="533"/>
      <c r="W46" s="533"/>
      <c r="X46" s="533"/>
      <c r="Y46" s="533"/>
      <c r="Z46" s="533"/>
      <c r="AA46" s="533"/>
      <c r="AB46" s="533"/>
      <c r="AC46" s="533"/>
      <c r="AD46" s="533"/>
      <c r="AE46" s="533"/>
      <c r="AF46" s="533"/>
      <c r="AG46" s="533"/>
      <c r="AH46" s="533"/>
      <c r="AI46" s="533"/>
      <c r="AJ46" s="533"/>
      <c r="AK46" s="533"/>
      <c r="AL46" s="533">
        <f t="shared" si="12"/>
        <v>0</v>
      </c>
      <c r="AX46" s="533">
        <f t="shared" si="13"/>
        <v>0</v>
      </c>
    </row>
    <row r="47" spans="2:50" x14ac:dyDescent="0.45">
      <c r="D47" t="str">
        <f>'11. Table - Expenditure Review'!E193</f>
        <v>Total Expenditure</v>
      </c>
      <c r="F47" s="884">
        <f t="shared" si="7"/>
        <v>1</v>
      </c>
      <c r="G47" s="884">
        <f t="shared" si="8"/>
        <v>1</v>
      </c>
      <c r="I47" s="535">
        <f t="shared" si="9"/>
        <v>2000795573.3586199</v>
      </c>
      <c r="J47" s="901">
        <v>2000795573.3586199</v>
      </c>
      <c r="K47" s="535">
        <f t="shared" si="10"/>
        <v>0</v>
      </c>
      <c r="L47" s="884">
        <f t="shared" si="11"/>
        <v>0</v>
      </c>
      <c r="N47" s="535">
        <f>SUM(N31:N46)</f>
        <v>126486884.31333333</v>
      </c>
      <c r="O47" s="535">
        <f>SUM(O31:O46)</f>
        <v>136616043.32333332</v>
      </c>
      <c r="P47" s="535">
        <f>SUM(P31:P46)</f>
        <v>143214809.11000001</v>
      </c>
      <c r="Q47" s="535">
        <f t="shared" ref="Q47:AL47" si="14">SUM(Q31:Q46)</f>
        <v>143253743.71700636</v>
      </c>
      <c r="R47" s="535">
        <f t="shared" si="14"/>
        <v>139067846.33322573</v>
      </c>
      <c r="S47" s="535">
        <f t="shared" si="14"/>
        <v>133721299.89060707</v>
      </c>
      <c r="T47" s="535">
        <f t="shared" si="14"/>
        <v>131255140.47134125</v>
      </c>
      <c r="U47" s="535">
        <f t="shared" si="14"/>
        <v>130281139.72238086</v>
      </c>
      <c r="V47" s="535">
        <f t="shared" si="14"/>
        <v>128802952.09110901</v>
      </c>
      <c r="W47" s="535">
        <f t="shared" si="14"/>
        <v>126768063.37273705</v>
      </c>
      <c r="X47" s="535">
        <f t="shared" si="14"/>
        <v>124119707.96526858</v>
      </c>
      <c r="Y47" s="535">
        <f t="shared" si="14"/>
        <v>120796560.07127605</v>
      </c>
      <c r="Z47" s="535">
        <f t="shared" ref="Z47:AJ47" si="15">SUM(Z31:Z46)</f>
        <v>116732403.79234941</v>
      </c>
      <c r="AA47" s="535">
        <f t="shared" si="15"/>
        <v>111855780.72852524</v>
      </c>
      <c r="AB47" s="535">
        <f t="shared" si="15"/>
        <v>106089613.60620853</v>
      </c>
      <c r="AC47" s="535">
        <f t="shared" si="15"/>
        <v>99350804.363733202</v>
      </c>
      <c r="AD47" s="535">
        <f t="shared" si="15"/>
        <v>91549805.023426801</v>
      </c>
      <c r="AE47" s="535">
        <f t="shared" si="15"/>
        <v>82590159.57248643</v>
      </c>
      <c r="AF47" s="535">
        <f t="shared" si="15"/>
        <v>72368014.961746752</v>
      </c>
      <c r="AG47" s="535">
        <f t="shared" si="15"/>
        <v>60771599.211118922</v>
      </c>
      <c r="AH47" s="535">
        <f t="shared" si="15"/>
        <v>47680664.482662752</v>
      </c>
      <c r="AI47" s="535">
        <f t="shared" si="15"/>
        <v>32965892.846462775</v>
      </c>
      <c r="AJ47" s="535">
        <f t="shared" si="15"/>
        <v>774381.134947057</v>
      </c>
      <c r="AK47" s="535">
        <f t="shared" si="14"/>
        <v>0</v>
      </c>
      <c r="AL47" s="535">
        <f t="shared" si="14"/>
        <v>2000795573.3586199</v>
      </c>
    </row>
    <row r="48" spans="2:50" ht="14.65" thickBot="1" x14ac:dyDescent="0.5">
      <c r="D48" t="str">
        <f>'11. Table - Expenditure Review'!E194</f>
        <v>Net Surplus / (Deficit)</v>
      </c>
      <c r="I48" s="554">
        <f t="shared" si="9"/>
        <v>-1922286167.5833244</v>
      </c>
      <c r="J48" s="904">
        <v>-1922286167.5833244</v>
      </c>
      <c r="K48" s="554">
        <f t="shared" si="10"/>
        <v>0</v>
      </c>
      <c r="L48" s="887">
        <f t="shared" si="11"/>
        <v>0</v>
      </c>
      <c r="N48" s="554">
        <f>N28-N47</f>
        <v>-112639142.49333334</v>
      </c>
      <c r="O48" s="554">
        <f>O28-O47</f>
        <v>-120020127.89333332</v>
      </c>
      <c r="P48" s="554">
        <f>P28-P47</f>
        <v>-128289183.36000001</v>
      </c>
      <c r="Q48" s="554">
        <f>Q28-Q47</f>
        <v>-131948176.67010787</v>
      </c>
      <c r="R48" s="554">
        <f t="shared" ref="R48:AL48" si="16">R28-R47</f>
        <v>-128772071.22519906</v>
      </c>
      <c r="S48" s="554">
        <f t="shared" si="16"/>
        <v>-125352126.05131695</v>
      </c>
      <c r="T48" s="554">
        <f t="shared" si="16"/>
        <v>-126956932.24841155</v>
      </c>
      <c r="U48" s="554">
        <f t="shared" si="16"/>
        <v>-126155549.41692396</v>
      </c>
      <c r="V48" s="554">
        <f t="shared" si="16"/>
        <v>-124849979.70312491</v>
      </c>
      <c r="W48" s="554">
        <f t="shared" si="16"/>
        <v>-122987708.90222575</v>
      </c>
      <c r="X48" s="554">
        <f t="shared" si="16"/>
        <v>-120511971.41223007</v>
      </c>
      <c r="Y48" s="554">
        <f t="shared" si="16"/>
        <v>-117361441.43571034</v>
      </c>
      <c r="Z48" s="554">
        <f t="shared" ref="Z48:AJ48" si="17">Z28-Z47</f>
        <v>-113469903.07425649</v>
      </c>
      <c r="AA48" s="554">
        <f t="shared" si="17"/>
        <v>-108765897.92790511</v>
      </c>
      <c r="AB48" s="554">
        <f t="shared" si="17"/>
        <v>-103172348.7230612</v>
      </c>
      <c r="AC48" s="554">
        <f t="shared" si="17"/>
        <v>-96606157.398058668</v>
      </c>
      <c r="AD48" s="554">
        <f t="shared" si="17"/>
        <v>-88977775.975225061</v>
      </c>
      <c r="AE48" s="554">
        <f t="shared" si="17"/>
        <v>-80190748.441757485</v>
      </c>
      <c r="AF48" s="554">
        <f t="shared" si="17"/>
        <v>-70141221.748490617</v>
      </c>
      <c r="AG48" s="554">
        <f t="shared" si="17"/>
        <v>-58717423.915335573</v>
      </c>
      <c r="AH48" s="554">
        <f t="shared" si="17"/>
        <v>-45799107.104352206</v>
      </c>
      <c r="AI48" s="554">
        <f t="shared" si="17"/>
        <v>-31256953.38562502</v>
      </c>
      <c r="AJ48" s="554">
        <f t="shared" si="17"/>
        <v>-292672.82400684012</v>
      </c>
      <c r="AK48" s="554">
        <f t="shared" si="16"/>
        <v>0</v>
      </c>
      <c r="AL48" s="768">
        <f t="shared" si="16"/>
        <v>-1922286167.5833244</v>
      </c>
    </row>
    <row r="49" spans="4:38" ht="14.65" thickTop="1" x14ac:dyDescent="0.45"/>
    <row r="50" spans="4:38" x14ac:dyDescent="0.45">
      <c r="D50" s="451" t="s">
        <v>1327</v>
      </c>
    </row>
    <row r="51" spans="4:38" x14ac:dyDescent="0.45">
      <c r="D51" t="s">
        <v>1326</v>
      </c>
      <c r="I51" s="753">
        <f>AL51</f>
        <v>-1922286167.5833249</v>
      </c>
      <c r="J51" s="899">
        <v>-1922286167.5833249</v>
      </c>
      <c r="K51" s="753">
        <f>I51-J51</f>
        <v>0</v>
      </c>
      <c r="L51" s="885">
        <f>IF(J51&lt;&gt;0,K51/J51,0)</f>
        <v>0</v>
      </c>
      <c r="N51" s="566">
        <f>IF(N48&lt;0,N48,0)</f>
        <v>-112639142.49333334</v>
      </c>
      <c r="O51" s="566">
        <f t="shared" ref="O51:AK51" si="18">IF(O48&lt;0,O48,0)</f>
        <v>-120020127.89333332</v>
      </c>
      <c r="P51" s="566">
        <f t="shared" si="18"/>
        <v>-128289183.36000001</v>
      </c>
      <c r="Q51" s="566">
        <f t="shared" si="18"/>
        <v>-131948176.67010787</v>
      </c>
      <c r="R51" s="566">
        <f t="shared" si="18"/>
        <v>-128772071.22519906</v>
      </c>
      <c r="S51" s="566">
        <f t="shared" si="18"/>
        <v>-125352126.05131695</v>
      </c>
      <c r="T51" s="566">
        <f t="shared" si="18"/>
        <v>-126956932.24841155</v>
      </c>
      <c r="U51" s="566">
        <f t="shared" si="18"/>
        <v>-126155549.41692396</v>
      </c>
      <c r="V51" s="566">
        <f t="shared" si="18"/>
        <v>-124849979.70312491</v>
      </c>
      <c r="W51" s="566">
        <f t="shared" si="18"/>
        <v>-122987708.90222575</v>
      </c>
      <c r="X51" s="566">
        <f t="shared" si="18"/>
        <v>-120511971.41223007</v>
      </c>
      <c r="Y51" s="566">
        <f t="shared" si="18"/>
        <v>-117361441.43571034</v>
      </c>
      <c r="Z51" s="566">
        <f t="shared" ref="Z51:AJ51" si="19">IF(Z48&lt;0,Z48,0)</f>
        <v>-113469903.07425649</v>
      </c>
      <c r="AA51" s="566">
        <f t="shared" si="19"/>
        <v>-108765897.92790511</v>
      </c>
      <c r="AB51" s="566">
        <f t="shared" si="19"/>
        <v>-103172348.7230612</v>
      </c>
      <c r="AC51" s="566">
        <f t="shared" si="19"/>
        <v>-96606157.398058668</v>
      </c>
      <c r="AD51" s="566">
        <f t="shared" si="19"/>
        <v>-88977775.975225061</v>
      </c>
      <c r="AE51" s="566">
        <f t="shared" si="19"/>
        <v>-80190748.441757485</v>
      </c>
      <c r="AF51" s="566">
        <f t="shared" si="19"/>
        <v>-70141221.748490617</v>
      </c>
      <c r="AG51" s="566">
        <f t="shared" si="19"/>
        <v>-58717423.915335573</v>
      </c>
      <c r="AH51" s="566">
        <f t="shared" si="19"/>
        <v>-45799107.104352206</v>
      </c>
      <c r="AI51" s="566">
        <f t="shared" si="19"/>
        <v>-31256953.38562502</v>
      </c>
      <c r="AJ51" s="566">
        <f t="shared" si="19"/>
        <v>-292672.82400684012</v>
      </c>
      <c r="AK51" s="566">
        <f t="shared" si="18"/>
        <v>0</v>
      </c>
      <c r="AL51" s="566">
        <f>SUM(Q51:AK51)</f>
        <v>-1922286167.5833249</v>
      </c>
    </row>
    <row r="52" spans="4:38" x14ac:dyDescent="0.45">
      <c r="D52" t="s">
        <v>1562</v>
      </c>
      <c r="I52" s="888">
        <f>AL52</f>
        <v>0</v>
      </c>
      <c r="J52" s="903">
        <v>0</v>
      </c>
      <c r="K52" s="888">
        <f>I52-J52</f>
        <v>0</v>
      </c>
      <c r="L52" s="889">
        <f>IF(J52&lt;&gt;0,K52/J52,0)</f>
        <v>0</v>
      </c>
      <c r="N52" s="533">
        <f t="shared" ref="N52:AK52" si="20">-N66</f>
        <v>0</v>
      </c>
      <c r="O52" s="533">
        <f t="shared" si="20"/>
        <v>0</v>
      </c>
      <c r="P52" s="533">
        <f t="shared" si="20"/>
        <v>0</v>
      </c>
      <c r="Q52" s="533">
        <f t="shared" si="20"/>
        <v>0</v>
      </c>
      <c r="R52" s="533">
        <f t="shared" si="20"/>
        <v>0</v>
      </c>
      <c r="S52" s="533">
        <f t="shared" si="20"/>
        <v>0</v>
      </c>
      <c r="T52" s="533">
        <f t="shared" si="20"/>
        <v>0</v>
      </c>
      <c r="U52" s="533">
        <f t="shared" si="20"/>
        <v>0</v>
      </c>
      <c r="V52" s="533">
        <f t="shared" si="20"/>
        <v>0</v>
      </c>
      <c r="W52" s="533">
        <f t="shared" si="20"/>
        <v>0</v>
      </c>
      <c r="X52" s="533">
        <f t="shared" si="20"/>
        <v>0</v>
      </c>
      <c r="Y52" s="533">
        <f t="shared" si="20"/>
        <v>0</v>
      </c>
      <c r="Z52" s="533">
        <f t="shared" si="20"/>
        <v>0</v>
      </c>
      <c r="AA52" s="533">
        <f t="shared" si="20"/>
        <v>0</v>
      </c>
      <c r="AB52" s="533">
        <f t="shared" si="20"/>
        <v>0</v>
      </c>
      <c r="AC52" s="533">
        <f t="shared" si="20"/>
        <v>0</v>
      </c>
      <c r="AD52" s="533">
        <f t="shared" si="20"/>
        <v>0</v>
      </c>
      <c r="AE52" s="533">
        <f t="shared" si="20"/>
        <v>0</v>
      </c>
      <c r="AF52" s="533">
        <f t="shared" si="20"/>
        <v>0</v>
      </c>
      <c r="AG52" s="533">
        <f t="shared" si="20"/>
        <v>0</v>
      </c>
      <c r="AH52" s="533">
        <f t="shared" si="20"/>
        <v>0</v>
      </c>
      <c r="AI52" s="533">
        <f t="shared" si="20"/>
        <v>0</v>
      </c>
      <c r="AJ52" s="533">
        <f t="shared" si="20"/>
        <v>0</v>
      </c>
      <c r="AK52" s="533">
        <f t="shared" si="20"/>
        <v>0</v>
      </c>
      <c r="AL52" s="533">
        <f>SUM(Q52:AK52)</f>
        <v>0</v>
      </c>
    </row>
    <row r="53" spans="4:38" x14ac:dyDescent="0.45">
      <c r="D53" t="s">
        <v>1323</v>
      </c>
      <c r="I53" s="754">
        <f>AL53</f>
        <v>-16764882.683887275</v>
      </c>
      <c r="J53" s="1097">
        <f>SUMIF('10. Inputs &amp; Calcs'!$D$288:$D$293,$E$10,'10. Inputs &amp; Calcs'!$AD$288:$AD$293)</f>
        <v>-16764882.683887275</v>
      </c>
      <c r="K53" s="754">
        <f>I53-J53</f>
        <v>0</v>
      </c>
      <c r="L53" s="886">
        <f>IF(J53&lt;&gt;0,K53/J53,0)</f>
        <v>0</v>
      </c>
      <c r="N53" s="533">
        <f t="shared" ref="N53:AK53" si="21">-N67</f>
        <v>-17923184</v>
      </c>
      <c r="O53" s="533">
        <f t="shared" si="21"/>
        <v>-17604545</v>
      </c>
      <c r="P53" s="533">
        <f t="shared" si="21"/>
        <v>-10717984</v>
      </c>
      <c r="Q53" s="533">
        <f t="shared" si="21"/>
        <v>-210409.8845669291</v>
      </c>
      <c r="R53" s="533">
        <f t="shared" si="21"/>
        <v>-210409.8845669291</v>
      </c>
      <c r="S53" s="533">
        <f t="shared" si="21"/>
        <v>-210409.8845669291</v>
      </c>
      <c r="T53" s="533">
        <f t="shared" si="21"/>
        <v>-23378.876062992123</v>
      </c>
      <c r="U53" s="533">
        <f t="shared" si="21"/>
        <v>-23378.876062992123</v>
      </c>
      <c r="V53" s="533">
        <f t="shared" si="21"/>
        <v>-23378.876062992123</v>
      </c>
      <c r="W53" s="533">
        <f t="shared" si="21"/>
        <v>-23378.876062992123</v>
      </c>
      <c r="X53" s="533">
        <f t="shared" si="21"/>
        <v>-23378.876062992123</v>
      </c>
      <c r="Y53" s="533">
        <f t="shared" si="21"/>
        <v>-23378.876062992123</v>
      </c>
      <c r="Z53" s="533">
        <f t="shared" si="21"/>
        <v>-23378.876062992123</v>
      </c>
      <c r="AA53" s="533">
        <f t="shared" si="21"/>
        <v>-23378.876062992123</v>
      </c>
      <c r="AB53" s="533">
        <f t="shared" si="21"/>
        <v>-23378.876062992123</v>
      </c>
      <c r="AC53" s="533">
        <f t="shared" si="21"/>
        <v>-23378.876062992123</v>
      </c>
      <c r="AD53" s="533">
        <f t="shared" si="21"/>
        <v>-23378.876062992123</v>
      </c>
      <c r="AE53" s="533">
        <f t="shared" si="21"/>
        <v>-23378.876062992123</v>
      </c>
      <c r="AF53" s="533">
        <f t="shared" si="21"/>
        <v>-23378.876062992123</v>
      </c>
      <c r="AG53" s="533">
        <f t="shared" si="21"/>
        <v>-23378.876062992123</v>
      </c>
      <c r="AH53" s="533">
        <f t="shared" si="21"/>
        <v>-23378.876062992123</v>
      </c>
      <c r="AI53" s="533">
        <f t="shared" si="21"/>
        <v>-23378.876062992123</v>
      </c>
      <c r="AJ53" s="533">
        <f t="shared" si="21"/>
        <v>-15759591.013178613</v>
      </c>
      <c r="AK53" s="533">
        <f t="shared" si="21"/>
        <v>0</v>
      </c>
      <c r="AL53" s="533">
        <f>SUM(Q53:AK53)</f>
        <v>-16764882.683887275</v>
      </c>
    </row>
    <row r="54" spans="4:38" ht="14.65" thickBot="1" x14ac:dyDescent="0.5">
      <c r="D54" t="s">
        <v>1331</v>
      </c>
      <c r="I54" s="554">
        <f>AL54</f>
        <v>-1939051050.2672122</v>
      </c>
      <c r="J54" s="904">
        <f>SUM(J51:J53)</f>
        <v>-1939051050.2672122</v>
      </c>
      <c r="K54" s="554">
        <f>I54-J54</f>
        <v>0</v>
      </c>
      <c r="L54" s="887">
        <f>IF(J54&lt;&gt;0,K54/J54,0)</f>
        <v>0</v>
      </c>
      <c r="N54" s="535">
        <f>SUM(N51:N53)</f>
        <v>-130562326.49333334</v>
      </c>
      <c r="O54" s="535">
        <f t="shared" ref="O54:AK54" si="22">SUM(O51:O53)</f>
        <v>-137624672.89333332</v>
      </c>
      <c r="P54" s="535">
        <f t="shared" si="22"/>
        <v>-139007167.36000001</v>
      </c>
      <c r="Q54" s="535">
        <f t="shared" si="22"/>
        <v>-132158586.5546748</v>
      </c>
      <c r="R54" s="535">
        <f t="shared" si="22"/>
        <v>-128982481.10976599</v>
      </c>
      <c r="S54" s="535">
        <f t="shared" si="22"/>
        <v>-125562535.93588388</v>
      </c>
      <c r="T54" s="535">
        <f t="shared" si="22"/>
        <v>-126980311.12447454</v>
      </c>
      <c r="U54" s="535">
        <f t="shared" si="22"/>
        <v>-126178928.29298694</v>
      </c>
      <c r="V54" s="535">
        <f t="shared" si="22"/>
        <v>-124873358.5791879</v>
      </c>
      <c r="W54" s="535">
        <f t="shared" si="22"/>
        <v>-123011087.77828874</v>
      </c>
      <c r="X54" s="535">
        <f t="shared" si="22"/>
        <v>-120535350.28829306</v>
      </c>
      <c r="Y54" s="535">
        <f t="shared" si="22"/>
        <v>-117384820.31177333</v>
      </c>
      <c r="Z54" s="535">
        <f t="shared" ref="Z54:AJ54" si="23">SUM(Z51:Z53)</f>
        <v>-113493281.95031948</v>
      </c>
      <c r="AA54" s="535">
        <f t="shared" si="23"/>
        <v>-108789276.8039681</v>
      </c>
      <c r="AB54" s="535">
        <f t="shared" si="23"/>
        <v>-103195727.59912419</v>
      </c>
      <c r="AC54" s="535">
        <f t="shared" si="23"/>
        <v>-96629536.274121657</v>
      </c>
      <c r="AD54" s="535">
        <f t="shared" si="23"/>
        <v>-89001154.85128805</v>
      </c>
      <c r="AE54" s="535">
        <f t="shared" si="23"/>
        <v>-80214127.317820475</v>
      </c>
      <c r="AF54" s="535">
        <f t="shared" si="23"/>
        <v>-70164600.624553606</v>
      </c>
      <c r="AG54" s="535">
        <f t="shared" si="23"/>
        <v>-58740802.791398562</v>
      </c>
      <c r="AH54" s="535">
        <f t="shared" si="23"/>
        <v>-45822485.980415195</v>
      </c>
      <c r="AI54" s="535">
        <f t="shared" si="23"/>
        <v>-31280332.261688013</v>
      </c>
      <c r="AJ54" s="535">
        <f t="shared" si="23"/>
        <v>-16052263.837185454</v>
      </c>
      <c r="AK54" s="535">
        <f t="shared" si="22"/>
        <v>0</v>
      </c>
      <c r="AL54" s="535">
        <f>SUM(AL51:AL53)</f>
        <v>-1939051050.2672122</v>
      </c>
    </row>
    <row r="55" spans="4:38"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38"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38" x14ac:dyDescent="0.45">
      <c r="D57" t="s">
        <v>1038</v>
      </c>
      <c r="I57" s="748">
        <f>SUM(S57:W57)</f>
        <v>-626302296.32200313</v>
      </c>
      <c r="J57" s="899">
        <v>-626302296.32200313</v>
      </c>
      <c r="K57" s="753">
        <f>I57-J57</f>
        <v>0</v>
      </c>
      <c r="N57" s="552"/>
      <c r="O57" s="552"/>
      <c r="P57" s="552"/>
      <c r="Q57" s="552"/>
      <c r="R57" s="552"/>
      <c r="S57" s="552">
        <f>S51</f>
        <v>-125352126.05131695</v>
      </c>
      <c r="T57" s="552">
        <f>T51</f>
        <v>-126956932.24841155</v>
      </c>
      <c r="U57" s="552">
        <f>U51</f>
        <v>-126155549.41692396</v>
      </c>
      <c r="V57" s="552">
        <f>V51</f>
        <v>-124849979.70312491</v>
      </c>
      <c r="W57" s="552">
        <f>W51</f>
        <v>-122987708.90222575</v>
      </c>
      <c r="X57" s="552"/>
      <c r="Y57" s="552"/>
      <c r="Z57" s="552"/>
      <c r="AA57" s="552"/>
      <c r="AB57" s="552"/>
      <c r="AC57" s="552"/>
      <c r="AD57" s="552"/>
      <c r="AE57" s="552"/>
      <c r="AF57" s="552"/>
      <c r="AG57" s="552"/>
      <c r="AH57" s="552"/>
      <c r="AI57" s="552"/>
      <c r="AJ57" s="552"/>
      <c r="AK57" s="552"/>
      <c r="AL57" s="533">
        <f>SUM(Q57:AK57)</f>
        <v>-626302296.32200313</v>
      </c>
    </row>
    <row r="58" spans="4:38" x14ac:dyDescent="0.45">
      <c r="D58" t="s">
        <v>233</v>
      </c>
      <c r="I58" s="750">
        <f>SUM(S58:W58)</f>
        <v>-303925.3888188976</v>
      </c>
      <c r="J58" s="1097">
        <f>SUMIF('10. Inputs &amp; Calcs'!$D$297:$D$302,$E$10,'10. Inputs &amp; Calcs'!$AD$297:$AD$302)</f>
        <v>-303925.3888188976</v>
      </c>
      <c r="K58" s="754">
        <f>I58-J58</f>
        <v>0</v>
      </c>
      <c r="N58" s="552"/>
      <c r="O58" s="552"/>
      <c r="P58" s="552"/>
      <c r="Q58" s="552"/>
      <c r="R58" s="552"/>
      <c r="S58" s="552">
        <f>S53</f>
        <v>-210409.8845669291</v>
      </c>
      <c r="T58" s="552">
        <f>T53</f>
        <v>-23378.876062992123</v>
      </c>
      <c r="U58" s="552">
        <f>U53</f>
        <v>-23378.876062992123</v>
      </c>
      <c r="V58" s="552">
        <f>V53</f>
        <v>-23378.876062992123</v>
      </c>
      <c r="W58" s="552">
        <f>W53</f>
        <v>-23378.876062992123</v>
      </c>
      <c r="X58" s="552"/>
      <c r="Y58" s="552"/>
      <c r="Z58" s="552"/>
      <c r="AA58" s="552"/>
      <c r="AB58" s="552"/>
      <c r="AC58" s="552"/>
      <c r="AD58" s="552"/>
      <c r="AE58" s="552"/>
      <c r="AF58" s="552"/>
      <c r="AG58" s="552"/>
      <c r="AH58" s="552"/>
      <c r="AI58" s="552"/>
      <c r="AJ58" s="552"/>
      <c r="AK58" s="552"/>
      <c r="AL58" s="533">
        <f>SUM(Q58:AK58)</f>
        <v>-303925.3888188976</v>
      </c>
    </row>
    <row r="59" spans="4:38" ht="14.65" thickBot="1" x14ac:dyDescent="0.5">
      <c r="I59" s="554">
        <f>SUM(S59:W59)</f>
        <v>-626606221.71082199</v>
      </c>
      <c r="J59" s="904">
        <f>SUM(J57:J58)</f>
        <v>-626606221.71082199</v>
      </c>
      <c r="K59" s="554">
        <f>I59-J59</f>
        <v>0</v>
      </c>
      <c r="N59" s="552"/>
      <c r="O59" s="552"/>
      <c r="P59" s="552"/>
      <c r="Q59" s="552"/>
      <c r="R59" s="552"/>
      <c r="S59" s="535">
        <f>SUM(S57:S58)</f>
        <v>-125562535.93588388</v>
      </c>
      <c r="T59" s="535">
        <f>SUM(T57:T58)</f>
        <v>-126980311.12447454</v>
      </c>
      <c r="U59" s="535">
        <f>SUM(U57:U58)</f>
        <v>-126178928.29298694</v>
      </c>
      <c r="V59" s="535">
        <f>SUM(V57:V58)</f>
        <v>-124873358.5791879</v>
      </c>
      <c r="W59" s="535">
        <f>SUM(W57:W58)</f>
        <v>-123011087.77828874</v>
      </c>
      <c r="X59" s="552"/>
      <c r="Y59" s="552"/>
      <c r="Z59" s="552"/>
      <c r="AA59" s="552"/>
      <c r="AB59" s="552"/>
      <c r="AC59" s="552"/>
      <c r="AD59" s="552"/>
      <c r="AE59" s="552"/>
      <c r="AF59" s="552"/>
      <c r="AG59" s="552"/>
      <c r="AH59" s="552"/>
      <c r="AI59" s="552"/>
      <c r="AJ59" s="552"/>
      <c r="AK59" s="552"/>
      <c r="AL59" s="535">
        <f>SUM(Q59:AK59)</f>
        <v>-626606221.71082199</v>
      </c>
    </row>
    <row r="60" spans="4:38"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38"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38" x14ac:dyDescent="0.45">
      <c r="D62" t="s">
        <v>1319</v>
      </c>
      <c r="N62" s="533">
        <f t="shared" ref="N62:AK62" si="24">-N20</f>
        <v>56166767.190000013</v>
      </c>
      <c r="O62" s="533">
        <f t="shared" si="24"/>
        <v>40081977.339999996</v>
      </c>
      <c r="P62" s="533">
        <f t="shared" si="24"/>
        <v>29417047.090000004</v>
      </c>
      <c r="Q62" s="533">
        <f t="shared" si="24"/>
        <v>39108548.334325761</v>
      </c>
      <c r="R62" s="533">
        <f t="shared" si="24"/>
        <v>39108548.334325761</v>
      </c>
      <c r="S62" s="533">
        <f t="shared" si="24"/>
        <v>38264956.148070209</v>
      </c>
      <c r="T62" s="533">
        <f t="shared" si="24"/>
        <v>23482353.130818505</v>
      </c>
      <c r="U62" s="533">
        <f t="shared" si="24"/>
        <v>23482353.130818505</v>
      </c>
      <c r="V62" s="533">
        <f t="shared" si="24"/>
        <v>23482353.130818505</v>
      </c>
      <c r="W62" s="533">
        <f t="shared" si="24"/>
        <v>23482353.130818505</v>
      </c>
      <c r="X62" s="533">
        <f t="shared" si="24"/>
        <v>23482353.130818505</v>
      </c>
      <c r="Y62" s="533">
        <f t="shared" si="24"/>
        <v>23482353.130818505</v>
      </c>
      <c r="Z62" s="533">
        <f t="shared" ref="Z62:AJ62" si="25">-Z20</f>
        <v>23482353.130818505</v>
      </c>
      <c r="AA62" s="533">
        <f t="shared" si="25"/>
        <v>23482353.130818505</v>
      </c>
      <c r="AB62" s="533">
        <f t="shared" si="25"/>
        <v>23482353.130818505</v>
      </c>
      <c r="AC62" s="533">
        <f t="shared" si="25"/>
        <v>23482353.130818505</v>
      </c>
      <c r="AD62" s="533">
        <f t="shared" si="25"/>
        <v>23482353.130818505</v>
      </c>
      <c r="AE62" s="533">
        <f t="shared" si="25"/>
        <v>23482353.130818505</v>
      </c>
      <c r="AF62" s="533">
        <f t="shared" si="25"/>
        <v>23482353.130818505</v>
      </c>
      <c r="AG62" s="533">
        <f t="shared" si="25"/>
        <v>23482353.130818505</v>
      </c>
      <c r="AH62" s="533">
        <f t="shared" si="25"/>
        <v>23482353.130818505</v>
      </c>
      <c r="AI62" s="533">
        <f t="shared" si="25"/>
        <v>23482353.130818505</v>
      </c>
      <c r="AJ62" s="533">
        <f t="shared" si="25"/>
        <v>3154232.3786798497</v>
      </c>
      <c r="AK62" s="533">
        <f t="shared" si="24"/>
        <v>0</v>
      </c>
      <c r="AL62" s="533">
        <f>SUM(Q62:AK62)</f>
        <v>495353935.28849757</v>
      </c>
    </row>
    <row r="63" spans="4:38" x14ac:dyDescent="0.45">
      <c r="D63" t="s">
        <v>1320</v>
      </c>
      <c r="N63" s="533">
        <f t="shared" ref="N63:AK63" si="26">-N24</f>
        <v>7295676.4399999995</v>
      </c>
      <c r="O63" s="533">
        <f t="shared" si="26"/>
        <v>6799484.7800000012</v>
      </c>
      <c r="P63" s="533">
        <f t="shared" si="26"/>
        <v>6105292.7800000031</v>
      </c>
      <c r="Q63" s="533">
        <f t="shared" si="26"/>
        <v>5446338.4746198524</v>
      </c>
      <c r="R63" s="533">
        <f t="shared" si="26"/>
        <v>4787384.1692396998</v>
      </c>
      <c r="S63" s="533">
        <f t="shared" si="26"/>
        <v>4193549.9840164129</v>
      </c>
      <c r="T63" s="533">
        <f t="shared" si="26"/>
        <v>3935510.3323893608</v>
      </c>
      <c r="U63" s="533">
        <f t="shared" si="26"/>
        <v>3677470.6807623068</v>
      </c>
      <c r="V63" s="533">
        <f t="shared" si="26"/>
        <v>3419431.0291352542</v>
      </c>
      <c r="W63" s="533">
        <f t="shared" si="26"/>
        <v>3161391.3775082012</v>
      </c>
      <c r="X63" s="533">
        <f t="shared" si="26"/>
        <v>2903351.7258811472</v>
      </c>
      <c r="Y63" s="533">
        <f t="shared" si="26"/>
        <v>2645312.0742540942</v>
      </c>
      <c r="Z63" s="533">
        <f t="shared" ref="Z63:AJ63" si="27">-Z24</f>
        <v>2387272.4226270402</v>
      </c>
      <c r="AA63" s="533">
        <f t="shared" si="27"/>
        <v>2129232.7709999876</v>
      </c>
      <c r="AB63" s="533">
        <f t="shared" si="27"/>
        <v>1871193.1193729343</v>
      </c>
      <c r="AC63" s="533">
        <f t="shared" si="27"/>
        <v>1613153.4677458811</v>
      </c>
      <c r="AD63" s="533">
        <f t="shared" si="27"/>
        <v>1355113.8161188276</v>
      </c>
      <c r="AE63" s="533">
        <f t="shared" si="27"/>
        <v>1097074.1644917743</v>
      </c>
      <c r="AF63" s="533">
        <f t="shared" si="27"/>
        <v>839034.51286472112</v>
      </c>
      <c r="AG63" s="533">
        <f t="shared" si="27"/>
        <v>580994.86123766797</v>
      </c>
      <c r="AH63" s="533">
        <f t="shared" si="27"/>
        <v>322955.20961061463</v>
      </c>
      <c r="AI63" s="533">
        <f t="shared" si="27"/>
        <v>64915.557983561375</v>
      </c>
      <c r="AJ63" s="533">
        <f t="shared" si="27"/>
        <v>0</v>
      </c>
      <c r="AK63" s="533">
        <f t="shared" si="26"/>
        <v>0</v>
      </c>
      <c r="AL63" s="533">
        <f>SUM(Q63:AK63)</f>
        <v>46430679.750859335</v>
      </c>
    </row>
    <row r="64" spans="4:38" x14ac:dyDescent="0.45">
      <c r="N64" s="535">
        <f>SUM(N62:N63)</f>
        <v>63462443.63000001</v>
      </c>
      <c r="O64" s="535">
        <f t="shared" ref="O64:AL64" si="28">SUM(O62:O63)</f>
        <v>46881462.119999997</v>
      </c>
      <c r="P64" s="535">
        <f t="shared" si="28"/>
        <v>35522339.870000005</v>
      </c>
      <c r="Q64" s="535">
        <f t="shared" si="28"/>
        <v>44554886.808945611</v>
      </c>
      <c r="R64" s="535">
        <f t="shared" si="28"/>
        <v>43895932.50356546</v>
      </c>
      <c r="S64" s="535">
        <f t="shared" si="28"/>
        <v>42458506.13208662</v>
      </c>
      <c r="T64" s="535">
        <f t="shared" si="28"/>
        <v>27417863.463207867</v>
      </c>
      <c r="U64" s="535">
        <f t="shared" si="28"/>
        <v>27159823.811580811</v>
      </c>
      <c r="V64" s="535">
        <f t="shared" si="28"/>
        <v>26901784.159953758</v>
      </c>
      <c r="W64" s="535">
        <f t="shared" si="28"/>
        <v>26643744.508326706</v>
      </c>
      <c r="X64" s="535">
        <f t="shared" si="28"/>
        <v>26385704.856699653</v>
      </c>
      <c r="Y64" s="535">
        <f t="shared" si="28"/>
        <v>26127665.2050726</v>
      </c>
      <c r="Z64" s="535">
        <f t="shared" ref="Z64:AJ64" si="29">SUM(Z62:Z63)</f>
        <v>25869625.553445544</v>
      </c>
      <c r="AA64" s="535">
        <f t="shared" si="29"/>
        <v>25611585.901818492</v>
      </c>
      <c r="AB64" s="535">
        <f t="shared" si="29"/>
        <v>25353546.250191439</v>
      </c>
      <c r="AC64" s="535">
        <f t="shared" si="29"/>
        <v>25095506.598564386</v>
      </c>
      <c r="AD64" s="535">
        <f t="shared" si="29"/>
        <v>24837466.946937334</v>
      </c>
      <c r="AE64" s="535">
        <f t="shared" si="29"/>
        <v>24579427.295310277</v>
      </c>
      <c r="AF64" s="535">
        <f t="shared" si="29"/>
        <v>24321387.643683225</v>
      </c>
      <c r="AG64" s="535">
        <f t="shared" si="29"/>
        <v>24063347.992056172</v>
      </c>
      <c r="AH64" s="535">
        <f t="shared" si="29"/>
        <v>23805308.34042912</v>
      </c>
      <c r="AI64" s="535">
        <f t="shared" si="29"/>
        <v>23547268.688802067</v>
      </c>
      <c r="AJ64" s="535">
        <f t="shared" si="29"/>
        <v>3154232.3786798497</v>
      </c>
      <c r="AK64" s="535">
        <f t="shared" si="28"/>
        <v>0</v>
      </c>
      <c r="AL64" s="535">
        <f t="shared" si="28"/>
        <v>541784615.03935695</v>
      </c>
    </row>
    <row r="65" spans="2:50" x14ac:dyDescent="0.45">
      <c r="N65" s="533"/>
    </row>
    <row r="66" spans="2:50" x14ac:dyDescent="0.45">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row>
    <row r="67" spans="2:50" x14ac:dyDescent="0.45">
      <c r="B67" t="s">
        <v>1075</v>
      </c>
      <c r="D67" t="str">
        <f>'11. Table - Expenditure Review'!E171</f>
        <v>EEDBS Received</v>
      </c>
      <c r="F67" s="852">
        <f>SUM(O67:P67)/SUM(O$28:P$28)</f>
        <v>0.89851345904274094</v>
      </c>
      <c r="G67" s="852">
        <f>AL67/AL$28</f>
        <v>0.21353979842709109</v>
      </c>
      <c r="I67" s="533">
        <f>AL67</f>
        <v>16764882.683887275</v>
      </c>
      <c r="J67" s="898">
        <f>-J53</f>
        <v>16764882.683887275</v>
      </c>
      <c r="K67" s="533">
        <f>I67-J67</f>
        <v>0</v>
      </c>
      <c r="L67" s="813">
        <f>IF(J67&lt;&gt;0,K67/J67,0)</f>
        <v>0</v>
      </c>
      <c r="N67" s="566">
        <f>'11. Table - Expenditure Review'!F171</f>
        <v>17923184</v>
      </c>
      <c r="O67" s="566">
        <f>'11. Table - Expenditure Review'!G171</f>
        <v>17604545</v>
      </c>
      <c r="P67" s="566">
        <f>'11. Table - Expenditure Review'!H171</f>
        <v>10717984</v>
      </c>
      <c r="Q67" s="533">
        <f>-'10. Inputs &amp; Calcs'!I275</f>
        <v>210409.8845669291</v>
      </c>
      <c r="R67" s="533">
        <f>-'10. Inputs &amp; Calcs'!J275</f>
        <v>210409.8845669291</v>
      </c>
      <c r="S67" s="533">
        <f>-'10. Inputs &amp; Calcs'!K275</f>
        <v>210409.8845669291</v>
      </c>
      <c r="T67" s="533">
        <f>-'10. Inputs &amp; Calcs'!L275</f>
        <v>23378.876062992123</v>
      </c>
      <c r="U67" s="533">
        <f>-'10. Inputs &amp; Calcs'!M275</f>
        <v>23378.876062992123</v>
      </c>
      <c r="V67" s="533">
        <f>-'10. Inputs &amp; Calcs'!N275</f>
        <v>23378.876062992123</v>
      </c>
      <c r="W67" s="533">
        <f>-'10. Inputs &amp; Calcs'!O275</f>
        <v>23378.876062992123</v>
      </c>
      <c r="X67" s="533">
        <f>-'10. Inputs &amp; Calcs'!P275</f>
        <v>23378.876062992123</v>
      </c>
      <c r="Y67" s="533">
        <f>-'10. Inputs &amp; Calcs'!Q275</f>
        <v>23378.876062992123</v>
      </c>
      <c r="Z67" s="533">
        <f>-'10. Inputs &amp; Calcs'!R275</f>
        <v>23378.876062992123</v>
      </c>
      <c r="AA67" s="533">
        <f>-'10. Inputs &amp; Calcs'!S275</f>
        <v>23378.876062992123</v>
      </c>
      <c r="AB67" s="533">
        <f>-'10. Inputs &amp; Calcs'!T275</f>
        <v>23378.876062992123</v>
      </c>
      <c r="AC67" s="533">
        <f>-'10. Inputs &amp; Calcs'!U275</f>
        <v>23378.876062992123</v>
      </c>
      <c r="AD67" s="533">
        <f>-'10. Inputs &amp; Calcs'!V275</f>
        <v>23378.876062992123</v>
      </c>
      <c r="AE67" s="533">
        <f>-'10. Inputs &amp; Calcs'!W275</f>
        <v>23378.876062992123</v>
      </c>
      <c r="AF67" s="533">
        <f>-'10. Inputs &amp; Calcs'!X275</f>
        <v>23378.876062992123</v>
      </c>
      <c r="AG67" s="533">
        <f>-'10. Inputs &amp; Calcs'!Y275</f>
        <v>23378.876062992123</v>
      </c>
      <c r="AH67" s="533">
        <f>-'10. Inputs &amp; Calcs'!Z275</f>
        <v>23378.876062992123</v>
      </c>
      <c r="AI67" s="533">
        <f>-'10. Inputs &amp; Calcs'!AA275</f>
        <v>23378.876062992123</v>
      </c>
      <c r="AJ67" s="533">
        <f>-'10. Inputs &amp; Calcs'!AB275</f>
        <v>15759591.013178613</v>
      </c>
      <c r="AK67" s="533">
        <f>-'10. Inputs &amp; Calcs'!AC275</f>
        <v>0</v>
      </c>
      <c r="AL67" s="533">
        <f>SUM(Q67:AK67)</f>
        <v>16764882.683887275</v>
      </c>
    </row>
    <row r="68" spans="2:50" x14ac:dyDescent="0.45">
      <c r="N68" s="533"/>
    </row>
    <row r="69" spans="2:50" x14ac:dyDescent="0.45">
      <c r="N69" s="533"/>
    </row>
    <row r="71" spans="2:50" x14ac:dyDescent="0.45">
      <c r="D71" t="s">
        <v>1038</v>
      </c>
      <c r="N71" s="533">
        <f>'11. Table - Expenditure Review'!F73</f>
        <v>13274959000</v>
      </c>
      <c r="O71" s="533">
        <f>'11. Table - Expenditure Review'!G73</f>
        <v>13316096000</v>
      </c>
      <c r="P71" s="533">
        <f>'11. Table - Expenditure Review'!H73</f>
        <v>13110097000</v>
      </c>
      <c r="Q71" s="801">
        <f t="shared" ref="Q71:AK71" si="30">P71</f>
        <v>13110097000</v>
      </c>
      <c r="R71" s="801">
        <f t="shared" si="30"/>
        <v>13110097000</v>
      </c>
      <c r="S71" s="801">
        <f t="shared" si="30"/>
        <v>13110097000</v>
      </c>
      <c r="T71" s="533">
        <f t="shared" si="30"/>
        <v>13110097000</v>
      </c>
      <c r="U71" s="533">
        <f t="shared" si="30"/>
        <v>13110097000</v>
      </c>
      <c r="V71" s="533">
        <f t="shared" si="30"/>
        <v>13110097000</v>
      </c>
      <c r="W71" s="533">
        <f t="shared" si="30"/>
        <v>13110097000</v>
      </c>
      <c r="X71" s="533">
        <f t="shared" si="30"/>
        <v>13110097000</v>
      </c>
      <c r="Y71" s="533">
        <f t="shared" si="30"/>
        <v>13110097000</v>
      </c>
      <c r="Z71" s="533">
        <f t="shared" si="30"/>
        <v>13110097000</v>
      </c>
      <c r="AA71" s="533">
        <f t="shared" si="30"/>
        <v>13110097000</v>
      </c>
      <c r="AB71" s="533">
        <f t="shared" si="30"/>
        <v>13110097000</v>
      </c>
      <c r="AC71" s="533">
        <f t="shared" si="30"/>
        <v>13110097000</v>
      </c>
      <c r="AD71" s="533">
        <f t="shared" si="30"/>
        <v>13110097000</v>
      </c>
      <c r="AE71" s="533">
        <f t="shared" si="30"/>
        <v>13110097000</v>
      </c>
      <c r="AF71" s="533">
        <f t="shared" si="30"/>
        <v>13110097000</v>
      </c>
      <c r="AG71" s="533">
        <f t="shared" si="30"/>
        <v>13110097000</v>
      </c>
      <c r="AH71" s="533">
        <f t="shared" si="30"/>
        <v>13110097000</v>
      </c>
      <c r="AI71" s="533">
        <f t="shared" si="30"/>
        <v>13110097000</v>
      </c>
      <c r="AJ71" s="533">
        <f t="shared" si="30"/>
        <v>13110097000</v>
      </c>
      <c r="AK71" s="533">
        <f t="shared" si="30"/>
        <v>13110097000</v>
      </c>
      <c r="AL71" s="533">
        <f>SUM(Q71:AK71)</f>
        <v>275312037000</v>
      </c>
    </row>
    <row r="72" spans="2:50" x14ac:dyDescent="0.45">
      <c r="D72" t="s">
        <v>233</v>
      </c>
      <c r="N72" s="533">
        <f>'11. Table - Expenditure Review'!F74</f>
        <v>17923184</v>
      </c>
      <c r="O72" s="533">
        <f>'11. Table - Expenditure Review'!G74</f>
        <v>17604545</v>
      </c>
      <c r="P72" s="533">
        <f>'11. Table - Expenditure Review'!H74</f>
        <v>10717984</v>
      </c>
      <c r="Q72" s="801">
        <f>-'10. Inputs &amp; Calcs'!I275</f>
        <v>210409.8845669291</v>
      </c>
      <c r="R72" s="801">
        <f>-'10. Inputs &amp; Calcs'!J275</f>
        <v>210409.8845669291</v>
      </c>
      <c r="S72" s="801">
        <f>-'10. Inputs &amp; Calcs'!K275</f>
        <v>210409.8845669291</v>
      </c>
      <c r="T72" s="533">
        <f>-'10. Inputs &amp; Calcs'!L275</f>
        <v>23378.876062992123</v>
      </c>
      <c r="U72" s="533">
        <f>-'10. Inputs &amp; Calcs'!M275</f>
        <v>23378.876062992123</v>
      </c>
      <c r="V72" s="533">
        <f>-'10. Inputs &amp; Calcs'!N275</f>
        <v>23378.876062992123</v>
      </c>
      <c r="W72" s="533">
        <f>-'10. Inputs &amp; Calcs'!O275</f>
        <v>23378.876062992123</v>
      </c>
      <c r="X72" s="533">
        <f>-'10. Inputs &amp; Calcs'!P275</f>
        <v>23378.876062992123</v>
      </c>
      <c r="Y72" s="533">
        <f>-'10. Inputs &amp; Calcs'!Q275</f>
        <v>23378.876062992123</v>
      </c>
      <c r="Z72" s="533">
        <f>-'10. Inputs &amp; Calcs'!R275</f>
        <v>23378.876062992123</v>
      </c>
      <c r="AA72" s="533">
        <f>-'10. Inputs &amp; Calcs'!S275</f>
        <v>23378.876062992123</v>
      </c>
      <c r="AB72" s="533">
        <f>-'10. Inputs &amp; Calcs'!T275</f>
        <v>23378.876062992123</v>
      </c>
      <c r="AC72" s="533">
        <f>-'10. Inputs &amp; Calcs'!U275</f>
        <v>23378.876062992123</v>
      </c>
      <c r="AD72" s="533">
        <f>-'10. Inputs &amp; Calcs'!V275</f>
        <v>23378.876062992123</v>
      </c>
      <c r="AE72" s="533">
        <f>-'10. Inputs &amp; Calcs'!W275</f>
        <v>23378.876062992123</v>
      </c>
      <c r="AF72" s="533">
        <f>-'10. Inputs &amp; Calcs'!X275</f>
        <v>23378.876062992123</v>
      </c>
      <c r="AG72" s="533">
        <f>-'10. Inputs &amp; Calcs'!Y275</f>
        <v>23378.876062992123</v>
      </c>
      <c r="AH72" s="533">
        <f>-'10. Inputs &amp; Calcs'!Z275</f>
        <v>23378.876062992123</v>
      </c>
      <c r="AI72" s="533">
        <f>-'10. Inputs &amp; Calcs'!AA275</f>
        <v>23378.876062992123</v>
      </c>
      <c r="AJ72" s="533">
        <f>-'10. Inputs &amp; Calcs'!AB275</f>
        <v>15759591.013178613</v>
      </c>
      <c r="AK72" s="533">
        <f>-'10. Inputs &amp; Calcs'!AC275</f>
        <v>0</v>
      </c>
      <c r="AL72" s="533">
        <f>SUM(Q72:AK72)</f>
        <v>16764882.683887275</v>
      </c>
    </row>
    <row r="73" spans="2:50" x14ac:dyDescent="0.45">
      <c r="D73" t="s">
        <v>1037</v>
      </c>
      <c r="N73" s="559">
        <f>N48/N71</f>
        <v>-8.4850840212262312E-3</v>
      </c>
      <c r="O73" s="559">
        <f t="shared" ref="O73:AL73" si="31">O48/O71</f>
        <v>-9.0131618075848449E-3</v>
      </c>
      <c r="P73" s="559">
        <f t="shared" si="31"/>
        <v>-9.7855251078615216E-3</v>
      </c>
      <c r="Q73" s="559">
        <f>Q48/Q71</f>
        <v>-1.0064622456272281E-2</v>
      </c>
      <c r="R73" s="559">
        <f t="shared" si="31"/>
        <v>-9.822358387218573E-3</v>
      </c>
      <c r="S73" s="559">
        <f t="shared" si="31"/>
        <v>-9.5614949341196291E-3</v>
      </c>
      <c r="T73" s="559">
        <f t="shared" si="31"/>
        <v>-9.6839048748770928E-3</v>
      </c>
      <c r="U73" s="559">
        <f t="shared" si="31"/>
        <v>-9.622777727496902E-3</v>
      </c>
      <c r="V73" s="559">
        <f t="shared" si="31"/>
        <v>-9.5231926737937116E-3</v>
      </c>
      <c r="W73" s="559">
        <f t="shared" si="31"/>
        <v>-9.3811440832379609E-3</v>
      </c>
      <c r="X73" s="559">
        <f t="shared" si="31"/>
        <v>-9.1923020411084737E-3</v>
      </c>
      <c r="Y73" s="559">
        <f t="shared" si="31"/>
        <v>-8.9519887942637148E-3</v>
      </c>
      <c r="Z73" s="559">
        <f t="shared" ref="Z73:AJ73" si="32">Z48/Z71</f>
        <v>-8.6551535869075942E-3</v>
      </c>
      <c r="AA73" s="559">
        <f t="shared" si="32"/>
        <v>-8.296345780500718E-3</v>
      </c>
      <c r="AB73" s="559">
        <f t="shared" si="32"/>
        <v>-7.8696861451948985E-3</v>
      </c>
      <c r="AC73" s="559">
        <f t="shared" si="32"/>
        <v>-7.3688362029707844E-3</v>
      </c>
      <c r="AD73" s="559">
        <f t="shared" si="32"/>
        <v>-6.7869654950093094E-3</v>
      </c>
      <c r="AE73" s="559">
        <f t="shared" si="32"/>
        <v>-6.1167166376997432E-3</v>
      </c>
      <c r="AF73" s="559">
        <f t="shared" si="32"/>
        <v>-5.3501680230505248E-3</v>
      </c>
      <c r="AG73" s="559">
        <f t="shared" si="32"/>
        <v>-4.4787940100927993E-3</v>
      </c>
      <c r="AH73" s="559">
        <f t="shared" si="32"/>
        <v>-3.4934224441170959E-3</v>
      </c>
      <c r="AI73" s="559">
        <f t="shared" si="32"/>
        <v>-2.3841893302257808E-3</v>
      </c>
      <c r="AJ73" s="559">
        <f t="shared" si="32"/>
        <v>-2.232423024839863E-5</v>
      </c>
      <c r="AK73" s="559">
        <f t="shared" si="31"/>
        <v>0</v>
      </c>
      <c r="AL73" s="559">
        <f t="shared" si="31"/>
        <v>-6.9822089456383794E-3</v>
      </c>
    </row>
    <row r="74" spans="2:50" x14ac:dyDescent="0.45">
      <c r="Q74" s="581"/>
      <c r="R74" s="581"/>
      <c r="S74" s="581"/>
      <c r="T74" s="581"/>
      <c r="U74" s="581"/>
      <c r="V74" s="581"/>
      <c r="W74" s="582"/>
    </row>
    <row r="75" spans="2:50" hidden="1" outlineLevel="1" collapsed="1" x14ac:dyDescent="0.45">
      <c r="F75" s="18"/>
      <c r="G75" s="18"/>
      <c r="I75" s="18"/>
      <c r="J75" s="18"/>
      <c r="K75" s="18"/>
      <c r="L75" s="18"/>
      <c r="Q75" s="581"/>
      <c r="R75" s="581"/>
      <c r="S75" s="581"/>
      <c r="T75" s="581"/>
      <c r="U75" s="581"/>
      <c r="V75" s="581"/>
      <c r="W75" s="582"/>
      <c r="X75" s="18"/>
      <c r="Y75" s="18"/>
      <c r="Z75" s="18"/>
      <c r="AA75" s="18"/>
      <c r="AB75" s="18"/>
      <c r="AC75" s="18"/>
      <c r="AD75" s="18"/>
      <c r="AE75" s="18"/>
      <c r="AF75" s="18"/>
      <c r="AG75" s="18"/>
      <c r="AH75" s="18"/>
      <c r="AI75" s="18"/>
      <c r="AJ75" s="18"/>
      <c r="AK75" s="18"/>
      <c r="AL75" s="18"/>
      <c r="AX75" s="18"/>
    </row>
    <row r="76" spans="2:50" hidden="1" outlineLevel="1" x14ac:dyDescent="0.45">
      <c r="F76" s="18"/>
      <c r="G76" s="18"/>
      <c r="I76" s="18"/>
      <c r="J76" s="18"/>
      <c r="K76" s="18"/>
      <c r="L76" s="18"/>
      <c r="Q76" s="581"/>
      <c r="R76" s="581"/>
      <c r="S76" s="581"/>
      <c r="T76" s="581"/>
      <c r="U76" s="581"/>
      <c r="V76" s="581"/>
      <c r="W76" s="582"/>
      <c r="X76" s="18"/>
      <c r="Y76" s="18"/>
      <c r="Z76" s="18"/>
      <c r="AA76" s="18"/>
      <c r="AB76" s="18"/>
      <c r="AC76" s="18"/>
      <c r="AD76" s="18"/>
      <c r="AE76" s="18"/>
      <c r="AF76" s="18"/>
      <c r="AG76" s="18"/>
      <c r="AH76" s="18"/>
      <c r="AI76" s="18"/>
      <c r="AJ76" s="18"/>
      <c r="AK76" s="18"/>
      <c r="AL76" s="18"/>
      <c r="AX76" s="18"/>
    </row>
    <row r="77" spans="2:50" hidden="1" outlineLevel="1" x14ac:dyDescent="0.45">
      <c r="F77" s="18"/>
      <c r="G77" s="18"/>
      <c r="I77" s="18"/>
      <c r="J77" s="18"/>
      <c r="K77" s="18"/>
      <c r="L77" s="18"/>
      <c r="N77" s="533"/>
      <c r="O77" s="533"/>
      <c r="P77" s="533"/>
      <c r="Q77" s="581"/>
      <c r="R77" s="581"/>
      <c r="S77" s="581"/>
      <c r="T77" s="581"/>
      <c r="U77" s="581"/>
      <c r="V77" s="581"/>
      <c r="W77" s="582"/>
      <c r="X77" s="18"/>
      <c r="Y77" s="18"/>
      <c r="Z77" s="18"/>
      <c r="AA77" s="18"/>
      <c r="AB77" s="18"/>
      <c r="AC77" s="18"/>
      <c r="AD77" s="18"/>
      <c r="AE77" s="18"/>
      <c r="AF77" s="18"/>
      <c r="AG77" s="18"/>
      <c r="AH77" s="18"/>
      <c r="AI77" s="18"/>
      <c r="AJ77" s="18"/>
      <c r="AK77" s="18"/>
      <c r="AL77" s="18"/>
      <c r="AX77" s="18"/>
    </row>
    <row r="78" spans="2:50" hidden="1" outlineLevel="1" x14ac:dyDescent="0.45">
      <c r="F78" s="18"/>
      <c r="G78" s="18"/>
      <c r="I78" s="18"/>
      <c r="J78" s="18"/>
      <c r="K78" s="18"/>
      <c r="L78" s="18"/>
      <c r="Q78" s="581"/>
      <c r="R78" s="581"/>
      <c r="S78" s="581"/>
      <c r="T78" s="581"/>
      <c r="U78" s="581"/>
      <c r="V78" s="581"/>
      <c r="W78" s="582"/>
      <c r="X78" s="18"/>
      <c r="Y78" s="18"/>
      <c r="Z78" s="18"/>
      <c r="AA78" s="18"/>
      <c r="AB78" s="18"/>
      <c r="AC78" s="18"/>
      <c r="AD78" s="18"/>
      <c r="AE78" s="18"/>
      <c r="AF78" s="18"/>
      <c r="AG78" s="18"/>
      <c r="AH78" s="18"/>
      <c r="AI78" s="18"/>
      <c r="AJ78" s="18"/>
      <c r="AK78" s="18"/>
      <c r="AL78" s="18"/>
      <c r="AX78" s="18"/>
    </row>
    <row r="79" spans="2:50" hidden="1" outlineLevel="1" x14ac:dyDescent="0.45">
      <c r="F79" s="18"/>
      <c r="G79" s="18"/>
      <c r="I79" s="18"/>
      <c r="J79" s="18"/>
      <c r="K79" s="18"/>
      <c r="L79" s="18"/>
      <c r="Q79" s="581"/>
      <c r="R79" s="581"/>
      <c r="S79" s="581"/>
      <c r="T79" s="581"/>
      <c r="U79" s="581"/>
      <c r="V79" s="581"/>
      <c r="W79" s="582"/>
      <c r="X79" s="18"/>
      <c r="Y79" s="18"/>
      <c r="Z79" s="18"/>
      <c r="AA79" s="18"/>
      <c r="AB79" s="18"/>
      <c r="AC79" s="18"/>
      <c r="AD79" s="18"/>
      <c r="AE79" s="18"/>
      <c r="AF79" s="18"/>
      <c r="AG79" s="18"/>
      <c r="AH79" s="18"/>
      <c r="AI79" s="18"/>
      <c r="AJ79" s="18"/>
      <c r="AK79" s="18"/>
      <c r="AL79" s="18"/>
      <c r="AX79" s="18"/>
    </row>
    <row r="80" spans="2:50" hidden="1" outlineLevel="1" x14ac:dyDescent="0.45">
      <c r="F80" s="18"/>
      <c r="G80" s="18"/>
      <c r="I80" s="18"/>
      <c r="J80" s="18"/>
      <c r="K80" s="18"/>
      <c r="L80" s="18"/>
      <c r="Q80" s="581"/>
      <c r="R80" s="581"/>
      <c r="S80" s="581"/>
      <c r="T80" s="581"/>
      <c r="U80" s="581"/>
      <c r="V80" s="581"/>
      <c r="W80" s="582"/>
      <c r="X80" s="18"/>
      <c r="Y80" s="18"/>
      <c r="Z80" s="18"/>
      <c r="AA80" s="18"/>
      <c r="AB80" s="18"/>
      <c r="AC80" s="18"/>
      <c r="AD80" s="18"/>
      <c r="AE80" s="18"/>
      <c r="AF80" s="18"/>
      <c r="AG80" s="18"/>
      <c r="AH80" s="18"/>
      <c r="AI80" s="18"/>
      <c r="AJ80" s="18"/>
      <c r="AK80" s="18"/>
      <c r="AL80" s="18"/>
      <c r="AX80" s="18"/>
    </row>
    <row r="81" spans="6:50" hidden="1" outlineLevel="1" x14ac:dyDescent="0.45">
      <c r="F81" s="18"/>
      <c r="G81" s="18"/>
      <c r="I81" s="18"/>
      <c r="J81" s="18"/>
      <c r="K81" s="18"/>
      <c r="L81" s="18"/>
      <c r="Q81" s="581"/>
      <c r="R81" s="581"/>
      <c r="S81" s="581"/>
      <c r="T81" s="581"/>
      <c r="U81" s="581"/>
      <c r="V81" s="581"/>
      <c r="W81" s="582"/>
      <c r="X81" s="18"/>
      <c r="Y81" s="18"/>
      <c r="Z81" s="18"/>
      <c r="AA81" s="18"/>
      <c r="AB81" s="18"/>
      <c r="AC81" s="18"/>
      <c r="AD81" s="18"/>
      <c r="AE81" s="18"/>
      <c r="AF81" s="18"/>
      <c r="AG81" s="18"/>
      <c r="AH81" s="18"/>
      <c r="AI81" s="18"/>
      <c r="AJ81" s="18"/>
      <c r="AK81" s="18"/>
      <c r="AL81" s="18"/>
      <c r="AX81" s="18"/>
    </row>
    <row r="82" spans="6:50" hidden="1" outlineLevel="1" x14ac:dyDescent="0.45">
      <c r="F82" s="18"/>
      <c r="G82" s="18"/>
      <c r="I82" s="18"/>
      <c r="J82" s="18"/>
      <c r="K82" s="18"/>
      <c r="L82" s="18"/>
      <c r="Q82" s="581"/>
      <c r="R82" s="581"/>
      <c r="S82" s="581"/>
      <c r="T82" s="581"/>
      <c r="U82" s="581"/>
      <c r="V82" s="581"/>
      <c r="W82" s="582"/>
      <c r="X82" s="18"/>
      <c r="Y82" s="18"/>
      <c r="Z82" s="18"/>
      <c r="AA82" s="18"/>
      <c r="AB82" s="18"/>
      <c r="AC82" s="18"/>
      <c r="AD82" s="18"/>
      <c r="AE82" s="18"/>
      <c r="AF82" s="18"/>
      <c r="AG82" s="18"/>
      <c r="AH82" s="18"/>
      <c r="AI82" s="18"/>
      <c r="AJ82" s="18"/>
      <c r="AK82" s="18"/>
      <c r="AL82" s="18"/>
      <c r="AX82" s="18"/>
    </row>
    <row r="83" spans="6:50" hidden="1" outlineLevel="1" x14ac:dyDescent="0.45">
      <c r="F83" s="18"/>
      <c r="G83" s="18"/>
      <c r="I83" s="18"/>
      <c r="J83" s="18"/>
      <c r="K83" s="18"/>
      <c r="L83" s="18"/>
      <c r="Q83" s="581"/>
      <c r="R83" s="581"/>
      <c r="S83" s="581"/>
      <c r="T83" s="581"/>
      <c r="U83" s="581"/>
      <c r="V83" s="581"/>
      <c r="W83" s="582"/>
      <c r="X83" s="18"/>
      <c r="Y83" s="18"/>
      <c r="Z83" s="18"/>
      <c r="AA83" s="18"/>
      <c r="AB83" s="18"/>
      <c r="AC83" s="18"/>
      <c r="AD83" s="18"/>
      <c r="AE83" s="18"/>
      <c r="AF83" s="18"/>
      <c r="AG83" s="18"/>
      <c r="AH83" s="18"/>
      <c r="AI83" s="18"/>
      <c r="AJ83" s="18"/>
      <c r="AK83" s="18"/>
      <c r="AL83" s="18"/>
      <c r="AX83" s="18"/>
    </row>
    <row r="84" spans="6:50" hidden="1" outlineLevel="1" x14ac:dyDescent="0.45">
      <c r="F84" s="18"/>
      <c r="G84" s="18"/>
      <c r="I84" s="18"/>
      <c r="J84" s="18"/>
      <c r="K84" s="18"/>
      <c r="L84" s="18"/>
      <c r="Q84" s="581"/>
      <c r="R84" s="581"/>
      <c r="S84" s="581"/>
      <c r="T84" s="581"/>
      <c r="U84" s="581"/>
      <c r="V84" s="581"/>
      <c r="W84" s="582"/>
      <c r="X84" s="18"/>
      <c r="Y84" s="18"/>
      <c r="Z84" s="18"/>
      <c r="AA84" s="18"/>
      <c r="AB84" s="18"/>
      <c r="AC84" s="18"/>
      <c r="AD84" s="18"/>
      <c r="AE84" s="18"/>
      <c r="AF84" s="18"/>
      <c r="AG84" s="18"/>
      <c r="AH84" s="18"/>
      <c r="AI84" s="18"/>
      <c r="AJ84" s="18"/>
      <c r="AK84" s="18"/>
      <c r="AL84" s="18"/>
      <c r="AX84" s="18"/>
    </row>
    <row r="85" spans="6:50" hidden="1" outlineLevel="1" x14ac:dyDescent="0.45">
      <c r="F85" s="18"/>
      <c r="G85" s="18"/>
      <c r="I85" s="18"/>
      <c r="J85" s="18"/>
      <c r="K85" s="18"/>
      <c r="L85" s="18"/>
      <c r="Q85" s="581"/>
      <c r="R85" s="581"/>
      <c r="S85" s="581"/>
      <c r="T85" s="581"/>
      <c r="U85" s="581"/>
      <c r="V85" s="581"/>
      <c r="W85" s="582"/>
      <c r="X85" s="18"/>
      <c r="Y85" s="18"/>
      <c r="Z85" s="18"/>
      <c r="AA85" s="18"/>
      <c r="AB85" s="18"/>
      <c r="AC85" s="18"/>
      <c r="AD85" s="18"/>
      <c r="AE85" s="18"/>
      <c r="AF85" s="18"/>
      <c r="AG85" s="18"/>
      <c r="AH85" s="18"/>
      <c r="AI85" s="18"/>
      <c r="AJ85" s="18"/>
      <c r="AK85" s="18"/>
      <c r="AL85" s="18"/>
      <c r="AX85" s="18"/>
    </row>
    <row r="86" spans="6:50" hidden="1" outlineLevel="1" x14ac:dyDescent="0.45">
      <c r="F86" s="18"/>
      <c r="G86" s="18"/>
      <c r="I86" s="18"/>
      <c r="J86" s="18"/>
      <c r="K86" s="18"/>
      <c r="L86" s="18"/>
      <c r="Q86" s="581"/>
      <c r="R86" s="581"/>
      <c r="S86" s="581"/>
      <c r="T86" s="581"/>
      <c r="U86" s="581"/>
      <c r="V86" s="581"/>
      <c r="W86" s="582"/>
      <c r="X86" s="18"/>
      <c r="Y86" s="18"/>
      <c r="Z86" s="18"/>
      <c r="AA86" s="18"/>
      <c r="AB86" s="18"/>
      <c r="AC86" s="18"/>
      <c r="AD86" s="18"/>
      <c r="AE86" s="18"/>
      <c r="AF86" s="18"/>
      <c r="AG86" s="18"/>
      <c r="AH86" s="18"/>
      <c r="AI86" s="18"/>
      <c r="AJ86" s="18"/>
      <c r="AK86" s="18"/>
      <c r="AL86" s="18"/>
      <c r="AX86" s="18"/>
    </row>
    <row r="87" spans="6:50" hidden="1" outlineLevel="1" x14ac:dyDescent="0.45">
      <c r="F87" s="18"/>
      <c r="G87" s="18"/>
      <c r="I87" s="18"/>
      <c r="J87" s="18"/>
      <c r="K87" s="18"/>
      <c r="L87" s="18"/>
      <c r="Q87" s="581"/>
      <c r="R87" s="581"/>
      <c r="S87" s="581"/>
      <c r="T87" s="581"/>
      <c r="U87" s="581"/>
      <c r="V87" s="581"/>
      <c r="W87" s="582"/>
      <c r="X87" s="18"/>
      <c r="Y87" s="18"/>
      <c r="Z87" s="18"/>
      <c r="AA87" s="18"/>
      <c r="AB87" s="18"/>
      <c r="AC87" s="18"/>
      <c r="AD87" s="18"/>
      <c r="AE87" s="18"/>
      <c r="AF87" s="18"/>
      <c r="AG87" s="18"/>
      <c r="AH87" s="18"/>
      <c r="AI87" s="18"/>
      <c r="AJ87" s="18"/>
      <c r="AK87" s="18"/>
      <c r="AL87" s="18"/>
      <c r="AX87" s="18"/>
    </row>
    <row r="88" spans="6:50" hidden="1" outlineLevel="1" x14ac:dyDescent="0.45">
      <c r="F88" s="18"/>
      <c r="G88" s="18"/>
      <c r="I88" s="18"/>
      <c r="J88" s="18"/>
      <c r="K88" s="18"/>
      <c r="L88" s="18"/>
      <c r="Q88" s="581"/>
      <c r="R88" s="581"/>
      <c r="S88" s="581"/>
      <c r="T88" s="581"/>
      <c r="U88" s="581"/>
      <c r="V88" s="581"/>
      <c r="W88" s="582"/>
      <c r="X88" s="18"/>
      <c r="Y88" s="18"/>
      <c r="Z88" s="18"/>
      <c r="AA88" s="18"/>
      <c r="AB88" s="18"/>
      <c r="AC88" s="18"/>
      <c r="AD88" s="18"/>
      <c r="AE88" s="18"/>
      <c r="AF88" s="18"/>
      <c r="AG88" s="18"/>
      <c r="AH88" s="18"/>
      <c r="AI88" s="18"/>
      <c r="AJ88" s="18"/>
      <c r="AK88" s="18"/>
      <c r="AL88" s="18"/>
      <c r="AX88" s="18"/>
    </row>
    <row r="89" spans="6:50" hidden="1" outlineLevel="1" x14ac:dyDescent="0.45">
      <c r="F89" s="18"/>
      <c r="G89" s="18"/>
      <c r="I89" s="18"/>
      <c r="J89" s="18"/>
      <c r="K89" s="18"/>
      <c r="L89" s="18"/>
      <c r="Q89" s="581"/>
      <c r="R89" s="581"/>
      <c r="S89" s="581"/>
      <c r="T89" s="581"/>
      <c r="U89" s="581"/>
      <c r="V89" s="581"/>
      <c r="W89" s="582"/>
      <c r="X89" s="18"/>
      <c r="Y89" s="18"/>
      <c r="Z89" s="18"/>
      <c r="AA89" s="18"/>
      <c r="AB89" s="18"/>
      <c r="AC89" s="18"/>
      <c r="AD89" s="18"/>
      <c r="AE89" s="18"/>
      <c r="AF89" s="18"/>
      <c r="AG89" s="18"/>
      <c r="AH89" s="18"/>
      <c r="AI89" s="18"/>
      <c r="AJ89" s="18"/>
      <c r="AK89" s="18"/>
      <c r="AL89" s="18"/>
      <c r="AX89" s="18"/>
    </row>
    <row r="90" spans="6:50" hidden="1" outlineLevel="1" x14ac:dyDescent="0.45">
      <c r="F90" s="18"/>
      <c r="G90" s="18"/>
      <c r="I90" s="18"/>
      <c r="J90" s="18"/>
      <c r="K90" s="18"/>
      <c r="L90" s="18"/>
      <c r="Q90" s="581"/>
      <c r="R90" s="581"/>
      <c r="S90" s="581"/>
      <c r="T90" s="581"/>
      <c r="U90" s="581"/>
      <c r="V90" s="581"/>
      <c r="W90" s="582"/>
      <c r="X90" s="18"/>
      <c r="Y90" s="18"/>
      <c r="Z90" s="18"/>
      <c r="AA90" s="18"/>
      <c r="AB90" s="18"/>
      <c r="AC90" s="18"/>
      <c r="AD90" s="18"/>
      <c r="AE90" s="18"/>
      <c r="AF90" s="18"/>
      <c r="AG90" s="18"/>
      <c r="AH90" s="18"/>
      <c r="AI90" s="18"/>
      <c r="AJ90" s="18"/>
      <c r="AK90" s="18"/>
      <c r="AL90" s="18"/>
      <c r="AX90" s="18"/>
    </row>
    <row r="91" spans="6:50" hidden="1" outlineLevel="1" x14ac:dyDescent="0.45">
      <c r="F91" s="18"/>
      <c r="G91" s="18"/>
      <c r="I91" s="18"/>
      <c r="J91" s="18"/>
      <c r="K91" s="18"/>
      <c r="L91" s="18"/>
      <c r="Q91" s="581"/>
      <c r="R91" s="581"/>
      <c r="S91" s="581"/>
      <c r="T91" s="581"/>
      <c r="U91" s="581"/>
      <c r="V91" s="581"/>
      <c r="W91" s="582"/>
      <c r="X91" s="18"/>
      <c r="Y91" s="18"/>
      <c r="Z91" s="18"/>
      <c r="AA91" s="18"/>
      <c r="AB91" s="18"/>
      <c r="AC91" s="18"/>
      <c r="AD91" s="18"/>
      <c r="AE91" s="18"/>
      <c r="AF91" s="18"/>
      <c r="AG91" s="18"/>
      <c r="AH91" s="18"/>
      <c r="AI91" s="18"/>
      <c r="AJ91" s="18"/>
      <c r="AK91" s="18"/>
      <c r="AL91" s="18"/>
      <c r="AX91" s="18"/>
    </row>
    <row r="92" spans="6:50" hidden="1" outlineLevel="1" x14ac:dyDescent="0.45">
      <c r="F92" s="18"/>
      <c r="G92" s="18"/>
      <c r="I92" s="18"/>
      <c r="J92" s="18"/>
      <c r="K92" s="18"/>
      <c r="L92" s="18"/>
      <c r="Q92" s="581"/>
      <c r="R92" s="581"/>
      <c r="S92" s="581"/>
      <c r="T92" s="581"/>
      <c r="U92" s="581"/>
      <c r="V92" s="581"/>
      <c r="W92" s="582"/>
      <c r="X92" s="18"/>
      <c r="Y92" s="18"/>
      <c r="Z92" s="18"/>
      <c r="AA92" s="18"/>
      <c r="AB92" s="18"/>
      <c r="AC92" s="18"/>
      <c r="AD92" s="18"/>
      <c r="AE92" s="18"/>
      <c r="AF92" s="18"/>
      <c r="AG92" s="18"/>
      <c r="AH92" s="18"/>
      <c r="AI92" s="18"/>
      <c r="AJ92" s="18"/>
      <c r="AK92" s="18"/>
      <c r="AL92" s="18"/>
      <c r="AX92" s="18"/>
    </row>
    <row r="93" spans="6:50" hidden="1" outlineLevel="1" x14ac:dyDescent="0.45">
      <c r="F93" s="18"/>
      <c r="G93" s="18"/>
      <c r="I93" s="18"/>
      <c r="J93" s="18"/>
      <c r="K93" s="18"/>
      <c r="L93" s="18"/>
      <c r="Q93" s="581"/>
      <c r="R93" s="581"/>
      <c r="S93" s="581"/>
      <c r="T93" s="581"/>
      <c r="U93" s="581"/>
      <c r="V93" s="581"/>
      <c r="W93" s="582"/>
      <c r="X93" s="18"/>
      <c r="Y93" s="18"/>
      <c r="Z93" s="18"/>
      <c r="AA93" s="18"/>
      <c r="AB93" s="18"/>
      <c r="AC93" s="18"/>
      <c r="AD93" s="18"/>
      <c r="AE93" s="18"/>
      <c r="AF93" s="18"/>
      <c r="AG93" s="18"/>
      <c r="AH93" s="18"/>
      <c r="AI93" s="18"/>
      <c r="AJ93" s="18"/>
      <c r="AK93" s="18"/>
      <c r="AL93" s="18"/>
      <c r="AX93" s="18"/>
    </row>
    <row r="94" spans="6:50" hidden="1" outlineLevel="1" x14ac:dyDescent="0.45">
      <c r="F94" s="18"/>
      <c r="G94" s="18"/>
      <c r="I94" s="18"/>
      <c r="J94" s="18"/>
      <c r="K94" s="18"/>
      <c r="L94" s="18"/>
      <c r="Q94" s="581"/>
      <c r="R94" s="581"/>
      <c r="S94" s="581"/>
      <c r="T94" s="581"/>
      <c r="U94" s="581"/>
      <c r="V94" s="581"/>
      <c r="W94" s="582"/>
      <c r="X94" s="18"/>
      <c r="Y94" s="18"/>
      <c r="Z94" s="18"/>
      <c r="AA94" s="18"/>
      <c r="AB94" s="18"/>
      <c r="AC94" s="18"/>
      <c r="AD94" s="18"/>
      <c r="AE94" s="18"/>
      <c r="AF94" s="18"/>
      <c r="AG94" s="18"/>
      <c r="AH94" s="18"/>
      <c r="AI94" s="18"/>
      <c r="AJ94" s="18"/>
      <c r="AK94" s="18"/>
      <c r="AL94" s="18"/>
      <c r="AX94" s="18"/>
    </row>
    <row r="95" spans="6:50" hidden="1" outlineLevel="1" x14ac:dyDescent="0.45">
      <c r="F95" s="18"/>
      <c r="G95" s="18"/>
      <c r="I95" s="18"/>
      <c r="J95" s="18"/>
      <c r="K95" s="18"/>
      <c r="L95" s="18"/>
      <c r="Q95" s="581"/>
      <c r="R95" s="581"/>
      <c r="S95" s="581"/>
      <c r="T95" s="581"/>
      <c r="U95" s="581"/>
      <c r="V95" s="581"/>
      <c r="W95" s="582"/>
      <c r="X95" s="18"/>
      <c r="Y95" s="18"/>
      <c r="Z95" s="18"/>
      <c r="AA95" s="18"/>
      <c r="AB95" s="18"/>
      <c r="AC95" s="18"/>
      <c r="AD95" s="18"/>
      <c r="AE95" s="18"/>
      <c r="AF95" s="18"/>
      <c r="AG95" s="18"/>
      <c r="AH95" s="18"/>
      <c r="AI95" s="18"/>
      <c r="AJ95" s="18"/>
      <c r="AK95" s="18"/>
      <c r="AL95" s="18"/>
      <c r="AX95" s="18"/>
    </row>
    <row r="96" spans="6:50" hidden="1" outlineLevel="1" x14ac:dyDescent="0.45">
      <c r="F96" s="18"/>
      <c r="G96" s="18"/>
      <c r="I96" s="18"/>
      <c r="J96" s="18"/>
      <c r="K96" s="18"/>
      <c r="L96" s="18"/>
      <c r="Q96" s="581"/>
      <c r="R96" s="581"/>
      <c r="S96" s="581"/>
      <c r="T96" s="581"/>
      <c r="U96" s="581"/>
      <c r="V96" s="581"/>
      <c r="W96" s="582"/>
      <c r="X96" s="18"/>
      <c r="Y96" s="18"/>
      <c r="Z96" s="18"/>
      <c r="AA96" s="18"/>
      <c r="AB96" s="18"/>
      <c r="AC96" s="18"/>
      <c r="AD96" s="18"/>
      <c r="AE96" s="18"/>
      <c r="AF96" s="18"/>
      <c r="AG96" s="18"/>
      <c r="AH96" s="18"/>
      <c r="AI96" s="18"/>
      <c r="AJ96" s="18"/>
      <c r="AK96" s="18"/>
      <c r="AL96" s="18"/>
      <c r="AX96" s="18"/>
    </row>
    <row r="97" spans="3:50" hidden="1" outlineLevel="1" x14ac:dyDescent="0.45">
      <c r="F97" s="18"/>
      <c r="G97" s="18"/>
      <c r="I97" s="18"/>
      <c r="J97" s="18"/>
      <c r="K97" s="18"/>
      <c r="L97" s="18"/>
      <c r="Q97" s="581"/>
      <c r="R97" s="581"/>
      <c r="S97" s="581"/>
      <c r="T97" s="581"/>
      <c r="U97" s="581"/>
      <c r="V97" s="581"/>
      <c r="W97" s="582"/>
      <c r="X97" s="18"/>
      <c r="Y97" s="18"/>
      <c r="Z97" s="18"/>
      <c r="AA97" s="18"/>
      <c r="AB97" s="18"/>
      <c r="AC97" s="18"/>
      <c r="AD97" s="18"/>
      <c r="AE97" s="18"/>
      <c r="AF97" s="18"/>
      <c r="AG97" s="18"/>
      <c r="AH97" s="18"/>
      <c r="AI97" s="18"/>
      <c r="AJ97" s="18"/>
      <c r="AK97" s="18"/>
      <c r="AL97" s="18"/>
      <c r="AX97" s="18"/>
    </row>
    <row r="98" spans="3:50" hidden="1" outlineLevel="1" x14ac:dyDescent="0.45">
      <c r="F98" s="18"/>
      <c r="G98" s="18"/>
      <c r="I98" s="18"/>
      <c r="J98" s="18"/>
      <c r="K98" s="18"/>
      <c r="L98" s="18"/>
      <c r="Q98" s="581"/>
      <c r="R98" s="581"/>
      <c r="S98" s="581"/>
      <c r="T98" s="581"/>
      <c r="U98" s="581"/>
      <c r="V98" s="581"/>
      <c r="W98" s="582"/>
      <c r="X98" s="18"/>
      <c r="Y98" s="18"/>
      <c r="Z98" s="18"/>
      <c r="AA98" s="18"/>
      <c r="AB98" s="18"/>
      <c r="AC98" s="18"/>
      <c r="AD98" s="18"/>
      <c r="AE98" s="18"/>
      <c r="AF98" s="18"/>
      <c r="AG98" s="18"/>
      <c r="AH98" s="18"/>
      <c r="AI98" s="18"/>
      <c r="AJ98" s="18"/>
      <c r="AK98" s="18"/>
      <c r="AL98" s="18"/>
      <c r="AX98" s="18"/>
    </row>
    <row r="99" spans="3:50" hidden="1" outlineLevel="1" x14ac:dyDescent="0.45">
      <c r="F99" s="18"/>
      <c r="G99" s="18"/>
      <c r="I99" s="18"/>
      <c r="J99" s="18"/>
      <c r="K99" s="18"/>
      <c r="L99" s="18"/>
      <c r="Q99" s="581"/>
      <c r="R99" s="581"/>
      <c r="S99" s="581"/>
      <c r="T99" s="581"/>
      <c r="U99" s="581"/>
      <c r="V99" s="581"/>
      <c r="W99" s="582"/>
      <c r="X99" s="18"/>
      <c r="Y99" s="18"/>
      <c r="Z99" s="18"/>
      <c r="AA99" s="18"/>
      <c r="AB99" s="18"/>
      <c r="AC99" s="18"/>
      <c r="AD99" s="18"/>
      <c r="AE99" s="18"/>
      <c r="AF99" s="18"/>
      <c r="AG99" s="18"/>
      <c r="AH99" s="18"/>
      <c r="AI99" s="18"/>
      <c r="AJ99" s="18"/>
      <c r="AK99" s="18"/>
      <c r="AL99" s="18"/>
      <c r="AX99" s="18"/>
    </row>
    <row r="100" spans="3:50" ht="15" hidden="1" customHeight="1" outlineLevel="1" x14ac:dyDescent="0.45"/>
    <row r="101" spans="3:50" hidden="1" outlineLevel="1" x14ac:dyDescent="0.45"/>
    <row r="102" spans="3:50" collapsed="1" x14ac:dyDescent="0.45"/>
    <row r="103" spans="3:50" x14ac:dyDescent="0.45">
      <c r="C103" t="str">
        <f>'11. Table - Expenditure Review'!C209</f>
        <v>E1.42</v>
      </c>
      <c r="D103" s="451" t="str">
        <f>'11. Table - Expenditure Review'!E209</f>
        <v>Ratios</v>
      </c>
      <c r="N103" s="800"/>
      <c r="O103" s="800"/>
      <c r="P103" s="800"/>
    </row>
    <row r="104" spans="3:50" x14ac:dyDescent="0.45">
      <c r="C104" t="str">
        <f>'11. Table - Expenditure Review'!C210</f>
        <v>E1.43</v>
      </c>
      <c r="D104" t="str">
        <f>'11. Table - Expenditure Review'!E210</f>
        <v>Sales &amp; Loans Collections/Sales &amp; Loans Raised</v>
      </c>
      <c r="N104" s="195">
        <f>'11. Table - Expenditure Review'!F210</f>
        <v>0.12911491713184367</v>
      </c>
      <c r="O104" s="195">
        <f>'11. Table - Expenditure Review'!G210</f>
        <v>0.2262622956784065</v>
      </c>
      <c r="P104" s="195">
        <f>'11. Table - Expenditure Review'!H210</f>
        <v>0.24001823843768713</v>
      </c>
      <c r="Q104" s="916">
        <f t="shared" ref="Q104:AL104" si="33">IF(Q19&lt;&gt;0,Q21/Q19,0)</f>
        <v>0.14589278010946469</v>
      </c>
      <c r="R104" s="916">
        <f t="shared" si="33"/>
        <v>0.14589278010946469</v>
      </c>
      <c r="S104" s="916">
        <f t="shared" si="33"/>
        <v>0.12668732159277471</v>
      </c>
      <c r="T104" s="916">
        <f t="shared" si="33"/>
        <v>6.5747878122074388E-2</v>
      </c>
      <c r="U104" s="916">
        <f t="shared" si="33"/>
        <v>6.5747878122074388E-2</v>
      </c>
      <c r="V104" s="916">
        <f t="shared" si="33"/>
        <v>6.5747878122074388E-2</v>
      </c>
      <c r="W104" s="916">
        <f t="shared" si="33"/>
        <v>6.5747878122074388E-2</v>
      </c>
      <c r="X104" s="916">
        <f t="shared" si="33"/>
        <v>6.5747878122074388E-2</v>
      </c>
      <c r="Y104" s="916">
        <f t="shared" si="33"/>
        <v>6.5747878122074388E-2</v>
      </c>
      <c r="Z104" s="916">
        <f t="shared" si="33"/>
        <v>6.5747878122074388E-2</v>
      </c>
      <c r="AA104" s="916">
        <f t="shared" si="33"/>
        <v>6.5747878122074388E-2</v>
      </c>
      <c r="AB104" s="916">
        <f t="shared" si="33"/>
        <v>6.5747878122074388E-2</v>
      </c>
      <c r="AC104" s="916">
        <f t="shared" si="33"/>
        <v>6.5747878122074388E-2</v>
      </c>
      <c r="AD104" s="916">
        <f t="shared" si="33"/>
        <v>6.5747878122074388E-2</v>
      </c>
      <c r="AE104" s="916">
        <f t="shared" si="33"/>
        <v>6.5747878122074388E-2</v>
      </c>
      <c r="AF104" s="916">
        <f t="shared" si="33"/>
        <v>6.5747878122074388E-2</v>
      </c>
      <c r="AG104" s="916">
        <f t="shared" si="33"/>
        <v>6.5747878122074388E-2</v>
      </c>
      <c r="AH104" s="916">
        <f t="shared" si="33"/>
        <v>6.5747878122074388E-2</v>
      </c>
      <c r="AI104" s="916">
        <f t="shared" si="33"/>
        <v>6.5747878122074388E-2</v>
      </c>
      <c r="AJ104" s="916">
        <f t="shared" si="33"/>
        <v>0.13248519490854305</v>
      </c>
      <c r="AK104" s="916">
        <f t="shared" si="33"/>
        <v>0</v>
      </c>
      <c r="AL104" s="916">
        <f t="shared" si="33"/>
        <v>8.4691837142118462E-2</v>
      </c>
    </row>
    <row r="105" spans="3:50" x14ac:dyDescent="0.45">
      <c r="C105" t="str">
        <f>'11. Table - Expenditure Review'!C211</f>
        <v>E1.44</v>
      </c>
      <c r="D105" t="str">
        <f>'11. Table - Expenditure Review'!E211</f>
        <v>Rental Collections/Rentals Raised</v>
      </c>
      <c r="N105" s="195">
        <f>'11. Table - Expenditure Review'!F211</f>
        <v>0.43074995700024832</v>
      </c>
      <c r="O105" s="195">
        <f>'11. Table - Expenditure Review'!G211</f>
        <v>0.4175691893204192</v>
      </c>
      <c r="P105" s="195">
        <f>'11. Table - Expenditure Review'!H211</f>
        <v>0.4799755579961148</v>
      </c>
      <c r="Q105" s="916">
        <f t="shared" ref="Q105:AL105" si="34">IF(Q23&lt;&gt;0,Q25/Q23,0)</f>
        <v>0.45924066965734001</v>
      </c>
      <c r="R105" s="916">
        <f t="shared" si="34"/>
        <v>0.43027023088641919</v>
      </c>
      <c r="S105" s="916">
        <f t="shared" si="34"/>
        <v>0.40193032417923641</v>
      </c>
      <c r="T105" s="916">
        <f t="shared" si="34"/>
        <v>0.40200271560394374</v>
      </c>
      <c r="U105" s="916">
        <f t="shared" si="34"/>
        <v>0.40208524472447471</v>
      </c>
      <c r="V105" s="916">
        <f t="shared" si="34"/>
        <v>0.40218020140141142</v>
      </c>
      <c r="W105" s="916">
        <f t="shared" si="34"/>
        <v>0.40229062127909859</v>
      </c>
      <c r="X105" s="916">
        <f t="shared" si="34"/>
        <v>0.40242061631570591</v>
      </c>
      <c r="Y105" s="916">
        <f t="shared" si="34"/>
        <v>0.40257589819903378</v>
      </c>
      <c r="Z105" s="916">
        <f t="shared" si="34"/>
        <v>0.4027646401181767</v>
      </c>
      <c r="AA105" s="916">
        <f t="shared" si="34"/>
        <v>0.40299896288428361</v>
      </c>
      <c r="AB105" s="916">
        <f t="shared" si="34"/>
        <v>0.40329764560146902</v>
      </c>
      <c r="AC105" s="916">
        <f t="shared" si="34"/>
        <v>0.40369142547750952</v>
      </c>
      <c r="AD105" s="916">
        <f t="shared" si="34"/>
        <v>0.40423431828483092</v>
      </c>
      <c r="AE105" s="916">
        <f t="shared" si="34"/>
        <v>0.40503080257458618</v>
      </c>
      <c r="AF105" s="916">
        <f t="shared" si="34"/>
        <v>0.40631270636913475</v>
      </c>
      <c r="AG105" s="916">
        <f t="shared" si="34"/>
        <v>0.40871828245838759</v>
      </c>
      <c r="AH105" s="916">
        <f t="shared" si="34"/>
        <v>0.41487778252245144</v>
      </c>
      <c r="AI105" s="916">
        <f t="shared" si="34"/>
        <v>0.46477863356926424</v>
      </c>
      <c r="AJ105" s="916">
        <f t="shared" si="34"/>
        <v>0</v>
      </c>
      <c r="AK105" s="916">
        <f t="shared" si="34"/>
        <v>0</v>
      </c>
      <c r="AL105" s="916">
        <f t="shared" si="34"/>
        <v>0.41305642923034358</v>
      </c>
    </row>
    <row r="106" spans="3:50" x14ac:dyDescent="0.45">
      <c r="C106" t="str">
        <f>'11. Table - Expenditure Review'!C212</f>
        <v>E1.45</v>
      </c>
      <c r="D106" t="str">
        <f>'11. Table - Expenditure Review'!E212</f>
        <v>No. of Sales Accounts Where Any Collections Were Made/Sales Accounts Raised</v>
      </c>
      <c r="N106" s="195">
        <f>'11. Table - Expenditure Review'!F212</f>
        <v>3.7890504175688212E-2</v>
      </c>
      <c r="O106" s="195">
        <f>'11. Table - Expenditure Review'!G212</f>
        <v>3.5734020998342234E-2</v>
      </c>
      <c r="P106" s="195">
        <f>'11. Table - Expenditure Review'!H212</f>
        <v>3.8430744595676539E-2</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50" x14ac:dyDescent="0.45">
      <c r="C107" t="str">
        <f>'11. Table - Expenditure Review'!C213</f>
        <v>E1.46</v>
      </c>
      <c r="D107" t="str">
        <f>'11. Table - Expenditure Review'!E213</f>
        <v>No. of Rental Accounts Where Any Collections Were Made/Rental Accounts Raised</v>
      </c>
      <c r="N107" s="195">
        <f>'11. Table - Expenditure Review'!F213</f>
        <v>0.30743887636552802</v>
      </c>
      <c r="O107" s="195">
        <f>'11. Table - Expenditure Review'!G213</f>
        <v>0.28598200899550225</v>
      </c>
      <c r="P107" s="195">
        <f>'11. Table - Expenditure Review'!H213</f>
        <v>0.3328814872192099</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50" x14ac:dyDescent="0.45">
      <c r="C108" t="str">
        <f>'11. Table - Expenditure Review'!C214</f>
        <v>E1.47</v>
      </c>
      <c r="D108" t="str">
        <f>'11. Table - Expenditure Review'!E214</f>
        <v>% Increase/(Decrease) in Rental Debtors</v>
      </c>
      <c r="N108" s="195">
        <f>'11. Table - Expenditure Review'!F214</f>
        <v>0</v>
      </c>
      <c r="O108" s="195">
        <f>'11. Table - Expenditure Review'!G214</f>
        <v>0.73369537590465173</v>
      </c>
      <c r="P108" s="195">
        <f>'11. Table - Expenditure Review'!H214</f>
        <v>58.305580012254282</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50" x14ac:dyDescent="0.45">
      <c r="C109" t="str">
        <f>'11. Table - Expenditure Review'!C215</f>
        <v>E1.48</v>
      </c>
      <c r="D109" t="str">
        <f>'11. Table - Expenditure Review'!E215</f>
        <v>Eviction rate</v>
      </c>
      <c r="N109" s="195">
        <f>'11. Table - Expenditure Review'!F215</f>
        <v>0</v>
      </c>
      <c r="O109" s="195">
        <f>'11. Table - Expenditure Review'!G215</f>
        <v>0</v>
      </c>
      <c r="P109" s="195">
        <f>'11. Table - Expenditure Review'!H215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50" x14ac:dyDescent="0.45">
      <c r="C110" t="str">
        <f>'11. Table - Expenditure Review'!C216</f>
        <v>E1.49</v>
      </c>
      <c r="D110" t="str">
        <f>'11. Table - Expenditure Review'!E216</f>
        <v>Cost to Income Ratio</v>
      </c>
      <c r="N110" s="195">
        <f>'11. Table - Expenditure Review'!F216</f>
        <v>3.9797793944828515</v>
      </c>
      <c r="O110" s="195">
        <f>'11. Table - Expenditure Review'!G216</f>
        <v>3.9774448403588876</v>
      </c>
      <c r="P110" s="195">
        <f>'11. Table - Expenditure Review'!H216</f>
        <v>5.5783167506580043</v>
      </c>
      <c r="Q110" s="914">
        <f t="shared" ref="Q110:AL110" si="35">IF(Q28&lt;&gt;0,Q47/Q28,0)</f>
        <v>12.671079931042106</v>
      </c>
      <c r="R110" s="914">
        <f t="shared" si="35"/>
        <v>13.507273116795963</v>
      </c>
      <c r="S110" s="914">
        <f t="shared" si="35"/>
        <v>15.977837533118963</v>
      </c>
      <c r="T110" s="914">
        <f t="shared" si="35"/>
        <v>30.537175879738236</v>
      </c>
      <c r="U110" s="914">
        <f t="shared" si="35"/>
        <v>31.578787537400064</v>
      </c>
      <c r="V110" s="914">
        <f t="shared" si="35"/>
        <v>32.583822867731854</v>
      </c>
      <c r="W110" s="914">
        <f t="shared" si="35"/>
        <v>33.533380100091833</v>
      </c>
      <c r="X110" s="914">
        <f t="shared" si="35"/>
        <v>34.403761511004006</v>
      </c>
      <c r="Y110" s="914">
        <f t="shared" si="35"/>
        <v>35.165178524142178</v>
      </c>
      <c r="Z110" s="914">
        <f t="shared" si="35"/>
        <v>35.780039264048</v>
      </c>
      <c r="AA110" s="914">
        <f t="shared" si="35"/>
        <v>36.200654829392356</v>
      </c>
      <c r="AB110" s="914">
        <f t="shared" si="35"/>
        <v>36.366123014428666</v>
      </c>
      <c r="AC110" s="914">
        <f t="shared" si="35"/>
        <v>36.198026779490213</v>
      </c>
      <c r="AD110" s="914">
        <f t="shared" si="35"/>
        <v>35.594389996269669</v>
      </c>
      <c r="AE110" s="914">
        <f t="shared" si="35"/>
        <v>34.421012103663806</v>
      </c>
      <c r="AF110" s="914">
        <f t="shared" si="35"/>
        <v>32.498758542525906</v>
      </c>
      <c r="AG110" s="914">
        <f t="shared" si="35"/>
        <v>29.584427062221135</v>
      </c>
      <c r="AH110" s="914">
        <f t="shared" si="35"/>
        <v>25.341063223634041</v>
      </c>
      <c r="AI110" s="914">
        <f t="shared" si="35"/>
        <v>19.29026369974644</v>
      </c>
      <c r="AJ110" s="914">
        <f t="shared" si="35"/>
        <v>1.6075727102062864</v>
      </c>
      <c r="AK110" s="914">
        <f t="shared" si="35"/>
        <v>0</v>
      </c>
      <c r="AL110" s="914">
        <f t="shared" si="35"/>
        <v>25.484788142266286</v>
      </c>
    </row>
    <row r="111" spans="3:50" x14ac:dyDescent="0.45">
      <c r="C111" t="str">
        <f>'11. Table - Expenditure Review'!C217</f>
        <v>E1.50</v>
      </c>
      <c r="D111" t="str">
        <f>'11. Table - Expenditure Review'!E217</f>
        <v>Maintenance as % of Expenses</v>
      </c>
      <c r="N111" s="195">
        <f>'11. Table - Expenditure Review'!F217</f>
        <v>0.41192797318755381</v>
      </c>
      <c r="O111" s="195">
        <f>'11. Table - Expenditure Review'!G217</f>
        <v>0.32548273107837405</v>
      </c>
      <c r="P111" s="195">
        <f>'11. Table - Expenditure Review'!H217</f>
        <v>0.40096302405356743</v>
      </c>
      <c r="Q111" s="914">
        <f t="shared" ref="Q111:AL111" si="36">IF(Q47&lt;&gt;0,Q33/Q47,0)</f>
        <v>0.39034513559371409</v>
      </c>
      <c r="R111" s="914">
        <f t="shared" si="36"/>
        <v>0.38882931518015867</v>
      </c>
      <c r="S111" s="914">
        <f t="shared" si="36"/>
        <v>0.38792906444137154</v>
      </c>
      <c r="T111" s="914">
        <f t="shared" si="36"/>
        <v>0.39105915624224319</v>
      </c>
      <c r="U111" s="914">
        <f t="shared" si="36"/>
        <v>0.38812760119698214</v>
      </c>
      <c r="V111" s="914">
        <f t="shared" si="36"/>
        <v>0.38480258720870825</v>
      </c>
      <c r="W111" s="914">
        <f t="shared" si="36"/>
        <v>0.38099920395919717</v>
      </c>
      <c r="X111" s="914">
        <f t="shared" si="36"/>
        <v>0.37660621531535154</v>
      </c>
      <c r="Y111" s="914">
        <f t="shared" si="36"/>
        <v>0.37147499941321133</v>
      </c>
      <c r="Z111" s="914">
        <f t="shared" si="36"/>
        <v>0.36540240152646231</v>
      </c>
      <c r="AA111" s="914">
        <f t="shared" si="36"/>
        <v>0.35810319625943859</v>
      </c>
      <c r="AB111" s="914">
        <f t="shared" si="36"/>
        <v>0.34916398795754855</v>
      </c>
      <c r="AC111" s="914">
        <f t="shared" si="36"/>
        <v>0.33796210521123632</v>
      </c>
      <c r="AD111" s="914">
        <f t="shared" si="36"/>
        <v>0.32351398369371032</v>
      </c>
      <c r="AE111" s="914">
        <f t="shared" si="36"/>
        <v>0.30416940002598553</v>
      </c>
      <c r="AF111" s="914">
        <f t="shared" si="36"/>
        <v>0.27693140914801878</v>
      </c>
      <c r="AG111" s="914">
        <f t="shared" si="36"/>
        <v>0.23573042123964874</v>
      </c>
      <c r="AH111" s="914">
        <f t="shared" si="36"/>
        <v>0.16612919199079115</v>
      </c>
      <c r="AI111" s="914">
        <f t="shared" si="36"/>
        <v>2.3319510182640481E-2</v>
      </c>
      <c r="AJ111" s="914">
        <f t="shared" si="36"/>
        <v>0</v>
      </c>
      <c r="AK111" s="914">
        <f t="shared" si="36"/>
        <v>0</v>
      </c>
      <c r="AL111" s="914">
        <f t="shared" si="36"/>
        <v>0.35204265561108117</v>
      </c>
    </row>
    <row r="112" spans="3:50" x14ac:dyDescent="0.45">
      <c r="C112" t="str">
        <f>'11. Table - Expenditure Review'!C218</f>
        <v>E1.51</v>
      </c>
      <c r="D112" t="str">
        <f>'11. Table - Expenditure Review'!E218</f>
        <v>Maintenance Cost per Unit</v>
      </c>
      <c r="N112" s="533">
        <f>'11. Table - Expenditure Review'!F218</f>
        <v>221716.96123404257</v>
      </c>
      <c r="O112" s="533">
        <f>'11. Table - Expenditure Review'!G218</f>
        <v>342047.40684615384</v>
      </c>
      <c r="P112" s="533">
        <f>'11. Table - Expenditure Review'!H218</f>
        <v>11128.651734496125</v>
      </c>
      <c r="Q112" s="566">
        <f t="shared" ref="Q112:AL112" si="37">IF(Q13&lt;&gt;0,Q33/Q13,0)</f>
        <v>12035.816189307363</v>
      </c>
      <c r="R112" s="566">
        <f t="shared" si="37"/>
        <v>13086.557466923452</v>
      </c>
      <c r="S112" s="566">
        <f t="shared" si="37"/>
        <v>14188.834453623436</v>
      </c>
      <c r="T112" s="566">
        <f t="shared" si="37"/>
        <v>14964.58439801161</v>
      </c>
      <c r="U112" s="566">
        <f t="shared" si="37"/>
        <v>15782.055630978948</v>
      </c>
      <c r="V112" s="566">
        <f t="shared" si="37"/>
        <v>16643.287174203506</v>
      </c>
      <c r="W112" s="566">
        <f t="shared" si="37"/>
        <v>17550.338383888764</v>
      </c>
      <c r="X112" s="566">
        <f t="shared" si="37"/>
        <v>18505.246818229018</v>
      </c>
      <c r="Y112" s="566">
        <f t="shared" si="37"/>
        <v>19509.957426780529</v>
      </c>
      <c r="Z112" s="566">
        <f t="shared" si="37"/>
        <v>20566.200907271548</v>
      </c>
      <c r="AA112" s="566">
        <f t="shared" si="37"/>
        <v>21675.277380400326</v>
      </c>
      <c r="AB112" s="566">
        <f t="shared" si="37"/>
        <v>22837.652631084573</v>
      </c>
      <c r="AC112" s="566">
        <f t="shared" si="37"/>
        <v>24052.154009453407</v>
      </c>
      <c r="AD112" s="566">
        <f t="shared" si="37"/>
        <v>25314.224042317313</v>
      </c>
      <c r="AE112" s="566">
        <f t="shared" si="37"/>
        <v>26611.651785183898</v>
      </c>
      <c r="AF112" s="566">
        <f t="shared" si="37"/>
        <v>27912.22334345604</v>
      </c>
      <c r="AG112" s="566">
        <f t="shared" si="37"/>
        <v>29117.306263097904</v>
      </c>
      <c r="AH112" s="566">
        <f t="shared" si="37"/>
        <v>29778.760391311193</v>
      </c>
      <c r="AI112" s="566">
        <f t="shared" si="37"/>
        <v>19218.711847823091</v>
      </c>
      <c r="AJ112" s="566">
        <f t="shared" si="37"/>
        <v>0</v>
      </c>
      <c r="AK112" s="566">
        <f t="shared" si="37"/>
        <v>0</v>
      </c>
      <c r="AL112" s="566">
        <f t="shared" si="37"/>
        <v>0</v>
      </c>
    </row>
    <row r="113" spans="3:38" x14ac:dyDescent="0.45">
      <c r="C113" t="str">
        <f>'11. Table - Expenditure Review'!C219</f>
        <v>E1.52</v>
      </c>
      <c r="D113" t="str">
        <f>'11. Table - Expenditure Review'!E219</f>
        <v>Net Deficit as % of HSDG Grant -  NDoHS Calc  (excl staff costs)</v>
      </c>
      <c r="N113" s="265">
        <f>'11. Table - Expenditure Review'!F219</f>
        <v>5.6283986361087817E-3</v>
      </c>
      <c r="O113" s="265">
        <f>'11. Table - Expenditure Review'!G219</f>
        <v>5.8277379008081645E-3</v>
      </c>
      <c r="P113" s="265">
        <f>'11. Table - Expenditure Review'!H219</f>
        <v>8.965710025639017E-3</v>
      </c>
      <c r="Q113" s="915">
        <f t="shared" ref="Q113:AL113" si="38">IF(Q71&lt;&gt;0,-Q48/Q71,0)</f>
        <v>1.0064622456272281E-2</v>
      </c>
      <c r="R113" s="915">
        <f t="shared" si="38"/>
        <v>9.822358387218573E-3</v>
      </c>
      <c r="S113" s="915">
        <f t="shared" si="38"/>
        <v>9.5614949341196291E-3</v>
      </c>
      <c r="T113" s="915">
        <f t="shared" si="38"/>
        <v>9.6839048748770928E-3</v>
      </c>
      <c r="U113" s="915">
        <f t="shared" si="38"/>
        <v>9.622777727496902E-3</v>
      </c>
      <c r="V113" s="915">
        <f t="shared" si="38"/>
        <v>9.5231926737937116E-3</v>
      </c>
      <c r="W113" s="915">
        <f t="shared" si="38"/>
        <v>9.3811440832379609E-3</v>
      </c>
      <c r="X113" s="915">
        <f t="shared" si="38"/>
        <v>9.1923020411084737E-3</v>
      </c>
      <c r="Y113" s="915">
        <f t="shared" si="38"/>
        <v>8.9519887942637148E-3</v>
      </c>
      <c r="Z113" s="915">
        <f t="shared" si="38"/>
        <v>8.6551535869075942E-3</v>
      </c>
      <c r="AA113" s="915">
        <f t="shared" si="38"/>
        <v>8.296345780500718E-3</v>
      </c>
      <c r="AB113" s="915">
        <f t="shared" si="38"/>
        <v>7.8696861451948985E-3</v>
      </c>
      <c r="AC113" s="915">
        <f t="shared" si="38"/>
        <v>7.3688362029707844E-3</v>
      </c>
      <c r="AD113" s="915">
        <f t="shared" si="38"/>
        <v>6.7869654950093094E-3</v>
      </c>
      <c r="AE113" s="915">
        <f t="shared" si="38"/>
        <v>6.1167166376997432E-3</v>
      </c>
      <c r="AF113" s="915">
        <f t="shared" si="38"/>
        <v>5.3501680230505248E-3</v>
      </c>
      <c r="AG113" s="915">
        <f t="shared" si="38"/>
        <v>4.4787940100927993E-3</v>
      </c>
      <c r="AH113" s="915">
        <f t="shared" si="38"/>
        <v>3.4934224441170959E-3</v>
      </c>
      <c r="AI113" s="915">
        <f t="shared" si="38"/>
        <v>2.3841893302257808E-3</v>
      </c>
      <c r="AJ113" s="915">
        <f t="shared" si="38"/>
        <v>2.232423024839863E-5</v>
      </c>
      <c r="AK113" s="915">
        <f t="shared" si="38"/>
        <v>0</v>
      </c>
      <c r="AL113" s="915">
        <f t="shared" si="38"/>
        <v>6.9822089456383794E-3</v>
      </c>
    </row>
    <row r="114" spans="3:38" x14ac:dyDescent="0.45">
      <c r="C114" t="str">
        <f>'11. Table - Expenditure Review'!C220</f>
        <v>E1.53</v>
      </c>
      <c r="D114" t="str">
        <f>'11. Table - Expenditure Review'!E220</f>
        <v>Net Deficit (Surplus) as % of HSDG Grant - Calculated Above</v>
      </c>
      <c r="N114" s="265">
        <f>'11. Table - Expenditure Review'!F220</f>
        <v>7.1340708821272698E-3</v>
      </c>
      <c r="O114" s="265">
        <f>'11. Table - Expenditure Review'!G220</f>
        <v>7.6800552566858417E-3</v>
      </c>
      <c r="P114" s="265">
        <f>'11. Table - Expenditure Review'!H220</f>
        <v>8.965710025639017E-3</v>
      </c>
      <c r="Q114" s="915">
        <f t="shared" ref="Q114:AL114" si="39">IF(Q71&lt;&gt;0,-Q48/Q71,0)</f>
        <v>1.0064622456272281E-2</v>
      </c>
      <c r="R114" s="915">
        <f t="shared" si="39"/>
        <v>9.822358387218573E-3</v>
      </c>
      <c r="S114" s="915">
        <f t="shared" si="39"/>
        <v>9.5614949341196291E-3</v>
      </c>
      <c r="T114" s="915">
        <f t="shared" si="39"/>
        <v>9.6839048748770928E-3</v>
      </c>
      <c r="U114" s="915">
        <f t="shared" si="39"/>
        <v>9.622777727496902E-3</v>
      </c>
      <c r="V114" s="915">
        <f t="shared" si="39"/>
        <v>9.5231926737937116E-3</v>
      </c>
      <c r="W114" s="915">
        <f t="shared" si="39"/>
        <v>9.3811440832379609E-3</v>
      </c>
      <c r="X114" s="915">
        <f t="shared" si="39"/>
        <v>9.1923020411084737E-3</v>
      </c>
      <c r="Y114" s="915">
        <f t="shared" si="39"/>
        <v>8.9519887942637148E-3</v>
      </c>
      <c r="Z114" s="915">
        <f t="shared" si="39"/>
        <v>8.6551535869075942E-3</v>
      </c>
      <c r="AA114" s="915">
        <f t="shared" si="39"/>
        <v>8.296345780500718E-3</v>
      </c>
      <c r="AB114" s="915">
        <f t="shared" si="39"/>
        <v>7.8696861451948985E-3</v>
      </c>
      <c r="AC114" s="915">
        <f t="shared" si="39"/>
        <v>7.3688362029707844E-3</v>
      </c>
      <c r="AD114" s="915">
        <f t="shared" si="39"/>
        <v>6.7869654950093094E-3</v>
      </c>
      <c r="AE114" s="915">
        <f t="shared" si="39"/>
        <v>6.1167166376997432E-3</v>
      </c>
      <c r="AF114" s="915">
        <f t="shared" si="39"/>
        <v>5.3501680230505248E-3</v>
      </c>
      <c r="AG114" s="915">
        <f t="shared" si="39"/>
        <v>4.4787940100927993E-3</v>
      </c>
      <c r="AH114" s="915">
        <f t="shared" si="39"/>
        <v>3.4934224441170959E-3</v>
      </c>
      <c r="AI114" s="915">
        <f t="shared" si="39"/>
        <v>2.3841893302257808E-3</v>
      </c>
      <c r="AJ114" s="915">
        <f t="shared" si="39"/>
        <v>2.232423024839863E-5</v>
      </c>
      <c r="AK114" s="915">
        <f t="shared" si="39"/>
        <v>0</v>
      </c>
      <c r="AL114" s="915">
        <f t="shared" si="39"/>
        <v>6.9822089456383794E-3</v>
      </c>
    </row>
    <row r="115" spans="3:38" x14ac:dyDescent="0.45">
      <c r="C115" t="str">
        <f>'11. Table - Expenditure Review'!C221</f>
        <v>E1.54</v>
      </c>
      <c r="D115" t="str">
        <f>'11. Table - Expenditure Review'!E221</f>
        <v>EEDBS as % of HSDG</v>
      </c>
      <c r="N115" s="265">
        <f>'11. Table - Expenditure Review'!F221</f>
        <v>1.3501498573366593E-3</v>
      </c>
      <c r="O115" s="265">
        <f>'11. Table - Expenditure Review'!G221</f>
        <v>1.3220500212674947E-3</v>
      </c>
      <c r="P115" s="265">
        <f>'11. Table - Expenditure Review'!H221</f>
        <v>8.1753659030898095E-4</v>
      </c>
      <c r="Q115" s="915">
        <f t="shared" ref="Q115:AL115" si="40">IF(Q71&lt;&gt;0,Q67/Q71,0)</f>
        <v>1.604945291914538E-5</v>
      </c>
      <c r="R115" s="915">
        <f t="shared" si="40"/>
        <v>1.604945291914538E-5</v>
      </c>
      <c r="S115" s="915">
        <f t="shared" si="40"/>
        <v>1.604945291914538E-5</v>
      </c>
      <c r="T115" s="915">
        <f t="shared" si="40"/>
        <v>1.783272546571709E-6</v>
      </c>
      <c r="U115" s="915">
        <f t="shared" si="40"/>
        <v>1.783272546571709E-6</v>
      </c>
      <c r="V115" s="915">
        <f t="shared" si="40"/>
        <v>1.783272546571709E-6</v>
      </c>
      <c r="W115" s="915">
        <f t="shared" si="40"/>
        <v>1.783272546571709E-6</v>
      </c>
      <c r="X115" s="915">
        <f t="shared" si="40"/>
        <v>1.783272546571709E-6</v>
      </c>
      <c r="Y115" s="915">
        <f t="shared" si="40"/>
        <v>1.783272546571709E-6</v>
      </c>
      <c r="Z115" s="915">
        <f t="shared" si="40"/>
        <v>1.783272546571709E-6</v>
      </c>
      <c r="AA115" s="915">
        <f t="shared" si="40"/>
        <v>1.783272546571709E-6</v>
      </c>
      <c r="AB115" s="915">
        <f t="shared" si="40"/>
        <v>1.783272546571709E-6</v>
      </c>
      <c r="AC115" s="915">
        <f t="shared" si="40"/>
        <v>1.783272546571709E-6</v>
      </c>
      <c r="AD115" s="915">
        <f t="shared" si="40"/>
        <v>1.783272546571709E-6</v>
      </c>
      <c r="AE115" s="915">
        <f t="shared" si="40"/>
        <v>1.783272546571709E-6</v>
      </c>
      <c r="AF115" s="915">
        <f t="shared" si="40"/>
        <v>1.783272546571709E-6</v>
      </c>
      <c r="AG115" s="915">
        <f t="shared" si="40"/>
        <v>1.783272546571709E-6</v>
      </c>
      <c r="AH115" s="915">
        <f t="shared" si="40"/>
        <v>1.783272546571709E-6</v>
      </c>
      <c r="AI115" s="915">
        <f t="shared" si="40"/>
        <v>1.783272546571709E-6</v>
      </c>
      <c r="AJ115" s="915">
        <f t="shared" si="40"/>
        <v>1.2020956834399175E-3</v>
      </c>
      <c r="AK115" s="915">
        <f t="shared" si="40"/>
        <v>0</v>
      </c>
      <c r="AL115" s="915">
        <f t="shared" si="40"/>
        <v>6.0894114425833389E-5</v>
      </c>
    </row>
    <row r="116" spans="3:38" x14ac:dyDescent="0.45">
      <c r="C116" t="str">
        <f>'11. Table - Expenditure Review'!C222</f>
        <v>E1.55</v>
      </c>
      <c r="D116" t="str">
        <f>'11. Table - Expenditure Review'!E222</f>
        <v>Debtors Balance as % of Rental Raised</v>
      </c>
      <c r="N116" s="265">
        <f>'11. Table - Expenditure Review'!F222</f>
        <v>0</v>
      </c>
      <c r="O116" s="265">
        <f>'11. Table - Expenditure Review'!G222</f>
        <v>0</v>
      </c>
      <c r="P116" s="265">
        <f>'11. Table - Expenditure Review'!H222</f>
        <v>8.2115620410245764</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3:38" x14ac:dyDescent="0.45">
      <c r="C117" t="str">
        <f>'11. Table - Expenditure Review'!C223</f>
        <v>E1.56</v>
      </c>
      <c r="D117" t="str">
        <f>'11. Table - Expenditure Review'!E223</f>
        <v>Average Expenditure per unit per month</v>
      </c>
      <c r="N117" s="533">
        <f>'11. Table - Expenditure Review'!F223</f>
        <v>0</v>
      </c>
      <c r="O117" s="533">
        <f>'11. Table - Expenditure Review'!G223</f>
        <v>0</v>
      </c>
      <c r="P117" s="533">
        <f>'11. Table - Expenditure Review'!H223</f>
        <v>2312.9006639211889</v>
      </c>
      <c r="Q117" s="566">
        <f t="shared" ref="Q117:AL117" si="41">IF(Q13&lt;&gt;0,Q47/Q13/12,0)</f>
        <v>2569.4816996162713</v>
      </c>
      <c r="R117" s="566">
        <f t="shared" si="41"/>
        <v>2804.6919638033582</v>
      </c>
      <c r="S117" s="566">
        <f t="shared" si="41"/>
        <v>3047.9873242753256</v>
      </c>
      <c r="T117" s="566">
        <f t="shared" si="41"/>
        <v>3188.9004001783592</v>
      </c>
      <c r="U117" s="566">
        <f t="shared" si="41"/>
        <v>3388.5023856216412</v>
      </c>
      <c r="V117" s="566">
        <f t="shared" si="41"/>
        <v>3604.2912494713732</v>
      </c>
      <c r="W117" s="566">
        <f t="shared" si="41"/>
        <v>3838.6647096880165</v>
      </c>
      <c r="X117" s="566">
        <f t="shared" si="41"/>
        <v>4094.7383203110512</v>
      </c>
      <c r="Y117" s="566">
        <f t="shared" si="41"/>
        <v>4376.686959104205</v>
      </c>
      <c r="Z117" s="566">
        <f t="shared" si="41"/>
        <v>4690.3087348259969</v>
      </c>
      <c r="AA117" s="566">
        <f t="shared" si="41"/>
        <v>5044.0016562285909</v>
      </c>
      <c r="AB117" s="566">
        <f t="shared" si="41"/>
        <v>5450.5555695750381</v>
      </c>
      <c r="AC117" s="566">
        <f t="shared" si="41"/>
        <v>5930.683164024188</v>
      </c>
      <c r="AD117" s="566">
        <f t="shared" si="41"/>
        <v>6520.6413834349578</v>
      </c>
      <c r="AE117" s="566">
        <f t="shared" si="41"/>
        <v>7290.797984859325</v>
      </c>
      <c r="AF117" s="566">
        <f t="shared" si="41"/>
        <v>8399.2589324218607</v>
      </c>
      <c r="AG117" s="566">
        <f t="shared" si="41"/>
        <v>10293.29254930876</v>
      </c>
      <c r="AH117" s="566">
        <f t="shared" si="41"/>
        <v>14937.551529656252</v>
      </c>
      <c r="AI117" s="566">
        <f t="shared" si="41"/>
        <v>68678.943430130777</v>
      </c>
      <c r="AJ117" s="566">
        <f t="shared" si="41"/>
        <v>0</v>
      </c>
      <c r="AK117" s="566">
        <f t="shared" si="41"/>
        <v>0</v>
      </c>
      <c r="AL117" s="566">
        <f t="shared" si="41"/>
        <v>0</v>
      </c>
    </row>
    <row r="118" spans="3:38" x14ac:dyDescent="0.45">
      <c r="C118" t="str">
        <f>'11. Table - Expenditure Review'!C224</f>
        <v>E1.57</v>
      </c>
      <c r="D118" t="str">
        <f>'11. Table - Expenditure Review'!E224</f>
        <v>Net Surplus/Deficit p.u.p.m.</v>
      </c>
      <c r="N118" s="533">
        <f>'11. Table - Expenditure Review'!F224</f>
        <v>0</v>
      </c>
      <c r="O118" s="533">
        <f>'11. Table - Expenditure Review'!G224</f>
        <v>0</v>
      </c>
      <c r="P118" s="533">
        <f>'11. Table - Expenditure Review'!H224</f>
        <v>-1898.2772627583979</v>
      </c>
      <c r="Q118" s="566">
        <f t="shared" ref="Q118:AL118" si="42">IF(Q13&lt;&gt;0,Q48/Q13/12,0)</f>
        <v>-2366.6985340455567</v>
      </c>
      <c r="R118" s="566">
        <f t="shared" si="42"/>
        <v>-2597.04887111163</v>
      </c>
      <c r="S118" s="566">
        <f t="shared" si="42"/>
        <v>-2857.2238797254959</v>
      </c>
      <c r="T118" s="566">
        <f t="shared" si="42"/>
        <v>-3084.4735726047511</v>
      </c>
      <c r="U118" s="566">
        <f t="shared" si="42"/>
        <v>-3281.1992669820006</v>
      </c>
      <c r="V118" s="566">
        <f t="shared" si="42"/>
        <v>-3493.675277119009</v>
      </c>
      <c r="W118" s="566">
        <f t="shared" si="42"/>
        <v>-3724.1917666613899</v>
      </c>
      <c r="X118" s="566">
        <f t="shared" si="42"/>
        <v>-3975.7182440033671</v>
      </c>
      <c r="Y118" s="566">
        <f t="shared" si="42"/>
        <v>-4252.226138975012</v>
      </c>
      <c r="Z118" s="566">
        <f t="shared" si="42"/>
        <v>-4559.2214349990554</v>
      </c>
      <c r="AA118" s="566">
        <f t="shared" si="42"/>
        <v>-4904.667114353585</v>
      </c>
      <c r="AB118" s="566">
        <f t="shared" si="42"/>
        <v>-5300.6755406422735</v>
      </c>
      <c r="AC118" s="566">
        <f t="shared" si="42"/>
        <v>-5766.8432066653941</v>
      </c>
      <c r="AD118" s="566">
        <f t="shared" si="42"/>
        <v>-6337.4484312838358</v>
      </c>
      <c r="AE118" s="566">
        <f t="shared" si="42"/>
        <v>-7078.9855615958231</v>
      </c>
      <c r="AF118" s="566">
        <f t="shared" si="42"/>
        <v>-8140.8103236409725</v>
      </c>
      <c r="AG118" s="566">
        <f t="shared" si="42"/>
        <v>-9945.363129291256</v>
      </c>
      <c r="AH118" s="566">
        <f t="shared" si="42"/>
        <v>-14348.091198105329</v>
      </c>
      <c r="AI118" s="566">
        <f t="shared" si="42"/>
        <v>-65118.652886718795</v>
      </c>
      <c r="AJ118" s="566">
        <f t="shared" si="42"/>
        <v>0</v>
      </c>
      <c r="AK118" s="566">
        <f t="shared" si="42"/>
        <v>0</v>
      </c>
      <c r="AL118" s="566">
        <f t="shared" si="42"/>
        <v>0</v>
      </c>
    </row>
    <row r="120" spans="3:38" hidden="1" outlineLevel="1" x14ac:dyDescent="0.45"/>
    <row r="121" spans="3:38" hidden="1" outlineLevel="1" x14ac:dyDescent="0.45"/>
    <row r="122" spans="3:38" hidden="1" outlineLevel="1" x14ac:dyDescent="0.45"/>
    <row r="123" spans="3:38" hidden="1" outlineLevel="1" x14ac:dyDescent="0.45"/>
    <row r="124" spans="3:38" hidden="1" outlineLevel="1" x14ac:dyDescent="0.45"/>
    <row r="125" spans="3:38" hidden="1" outlineLevel="1" x14ac:dyDescent="0.45"/>
    <row r="126" spans="3:38" hidden="1" outlineLevel="1" x14ac:dyDescent="0.45">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3:38" hidden="1" outlineLevel="1" x14ac:dyDescent="0.45">
      <c r="C127" s="583">
        <f>'10. Inputs &amp; Calcs'!C142</f>
        <v>13</v>
      </c>
      <c r="D127" s="583" t="str">
        <f>'10. Inputs &amp; Calcs'!D142</f>
        <v>Total EEDBS Paid p.a. i.r.o. Existing Rental Units</v>
      </c>
      <c r="E127" s="583"/>
      <c r="M127" s="583"/>
      <c r="N127" s="615">
        <f>SUMIF('10. Inputs &amp; Calcs'!$D$143:$D$148,$E$10,'10. Inputs &amp; Calcs'!F$143:F$148)</f>
        <v>5576064</v>
      </c>
      <c r="O127" s="615">
        <f>SUMIF('10. Inputs &amp; Calcs'!$D$143:$D$148,$E$10,'10. Inputs &amp; Calcs'!G$143:G$148)</f>
        <v>1243913</v>
      </c>
      <c r="P127" s="615">
        <f>SUMIF('10. Inputs &amp; Calcs'!$D$143:$D$148,$E$10,'10. Inputs &amp; Calcs'!H$143:H$148)</f>
        <v>313420</v>
      </c>
      <c r="Q127" s="996">
        <f>-'10. Inputs &amp; Calcs'!I$190</f>
        <v>0</v>
      </c>
      <c r="R127" s="996">
        <f>-'10. Inputs &amp; Calcs'!J$190</f>
        <v>0</v>
      </c>
      <c r="S127" s="996">
        <f>-'10. Inputs &amp; Calcs'!K$190</f>
        <v>0</v>
      </c>
      <c r="T127" s="615">
        <f>-'10. Inputs &amp; Calcs'!L$190</f>
        <v>0</v>
      </c>
      <c r="U127" s="615">
        <f>-'10. Inputs &amp; Calcs'!M$190</f>
        <v>0</v>
      </c>
      <c r="V127" s="615">
        <f>-'10. Inputs &amp; Calcs'!N$190</f>
        <v>0</v>
      </c>
      <c r="W127" s="615">
        <f>-'10. Inputs &amp; Calcs'!O$190</f>
        <v>0</v>
      </c>
      <c r="X127" s="615">
        <f>-'10. Inputs &amp; Calcs'!P$190</f>
        <v>0</v>
      </c>
      <c r="Y127" s="615">
        <f>-'10. Inputs &amp; Calcs'!Q$190</f>
        <v>0</v>
      </c>
      <c r="Z127" s="615">
        <f>-'10. Inputs &amp; Calcs'!R$190</f>
        <v>0</v>
      </c>
      <c r="AA127" s="615">
        <f>-'10. Inputs &amp; Calcs'!S$190</f>
        <v>0</v>
      </c>
      <c r="AB127" s="615">
        <f>-'10. Inputs &amp; Calcs'!T$190</f>
        <v>0</v>
      </c>
      <c r="AC127" s="615">
        <f>-'10. Inputs &amp; Calcs'!U$190</f>
        <v>0</v>
      </c>
      <c r="AD127" s="615">
        <f>-'10. Inputs &amp; Calcs'!V$190</f>
        <v>0</v>
      </c>
      <c r="AE127" s="615">
        <f>-'10. Inputs &amp; Calcs'!W$190</f>
        <v>0</v>
      </c>
      <c r="AF127" s="615">
        <f>-'10. Inputs &amp; Calcs'!X$190</f>
        <v>0</v>
      </c>
      <c r="AG127" s="615">
        <f>-'10. Inputs &amp; Calcs'!Y$190</f>
        <v>0</v>
      </c>
      <c r="AH127" s="615">
        <f>-'10. Inputs &amp; Calcs'!Z$190</f>
        <v>0</v>
      </c>
      <c r="AI127" s="980">
        <f>-'10. Inputs &amp; Calcs'!AA$190</f>
        <v>0</v>
      </c>
      <c r="AJ127" s="980">
        <f>-'10. Inputs &amp; Calcs'!AB$190</f>
        <v>15712833.261052625</v>
      </c>
      <c r="AK127" s="615">
        <f>-'10. Inputs &amp; Calcs'!AC$190</f>
        <v>0</v>
      </c>
      <c r="AL127" s="615">
        <f>-'10. Inputs &amp; Calcs'!AD$190</f>
        <v>15712833.261052625</v>
      </c>
    </row>
    <row r="128" spans="3:38" hidden="1" outlineLevel="1" x14ac:dyDescent="0.45">
      <c r="C128" s="583">
        <f>'10. Inputs &amp; Calcs'!C431</f>
        <v>45</v>
      </c>
      <c r="D128" s="583" t="str">
        <f>'10. Inputs &amp; Calcs'!D431</f>
        <v>Sales Collected</v>
      </c>
      <c r="E128" s="583"/>
      <c r="M128" s="583"/>
      <c r="N128" s="615">
        <f>SUMIF('10. Inputs &amp; Calcs'!$D$432:$D$437,$E$10,'10. Inputs &amp; Calcs'!F$432:F$437)</f>
        <v>103109.91</v>
      </c>
      <c r="O128" s="615">
        <f>SUMIF('10. Inputs &amp; Calcs'!$D$432:$D$437,$E$10,'10. Inputs &amp; Calcs'!G$432:G$437)</f>
        <v>699694.66999999993</v>
      </c>
      <c r="P128" s="615">
        <f>SUMIF('10. Inputs &amp; Calcs'!$D$432:$D$437,$E$10,'10. Inputs &amp; Calcs'!H$432:H$437)</f>
        <v>554558.53</v>
      </c>
      <c r="Q128" s="615">
        <f>SUMIF('10. Inputs &amp; Calcs'!$D$432:$D$437,$E$10,'10. Inputs &amp; Calcs'!I$432:I$437)</f>
        <v>475120.84724420751</v>
      </c>
      <c r="R128" s="615">
        <f>SUMIF('10. Inputs &amp; Calcs'!$D$432:$D$437,$E$10,'10. Inputs &amp; Calcs'!J$432:J$437)</f>
        <v>475120.84724420751</v>
      </c>
      <c r="S128" s="615">
        <f>SUMIF('10. Inputs &amp; Calcs'!$D$432:$D$437,$E$10,'10. Inputs &amp; Calcs'!K$432:K$437)</f>
        <v>475120.84724420751</v>
      </c>
      <c r="T128" s="615">
        <f>SUMIF('10. Inputs &amp; Calcs'!$D$432:$D$437,$E$10,'10. Inputs &amp; Calcs'!L$432:L$437)</f>
        <v>52791.205249356397</v>
      </c>
      <c r="U128" s="615">
        <f>SUMIF('10. Inputs &amp; Calcs'!$D$432:$D$437,$E$10,'10. Inputs &amp; Calcs'!M$432:M$437)</f>
        <v>52791.205249356397</v>
      </c>
      <c r="V128" s="615">
        <f>SUMIF('10. Inputs &amp; Calcs'!$D$432:$D$437,$E$10,'10. Inputs &amp; Calcs'!N$432:N$437)</f>
        <v>52791.205249356397</v>
      </c>
      <c r="W128" s="615">
        <f>SUMIF('10. Inputs &amp; Calcs'!$D$432:$D$437,$E$10,'10. Inputs &amp; Calcs'!O$432:O$437)</f>
        <v>52791.205249356397</v>
      </c>
      <c r="X128" s="615">
        <f>SUMIF('10. Inputs &amp; Calcs'!$D$432:$D$437,$E$10,'10. Inputs &amp; Calcs'!P$432:P$437)</f>
        <v>52791.205249356397</v>
      </c>
      <c r="Y128" s="615">
        <f>SUMIF('10. Inputs &amp; Calcs'!$D$432:$D$437,$E$10,'10. Inputs &amp; Calcs'!Q$432:Q$437)</f>
        <v>52791.205249356397</v>
      </c>
      <c r="Z128" s="615">
        <f>SUMIF('10. Inputs &amp; Calcs'!$D$432:$D$437,$E$10,'10. Inputs &amp; Calcs'!R$432:R$437)</f>
        <v>52791.205249356397</v>
      </c>
      <c r="AA128" s="615">
        <f>SUMIF('10. Inputs &amp; Calcs'!$D$432:$D$437,$E$10,'10. Inputs &amp; Calcs'!S$432:S$437)</f>
        <v>52791.205249356397</v>
      </c>
      <c r="AB128" s="615">
        <f>SUMIF('10. Inputs &amp; Calcs'!$D$432:$D$437,$E$10,'10. Inputs &amp; Calcs'!T$432:T$437)</f>
        <v>52791.205249356397</v>
      </c>
      <c r="AC128" s="615">
        <f>SUMIF('10. Inputs &amp; Calcs'!$D$432:$D$437,$E$10,'10. Inputs &amp; Calcs'!U$432:U$437)</f>
        <v>52791.205249356397</v>
      </c>
      <c r="AD128" s="615">
        <f>SUMIF('10. Inputs &amp; Calcs'!$D$432:$D$437,$E$10,'10. Inputs &amp; Calcs'!V$432:V$437)</f>
        <v>52791.205249356397</v>
      </c>
      <c r="AE128" s="615">
        <f>SUMIF('10. Inputs &amp; Calcs'!$D$432:$D$437,$E$10,'10. Inputs &amp; Calcs'!W$432:W$437)</f>
        <v>52791.205249356397</v>
      </c>
      <c r="AF128" s="615">
        <f>SUMIF('10. Inputs &amp; Calcs'!$D$432:$D$437,$E$10,'10. Inputs &amp; Calcs'!X$432:X$437)</f>
        <v>52791.205249356397</v>
      </c>
      <c r="AG128" s="615">
        <f>SUMIF('10. Inputs &amp; Calcs'!$D$432:$D$437,$E$10,'10. Inputs &amp; Calcs'!Y$432:Y$437)</f>
        <v>52791.205249356397</v>
      </c>
      <c r="AH128" s="615">
        <f>SUMIF('10. Inputs &amp; Calcs'!$D$432:$D$437,$E$10,'10. Inputs &amp; Calcs'!Z$432:Z$437)</f>
        <v>52791.205249356397</v>
      </c>
      <c r="AI128" s="615">
        <f>SUMIF('10. Inputs &amp; Calcs'!$D$432:$D$437,$E$10,'10. Inputs &amp; Calcs'!AA$432:AA$437)</f>
        <v>52791.205249356397</v>
      </c>
      <c r="AJ128" s="615">
        <f>SUMIF('10. Inputs &amp; Calcs'!$D$432:$D$437,$E$10,'10. Inputs &amp; Calcs'!AB$432:AB$437)</f>
        <v>105582.41049871279</v>
      </c>
      <c r="AK128" s="615">
        <f>SUMIF('10. Inputs &amp; Calcs'!$D$432:$D$437,$E$10,'10. Inputs &amp; Calcs'!AC$432:AC$437)</f>
        <v>0</v>
      </c>
      <c r="AL128" s="615">
        <f>SUMIF('10. Inputs &amp; Calcs'!$D$432:$D$437,$E$10,'10. Inputs &amp; Calcs'!AD$432:AD$437)</f>
        <v>2375604.2362210373</v>
      </c>
    </row>
    <row r="129" spans="3:38" hidden="1" outlineLevel="1" x14ac:dyDescent="0.45">
      <c r="C129" s="583">
        <f>'10. Inputs &amp; Calcs'!C573</f>
        <v>60</v>
      </c>
      <c r="D129" s="583" t="str">
        <f>'10. Inputs &amp; Calcs'!D573</f>
        <v>Total Rental Collected p.a.</v>
      </c>
      <c r="E129" s="583"/>
      <c r="M129" s="583"/>
      <c r="N129" s="615">
        <f>SUMIF('10. Inputs &amp; Calcs'!$D$574:$D$579,$E$10,'10. Inputs &amp; Calcs'!F$574:F$579)</f>
        <v>883643.01000000013</v>
      </c>
      <c r="O129" s="615">
        <f>SUMIF('10. Inputs &amp; Calcs'!$D$574:$D$579,$E$10,'10. Inputs &amp; Calcs'!G$574:G$579)</f>
        <v>197492.81</v>
      </c>
      <c r="P129" s="615">
        <f>SUMIF('10. Inputs &amp; Calcs'!$D$574:$D$579,$E$10,'10. Inputs &amp; Calcs'!H$574:H$579)</f>
        <v>219792.4</v>
      </c>
      <c r="Q129" s="615">
        <f>SUMIF('10. Inputs &amp; Calcs'!$D$574:$D$579,$E$10,'10. Inputs &amp; Calcs'!I$574:I$579)</f>
        <v>175833.91999999998</v>
      </c>
      <c r="R129" s="615">
        <f>SUMIF('10. Inputs &amp; Calcs'!$D$574:$D$579,$E$10,'10. Inputs &amp; Calcs'!J$574:J$579)</f>
        <v>131875.43999999997</v>
      </c>
      <c r="S129" s="615">
        <f>SUMIF('10. Inputs &amp; Calcs'!$D$574:$D$579,$E$10,'10. Inputs &amp; Calcs'!K$574:K$579)</f>
        <v>87916.959999999992</v>
      </c>
      <c r="T129" s="615">
        <f>SUMIF('10. Inputs &amp; Calcs'!$D$574:$D$579,$E$10,'10. Inputs &amp; Calcs'!L$574:L$579)</f>
        <v>83032.684444444443</v>
      </c>
      <c r="U129" s="615">
        <f>SUMIF('10. Inputs &amp; Calcs'!$D$574:$D$579,$E$10,'10. Inputs &amp; Calcs'!M$574:M$579)</f>
        <v>78148.408888888895</v>
      </c>
      <c r="V129" s="615">
        <f>SUMIF('10. Inputs &amp; Calcs'!$D$574:$D$579,$E$10,'10. Inputs &amp; Calcs'!N$574:N$579)</f>
        <v>73264.133333333331</v>
      </c>
      <c r="W129" s="615">
        <f>SUMIF('10. Inputs &amp; Calcs'!$D$574:$D$579,$E$10,'10. Inputs &amp; Calcs'!O$574:O$579)</f>
        <v>68379.857777777783</v>
      </c>
      <c r="X129" s="615">
        <f>SUMIF('10. Inputs &amp; Calcs'!$D$574:$D$579,$E$10,'10. Inputs &amp; Calcs'!P$574:P$579)</f>
        <v>63495.58222222222</v>
      </c>
      <c r="Y129" s="615">
        <f>SUMIF('10. Inputs &amp; Calcs'!$D$574:$D$579,$E$10,'10. Inputs &amp; Calcs'!Q$574:Q$579)</f>
        <v>58611.306666666664</v>
      </c>
      <c r="Z129" s="615">
        <f>SUMIF('10. Inputs &amp; Calcs'!$D$574:$D$579,$E$10,'10. Inputs &amp; Calcs'!R$574:R$579)</f>
        <v>53727.031111111108</v>
      </c>
      <c r="AA129" s="615">
        <f>SUMIF('10. Inputs &amp; Calcs'!$D$574:$D$579,$E$10,'10. Inputs &amp; Calcs'!S$574:S$579)</f>
        <v>48842.755555555552</v>
      </c>
      <c r="AB129" s="615">
        <f>SUMIF('10. Inputs &amp; Calcs'!$D$574:$D$579,$E$10,'10. Inputs &amp; Calcs'!T$574:T$579)</f>
        <v>43958.479999999996</v>
      </c>
      <c r="AC129" s="615">
        <f>SUMIF('10. Inputs &amp; Calcs'!$D$574:$D$579,$E$10,'10. Inputs &amp; Calcs'!U$574:U$579)</f>
        <v>39074.20444444444</v>
      </c>
      <c r="AD129" s="615">
        <f>SUMIF('10. Inputs &amp; Calcs'!$D$574:$D$579,$E$10,'10. Inputs &amp; Calcs'!V$574:V$579)</f>
        <v>34189.928888888884</v>
      </c>
      <c r="AE129" s="615">
        <f>SUMIF('10. Inputs &amp; Calcs'!$D$574:$D$579,$E$10,'10. Inputs &amp; Calcs'!W$574:W$579)</f>
        <v>29305.653333333332</v>
      </c>
      <c r="AF129" s="615">
        <f>SUMIF('10. Inputs &amp; Calcs'!$D$574:$D$579,$E$10,'10. Inputs &amp; Calcs'!X$574:X$579)</f>
        <v>24421.377777777776</v>
      </c>
      <c r="AG129" s="615">
        <f>SUMIF('10. Inputs &amp; Calcs'!$D$574:$D$579,$E$10,'10. Inputs &amp; Calcs'!Y$574:Y$579)</f>
        <v>19537.102222222224</v>
      </c>
      <c r="AH129" s="615">
        <f>SUMIF('10. Inputs &amp; Calcs'!$D$574:$D$579,$E$10,'10. Inputs &amp; Calcs'!Z$574:Z$579)</f>
        <v>14652.826666666666</v>
      </c>
      <c r="AI129" s="615">
        <f>SUMIF('10. Inputs &amp; Calcs'!$D$574:$D$579,$E$10,'10. Inputs &amp; Calcs'!AA$574:AA$579)</f>
        <v>9768.5511111111118</v>
      </c>
      <c r="AJ129" s="615">
        <f>SUMIF('10. Inputs &amp; Calcs'!$D$574:$D$579,$E$10,'10. Inputs &amp; Calcs'!AB$574:AB$579)</f>
        <v>0</v>
      </c>
      <c r="AK129" s="615">
        <f>SUMIF('10. Inputs &amp; Calcs'!$D$574:$D$579,$E$10,'10. Inputs &amp; Calcs'!AC$574:AC$579)</f>
        <v>0</v>
      </c>
      <c r="AL129" s="615">
        <f>SUMIF('10. Inputs &amp; Calcs'!$D$574:$D$579,$E$10,'10. Inputs &amp; Calcs'!AD$574:AD$579)</f>
        <v>1138036.2044444445</v>
      </c>
    </row>
    <row r="130" spans="3:38" hidden="1" outlineLevel="1" x14ac:dyDescent="0.45">
      <c r="C130" s="583"/>
      <c r="D130" s="747" t="s">
        <v>330</v>
      </c>
      <c r="E130" s="583"/>
      <c r="M130" s="583"/>
      <c r="N130" s="613">
        <f t="shared" ref="N130:AL130" si="43">SUM(N127:N129)</f>
        <v>6562816.9199999999</v>
      </c>
      <c r="O130" s="613">
        <f t="shared" si="43"/>
        <v>2141100.48</v>
      </c>
      <c r="P130" s="613">
        <f t="shared" si="43"/>
        <v>1087770.93</v>
      </c>
      <c r="Q130" s="613">
        <f t="shared" si="43"/>
        <v>650954.76724420744</v>
      </c>
      <c r="R130" s="613">
        <f t="shared" si="43"/>
        <v>606996.28724420746</v>
      </c>
      <c r="S130" s="613">
        <f t="shared" si="43"/>
        <v>563037.80724420748</v>
      </c>
      <c r="T130" s="613">
        <f t="shared" si="43"/>
        <v>135823.88969380083</v>
      </c>
      <c r="U130" s="613">
        <f t="shared" si="43"/>
        <v>130939.61413824529</v>
      </c>
      <c r="V130" s="613">
        <f t="shared" si="43"/>
        <v>126055.33858268973</v>
      </c>
      <c r="W130" s="613">
        <f t="shared" si="43"/>
        <v>121171.06302713418</v>
      </c>
      <c r="X130" s="613">
        <f t="shared" si="43"/>
        <v>116286.78747157862</v>
      </c>
      <c r="Y130" s="613">
        <f t="shared" si="43"/>
        <v>111402.51191602307</v>
      </c>
      <c r="Z130" s="613">
        <f t="shared" ref="Z130:AJ130" si="44">SUM(Z127:Z129)</f>
        <v>106518.2363604675</v>
      </c>
      <c r="AA130" s="613">
        <f t="shared" si="44"/>
        <v>101633.96080491194</v>
      </c>
      <c r="AB130" s="613">
        <f t="shared" si="44"/>
        <v>96749.685249356393</v>
      </c>
      <c r="AC130" s="613">
        <f t="shared" si="44"/>
        <v>91865.409693800844</v>
      </c>
      <c r="AD130" s="613">
        <f t="shared" si="44"/>
        <v>86981.134138245281</v>
      </c>
      <c r="AE130" s="613">
        <f t="shared" si="44"/>
        <v>82096.858582689732</v>
      </c>
      <c r="AF130" s="613">
        <f t="shared" si="44"/>
        <v>77212.583027134169</v>
      </c>
      <c r="AG130" s="613">
        <f t="shared" si="44"/>
        <v>72328.307471578621</v>
      </c>
      <c r="AH130" s="613">
        <f t="shared" si="44"/>
        <v>67444.031916023057</v>
      </c>
      <c r="AI130" s="613">
        <f t="shared" si="44"/>
        <v>62559.756360467509</v>
      </c>
      <c r="AJ130" s="613">
        <f t="shared" si="44"/>
        <v>15818415.671551337</v>
      </c>
      <c r="AK130" s="613">
        <f t="shared" si="43"/>
        <v>0</v>
      </c>
      <c r="AL130" s="613">
        <f t="shared" si="43"/>
        <v>19226473.701718107</v>
      </c>
    </row>
    <row r="131" spans="3:38" hidden="1" outlineLevel="1" x14ac:dyDescent="0.45">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3:38" hidden="1" outlineLevel="1" x14ac:dyDescent="0.45">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126000</v>
      </c>
      <c r="R132" s="615">
        <f>SUMIF('10. Inputs &amp; Calcs'!$D$508:$D$513,$E$10,'10. Inputs &amp; Calcs'!J$508:J$513)</f>
        <v>132930</v>
      </c>
      <c r="S132" s="615">
        <f>SUMIF('10. Inputs &amp; Calcs'!$D$508:$D$513,$E$10,'10. Inputs &amp; Calcs'!K$508:K$513)</f>
        <v>140241.15</v>
      </c>
      <c r="T132" s="615">
        <f>SUMIF('10. Inputs &amp; Calcs'!$D$508:$D$513,$E$10,'10. Inputs &amp; Calcs'!L$508:L$513)</f>
        <v>16439.379249999998</v>
      </c>
      <c r="U132" s="615">
        <f>SUMIF('10. Inputs &amp; Calcs'!$D$508:$D$513,$E$10,'10. Inputs &amp; Calcs'!M$508:M$513)</f>
        <v>17343.545108750001</v>
      </c>
      <c r="V132" s="615">
        <f>SUMIF('10. Inputs &amp; Calcs'!$D$508:$D$513,$E$10,'10. Inputs &amp; Calcs'!N$508:N$513)</f>
        <v>18297.440089731248</v>
      </c>
      <c r="W132" s="615">
        <f>SUMIF('10. Inputs &amp; Calcs'!$D$508:$D$513,$E$10,'10. Inputs &amp; Calcs'!O$508:O$513)</f>
        <v>19303.799294666467</v>
      </c>
      <c r="X132" s="615">
        <f>SUMIF('10. Inputs &amp; Calcs'!$D$508:$D$513,$E$10,'10. Inputs &amp; Calcs'!P$508:P$513)</f>
        <v>20365.508255873123</v>
      </c>
      <c r="Y132" s="615">
        <f>SUMIF('10. Inputs &amp; Calcs'!$D$508:$D$513,$E$10,'10. Inputs &amp; Calcs'!Q$508:Q$513)</f>
        <v>21485.611209946139</v>
      </c>
      <c r="Z132" s="615">
        <f>SUMIF('10. Inputs &amp; Calcs'!$D$508:$D$513,$E$10,'10. Inputs &amp; Calcs'!R$508:R$513)</f>
        <v>22667.319826493178</v>
      </c>
      <c r="AA132" s="615">
        <f>SUMIF('10. Inputs &amp; Calcs'!$D$508:$D$513,$E$10,'10. Inputs &amp; Calcs'!S$508:S$513)</f>
        <v>23914.022416950298</v>
      </c>
      <c r="AB132" s="615">
        <f>SUMIF('10. Inputs &amp; Calcs'!$D$508:$D$513,$E$10,'10. Inputs &amp; Calcs'!T$508:T$513)</f>
        <v>25229.293649882566</v>
      </c>
      <c r="AC132" s="615">
        <f>SUMIF('10. Inputs &amp; Calcs'!$D$508:$D$513,$E$10,'10. Inputs &amp; Calcs'!U$508:U$513)</f>
        <v>26616.904800626107</v>
      </c>
      <c r="AD132" s="615">
        <f>SUMIF('10. Inputs &amp; Calcs'!$D$508:$D$513,$E$10,'10. Inputs &amp; Calcs'!V$508:V$513)</f>
        <v>28080.834564660538</v>
      </c>
      <c r="AE132" s="615">
        <f>SUMIF('10. Inputs &amp; Calcs'!$D$508:$D$513,$E$10,'10. Inputs &amp; Calcs'!W$508:W$513)</f>
        <v>29625.280465716867</v>
      </c>
      <c r="AF132" s="615">
        <f>SUMIF('10. Inputs &amp; Calcs'!$D$508:$D$513,$E$10,'10. Inputs &amp; Calcs'!X$508:X$513)</f>
        <v>31254.670891331298</v>
      </c>
      <c r="AG132" s="615">
        <f>SUMIF('10. Inputs &amp; Calcs'!$D$508:$D$513,$E$10,'10. Inputs &amp; Calcs'!Y$508:Y$513)</f>
        <v>32973.677790354515</v>
      </c>
      <c r="AH132" s="615">
        <f>SUMIF('10. Inputs &amp; Calcs'!$D$508:$D$513,$E$10,'10. Inputs &amp; Calcs'!Z$508:Z$513)</f>
        <v>34787.230068824014</v>
      </c>
      <c r="AI132" s="615">
        <f>SUMIF('10. Inputs &amp; Calcs'!$D$508:$D$513,$E$10,'10. Inputs &amp; Calcs'!AA$508:AA$513)</f>
        <v>36700.527722609331</v>
      </c>
      <c r="AJ132" s="615">
        <f>SUMIF('10. Inputs &amp; Calcs'!$D$508:$D$513,$E$10,'10. Inputs &amp; Calcs'!AB$508:AB$513)</f>
        <v>77438.113494705685</v>
      </c>
      <c r="AK132" s="615">
        <f>SUMIF('10. Inputs &amp; Calcs'!$D$508:$D$513,$E$10,'10. Inputs &amp; Calcs'!AC$508:AC$513)</f>
        <v>0</v>
      </c>
      <c r="AL132" s="615">
        <f>SUMIF('10. Inputs &amp; Calcs'!$D$508:$D$513,$E$10,'10. Inputs &amp; Calcs'!AD$508:AD$513)</f>
        <v>881694.30890112126</v>
      </c>
    </row>
    <row r="133" spans="3:38" hidden="1" outlineLevel="1" x14ac:dyDescent="0.45">
      <c r="C133" s="583">
        <f>'10. Inputs &amp; Calcs'!C741</f>
        <v>77</v>
      </c>
      <c r="D133" s="583" t="str">
        <f>'10. Inputs &amp; Calcs'!D741</f>
        <v>Total Expenditure for Rental Operations</v>
      </c>
      <c r="E133" s="583"/>
      <c r="M133" s="583"/>
      <c r="N133" s="615">
        <f>SUMIF('10. Inputs &amp; Calcs'!$D$742:$D$747,$E$10,'10. Inputs &amp; Calcs'!F$742:F$747)</f>
        <v>10341549.390000001</v>
      </c>
      <c r="O133" s="615">
        <f>SUMIF('10. Inputs &amp; Calcs'!$D$742:$D$747,$E$10,'10. Inputs &amp; Calcs'!G$742:G$747)</f>
        <v>11126424.74</v>
      </c>
      <c r="P133" s="615">
        <f>SUMIF('10. Inputs &amp; Calcs'!$D$742:$D$747,$E$10,'10. Inputs &amp; Calcs'!H$742:H$747)</f>
        <v>11189539.09</v>
      </c>
      <c r="Q133" s="615">
        <f>SUMIF('10. Inputs &amp; Calcs'!$D$742:$D$747,$E$10,'10. Inputs &amp; Calcs'!I$742:I$747)</f>
        <v>9575626.2512849998</v>
      </c>
      <c r="R133" s="615">
        <f>SUMIF('10. Inputs &amp; Calcs'!$D$742:$D$747,$E$10,'10. Inputs &amp; Calcs'!J$742:J$747)</f>
        <v>7750334.6445640996</v>
      </c>
      <c r="S133" s="615">
        <f>SUMIF('10. Inputs &amp; Calcs'!$D$742:$D$747,$E$10,'10. Inputs &amp; Calcs'!K$742:K$747)</f>
        <v>5695294.6916937632</v>
      </c>
      <c r="T133" s="615">
        <f>SUMIF('10. Inputs &amp; Calcs'!$D$742:$D$747,$E$10,'10. Inputs &amp; Calcs'!L$742:L$747)</f>
        <v>5681508.8345206473</v>
      </c>
      <c r="U133" s="615">
        <f>SUMIF('10. Inputs &amp; Calcs'!$D$742:$D$747,$E$10,'10. Inputs &amp; Calcs'!M$742:M$747)</f>
        <v>5648978.2666161163</v>
      </c>
      <c r="V133" s="615">
        <f>SUMIF('10. Inputs &amp; Calcs'!$D$742:$D$747,$E$10,'10. Inputs &amp; Calcs'!N$742:N$747)</f>
        <v>5595682.7720176624</v>
      </c>
      <c r="W133" s="615">
        <f>SUMIF('10. Inputs &amp; Calcs'!$D$742:$D$747,$E$10,'10. Inputs &amp; Calcs'!O$742:O$747)</f>
        <v>5519436.6137568634</v>
      </c>
      <c r="X133" s="615">
        <f>SUMIF('10. Inputs &amp; Calcs'!$D$742:$D$747,$E$10,'10. Inputs &amp; Calcs'!P$742:P$747)</f>
        <v>5417876.4377020234</v>
      </c>
      <c r="Y133" s="615">
        <f>SUMIF('10. Inputs &amp; Calcs'!$D$742:$D$747,$E$10,'10. Inputs &amp; Calcs'!Q$742:Q$747)</f>
        <v>5288448.3465245375</v>
      </c>
      <c r="Z133" s="615">
        <f>SUMIF('10. Inputs &amp; Calcs'!$D$742:$D$747,$E$10,'10. Inputs &amp; Calcs'!R$742:R$747)</f>
        <v>5128394.0890934793</v>
      </c>
      <c r="AA133" s="615">
        <f>SUMIF('10. Inputs &amp; Calcs'!$D$742:$D$747,$E$10,'10. Inputs &amp; Calcs'!S$742:S$747)</f>
        <v>4934736.3070967672</v>
      </c>
      <c r="AB133" s="615">
        <f>SUMIF('10. Inputs &amp; Calcs'!$D$742:$D$747,$E$10,'10. Inputs &amp; Calcs'!T$742:T$747)</f>
        <v>4704262.7769609103</v>
      </c>
      <c r="AC133" s="615">
        <f>SUMIF('10. Inputs &amp; Calcs'!$D$742:$D$747,$E$10,'10. Inputs &amp; Calcs'!U$742:U$747)</f>
        <v>4433509.5811811397</v>
      </c>
      <c r="AD133" s="615">
        <f>SUMIF('10. Inputs &amp; Calcs'!$D$742:$D$747,$E$10,'10. Inputs &amp; Calcs'!V$742:V$747)</f>
        <v>4118743.1389652886</v>
      </c>
      <c r="AE133" s="615">
        <f>SUMIF('10. Inputs &amp; Calcs'!$D$742:$D$747,$E$10,'10. Inputs &amp; Calcs'!W$742:W$747)</f>
        <v>3755941.0216226205</v>
      </c>
      <c r="AF133" s="615">
        <f>SUMIF('10. Inputs &amp; Calcs'!$D$742:$D$747,$E$10,'10. Inputs &amp; Calcs'!X$742:X$747)</f>
        <v>3340771.4733768906</v>
      </c>
      <c r="AG133" s="615">
        <f>SUMIF('10. Inputs &amp; Calcs'!$D$742:$D$747,$E$10,'10. Inputs &amp; Calcs'!Y$742:Y$747)</f>
        <v>2868571.5532337208</v>
      </c>
      <c r="AH133" s="615">
        <f>SUMIF('10. Inputs &amp; Calcs'!$D$742:$D$747,$E$10,'10. Inputs &amp; Calcs'!Z$742:Z$747)</f>
        <v>2334323.8081678371</v>
      </c>
      <c r="AI133" s="615">
        <f>SUMIF('10. Inputs &amp; Calcs'!$D$742:$D$747,$E$10,'10. Inputs &amp; Calcs'!AA$742:AA$747)</f>
        <v>1732631.3821961747</v>
      </c>
      <c r="AJ133" s="615">
        <f>SUMIF('10. Inputs &amp; Calcs'!$D$742:$D$747,$E$10,'10. Inputs &amp; Calcs'!AB$742:AB$747)</f>
        <v>0</v>
      </c>
      <c r="AK133" s="615">
        <f>SUMIF('10. Inputs &amp; Calcs'!$D$742:$D$747,$E$10,'10. Inputs &amp; Calcs'!AC$742:AC$747)</f>
        <v>0</v>
      </c>
      <c r="AL133" s="615">
        <f>SUMIF('10. Inputs &amp; Calcs'!$D$742:$D$747,$E$10,'10. Inputs &amp; Calcs'!AD$742:AD$747)</f>
        <v>93525071.990575537</v>
      </c>
    </row>
    <row r="134" spans="3:38" hidden="1" outlineLevel="1" x14ac:dyDescent="0.45">
      <c r="C134" s="583"/>
      <c r="D134" s="747" t="s">
        <v>369</v>
      </c>
      <c r="E134" s="583"/>
      <c r="M134" s="583"/>
      <c r="N134" s="613">
        <f t="shared" ref="N134:AL134" si="45">SUM(N132:N133)</f>
        <v>10341549.390000001</v>
      </c>
      <c r="O134" s="613">
        <f t="shared" si="45"/>
        <v>11126424.74</v>
      </c>
      <c r="P134" s="613">
        <f t="shared" si="45"/>
        <v>11189539.09</v>
      </c>
      <c r="Q134" s="613">
        <f t="shared" si="45"/>
        <v>9701626.2512849998</v>
      </c>
      <c r="R134" s="613">
        <f t="shared" si="45"/>
        <v>7883264.6445640996</v>
      </c>
      <c r="S134" s="613">
        <f t="shared" si="45"/>
        <v>5835535.8416937636</v>
      </c>
      <c r="T134" s="613">
        <f t="shared" si="45"/>
        <v>5697948.2137706475</v>
      </c>
      <c r="U134" s="613">
        <f t="shared" si="45"/>
        <v>5666321.8117248667</v>
      </c>
      <c r="V134" s="613">
        <f t="shared" si="45"/>
        <v>5613980.2121073939</v>
      </c>
      <c r="W134" s="613">
        <f t="shared" si="45"/>
        <v>5538740.4130515298</v>
      </c>
      <c r="X134" s="613">
        <f t="shared" si="45"/>
        <v>5438241.9459578963</v>
      </c>
      <c r="Y134" s="613">
        <f t="shared" si="45"/>
        <v>5309933.9577344833</v>
      </c>
      <c r="Z134" s="613">
        <f t="shared" ref="Z134:AJ134" si="46">SUM(Z132:Z133)</f>
        <v>5151061.4089199724</v>
      </c>
      <c r="AA134" s="613">
        <f t="shared" si="46"/>
        <v>4958650.3295137174</v>
      </c>
      <c r="AB134" s="613">
        <f t="shared" si="46"/>
        <v>4729492.0706107933</v>
      </c>
      <c r="AC134" s="613">
        <f t="shared" si="46"/>
        <v>4460126.4859817661</v>
      </c>
      <c r="AD134" s="613">
        <f t="shared" si="46"/>
        <v>4146823.9735299493</v>
      </c>
      <c r="AE134" s="613">
        <f t="shared" si="46"/>
        <v>3785566.3020883375</v>
      </c>
      <c r="AF134" s="613">
        <f t="shared" si="46"/>
        <v>3372026.1442682222</v>
      </c>
      <c r="AG134" s="613">
        <f t="shared" si="46"/>
        <v>2901545.2310240753</v>
      </c>
      <c r="AH134" s="613">
        <f t="shared" si="46"/>
        <v>2369111.0382366609</v>
      </c>
      <c r="AI134" s="613">
        <f t="shared" si="46"/>
        <v>1769331.9099187839</v>
      </c>
      <c r="AJ134" s="613">
        <f t="shared" si="46"/>
        <v>77438.113494705685</v>
      </c>
      <c r="AK134" s="613">
        <f t="shared" si="45"/>
        <v>0</v>
      </c>
      <c r="AL134" s="613">
        <f t="shared" si="45"/>
        <v>94406766.299476653</v>
      </c>
    </row>
    <row r="135" spans="3:38" hidden="1" outlineLevel="1" x14ac:dyDescent="0.45">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3:38" hidden="1" outlineLevel="1" x14ac:dyDescent="0.45">
      <c r="C136" s="583"/>
      <c r="D136" s="747" t="s">
        <v>937</v>
      </c>
      <c r="E136" s="583"/>
      <c r="M136" s="583"/>
      <c r="N136" s="613">
        <f t="shared" ref="N136:AL136" si="47">N130-N134</f>
        <v>-3778732.4700000007</v>
      </c>
      <c r="O136" s="613">
        <f t="shared" si="47"/>
        <v>-8985324.2599999998</v>
      </c>
      <c r="P136" s="613">
        <f t="shared" si="47"/>
        <v>-10101768.16</v>
      </c>
      <c r="Q136" s="613">
        <f t="shared" si="47"/>
        <v>-9050671.484040793</v>
      </c>
      <c r="R136" s="613">
        <f t="shared" si="47"/>
        <v>-7276268.3573198924</v>
      </c>
      <c r="S136" s="613">
        <f t="shared" si="47"/>
        <v>-5272498.0344495559</v>
      </c>
      <c r="T136" s="613">
        <f t="shared" si="47"/>
        <v>-5562124.3240768462</v>
      </c>
      <c r="U136" s="613">
        <f t="shared" si="47"/>
        <v>-5535382.1975866212</v>
      </c>
      <c r="V136" s="613">
        <f t="shared" si="47"/>
        <v>-5487924.873524704</v>
      </c>
      <c r="W136" s="613">
        <f t="shared" si="47"/>
        <v>-5417569.3500243956</v>
      </c>
      <c r="X136" s="613">
        <f t="shared" si="47"/>
        <v>-5321955.1584863178</v>
      </c>
      <c r="Y136" s="613">
        <f t="shared" si="47"/>
        <v>-5198531.4458184605</v>
      </c>
      <c r="Z136" s="613">
        <f t="shared" si="47"/>
        <v>-5044543.1725595053</v>
      </c>
      <c r="AA136" s="613">
        <f t="shared" si="47"/>
        <v>-4857016.3687088052</v>
      </c>
      <c r="AB136" s="613">
        <f t="shared" si="47"/>
        <v>-4632742.3853614368</v>
      </c>
      <c r="AC136" s="613">
        <f t="shared" si="47"/>
        <v>-4368261.0762879653</v>
      </c>
      <c r="AD136" s="613">
        <f t="shared" si="47"/>
        <v>-4059842.8393917042</v>
      </c>
      <c r="AE136" s="613">
        <f t="shared" si="47"/>
        <v>-3703469.4435056476</v>
      </c>
      <c r="AF136" s="613">
        <f t="shared" si="47"/>
        <v>-3294813.561241088</v>
      </c>
      <c r="AG136" s="613">
        <f t="shared" si="47"/>
        <v>-2829216.9235524968</v>
      </c>
      <c r="AH136" s="613">
        <f t="shared" si="47"/>
        <v>-2301667.0063206377</v>
      </c>
      <c r="AI136" s="613">
        <f t="shared" si="47"/>
        <v>-1706772.1535583164</v>
      </c>
      <c r="AJ136" s="613">
        <f t="shared" si="47"/>
        <v>15740977.558056632</v>
      </c>
      <c r="AK136" s="613">
        <f t="shared" si="47"/>
        <v>0</v>
      </c>
      <c r="AL136" s="613">
        <f t="shared" si="47"/>
        <v>-75180292.597758546</v>
      </c>
    </row>
    <row r="137" spans="3:38" hidden="1" outlineLevel="1" x14ac:dyDescent="0.45">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3:38" hidden="1" outlineLevel="1" x14ac:dyDescent="0.45">
      <c r="C138" s="583"/>
      <c r="D138" s="583" t="str">
        <f>'10. Inputs &amp; Calcs'!D762</f>
        <v>Human Settlements Development Grant</v>
      </c>
      <c r="E138" s="583"/>
      <c r="M138" s="583"/>
      <c r="N138" s="615">
        <f>SUMIF('10. Inputs &amp; Calcs'!$D$763:$D$768,$E$10,'10. Inputs &amp; Calcs'!F$763:F$768)</f>
        <v>2523803000</v>
      </c>
      <c r="O138" s="615">
        <f>SUMIF('10. Inputs &amp; Calcs'!$D$763:$D$768,$E$10,'10. Inputs &amp; Calcs'!G$763:G$768)</f>
        <v>2392718000</v>
      </c>
      <c r="P138" s="615">
        <f>SUMIF('10. Inputs &amp; Calcs'!$D$763:$D$768,$E$10,'10. Inputs &amp; Calcs'!H$763:H$768)</f>
        <v>2462372000</v>
      </c>
      <c r="Q138" s="615">
        <f>SUMIF('10. Inputs &amp; Calcs'!$D$763:$D$768,$E$10,'10. Inputs &amp; Calcs'!I$763:I$768)</f>
        <v>2462372000</v>
      </c>
      <c r="R138" s="615">
        <f>SUMIF('10. Inputs &amp; Calcs'!$D$763:$D$768,$E$10,'10. Inputs &amp; Calcs'!J$763:J$768)</f>
        <v>2462372000</v>
      </c>
      <c r="S138" s="615">
        <f>SUMIF('10. Inputs &amp; Calcs'!$D$763:$D$768,$E$10,'10. Inputs &amp; Calcs'!K$763:K$768)</f>
        <v>2462372000</v>
      </c>
      <c r="T138" s="615">
        <f>SUMIF('10. Inputs &amp; Calcs'!$D$763:$D$768,$E$10,'10. Inputs &amp; Calcs'!L$763:L$768)</f>
        <v>2462372000</v>
      </c>
      <c r="U138" s="615">
        <f>SUMIF('10. Inputs &amp; Calcs'!$D$763:$D$768,$E$10,'10. Inputs &amp; Calcs'!M$763:M$768)</f>
        <v>2462372000</v>
      </c>
      <c r="V138" s="615">
        <f>SUMIF('10. Inputs &amp; Calcs'!$D$763:$D$768,$E$10,'10. Inputs &amp; Calcs'!N$763:N$768)</f>
        <v>2462372000</v>
      </c>
      <c r="W138" s="615">
        <f>SUMIF('10. Inputs &amp; Calcs'!$D$763:$D$768,$E$10,'10. Inputs &amp; Calcs'!O$763:O$768)</f>
        <v>2462372000</v>
      </c>
      <c r="X138" s="615">
        <f>SUMIF('10. Inputs &amp; Calcs'!$D$763:$D$768,$E$10,'10. Inputs &amp; Calcs'!P$763:P$768)</f>
        <v>2462372000</v>
      </c>
      <c r="Y138" s="615">
        <f>SUMIF('10. Inputs &amp; Calcs'!$D$763:$D$768,$E$10,'10. Inputs &amp; Calcs'!Q$763:Q$768)</f>
        <v>2462372000</v>
      </c>
      <c r="Z138" s="615">
        <f>SUMIF('10. Inputs &amp; Calcs'!$D$763:$D$768,$E$10,'10. Inputs &amp; Calcs'!R$763:R$768)</f>
        <v>2462372000</v>
      </c>
      <c r="AA138" s="615">
        <f>SUMIF('10. Inputs &amp; Calcs'!$D$763:$D$768,$E$10,'10. Inputs &amp; Calcs'!S$763:S$768)</f>
        <v>2462372000</v>
      </c>
      <c r="AB138" s="615">
        <f>SUMIF('10. Inputs &amp; Calcs'!$D$763:$D$768,$E$10,'10. Inputs &amp; Calcs'!T$763:T$768)</f>
        <v>2462372000</v>
      </c>
      <c r="AC138" s="615">
        <f>SUMIF('10. Inputs &amp; Calcs'!$D$763:$D$768,$E$10,'10. Inputs &amp; Calcs'!U$763:U$768)</f>
        <v>2462372000</v>
      </c>
      <c r="AD138" s="615">
        <f>SUMIF('10. Inputs &amp; Calcs'!$D$763:$D$768,$E$10,'10. Inputs &amp; Calcs'!V$763:V$768)</f>
        <v>2462372000</v>
      </c>
      <c r="AE138" s="615">
        <f>SUMIF('10. Inputs &amp; Calcs'!$D$763:$D$768,$E$10,'10. Inputs &amp; Calcs'!W$763:W$768)</f>
        <v>2462372000</v>
      </c>
      <c r="AF138" s="615">
        <f>SUMIF('10. Inputs &amp; Calcs'!$D$763:$D$768,$E$10,'10. Inputs &amp; Calcs'!X$763:X$768)</f>
        <v>2462372000</v>
      </c>
      <c r="AG138" s="615">
        <f>SUMIF('10. Inputs &amp; Calcs'!$D$763:$D$768,$E$10,'10. Inputs &amp; Calcs'!Y$763:Y$768)</f>
        <v>2462372000</v>
      </c>
      <c r="AH138" s="615">
        <f>SUMIF('10. Inputs &amp; Calcs'!$D$763:$D$768,$E$10,'10. Inputs &amp; Calcs'!Z$763:Z$768)</f>
        <v>2462372000</v>
      </c>
      <c r="AI138" s="615">
        <f>SUMIF('10. Inputs &amp; Calcs'!$D$763:$D$768,$E$10,'10. Inputs &amp; Calcs'!AA$763:AA$768)</f>
        <v>2462372000</v>
      </c>
      <c r="AJ138" s="615">
        <f>SUMIF('10. Inputs &amp; Calcs'!$D$763:$D$768,$E$10,'10. Inputs &amp; Calcs'!AB$763:AB$768)</f>
        <v>2462372000</v>
      </c>
      <c r="AK138" s="615">
        <f>SUMIF('10. Inputs &amp; Calcs'!$D$763:$D$768,$E$10,'10. Inputs &amp; Calcs'!AC$763:AC$768)</f>
        <v>2462372000</v>
      </c>
      <c r="AL138" s="615">
        <f>SUMIF('10. Inputs &amp; Calcs'!$D$763:$D$768,$E$10,'10. Inputs &amp; Calcs'!AD$763:AD$768)</f>
        <v>59088705000</v>
      </c>
    </row>
    <row r="139" spans="3:38" hidden="1" outlineLevel="1" x14ac:dyDescent="0.45">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3:38" hidden="1" outlineLevel="1" x14ac:dyDescent="0.45">
      <c r="C140" s="583"/>
      <c r="D140" s="747" t="s">
        <v>1337</v>
      </c>
      <c r="E140" s="583"/>
      <c r="M140" s="583"/>
      <c r="N140" s="789">
        <f t="shared" ref="N140:AL140" si="48">N136/N138</f>
        <v>-1.4972374904063434E-3</v>
      </c>
      <c r="O140" s="789">
        <f t="shared" si="48"/>
        <v>-3.7552792514621448E-3</v>
      </c>
      <c r="P140" s="789">
        <f t="shared" si="48"/>
        <v>-4.1024541214731165E-3</v>
      </c>
      <c r="Q140" s="789">
        <f t="shared" si="48"/>
        <v>-3.6755906435099136E-3</v>
      </c>
      <c r="R140" s="789">
        <f t="shared" si="48"/>
        <v>-2.9549833889111364E-3</v>
      </c>
      <c r="S140" s="789">
        <f t="shared" si="48"/>
        <v>-2.141227253416444E-3</v>
      </c>
      <c r="T140" s="789">
        <f t="shared" si="48"/>
        <v>-2.2588481042169284E-3</v>
      </c>
      <c r="U140" s="789">
        <f t="shared" si="48"/>
        <v>-2.2479877929031931E-3</v>
      </c>
      <c r="V140" s="789">
        <f t="shared" si="48"/>
        <v>-2.2287147813265843E-3</v>
      </c>
      <c r="W140" s="789">
        <f t="shared" si="48"/>
        <v>-2.2001425251848201E-3</v>
      </c>
      <c r="X140" s="789">
        <f t="shared" si="48"/>
        <v>-2.1613124087206635E-3</v>
      </c>
      <c r="Y140" s="789">
        <f t="shared" si="48"/>
        <v>-2.1111884986583914E-3</v>
      </c>
      <c r="Z140" s="789">
        <f t="shared" si="48"/>
        <v>-2.048651939089425E-3</v>
      </c>
      <c r="AA140" s="789">
        <f t="shared" si="48"/>
        <v>-1.9724949636808755E-3</v>
      </c>
      <c r="AB140" s="789">
        <f t="shared" si="48"/>
        <v>-1.8814145000679982E-3</v>
      </c>
      <c r="AC140" s="789">
        <f t="shared" si="48"/>
        <v>-1.7740053396838355E-3</v>
      </c>
      <c r="AD140" s="789">
        <f t="shared" si="48"/>
        <v>-1.648752844570887E-3</v>
      </c>
      <c r="AE140" s="789">
        <f t="shared" si="48"/>
        <v>-1.5040251609040583E-3</v>
      </c>
      <c r="AF140" s="789">
        <f t="shared" si="48"/>
        <v>-1.3380649070250507E-3</v>
      </c>
      <c r="AG140" s="789">
        <f t="shared" si="48"/>
        <v>-1.1489803017385256E-3</v>
      </c>
      <c r="AH140" s="789">
        <f t="shared" si="48"/>
        <v>-9.3473569644255121E-4</v>
      </c>
      <c r="AI140" s="789">
        <f t="shared" si="48"/>
        <v>-6.9314147235199084E-4</v>
      </c>
      <c r="AJ140" s="789">
        <f t="shared" si="48"/>
        <v>6.3926074362674005E-3</v>
      </c>
      <c r="AK140" s="789">
        <f t="shared" si="48"/>
        <v>0</v>
      </c>
      <c r="AL140" s="789">
        <f t="shared" si="48"/>
        <v>-1.272329332615405E-3</v>
      </c>
    </row>
    <row r="141" spans="3:38" hidden="1" outlineLevel="1" x14ac:dyDescent="0.45">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3:38" hidden="1" outlineLevel="1" x14ac:dyDescent="0.45">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3" spans="3:38" hidden="1" outlineLevel="1" x14ac:dyDescent="0.45"/>
    <row r="144" spans="3:38" collapsed="1" x14ac:dyDescent="0.45"/>
    <row r="145" spans="4:37" x14ac:dyDescent="0.45">
      <c r="D145" s="451" t="s">
        <v>1333</v>
      </c>
      <c r="E145" s="803"/>
      <c r="F145" s="803"/>
      <c r="G145" s="803"/>
      <c r="H145" s="803"/>
      <c r="I145" s="803"/>
      <c r="J145" s="803"/>
      <c r="K145" s="803"/>
      <c r="L145" s="803"/>
      <c r="M145" s="803"/>
      <c r="N145" s="785"/>
      <c r="O145" s="785"/>
      <c r="P145" s="785"/>
      <c r="Q145" s="785"/>
      <c r="R145" s="785"/>
      <c r="S145" s="785"/>
      <c r="T145" s="785"/>
      <c r="U145" s="785"/>
      <c r="V145" s="785"/>
      <c r="W145" s="785"/>
      <c r="X145" s="785"/>
      <c r="Y145" s="785"/>
      <c r="Z145" s="785"/>
      <c r="AA145" s="785"/>
      <c r="AB145" s="785"/>
      <c r="AC145" s="785"/>
      <c r="AD145" s="785"/>
      <c r="AE145" s="785"/>
      <c r="AF145" s="785"/>
      <c r="AG145" s="785"/>
      <c r="AH145" s="785"/>
      <c r="AI145" s="785"/>
      <c r="AJ145" s="785"/>
      <c r="AK145" s="785"/>
    </row>
    <row r="146" spans="4:37" x14ac:dyDescent="0.45">
      <c r="D146" s="451"/>
      <c r="N146" s="536" t="str">
        <f>N$5</f>
        <v>2013/14</v>
      </c>
      <c r="O146" s="536" t="str">
        <f t="shared" ref="O146:AK146" si="49">O$5</f>
        <v>2014/15</v>
      </c>
      <c r="P146" s="536" t="str">
        <f t="shared" si="49"/>
        <v>2015/16</v>
      </c>
      <c r="Q146" s="536" t="str">
        <f t="shared" si="49"/>
        <v>2016/17</v>
      </c>
      <c r="R146" s="536" t="str">
        <f t="shared" si="49"/>
        <v>2017/18</v>
      </c>
      <c r="S146" s="536" t="str">
        <f t="shared" si="49"/>
        <v>2018/19</v>
      </c>
      <c r="T146" s="536" t="str">
        <f t="shared" si="49"/>
        <v>2019/20</v>
      </c>
      <c r="U146" s="536" t="str">
        <f t="shared" si="49"/>
        <v>2020/21</v>
      </c>
      <c r="V146" s="536" t="str">
        <f t="shared" si="49"/>
        <v>2021/22</v>
      </c>
      <c r="W146" s="536" t="str">
        <f t="shared" si="49"/>
        <v>2022/23</v>
      </c>
      <c r="X146" s="536" t="str">
        <f t="shared" si="49"/>
        <v>2023/24</v>
      </c>
      <c r="Y146" s="536" t="str">
        <f t="shared" si="49"/>
        <v>2024/25</v>
      </c>
      <c r="Z146" s="536" t="str">
        <f t="shared" si="49"/>
        <v>2025/26</v>
      </c>
      <c r="AA146" s="536" t="str">
        <f t="shared" si="49"/>
        <v>2026/27</v>
      </c>
      <c r="AB146" s="536" t="str">
        <f t="shared" si="49"/>
        <v>2027/28</v>
      </c>
      <c r="AC146" s="536" t="str">
        <f t="shared" si="49"/>
        <v>2028/29</v>
      </c>
      <c r="AD146" s="536" t="str">
        <f t="shared" si="49"/>
        <v>2029/30</v>
      </c>
      <c r="AE146" s="536" t="str">
        <f t="shared" si="49"/>
        <v>2030/31</v>
      </c>
      <c r="AF146" s="536" t="str">
        <f t="shared" si="49"/>
        <v>2031/32</v>
      </c>
      <c r="AG146" s="536" t="str">
        <f t="shared" si="49"/>
        <v>3032/33</v>
      </c>
      <c r="AH146" s="536" t="str">
        <f t="shared" si="49"/>
        <v>2033/34</v>
      </c>
      <c r="AI146" s="536" t="str">
        <f t="shared" si="49"/>
        <v>2034/35</v>
      </c>
      <c r="AJ146" s="536" t="str">
        <f t="shared" si="49"/>
        <v>2035/36</v>
      </c>
      <c r="AK146" s="536" t="str">
        <f t="shared" si="49"/>
        <v>2036/37</v>
      </c>
    </row>
    <row r="147" spans="4:37" x14ac:dyDescent="0.45">
      <c r="D147" s="451"/>
      <c r="E147" s="803" t="str">
        <f>D$13</f>
        <v>No. of Rental Units</v>
      </c>
      <c r="F147" s="803"/>
      <c r="G147" s="803"/>
      <c r="H147" s="803"/>
      <c r="I147" s="803"/>
      <c r="J147" s="803"/>
      <c r="K147" s="803"/>
      <c r="L147" s="803"/>
      <c r="M147" s="803"/>
      <c r="N147" s="785">
        <f>E$13</f>
        <v>0</v>
      </c>
      <c r="O147" s="785">
        <f t="shared" ref="O147:Y147" si="50">N$13</f>
        <v>0</v>
      </c>
      <c r="P147" s="785">
        <f t="shared" si="50"/>
        <v>0</v>
      </c>
      <c r="Q147" s="785">
        <f t="shared" si="50"/>
        <v>5160</v>
      </c>
      <c r="R147" s="785">
        <f t="shared" si="50"/>
        <v>4646</v>
      </c>
      <c r="S147" s="785">
        <f t="shared" si="50"/>
        <v>4132</v>
      </c>
      <c r="T147" s="785">
        <f t="shared" si="50"/>
        <v>3656</v>
      </c>
      <c r="U147" s="785">
        <f t="shared" si="50"/>
        <v>3430</v>
      </c>
      <c r="V147" s="785">
        <f t="shared" si="50"/>
        <v>3204</v>
      </c>
      <c r="W147" s="785">
        <f t="shared" si="50"/>
        <v>2978</v>
      </c>
      <c r="X147" s="785">
        <f t="shared" si="50"/>
        <v>2752</v>
      </c>
      <c r="Y147" s="785">
        <f t="shared" si="50"/>
        <v>2526</v>
      </c>
      <c r="Z147" s="785">
        <f t="shared" ref="Z147:AK147" si="51">Y$13</f>
        <v>2300</v>
      </c>
      <c r="AA147" s="785">
        <f t="shared" si="51"/>
        <v>2074</v>
      </c>
      <c r="AB147" s="785">
        <f t="shared" si="51"/>
        <v>1848</v>
      </c>
      <c r="AC147" s="785">
        <f t="shared" si="51"/>
        <v>1622</v>
      </c>
      <c r="AD147" s="785">
        <f t="shared" si="51"/>
        <v>1396</v>
      </c>
      <c r="AE147" s="785">
        <f t="shared" si="51"/>
        <v>1170</v>
      </c>
      <c r="AF147" s="785">
        <f t="shared" si="51"/>
        <v>944</v>
      </c>
      <c r="AG147" s="785">
        <f t="shared" si="51"/>
        <v>718</v>
      </c>
      <c r="AH147" s="785">
        <f t="shared" si="51"/>
        <v>492</v>
      </c>
      <c r="AI147" s="785">
        <f t="shared" si="51"/>
        <v>266</v>
      </c>
      <c r="AJ147" s="785">
        <f t="shared" si="51"/>
        <v>40</v>
      </c>
      <c r="AK147" s="785">
        <f t="shared" si="51"/>
        <v>0</v>
      </c>
    </row>
    <row r="148" spans="4:37" x14ac:dyDescent="0.45">
      <c r="D148" s="451"/>
      <c r="E148" s="803" t="str">
        <f>D$12</f>
        <v>No. of Sales Accounts</v>
      </c>
      <c r="F148" s="803"/>
      <c r="G148" s="803"/>
      <c r="H148" s="803"/>
      <c r="I148" s="803"/>
      <c r="J148" s="803"/>
      <c r="K148" s="803"/>
      <c r="L148" s="803"/>
      <c r="M148" s="803"/>
      <c r="N148" s="785">
        <f>E$12</f>
        <v>0</v>
      </c>
      <c r="O148" s="785">
        <f t="shared" ref="O148:Y148" si="52">N$12</f>
        <v>0</v>
      </c>
      <c r="P148" s="785">
        <f t="shared" si="52"/>
        <v>0</v>
      </c>
      <c r="Q148" s="785">
        <f t="shared" si="52"/>
        <v>2239</v>
      </c>
      <c r="R148" s="785">
        <f t="shared" si="52"/>
        <v>2753</v>
      </c>
      <c r="S148" s="785">
        <f t="shared" si="52"/>
        <v>3267</v>
      </c>
      <c r="T148" s="785">
        <f t="shared" si="52"/>
        <v>3743</v>
      </c>
      <c r="U148" s="785">
        <f t="shared" si="52"/>
        <v>3969</v>
      </c>
      <c r="V148" s="785">
        <f t="shared" si="52"/>
        <v>4195</v>
      </c>
      <c r="W148" s="785">
        <f t="shared" si="52"/>
        <v>4421</v>
      </c>
      <c r="X148" s="785">
        <f t="shared" si="52"/>
        <v>4647</v>
      </c>
      <c r="Y148" s="785">
        <f t="shared" si="52"/>
        <v>4873</v>
      </c>
      <c r="Z148" s="785">
        <f t="shared" ref="Z148:AK148" si="53">Y$12</f>
        <v>5099</v>
      </c>
      <c r="AA148" s="785">
        <f t="shared" si="53"/>
        <v>5325</v>
      </c>
      <c r="AB148" s="785">
        <f t="shared" si="53"/>
        <v>5551</v>
      </c>
      <c r="AC148" s="785">
        <f t="shared" si="53"/>
        <v>5777</v>
      </c>
      <c r="AD148" s="785">
        <f t="shared" si="53"/>
        <v>6003</v>
      </c>
      <c r="AE148" s="785">
        <f t="shared" si="53"/>
        <v>6229</v>
      </c>
      <c r="AF148" s="785">
        <f t="shared" si="53"/>
        <v>6455</v>
      </c>
      <c r="AG148" s="785">
        <f t="shared" si="53"/>
        <v>6681</v>
      </c>
      <c r="AH148" s="785">
        <f t="shared" si="53"/>
        <v>6907</v>
      </c>
      <c r="AI148" s="785">
        <f t="shared" si="53"/>
        <v>7133</v>
      </c>
      <c r="AJ148" s="785">
        <f t="shared" si="53"/>
        <v>7359</v>
      </c>
      <c r="AK148" s="785">
        <f t="shared" si="53"/>
        <v>7399</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4">O$5</f>
        <v>2014/15</v>
      </c>
      <c r="P170" s="536" t="str">
        <f t="shared" si="54"/>
        <v>2015/16</v>
      </c>
      <c r="Q170" s="536" t="str">
        <f t="shared" si="54"/>
        <v>2016/17</v>
      </c>
      <c r="R170" s="536" t="str">
        <f t="shared" si="54"/>
        <v>2017/18</v>
      </c>
      <c r="S170" s="536" t="str">
        <f t="shared" si="54"/>
        <v>2018/19</v>
      </c>
      <c r="T170" s="536" t="str">
        <f t="shared" si="54"/>
        <v>2019/20</v>
      </c>
      <c r="U170" s="536" t="str">
        <f t="shared" si="54"/>
        <v>2020/21</v>
      </c>
      <c r="V170" s="536" t="str">
        <f t="shared" si="54"/>
        <v>2021/22</v>
      </c>
      <c r="W170" s="536" t="str">
        <f t="shared" si="54"/>
        <v>2022/23</v>
      </c>
      <c r="X170" s="536" t="str">
        <f t="shared" si="54"/>
        <v>2023/24</v>
      </c>
      <c r="Y170" s="536" t="str">
        <f t="shared" si="54"/>
        <v>2024/25</v>
      </c>
      <c r="Z170" s="536" t="str">
        <f t="shared" si="54"/>
        <v>2025/26</v>
      </c>
      <c r="AA170" s="536" t="str">
        <f t="shared" si="54"/>
        <v>2026/27</v>
      </c>
      <c r="AB170" s="536" t="str">
        <f t="shared" si="54"/>
        <v>2027/28</v>
      </c>
      <c r="AC170" s="536" t="str">
        <f t="shared" si="54"/>
        <v>2028/29</v>
      </c>
      <c r="AD170" s="536" t="str">
        <f t="shared" si="54"/>
        <v>2029/30</v>
      </c>
      <c r="AE170" s="536" t="str">
        <f t="shared" si="54"/>
        <v>2030/31</v>
      </c>
      <c r="AF170" s="536" t="str">
        <f t="shared" si="54"/>
        <v>2031/32</v>
      </c>
      <c r="AG170" s="536" t="str">
        <f t="shared" si="54"/>
        <v>3032/33</v>
      </c>
      <c r="AH170" s="536" t="str">
        <f t="shared" si="54"/>
        <v>2033/34</v>
      </c>
      <c r="AI170" s="536" t="str">
        <f t="shared" si="54"/>
        <v>2034/35</v>
      </c>
      <c r="AJ170" s="536" t="str">
        <f t="shared" si="54"/>
        <v>2035/36</v>
      </c>
      <c r="AK170" s="536" t="str">
        <f t="shared" si="54"/>
        <v>2036/37</v>
      </c>
    </row>
    <row r="171" spans="4:37" x14ac:dyDescent="0.45">
      <c r="E171" s="803" t="str">
        <f>D48</f>
        <v>Net Surplus / (Deficit)</v>
      </c>
      <c r="F171" s="803"/>
      <c r="G171" s="803"/>
      <c r="H171" s="803"/>
      <c r="I171" s="803"/>
      <c r="J171" s="803"/>
      <c r="K171" s="803"/>
      <c r="L171" s="803"/>
      <c r="M171" s="803"/>
      <c r="N171" s="533">
        <f t="shared" ref="N171:AK171" si="55">N48</f>
        <v>-112639142.49333334</v>
      </c>
      <c r="O171" s="533">
        <f t="shared" si="55"/>
        <v>-120020127.89333332</v>
      </c>
      <c r="P171" s="533">
        <f t="shared" si="55"/>
        <v>-128289183.36000001</v>
      </c>
      <c r="Q171" s="579">
        <f t="shared" si="55"/>
        <v>-131948176.67010787</v>
      </c>
      <c r="R171" s="579">
        <f t="shared" si="55"/>
        <v>-128772071.22519906</v>
      </c>
      <c r="S171" s="579">
        <f t="shared" si="55"/>
        <v>-125352126.05131695</v>
      </c>
      <c r="T171" s="533">
        <f t="shared" si="55"/>
        <v>-126956932.24841155</v>
      </c>
      <c r="U171" s="533">
        <f t="shared" si="55"/>
        <v>-126155549.41692396</v>
      </c>
      <c r="V171" s="533">
        <f t="shared" si="55"/>
        <v>-124849979.70312491</v>
      </c>
      <c r="W171" s="533">
        <f t="shared" si="55"/>
        <v>-122987708.90222575</v>
      </c>
      <c r="X171" s="533">
        <f t="shared" si="55"/>
        <v>-120511971.41223007</v>
      </c>
      <c r="Y171" s="533">
        <f t="shared" si="55"/>
        <v>-117361441.43571034</v>
      </c>
      <c r="Z171" s="533">
        <f t="shared" si="55"/>
        <v>-113469903.07425649</v>
      </c>
      <c r="AA171" s="533">
        <f t="shared" si="55"/>
        <v>-108765897.92790511</v>
      </c>
      <c r="AB171" s="533">
        <f t="shared" si="55"/>
        <v>-103172348.7230612</v>
      </c>
      <c r="AC171" s="533">
        <f t="shared" si="55"/>
        <v>-96606157.398058668</v>
      </c>
      <c r="AD171" s="533">
        <f t="shared" si="55"/>
        <v>-88977775.975225061</v>
      </c>
      <c r="AE171" s="533">
        <f t="shared" si="55"/>
        <v>-80190748.441757485</v>
      </c>
      <c r="AF171" s="533">
        <f t="shared" si="55"/>
        <v>-70141221.748490617</v>
      </c>
      <c r="AG171" s="533">
        <f t="shared" si="55"/>
        <v>-58717423.915335573</v>
      </c>
      <c r="AH171" s="533">
        <f t="shared" si="55"/>
        <v>-45799107.104352206</v>
      </c>
      <c r="AI171" s="533">
        <f t="shared" si="55"/>
        <v>-31256953.38562502</v>
      </c>
      <c r="AJ171" s="533">
        <f t="shared" si="55"/>
        <v>-292672.82400684012</v>
      </c>
      <c r="AK171" s="533">
        <f t="shared" si="55"/>
        <v>0</v>
      </c>
    </row>
    <row r="172" spans="4:37" x14ac:dyDescent="0.45">
      <c r="E172" s="803" t="str">
        <f>D47</f>
        <v>Total Expenditure</v>
      </c>
      <c r="F172" s="803"/>
      <c r="G172" s="803"/>
      <c r="H172" s="803"/>
      <c r="I172" s="803"/>
      <c r="J172" s="803"/>
      <c r="K172" s="803"/>
      <c r="L172" s="803"/>
      <c r="M172" s="803"/>
      <c r="N172" s="533">
        <f t="shared" ref="N172:AK172" si="56">N47</f>
        <v>126486884.31333333</v>
      </c>
      <c r="O172" s="533">
        <f t="shared" si="56"/>
        <v>136616043.32333332</v>
      </c>
      <c r="P172" s="533">
        <f t="shared" si="56"/>
        <v>143214809.11000001</v>
      </c>
      <c r="Q172" s="579">
        <f t="shared" si="56"/>
        <v>143253743.71700636</v>
      </c>
      <c r="R172" s="579">
        <f t="shared" si="56"/>
        <v>139067846.33322573</v>
      </c>
      <c r="S172" s="579">
        <f t="shared" si="56"/>
        <v>133721299.89060707</v>
      </c>
      <c r="T172" s="533">
        <f t="shared" si="56"/>
        <v>131255140.47134125</v>
      </c>
      <c r="U172" s="533">
        <f t="shared" si="56"/>
        <v>130281139.72238086</v>
      </c>
      <c r="V172" s="533">
        <f t="shared" si="56"/>
        <v>128802952.09110901</v>
      </c>
      <c r="W172" s="533">
        <f t="shared" si="56"/>
        <v>126768063.37273705</v>
      </c>
      <c r="X172" s="533">
        <f t="shared" si="56"/>
        <v>124119707.96526858</v>
      </c>
      <c r="Y172" s="533">
        <f t="shared" si="56"/>
        <v>120796560.07127605</v>
      </c>
      <c r="Z172" s="533">
        <f t="shared" si="56"/>
        <v>116732403.79234941</v>
      </c>
      <c r="AA172" s="533">
        <f t="shared" si="56"/>
        <v>111855780.72852524</v>
      </c>
      <c r="AB172" s="533">
        <f t="shared" si="56"/>
        <v>106089613.60620853</v>
      </c>
      <c r="AC172" s="533">
        <f t="shared" si="56"/>
        <v>99350804.363733202</v>
      </c>
      <c r="AD172" s="533">
        <f t="shared" si="56"/>
        <v>91549805.023426801</v>
      </c>
      <c r="AE172" s="533">
        <f t="shared" si="56"/>
        <v>82590159.57248643</v>
      </c>
      <c r="AF172" s="533">
        <f t="shared" si="56"/>
        <v>72368014.961746752</v>
      </c>
      <c r="AG172" s="533">
        <f t="shared" si="56"/>
        <v>60771599.211118922</v>
      </c>
      <c r="AH172" s="533">
        <f t="shared" si="56"/>
        <v>47680664.482662752</v>
      </c>
      <c r="AI172" s="533">
        <f t="shared" si="56"/>
        <v>32965892.846462775</v>
      </c>
      <c r="AJ172" s="533">
        <f t="shared" si="56"/>
        <v>774381.134947057</v>
      </c>
      <c r="AK172" s="533">
        <f t="shared" si="56"/>
        <v>0</v>
      </c>
    </row>
    <row r="173" spans="4:37" x14ac:dyDescent="0.45">
      <c r="E173" s="803" t="str">
        <f>D28</f>
        <v>Total Income</v>
      </c>
      <c r="F173" s="803"/>
      <c r="G173" s="803"/>
      <c r="H173" s="803"/>
      <c r="I173" s="803"/>
      <c r="J173" s="803"/>
      <c r="K173" s="803"/>
      <c r="L173" s="803"/>
      <c r="M173" s="803"/>
      <c r="N173" s="533">
        <f t="shared" ref="N173:AK173" si="57">N28</f>
        <v>13847741.82</v>
      </c>
      <c r="O173" s="533">
        <f t="shared" si="57"/>
        <v>16595915.43</v>
      </c>
      <c r="P173" s="533">
        <f t="shared" si="57"/>
        <v>14925625.75</v>
      </c>
      <c r="Q173" s="579">
        <f t="shared" si="57"/>
        <v>11305567.046898484</v>
      </c>
      <c r="R173" s="579">
        <f t="shared" si="57"/>
        <v>10295775.108026672</v>
      </c>
      <c r="S173" s="579">
        <f t="shared" si="57"/>
        <v>8369173.8392901234</v>
      </c>
      <c r="T173" s="533">
        <f t="shared" si="57"/>
        <v>4298208.2229296956</v>
      </c>
      <c r="U173" s="533">
        <f t="shared" si="57"/>
        <v>4125590.3054568996</v>
      </c>
      <c r="V173" s="533">
        <f t="shared" si="57"/>
        <v>3952972.3879841031</v>
      </c>
      <c r="W173" s="533">
        <f t="shared" si="57"/>
        <v>3780354.470511307</v>
      </c>
      <c r="X173" s="533">
        <f t="shared" si="57"/>
        <v>3607736.5530385105</v>
      </c>
      <c r="Y173" s="533">
        <f t="shared" si="57"/>
        <v>3435118.6355657149</v>
      </c>
      <c r="Z173" s="533">
        <f t="shared" si="57"/>
        <v>3262500.7180929184</v>
      </c>
      <c r="AA173" s="533">
        <f t="shared" si="57"/>
        <v>3089882.8006201228</v>
      </c>
      <c r="AB173" s="533">
        <f t="shared" si="57"/>
        <v>2917264.8831473263</v>
      </c>
      <c r="AC173" s="533">
        <f t="shared" si="57"/>
        <v>2744646.9656745302</v>
      </c>
      <c r="AD173" s="533">
        <f t="shared" si="57"/>
        <v>2572029.0482017342</v>
      </c>
      <c r="AE173" s="533">
        <f t="shared" si="57"/>
        <v>2399411.1307289382</v>
      </c>
      <c r="AF173" s="533">
        <f t="shared" si="57"/>
        <v>2226793.2132561421</v>
      </c>
      <c r="AG173" s="533">
        <f t="shared" si="57"/>
        <v>2054175.2957833458</v>
      </c>
      <c r="AH173" s="533">
        <f t="shared" si="57"/>
        <v>1881557.3783105498</v>
      </c>
      <c r="AI173" s="533">
        <f t="shared" si="57"/>
        <v>1708939.4608377537</v>
      </c>
      <c r="AJ173" s="533">
        <f t="shared" si="57"/>
        <v>481708.31094021688</v>
      </c>
      <c r="AK173" s="533">
        <f t="shared" si="57"/>
        <v>0</v>
      </c>
    </row>
    <row r="195" spans="5:37" x14ac:dyDescent="0.45">
      <c r="N195" s="536" t="str">
        <f>N$170</f>
        <v>2013/14</v>
      </c>
      <c r="O195" s="536" t="str">
        <f t="shared" ref="O195:AK195" si="58">O$170</f>
        <v>2014/15</v>
      </c>
      <c r="P195" s="536" t="str">
        <f t="shared" si="58"/>
        <v>2015/16</v>
      </c>
      <c r="Q195" s="536" t="str">
        <f t="shared" si="58"/>
        <v>2016/17</v>
      </c>
      <c r="R195" s="536" t="str">
        <f t="shared" si="58"/>
        <v>2017/18</v>
      </c>
      <c r="S195" s="536" t="str">
        <f t="shared" si="58"/>
        <v>2018/19</v>
      </c>
      <c r="T195" s="536" t="str">
        <f t="shared" si="58"/>
        <v>2019/20</v>
      </c>
      <c r="U195" s="536" t="str">
        <f t="shared" si="58"/>
        <v>2020/21</v>
      </c>
      <c r="V195" s="536" t="str">
        <f t="shared" si="58"/>
        <v>2021/22</v>
      </c>
      <c r="W195" s="536" t="str">
        <f t="shared" si="58"/>
        <v>2022/23</v>
      </c>
      <c r="X195" s="536" t="str">
        <f t="shared" si="58"/>
        <v>2023/24</v>
      </c>
      <c r="Y195" s="536" t="str">
        <f t="shared" si="58"/>
        <v>2024/25</v>
      </c>
      <c r="Z195" s="536" t="str">
        <f t="shared" si="58"/>
        <v>2025/26</v>
      </c>
      <c r="AA195" s="536" t="str">
        <f t="shared" si="58"/>
        <v>2026/27</v>
      </c>
      <c r="AB195" s="536" t="str">
        <f t="shared" si="58"/>
        <v>2027/28</v>
      </c>
      <c r="AC195" s="536" t="str">
        <f t="shared" si="58"/>
        <v>2028/29</v>
      </c>
      <c r="AD195" s="536" t="str">
        <f t="shared" si="58"/>
        <v>2029/30</v>
      </c>
      <c r="AE195" s="536" t="str">
        <f t="shared" si="58"/>
        <v>2030/31</v>
      </c>
      <c r="AF195" s="536" t="str">
        <f t="shared" si="58"/>
        <v>2031/32</v>
      </c>
      <c r="AG195" s="536" t="str">
        <f t="shared" si="58"/>
        <v>3032/33</v>
      </c>
      <c r="AH195" s="536" t="str">
        <f t="shared" si="58"/>
        <v>2033/34</v>
      </c>
      <c r="AI195" s="536" t="str">
        <f t="shared" si="58"/>
        <v>2034/35</v>
      </c>
      <c r="AJ195" s="536" t="str">
        <f t="shared" si="58"/>
        <v>2035/36</v>
      </c>
      <c r="AK195" s="536" t="str">
        <f t="shared" si="58"/>
        <v>2036/37</v>
      </c>
    </row>
    <row r="196" spans="5:37" x14ac:dyDescent="0.45">
      <c r="E196" s="803" t="str">
        <f>D104</f>
        <v>Sales &amp; Loans Collections/Sales &amp; Loans Raised</v>
      </c>
      <c r="F196" s="803"/>
      <c r="G196" s="803"/>
      <c r="H196" s="803"/>
      <c r="I196" s="803"/>
      <c r="J196" s="803"/>
      <c r="K196" s="803"/>
      <c r="L196" s="803"/>
      <c r="M196" s="803"/>
      <c r="N196" s="813">
        <f t="shared" ref="N196:AK196" si="59">N104</f>
        <v>0.12911491713184367</v>
      </c>
      <c r="O196" s="813">
        <f t="shared" si="59"/>
        <v>0.2262622956784065</v>
      </c>
      <c r="P196" s="813">
        <f t="shared" si="59"/>
        <v>0.24001823843768713</v>
      </c>
      <c r="Q196" s="813">
        <f t="shared" si="59"/>
        <v>0.14589278010946469</v>
      </c>
      <c r="R196" s="813">
        <f t="shared" si="59"/>
        <v>0.14589278010946469</v>
      </c>
      <c r="S196" s="813">
        <f t="shared" si="59"/>
        <v>0.12668732159277471</v>
      </c>
      <c r="T196" s="813">
        <f t="shared" si="59"/>
        <v>6.5747878122074388E-2</v>
      </c>
      <c r="U196" s="813">
        <f t="shared" si="59"/>
        <v>6.5747878122074388E-2</v>
      </c>
      <c r="V196" s="813">
        <f t="shared" si="59"/>
        <v>6.5747878122074388E-2</v>
      </c>
      <c r="W196" s="813">
        <f t="shared" si="59"/>
        <v>6.5747878122074388E-2</v>
      </c>
      <c r="X196" s="813">
        <f t="shared" si="59"/>
        <v>6.5747878122074388E-2</v>
      </c>
      <c r="Y196" s="813">
        <f t="shared" si="59"/>
        <v>6.5747878122074388E-2</v>
      </c>
      <c r="Z196" s="813">
        <f t="shared" ref="Z196:AI196" si="60">Z104</f>
        <v>6.5747878122074388E-2</v>
      </c>
      <c r="AA196" s="813">
        <f t="shared" si="60"/>
        <v>6.5747878122074388E-2</v>
      </c>
      <c r="AB196" s="813">
        <f t="shared" si="60"/>
        <v>6.5747878122074388E-2</v>
      </c>
      <c r="AC196" s="813">
        <f t="shared" si="60"/>
        <v>6.5747878122074388E-2</v>
      </c>
      <c r="AD196" s="813">
        <f t="shared" si="60"/>
        <v>6.5747878122074388E-2</v>
      </c>
      <c r="AE196" s="813">
        <f t="shared" si="60"/>
        <v>6.5747878122074388E-2</v>
      </c>
      <c r="AF196" s="813">
        <f t="shared" si="60"/>
        <v>6.5747878122074388E-2</v>
      </c>
      <c r="AG196" s="813">
        <f t="shared" si="60"/>
        <v>6.5747878122074388E-2</v>
      </c>
      <c r="AH196" s="813">
        <f t="shared" si="60"/>
        <v>6.5747878122074388E-2</v>
      </c>
      <c r="AI196" s="813">
        <f t="shared" si="60"/>
        <v>6.5747878122074388E-2</v>
      </c>
      <c r="AJ196" s="813">
        <f t="shared" si="59"/>
        <v>0.13248519490854305</v>
      </c>
      <c r="AK196" s="813">
        <f t="shared" si="59"/>
        <v>0</v>
      </c>
    </row>
    <row r="219" spans="5:37" x14ac:dyDescent="0.45">
      <c r="N219" s="536" t="str">
        <f>N$170</f>
        <v>2013/14</v>
      </c>
      <c r="O219" s="536" t="str">
        <f t="shared" ref="O219:AK219" si="61">O$170</f>
        <v>2014/15</v>
      </c>
      <c r="P219" s="536" t="str">
        <f t="shared" si="61"/>
        <v>2015/16</v>
      </c>
      <c r="Q219" s="536" t="str">
        <f t="shared" si="61"/>
        <v>2016/17</v>
      </c>
      <c r="R219" s="536" t="str">
        <f t="shared" si="61"/>
        <v>2017/18</v>
      </c>
      <c r="S219" s="536" t="str">
        <f t="shared" si="61"/>
        <v>2018/19</v>
      </c>
      <c r="T219" s="536" t="str">
        <f t="shared" si="61"/>
        <v>2019/20</v>
      </c>
      <c r="U219" s="536" t="str">
        <f t="shared" si="61"/>
        <v>2020/21</v>
      </c>
      <c r="V219" s="536" t="str">
        <f t="shared" si="61"/>
        <v>2021/22</v>
      </c>
      <c r="W219" s="536" t="str">
        <f t="shared" si="61"/>
        <v>2022/23</v>
      </c>
      <c r="X219" s="536" t="str">
        <f t="shared" si="61"/>
        <v>2023/24</v>
      </c>
      <c r="Y219" s="536" t="str">
        <f t="shared" si="61"/>
        <v>2024/25</v>
      </c>
      <c r="Z219" s="536" t="str">
        <f t="shared" si="61"/>
        <v>2025/26</v>
      </c>
      <c r="AA219" s="536" t="str">
        <f t="shared" si="61"/>
        <v>2026/27</v>
      </c>
      <c r="AB219" s="536" t="str">
        <f t="shared" si="61"/>
        <v>2027/28</v>
      </c>
      <c r="AC219" s="536" t="str">
        <f t="shared" si="61"/>
        <v>2028/29</v>
      </c>
      <c r="AD219" s="536" t="str">
        <f t="shared" si="61"/>
        <v>2029/30</v>
      </c>
      <c r="AE219" s="536" t="str">
        <f t="shared" si="61"/>
        <v>2030/31</v>
      </c>
      <c r="AF219" s="536" t="str">
        <f t="shared" si="61"/>
        <v>2031/32</v>
      </c>
      <c r="AG219" s="536" t="str">
        <f t="shared" si="61"/>
        <v>3032/33</v>
      </c>
      <c r="AH219" s="536" t="str">
        <f t="shared" si="61"/>
        <v>2033/34</v>
      </c>
      <c r="AI219" s="536" t="str">
        <f t="shared" si="61"/>
        <v>2034/35</v>
      </c>
      <c r="AJ219" s="536" t="str">
        <f t="shared" si="61"/>
        <v>2035/36</v>
      </c>
      <c r="AK219" s="536" t="str">
        <f t="shared" si="61"/>
        <v>2036/37</v>
      </c>
    </row>
    <row r="220" spans="5:37" x14ac:dyDescent="0.45">
      <c r="E220" s="803" t="str">
        <f>D105</f>
        <v>Rental Collections/Rentals Raised</v>
      </c>
      <c r="F220" s="803"/>
      <c r="G220" s="803"/>
      <c r="H220" s="803"/>
      <c r="I220" s="803"/>
      <c r="J220" s="803"/>
      <c r="K220" s="803"/>
      <c r="L220" s="803"/>
      <c r="M220" s="803"/>
      <c r="N220" s="813">
        <f>N105</f>
        <v>0.43074995700024832</v>
      </c>
      <c r="O220" s="813">
        <f t="shared" ref="O220:AK220" si="62">O105</f>
        <v>0.4175691893204192</v>
      </c>
      <c r="P220" s="813">
        <f t="shared" si="62"/>
        <v>0.4799755579961148</v>
      </c>
      <c r="Q220" s="813">
        <f t="shared" si="62"/>
        <v>0.45924066965734001</v>
      </c>
      <c r="R220" s="813">
        <f t="shared" si="62"/>
        <v>0.43027023088641919</v>
      </c>
      <c r="S220" s="813">
        <f t="shared" si="62"/>
        <v>0.40193032417923641</v>
      </c>
      <c r="T220" s="813">
        <f t="shared" si="62"/>
        <v>0.40200271560394374</v>
      </c>
      <c r="U220" s="813">
        <f t="shared" si="62"/>
        <v>0.40208524472447471</v>
      </c>
      <c r="V220" s="813">
        <f t="shared" si="62"/>
        <v>0.40218020140141142</v>
      </c>
      <c r="W220" s="813">
        <f t="shared" si="62"/>
        <v>0.40229062127909859</v>
      </c>
      <c r="X220" s="813">
        <f t="shared" si="62"/>
        <v>0.40242061631570591</v>
      </c>
      <c r="Y220" s="813">
        <f t="shared" si="62"/>
        <v>0.40257589819903378</v>
      </c>
      <c r="Z220" s="813">
        <f t="shared" ref="Z220:AI220" si="63">Z105</f>
        <v>0.4027646401181767</v>
      </c>
      <c r="AA220" s="813">
        <f t="shared" si="63"/>
        <v>0.40299896288428361</v>
      </c>
      <c r="AB220" s="813">
        <f t="shared" si="63"/>
        <v>0.40329764560146902</v>
      </c>
      <c r="AC220" s="813">
        <f t="shared" si="63"/>
        <v>0.40369142547750952</v>
      </c>
      <c r="AD220" s="813">
        <f t="shared" si="63"/>
        <v>0.40423431828483092</v>
      </c>
      <c r="AE220" s="813">
        <f t="shared" si="63"/>
        <v>0.40503080257458618</v>
      </c>
      <c r="AF220" s="813">
        <f t="shared" si="63"/>
        <v>0.40631270636913475</v>
      </c>
      <c r="AG220" s="813">
        <f t="shared" si="63"/>
        <v>0.40871828245838759</v>
      </c>
      <c r="AH220" s="813">
        <f t="shared" si="63"/>
        <v>0.41487778252245144</v>
      </c>
      <c r="AI220" s="813">
        <f t="shared" si="63"/>
        <v>0.46477863356926424</v>
      </c>
      <c r="AJ220" s="813">
        <f t="shared" si="62"/>
        <v>0</v>
      </c>
      <c r="AK220" s="813">
        <f t="shared" si="62"/>
        <v>0</v>
      </c>
    </row>
    <row r="243" spans="5:37" x14ac:dyDescent="0.45">
      <c r="N243" s="536" t="str">
        <f>N$170</f>
        <v>2013/14</v>
      </c>
      <c r="O243" s="536" t="str">
        <f t="shared" ref="O243:AK243" si="64">O$170</f>
        <v>2014/15</v>
      </c>
      <c r="P243" s="536" t="str">
        <f t="shared" si="64"/>
        <v>2015/16</v>
      </c>
      <c r="Q243" s="536" t="str">
        <f t="shared" si="64"/>
        <v>2016/17</v>
      </c>
      <c r="R243" s="536" t="str">
        <f t="shared" si="64"/>
        <v>2017/18</v>
      </c>
      <c r="S243" s="536" t="str">
        <f t="shared" si="64"/>
        <v>2018/19</v>
      </c>
      <c r="T243" s="536" t="str">
        <f t="shared" si="64"/>
        <v>2019/20</v>
      </c>
      <c r="U243" s="536" t="str">
        <f t="shared" si="64"/>
        <v>2020/21</v>
      </c>
      <c r="V243" s="536" t="str">
        <f t="shared" si="64"/>
        <v>2021/22</v>
      </c>
      <c r="W243" s="536" t="str">
        <f t="shared" si="64"/>
        <v>2022/23</v>
      </c>
      <c r="X243" s="536" t="str">
        <f t="shared" si="64"/>
        <v>2023/24</v>
      </c>
      <c r="Y243" s="536" t="str">
        <f t="shared" si="64"/>
        <v>2024/25</v>
      </c>
      <c r="Z243" s="536" t="str">
        <f t="shared" si="64"/>
        <v>2025/26</v>
      </c>
      <c r="AA243" s="536" t="str">
        <f t="shared" si="64"/>
        <v>2026/27</v>
      </c>
      <c r="AB243" s="536" t="str">
        <f t="shared" si="64"/>
        <v>2027/28</v>
      </c>
      <c r="AC243" s="536" t="str">
        <f t="shared" si="64"/>
        <v>2028/29</v>
      </c>
      <c r="AD243" s="536" t="str">
        <f t="shared" si="64"/>
        <v>2029/30</v>
      </c>
      <c r="AE243" s="536" t="str">
        <f t="shared" si="64"/>
        <v>2030/31</v>
      </c>
      <c r="AF243" s="536" t="str">
        <f t="shared" si="64"/>
        <v>2031/32</v>
      </c>
      <c r="AG243" s="536" t="str">
        <f t="shared" si="64"/>
        <v>3032/33</v>
      </c>
      <c r="AH243" s="536" t="str">
        <f t="shared" si="64"/>
        <v>2033/34</v>
      </c>
      <c r="AI243" s="536" t="str">
        <f t="shared" si="64"/>
        <v>2034/35</v>
      </c>
      <c r="AJ243" s="536" t="str">
        <f t="shared" si="64"/>
        <v>2035/36</v>
      </c>
      <c r="AK243" s="536" t="str">
        <f t="shared" si="64"/>
        <v>2036/37</v>
      </c>
    </row>
    <row r="244" spans="5:37" x14ac:dyDescent="0.45">
      <c r="E244" s="803" t="str">
        <f>D110</f>
        <v>Cost to Income Ratio</v>
      </c>
      <c r="F244" s="803"/>
      <c r="G244" s="803"/>
      <c r="H244" s="803"/>
      <c r="I244" s="803"/>
      <c r="J244" s="803"/>
      <c r="K244" s="803"/>
      <c r="L244" s="803"/>
      <c r="M244" s="803"/>
      <c r="N244" s="813">
        <f>N110</f>
        <v>3.9797793944828515</v>
      </c>
      <c r="O244" s="813">
        <f t="shared" ref="O244:AK244" si="65">O110</f>
        <v>3.9774448403588876</v>
      </c>
      <c r="P244" s="813">
        <f t="shared" si="65"/>
        <v>5.5783167506580043</v>
      </c>
      <c r="Q244" s="813">
        <f t="shared" si="65"/>
        <v>12.671079931042106</v>
      </c>
      <c r="R244" s="813">
        <f t="shared" si="65"/>
        <v>13.507273116795963</v>
      </c>
      <c r="S244" s="813">
        <f t="shared" si="65"/>
        <v>15.977837533118963</v>
      </c>
      <c r="T244" s="813">
        <f t="shared" si="65"/>
        <v>30.537175879738236</v>
      </c>
      <c r="U244" s="813">
        <f t="shared" si="65"/>
        <v>31.578787537400064</v>
      </c>
      <c r="V244" s="813">
        <f t="shared" si="65"/>
        <v>32.583822867731854</v>
      </c>
      <c r="W244" s="813">
        <f t="shared" si="65"/>
        <v>33.533380100091833</v>
      </c>
      <c r="X244" s="813">
        <f t="shared" si="65"/>
        <v>34.403761511004006</v>
      </c>
      <c r="Y244" s="813">
        <f t="shared" si="65"/>
        <v>35.165178524142178</v>
      </c>
      <c r="Z244" s="813">
        <f t="shared" ref="Z244:AI244" si="66">Z110</f>
        <v>35.780039264048</v>
      </c>
      <c r="AA244" s="813">
        <f t="shared" si="66"/>
        <v>36.200654829392356</v>
      </c>
      <c r="AB244" s="813">
        <f t="shared" si="66"/>
        <v>36.366123014428666</v>
      </c>
      <c r="AC244" s="813">
        <f t="shared" si="66"/>
        <v>36.198026779490213</v>
      </c>
      <c r="AD244" s="813">
        <f t="shared" si="66"/>
        <v>35.594389996269669</v>
      </c>
      <c r="AE244" s="813">
        <f t="shared" si="66"/>
        <v>34.421012103663806</v>
      </c>
      <c r="AF244" s="813">
        <f t="shared" si="66"/>
        <v>32.498758542525906</v>
      </c>
      <c r="AG244" s="813">
        <f t="shared" si="66"/>
        <v>29.584427062221135</v>
      </c>
      <c r="AH244" s="813">
        <f t="shared" si="66"/>
        <v>25.341063223634041</v>
      </c>
      <c r="AI244" s="813">
        <f t="shared" si="66"/>
        <v>19.29026369974644</v>
      </c>
      <c r="AJ244" s="813">
        <f t="shared" si="65"/>
        <v>1.6075727102062864</v>
      </c>
      <c r="AK244" s="813">
        <f t="shared" si="65"/>
        <v>0</v>
      </c>
    </row>
    <row r="269" spans="5:37" x14ac:dyDescent="0.45">
      <c r="N269" s="536" t="str">
        <f>N$170</f>
        <v>2013/14</v>
      </c>
      <c r="O269" s="536" t="str">
        <f t="shared" ref="O269:AK269" si="67">O$170</f>
        <v>2014/15</v>
      </c>
      <c r="P269" s="536" t="str">
        <f t="shared" si="67"/>
        <v>2015/16</v>
      </c>
      <c r="Q269" s="536" t="str">
        <f t="shared" si="67"/>
        <v>2016/17</v>
      </c>
      <c r="R269" s="536" t="str">
        <f t="shared" si="67"/>
        <v>2017/18</v>
      </c>
      <c r="S269" s="536" t="str">
        <f t="shared" si="67"/>
        <v>2018/19</v>
      </c>
      <c r="T269" s="536" t="str">
        <f t="shared" si="67"/>
        <v>2019/20</v>
      </c>
      <c r="U269" s="536" t="str">
        <f t="shared" si="67"/>
        <v>2020/21</v>
      </c>
      <c r="V269" s="536" t="str">
        <f t="shared" si="67"/>
        <v>2021/22</v>
      </c>
      <c r="W269" s="536" t="str">
        <f t="shared" si="67"/>
        <v>2022/23</v>
      </c>
      <c r="X269" s="536" t="str">
        <f t="shared" si="67"/>
        <v>2023/24</v>
      </c>
      <c r="Y269" s="536" t="str">
        <f t="shared" si="67"/>
        <v>2024/25</v>
      </c>
      <c r="Z269" s="536" t="str">
        <f t="shared" si="67"/>
        <v>2025/26</v>
      </c>
      <c r="AA269" s="536" t="str">
        <f t="shared" si="67"/>
        <v>2026/27</v>
      </c>
      <c r="AB269" s="536" t="str">
        <f t="shared" si="67"/>
        <v>2027/28</v>
      </c>
      <c r="AC269" s="536" t="str">
        <f t="shared" si="67"/>
        <v>2028/29</v>
      </c>
      <c r="AD269" s="536" t="str">
        <f t="shared" si="67"/>
        <v>2029/30</v>
      </c>
      <c r="AE269" s="536" t="str">
        <f t="shared" si="67"/>
        <v>2030/31</v>
      </c>
      <c r="AF269" s="536" t="str">
        <f t="shared" si="67"/>
        <v>2031/32</v>
      </c>
      <c r="AG269" s="536" t="str">
        <f t="shared" si="67"/>
        <v>3032/33</v>
      </c>
      <c r="AH269" s="536" t="str">
        <f t="shared" si="67"/>
        <v>2033/34</v>
      </c>
      <c r="AI269" s="536" t="str">
        <f t="shared" si="67"/>
        <v>2034/35</v>
      </c>
      <c r="AJ269" s="536" t="str">
        <f t="shared" si="67"/>
        <v>2035/36</v>
      </c>
      <c r="AK269" s="536" t="str">
        <f t="shared" si="67"/>
        <v>2036/37</v>
      </c>
    </row>
    <row r="270" spans="5:37" x14ac:dyDescent="0.45">
      <c r="E270" s="803" t="str">
        <f>D111</f>
        <v>Maintenance as % of Expenses</v>
      </c>
      <c r="F270" s="803"/>
      <c r="G270" s="803"/>
      <c r="H270" s="803"/>
      <c r="I270" s="803"/>
      <c r="J270" s="803"/>
      <c r="K270" s="803"/>
      <c r="L270" s="803"/>
      <c r="M270" s="803"/>
      <c r="N270" s="813">
        <f>N111</f>
        <v>0.41192797318755381</v>
      </c>
      <c r="O270" s="813">
        <f t="shared" ref="O270:AK270" si="68">O111</f>
        <v>0.32548273107837405</v>
      </c>
      <c r="P270" s="813">
        <f t="shared" si="68"/>
        <v>0.40096302405356743</v>
      </c>
      <c r="Q270" s="813">
        <f t="shared" si="68"/>
        <v>0.39034513559371409</v>
      </c>
      <c r="R270" s="813">
        <f t="shared" si="68"/>
        <v>0.38882931518015867</v>
      </c>
      <c r="S270" s="813">
        <f t="shared" si="68"/>
        <v>0.38792906444137154</v>
      </c>
      <c r="T270" s="813">
        <f t="shared" si="68"/>
        <v>0.39105915624224319</v>
      </c>
      <c r="U270" s="813">
        <f t="shared" si="68"/>
        <v>0.38812760119698214</v>
      </c>
      <c r="V270" s="813">
        <f t="shared" si="68"/>
        <v>0.38480258720870825</v>
      </c>
      <c r="W270" s="813">
        <f t="shared" si="68"/>
        <v>0.38099920395919717</v>
      </c>
      <c r="X270" s="813">
        <f t="shared" si="68"/>
        <v>0.37660621531535154</v>
      </c>
      <c r="Y270" s="813">
        <f t="shared" si="68"/>
        <v>0.37147499941321133</v>
      </c>
      <c r="Z270" s="813">
        <f t="shared" ref="Z270:AI270" si="69">Z111</f>
        <v>0.36540240152646231</v>
      </c>
      <c r="AA270" s="813">
        <f t="shared" si="69"/>
        <v>0.35810319625943859</v>
      </c>
      <c r="AB270" s="813">
        <f t="shared" si="69"/>
        <v>0.34916398795754855</v>
      </c>
      <c r="AC270" s="813">
        <f t="shared" si="69"/>
        <v>0.33796210521123632</v>
      </c>
      <c r="AD270" s="813">
        <f t="shared" si="69"/>
        <v>0.32351398369371032</v>
      </c>
      <c r="AE270" s="813">
        <f t="shared" si="69"/>
        <v>0.30416940002598553</v>
      </c>
      <c r="AF270" s="813">
        <f t="shared" si="69"/>
        <v>0.27693140914801878</v>
      </c>
      <c r="AG270" s="813">
        <f t="shared" si="69"/>
        <v>0.23573042123964874</v>
      </c>
      <c r="AH270" s="813">
        <f t="shared" si="69"/>
        <v>0.16612919199079115</v>
      </c>
      <c r="AI270" s="813">
        <f t="shared" si="69"/>
        <v>2.3319510182640481E-2</v>
      </c>
      <c r="AJ270" s="813">
        <f t="shared" si="68"/>
        <v>0</v>
      </c>
      <c r="AK270" s="813">
        <f t="shared" si="68"/>
        <v>0</v>
      </c>
    </row>
    <row r="293" spans="5:37" x14ac:dyDescent="0.45">
      <c r="N293" s="536" t="str">
        <f>N$170</f>
        <v>2013/14</v>
      </c>
      <c r="O293" s="536" t="str">
        <f t="shared" ref="O293:AK293" si="70">O$170</f>
        <v>2014/15</v>
      </c>
      <c r="P293" s="536" t="str">
        <f t="shared" si="70"/>
        <v>2015/16</v>
      </c>
      <c r="Q293" s="536" t="str">
        <f t="shared" si="70"/>
        <v>2016/17</v>
      </c>
      <c r="R293" s="536" t="str">
        <f t="shared" si="70"/>
        <v>2017/18</v>
      </c>
      <c r="S293" s="536" t="str">
        <f t="shared" si="70"/>
        <v>2018/19</v>
      </c>
      <c r="T293" s="536" t="str">
        <f t="shared" si="70"/>
        <v>2019/20</v>
      </c>
      <c r="U293" s="536" t="str">
        <f t="shared" si="70"/>
        <v>2020/21</v>
      </c>
      <c r="V293" s="536" t="str">
        <f t="shared" si="70"/>
        <v>2021/22</v>
      </c>
      <c r="W293" s="536" t="str">
        <f t="shared" si="70"/>
        <v>2022/23</v>
      </c>
      <c r="X293" s="536" t="str">
        <f t="shared" si="70"/>
        <v>2023/24</v>
      </c>
      <c r="Y293" s="536" t="str">
        <f t="shared" si="70"/>
        <v>2024/25</v>
      </c>
      <c r="Z293" s="536" t="str">
        <f t="shared" si="70"/>
        <v>2025/26</v>
      </c>
      <c r="AA293" s="536" t="str">
        <f t="shared" si="70"/>
        <v>2026/27</v>
      </c>
      <c r="AB293" s="536" t="str">
        <f t="shared" si="70"/>
        <v>2027/28</v>
      </c>
      <c r="AC293" s="536" t="str">
        <f t="shared" si="70"/>
        <v>2028/29</v>
      </c>
      <c r="AD293" s="536" t="str">
        <f t="shared" si="70"/>
        <v>2029/30</v>
      </c>
      <c r="AE293" s="536" t="str">
        <f t="shared" si="70"/>
        <v>2030/31</v>
      </c>
      <c r="AF293" s="536" t="str">
        <f t="shared" si="70"/>
        <v>2031/32</v>
      </c>
      <c r="AG293" s="536" t="str">
        <f t="shared" si="70"/>
        <v>3032/33</v>
      </c>
      <c r="AH293" s="536" t="str">
        <f t="shared" si="70"/>
        <v>2033/34</v>
      </c>
      <c r="AI293" s="536" t="str">
        <f t="shared" si="70"/>
        <v>2034/35</v>
      </c>
      <c r="AJ293" s="536" t="str">
        <f t="shared" si="70"/>
        <v>2035/36</v>
      </c>
      <c r="AK293" s="536" t="str">
        <f t="shared" si="70"/>
        <v>2036/37</v>
      </c>
    </row>
    <row r="294" spans="5:37" x14ac:dyDescent="0.45">
      <c r="E294" s="803" t="str">
        <f>D112</f>
        <v>Maintenance Cost per Unit</v>
      </c>
      <c r="F294" s="803"/>
      <c r="G294" s="803"/>
      <c r="H294" s="803"/>
      <c r="I294" s="803"/>
      <c r="J294" s="803"/>
      <c r="K294" s="803"/>
      <c r="L294" s="803"/>
      <c r="M294" s="803"/>
      <c r="N294" s="818">
        <f>N112</f>
        <v>221716.96123404257</v>
      </c>
      <c r="O294" s="818">
        <f t="shared" ref="O294:AK294" si="71">O112</f>
        <v>342047.40684615384</v>
      </c>
      <c r="P294" s="818">
        <f t="shared" si="71"/>
        <v>11128.651734496125</v>
      </c>
      <c r="Q294" s="818">
        <f t="shared" si="71"/>
        <v>12035.816189307363</v>
      </c>
      <c r="R294" s="818">
        <f t="shared" si="71"/>
        <v>13086.557466923452</v>
      </c>
      <c r="S294" s="818">
        <f t="shared" si="71"/>
        <v>14188.834453623436</v>
      </c>
      <c r="T294" s="818">
        <f t="shared" si="71"/>
        <v>14964.58439801161</v>
      </c>
      <c r="U294" s="818">
        <f t="shared" si="71"/>
        <v>15782.055630978948</v>
      </c>
      <c r="V294" s="818">
        <f t="shared" si="71"/>
        <v>16643.287174203506</v>
      </c>
      <c r="W294" s="818">
        <f t="shared" si="71"/>
        <v>17550.338383888764</v>
      </c>
      <c r="X294" s="818">
        <f t="shared" si="71"/>
        <v>18505.246818229018</v>
      </c>
      <c r="Y294" s="818">
        <f t="shared" si="71"/>
        <v>19509.957426780529</v>
      </c>
      <c r="Z294" s="818">
        <f t="shared" ref="Z294:AI294" si="72">Z112</f>
        <v>20566.200907271548</v>
      </c>
      <c r="AA294" s="818">
        <f t="shared" si="72"/>
        <v>21675.277380400326</v>
      </c>
      <c r="AB294" s="818">
        <f t="shared" si="72"/>
        <v>22837.652631084573</v>
      </c>
      <c r="AC294" s="818">
        <f t="shared" si="72"/>
        <v>24052.154009453407</v>
      </c>
      <c r="AD294" s="818">
        <f t="shared" si="72"/>
        <v>25314.224042317313</v>
      </c>
      <c r="AE294" s="818">
        <f t="shared" si="72"/>
        <v>26611.651785183898</v>
      </c>
      <c r="AF294" s="818">
        <f t="shared" si="72"/>
        <v>27912.22334345604</v>
      </c>
      <c r="AG294" s="818">
        <f t="shared" si="72"/>
        <v>29117.306263097904</v>
      </c>
      <c r="AH294" s="818">
        <f t="shared" si="72"/>
        <v>29778.760391311193</v>
      </c>
      <c r="AI294" s="818">
        <f t="shared" si="72"/>
        <v>19218.711847823091</v>
      </c>
      <c r="AJ294" s="818">
        <f t="shared" si="71"/>
        <v>0</v>
      </c>
      <c r="AK294" s="818">
        <f t="shared" si="71"/>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5.6283986361087817E-3</v>
      </c>
      <c r="O317" s="813">
        <f t="shared" ref="O317:AK317" si="74">O113</f>
        <v>5.8277379008081645E-3</v>
      </c>
      <c r="P317" s="813">
        <f t="shared" si="74"/>
        <v>8.965710025639017E-3</v>
      </c>
      <c r="Q317" s="813">
        <f t="shared" si="74"/>
        <v>1.0064622456272281E-2</v>
      </c>
      <c r="R317" s="813">
        <f t="shared" si="74"/>
        <v>9.822358387218573E-3</v>
      </c>
      <c r="S317" s="813">
        <f t="shared" si="74"/>
        <v>9.5614949341196291E-3</v>
      </c>
      <c r="T317" s="813">
        <f t="shared" si="74"/>
        <v>9.6839048748770928E-3</v>
      </c>
      <c r="U317" s="813">
        <f t="shared" si="74"/>
        <v>9.622777727496902E-3</v>
      </c>
      <c r="V317" s="813">
        <f t="shared" si="74"/>
        <v>9.5231926737937116E-3</v>
      </c>
      <c r="W317" s="813">
        <f t="shared" si="74"/>
        <v>9.3811440832379609E-3</v>
      </c>
      <c r="X317" s="813">
        <f t="shared" si="74"/>
        <v>9.1923020411084737E-3</v>
      </c>
      <c r="Y317" s="813">
        <f t="shared" si="74"/>
        <v>8.9519887942637148E-3</v>
      </c>
      <c r="Z317" s="813">
        <f t="shared" ref="Z317:AI317" si="75">Z113</f>
        <v>8.6551535869075942E-3</v>
      </c>
      <c r="AA317" s="813">
        <f t="shared" si="75"/>
        <v>8.296345780500718E-3</v>
      </c>
      <c r="AB317" s="813">
        <f t="shared" si="75"/>
        <v>7.8696861451948985E-3</v>
      </c>
      <c r="AC317" s="813">
        <f t="shared" si="75"/>
        <v>7.3688362029707844E-3</v>
      </c>
      <c r="AD317" s="813">
        <f t="shared" si="75"/>
        <v>6.7869654950093094E-3</v>
      </c>
      <c r="AE317" s="813">
        <f t="shared" si="75"/>
        <v>6.1167166376997432E-3</v>
      </c>
      <c r="AF317" s="813">
        <f t="shared" si="75"/>
        <v>5.3501680230505248E-3</v>
      </c>
      <c r="AG317" s="813">
        <f t="shared" si="75"/>
        <v>4.4787940100927993E-3</v>
      </c>
      <c r="AH317" s="813">
        <f t="shared" si="75"/>
        <v>3.4934224441170959E-3</v>
      </c>
      <c r="AI317" s="813">
        <f t="shared" si="75"/>
        <v>2.3841893302257808E-3</v>
      </c>
      <c r="AJ317" s="813">
        <f t="shared" si="74"/>
        <v>2.232423024839863E-5</v>
      </c>
      <c r="AK317" s="813">
        <f t="shared" si="74"/>
        <v>0</v>
      </c>
    </row>
    <row r="339" spans="5:37" x14ac:dyDescent="0.45">
      <c r="N339" s="536" t="str">
        <f>N$170</f>
        <v>2013/14</v>
      </c>
      <c r="O339" s="536" t="str">
        <f t="shared" ref="O339:AK339" si="76">O$170</f>
        <v>2014/15</v>
      </c>
      <c r="P339" s="536" t="str">
        <f t="shared" si="76"/>
        <v>2015/16</v>
      </c>
      <c r="Q339" s="536" t="str">
        <f t="shared" si="76"/>
        <v>2016/17</v>
      </c>
      <c r="R339" s="536" t="str">
        <f t="shared" si="76"/>
        <v>2017/18</v>
      </c>
      <c r="S339" s="536" t="str">
        <f t="shared" si="76"/>
        <v>2018/19</v>
      </c>
      <c r="T339" s="536" t="str">
        <f t="shared" si="76"/>
        <v>2019/20</v>
      </c>
      <c r="U339" s="536" t="str">
        <f t="shared" si="76"/>
        <v>2020/21</v>
      </c>
      <c r="V339" s="536" t="str">
        <f t="shared" si="76"/>
        <v>2021/22</v>
      </c>
      <c r="W339" s="536" t="str">
        <f t="shared" si="76"/>
        <v>2022/23</v>
      </c>
      <c r="X339" s="536" t="str">
        <f t="shared" si="76"/>
        <v>2023/24</v>
      </c>
      <c r="Y339" s="536" t="str">
        <f t="shared" si="76"/>
        <v>2024/25</v>
      </c>
      <c r="Z339" s="536" t="str">
        <f t="shared" si="76"/>
        <v>2025/26</v>
      </c>
      <c r="AA339" s="536" t="str">
        <f t="shared" si="76"/>
        <v>2026/27</v>
      </c>
      <c r="AB339" s="536" t="str">
        <f t="shared" si="76"/>
        <v>2027/28</v>
      </c>
      <c r="AC339" s="536" t="str">
        <f t="shared" si="76"/>
        <v>2028/29</v>
      </c>
      <c r="AD339" s="536" t="str">
        <f t="shared" si="76"/>
        <v>2029/30</v>
      </c>
      <c r="AE339" s="536" t="str">
        <f t="shared" si="76"/>
        <v>2030/31</v>
      </c>
      <c r="AF339" s="536" t="str">
        <f t="shared" si="76"/>
        <v>2031/32</v>
      </c>
      <c r="AG339" s="536" t="str">
        <f t="shared" si="76"/>
        <v>3032/33</v>
      </c>
      <c r="AH339" s="536" t="str">
        <f t="shared" si="76"/>
        <v>2033/34</v>
      </c>
      <c r="AI339" s="536" t="str">
        <f t="shared" si="76"/>
        <v>2034/35</v>
      </c>
      <c r="AJ339" s="536" t="str">
        <f t="shared" si="76"/>
        <v>2035/36</v>
      </c>
      <c r="AK339" s="536" t="str">
        <f t="shared" si="76"/>
        <v>2036/37</v>
      </c>
    </row>
    <row r="340" spans="5:37" x14ac:dyDescent="0.45">
      <c r="E340" s="803" t="str">
        <f>D115</f>
        <v>EEDBS as % of HSDG</v>
      </c>
      <c r="F340" s="803"/>
      <c r="G340" s="803"/>
      <c r="H340" s="803"/>
      <c r="I340" s="803"/>
      <c r="J340" s="803"/>
      <c r="K340" s="803"/>
      <c r="L340" s="803"/>
      <c r="M340" s="803"/>
      <c r="N340" s="813">
        <f>N115</f>
        <v>1.3501498573366593E-3</v>
      </c>
      <c r="O340" s="813">
        <f t="shared" ref="O340:AK340" si="77">O115</f>
        <v>1.3220500212674947E-3</v>
      </c>
      <c r="P340" s="813">
        <f t="shared" si="77"/>
        <v>8.1753659030898095E-4</v>
      </c>
      <c r="Q340" s="813">
        <f t="shared" si="77"/>
        <v>1.604945291914538E-5</v>
      </c>
      <c r="R340" s="813">
        <f t="shared" si="77"/>
        <v>1.604945291914538E-5</v>
      </c>
      <c r="S340" s="813">
        <f t="shared" si="77"/>
        <v>1.604945291914538E-5</v>
      </c>
      <c r="T340" s="813">
        <f t="shared" si="77"/>
        <v>1.783272546571709E-6</v>
      </c>
      <c r="U340" s="813">
        <f t="shared" si="77"/>
        <v>1.783272546571709E-6</v>
      </c>
      <c r="V340" s="813">
        <f t="shared" si="77"/>
        <v>1.783272546571709E-6</v>
      </c>
      <c r="W340" s="813">
        <f t="shared" si="77"/>
        <v>1.783272546571709E-6</v>
      </c>
      <c r="X340" s="813">
        <f t="shared" si="77"/>
        <v>1.783272546571709E-6</v>
      </c>
      <c r="Y340" s="813">
        <f t="shared" si="77"/>
        <v>1.783272546571709E-6</v>
      </c>
      <c r="Z340" s="813">
        <f t="shared" ref="Z340:AI340" si="78">Z115</f>
        <v>1.783272546571709E-6</v>
      </c>
      <c r="AA340" s="813">
        <f t="shared" si="78"/>
        <v>1.783272546571709E-6</v>
      </c>
      <c r="AB340" s="813">
        <f t="shared" si="78"/>
        <v>1.783272546571709E-6</v>
      </c>
      <c r="AC340" s="813">
        <f t="shared" si="78"/>
        <v>1.783272546571709E-6</v>
      </c>
      <c r="AD340" s="813">
        <f t="shared" si="78"/>
        <v>1.783272546571709E-6</v>
      </c>
      <c r="AE340" s="813">
        <f t="shared" si="78"/>
        <v>1.783272546571709E-6</v>
      </c>
      <c r="AF340" s="813">
        <f t="shared" si="78"/>
        <v>1.783272546571709E-6</v>
      </c>
      <c r="AG340" s="813">
        <f t="shared" si="78"/>
        <v>1.783272546571709E-6</v>
      </c>
      <c r="AH340" s="813">
        <f t="shared" si="78"/>
        <v>1.783272546571709E-6</v>
      </c>
      <c r="AI340" s="813">
        <f t="shared" si="78"/>
        <v>1.783272546571709E-6</v>
      </c>
      <c r="AJ340" s="813">
        <f t="shared" si="77"/>
        <v>1.2020956834399175E-3</v>
      </c>
      <c r="AK340" s="813">
        <f t="shared" si="77"/>
        <v>0</v>
      </c>
    </row>
    <row r="363" spans="5:37" x14ac:dyDescent="0.45">
      <c r="N363" s="536" t="str">
        <f>N$170</f>
        <v>2013/14</v>
      </c>
      <c r="O363" s="536" t="str">
        <f t="shared" ref="O363:AK363" si="79">O$170</f>
        <v>2014/15</v>
      </c>
      <c r="P363" s="536" t="str">
        <f t="shared" si="79"/>
        <v>2015/16</v>
      </c>
      <c r="Q363" s="536" t="str">
        <f t="shared" si="79"/>
        <v>2016/17</v>
      </c>
      <c r="R363" s="536" t="str">
        <f t="shared" si="79"/>
        <v>2017/18</v>
      </c>
      <c r="S363" s="536" t="str">
        <f t="shared" si="79"/>
        <v>2018/19</v>
      </c>
      <c r="T363" s="536" t="str">
        <f t="shared" si="79"/>
        <v>2019/20</v>
      </c>
      <c r="U363" s="536" t="str">
        <f t="shared" si="79"/>
        <v>2020/21</v>
      </c>
      <c r="V363" s="536" t="str">
        <f t="shared" si="79"/>
        <v>2021/22</v>
      </c>
      <c r="W363" s="536" t="str">
        <f t="shared" si="79"/>
        <v>2022/23</v>
      </c>
      <c r="X363" s="536" t="str">
        <f t="shared" si="79"/>
        <v>2023/24</v>
      </c>
      <c r="Y363" s="536" t="str">
        <f t="shared" si="79"/>
        <v>2024/25</v>
      </c>
      <c r="Z363" s="536" t="str">
        <f t="shared" si="79"/>
        <v>2025/26</v>
      </c>
      <c r="AA363" s="536" t="str">
        <f t="shared" si="79"/>
        <v>2026/27</v>
      </c>
      <c r="AB363" s="536" t="str">
        <f t="shared" si="79"/>
        <v>2027/28</v>
      </c>
      <c r="AC363" s="536" t="str">
        <f t="shared" si="79"/>
        <v>2028/29</v>
      </c>
      <c r="AD363" s="536" t="str">
        <f t="shared" si="79"/>
        <v>2029/30</v>
      </c>
      <c r="AE363" s="536" t="str">
        <f t="shared" si="79"/>
        <v>2030/31</v>
      </c>
      <c r="AF363" s="536" t="str">
        <f t="shared" si="79"/>
        <v>2031/32</v>
      </c>
      <c r="AG363" s="536" t="str">
        <f t="shared" si="79"/>
        <v>3032/33</v>
      </c>
      <c r="AH363" s="536" t="str">
        <f t="shared" si="79"/>
        <v>2033/34</v>
      </c>
      <c r="AI363" s="536" t="str">
        <f t="shared" si="79"/>
        <v>2034/35</v>
      </c>
      <c r="AJ363" s="536" t="str">
        <f t="shared" si="79"/>
        <v>2035/36</v>
      </c>
      <c r="AK363" s="536" t="str">
        <f t="shared" si="79"/>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80">O117</f>
        <v>0</v>
      </c>
      <c r="P364" s="818">
        <f t="shared" si="80"/>
        <v>2312.9006639211889</v>
      </c>
      <c r="Q364" s="818">
        <f t="shared" si="80"/>
        <v>2569.4816996162713</v>
      </c>
      <c r="R364" s="818">
        <f t="shared" si="80"/>
        <v>2804.6919638033582</v>
      </c>
      <c r="S364" s="818">
        <f t="shared" si="80"/>
        <v>3047.9873242753256</v>
      </c>
      <c r="T364" s="818">
        <f t="shared" si="80"/>
        <v>3188.9004001783592</v>
      </c>
      <c r="U364" s="818">
        <f t="shared" si="80"/>
        <v>3388.5023856216412</v>
      </c>
      <c r="V364" s="818">
        <f t="shared" si="80"/>
        <v>3604.2912494713732</v>
      </c>
      <c r="W364" s="818">
        <f t="shared" si="80"/>
        <v>3838.6647096880165</v>
      </c>
      <c r="X364" s="818">
        <f t="shared" si="80"/>
        <v>4094.7383203110512</v>
      </c>
      <c r="Y364" s="818">
        <f t="shared" si="80"/>
        <v>4376.686959104205</v>
      </c>
      <c r="Z364" s="818">
        <f t="shared" ref="Z364:AI364" si="81">Z117</f>
        <v>4690.3087348259969</v>
      </c>
      <c r="AA364" s="818">
        <f t="shared" si="81"/>
        <v>5044.0016562285909</v>
      </c>
      <c r="AB364" s="818">
        <f t="shared" si="81"/>
        <v>5450.5555695750381</v>
      </c>
      <c r="AC364" s="818">
        <f t="shared" si="81"/>
        <v>5930.683164024188</v>
      </c>
      <c r="AD364" s="818">
        <f t="shared" si="81"/>
        <v>6520.6413834349578</v>
      </c>
      <c r="AE364" s="818">
        <f t="shared" si="81"/>
        <v>7290.797984859325</v>
      </c>
      <c r="AF364" s="818">
        <f t="shared" si="81"/>
        <v>8399.2589324218607</v>
      </c>
      <c r="AG364" s="818">
        <f t="shared" si="81"/>
        <v>10293.29254930876</v>
      </c>
      <c r="AH364" s="818">
        <f t="shared" si="81"/>
        <v>14937.551529656252</v>
      </c>
      <c r="AI364" s="818">
        <f t="shared" si="81"/>
        <v>68678.943430130777</v>
      </c>
      <c r="AJ364" s="818">
        <f t="shared" si="80"/>
        <v>0</v>
      </c>
      <c r="AK364" s="818">
        <f t="shared" si="80"/>
        <v>0</v>
      </c>
    </row>
    <row r="387" spans="5:37" x14ac:dyDescent="0.45">
      <c r="N387" s="536" t="str">
        <f>N$170</f>
        <v>2013/14</v>
      </c>
      <c r="O387" s="536" t="str">
        <f t="shared" ref="O387:AK387" si="82">O$170</f>
        <v>2014/15</v>
      </c>
      <c r="P387" s="536" t="str">
        <f t="shared" si="82"/>
        <v>2015/16</v>
      </c>
      <c r="Q387" s="536" t="str">
        <f t="shared" si="82"/>
        <v>2016/17</v>
      </c>
      <c r="R387" s="536" t="str">
        <f t="shared" si="82"/>
        <v>2017/18</v>
      </c>
      <c r="S387" s="536" t="str">
        <f t="shared" si="82"/>
        <v>2018/19</v>
      </c>
      <c r="T387" s="536" t="str">
        <f t="shared" si="82"/>
        <v>2019/20</v>
      </c>
      <c r="U387" s="536" t="str">
        <f t="shared" si="82"/>
        <v>2020/21</v>
      </c>
      <c r="V387" s="536" t="str">
        <f t="shared" si="82"/>
        <v>2021/22</v>
      </c>
      <c r="W387" s="536" t="str">
        <f t="shared" si="82"/>
        <v>2022/23</v>
      </c>
      <c r="X387" s="536" t="str">
        <f t="shared" si="82"/>
        <v>2023/24</v>
      </c>
      <c r="Y387" s="536" t="str">
        <f t="shared" si="82"/>
        <v>2024/25</v>
      </c>
      <c r="Z387" s="536" t="str">
        <f t="shared" si="82"/>
        <v>2025/26</v>
      </c>
      <c r="AA387" s="536" t="str">
        <f t="shared" si="82"/>
        <v>2026/27</v>
      </c>
      <c r="AB387" s="536" t="str">
        <f t="shared" si="82"/>
        <v>2027/28</v>
      </c>
      <c r="AC387" s="536" t="str">
        <f t="shared" si="82"/>
        <v>2028/29</v>
      </c>
      <c r="AD387" s="536" t="str">
        <f t="shared" si="82"/>
        <v>2029/30</v>
      </c>
      <c r="AE387" s="536" t="str">
        <f t="shared" si="82"/>
        <v>2030/31</v>
      </c>
      <c r="AF387" s="536" t="str">
        <f t="shared" si="82"/>
        <v>2031/32</v>
      </c>
      <c r="AG387" s="536" t="str">
        <f t="shared" si="82"/>
        <v>3032/33</v>
      </c>
      <c r="AH387" s="536" t="str">
        <f t="shared" si="82"/>
        <v>2033/34</v>
      </c>
      <c r="AI387" s="536" t="str">
        <f t="shared" si="82"/>
        <v>2034/35</v>
      </c>
      <c r="AJ387" s="536" t="str">
        <f t="shared" si="82"/>
        <v>2035/36</v>
      </c>
      <c r="AK387" s="536" t="str">
        <f t="shared" si="82"/>
        <v>2036/37</v>
      </c>
    </row>
    <row r="388" spans="5:37" x14ac:dyDescent="0.45">
      <c r="E388" s="803" t="str">
        <f>D118</f>
        <v>Net Surplus/Deficit p.u.p.m.</v>
      </c>
      <c r="F388" s="803"/>
      <c r="G388" s="803"/>
      <c r="H388" s="803"/>
      <c r="I388" s="803"/>
      <c r="J388" s="803"/>
      <c r="K388" s="803"/>
      <c r="L388" s="803"/>
      <c r="M388" s="803"/>
      <c r="N388" s="818">
        <f>N118</f>
        <v>0</v>
      </c>
      <c r="O388" s="818">
        <f t="shared" ref="O388:AK388" si="83">O118</f>
        <v>0</v>
      </c>
      <c r="P388" s="818">
        <f t="shared" si="83"/>
        <v>-1898.2772627583979</v>
      </c>
      <c r="Q388" s="818">
        <f t="shared" si="83"/>
        <v>-2366.6985340455567</v>
      </c>
      <c r="R388" s="818">
        <f t="shared" si="83"/>
        <v>-2597.04887111163</v>
      </c>
      <c r="S388" s="818">
        <f t="shared" si="83"/>
        <v>-2857.2238797254959</v>
      </c>
      <c r="T388" s="818">
        <f t="shared" si="83"/>
        <v>-3084.4735726047511</v>
      </c>
      <c r="U388" s="818">
        <f t="shared" si="83"/>
        <v>-3281.1992669820006</v>
      </c>
      <c r="V388" s="818">
        <f t="shared" si="83"/>
        <v>-3493.675277119009</v>
      </c>
      <c r="W388" s="818">
        <f t="shared" si="83"/>
        <v>-3724.1917666613899</v>
      </c>
      <c r="X388" s="818">
        <f t="shared" si="83"/>
        <v>-3975.7182440033671</v>
      </c>
      <c r="Y388" s="818">
        <f t="shared" si="83"/>
        <v>-4252.226138975012</v>
      </c>
      <c r="Z388" s="818">
        <f t="shared" ref="Z388:AI388" si="84">Z118</f>
        <v>-4559.2214349990554</v>
      </c>
      <c r="AA388" s="818">
        <f t="shared" si="84"/>
        <v>-4904.667114353585</v>
      </c>
      <c r="AB388" s="818">
        <f t="shared" si="84"/>
        <v>-5300.6755406422735</v>
      </c>
      <c r="AC388" s="818">
        <f t="shared" si="84"/>
        <v>-5766.8432066653941</v>
      </c>
      <c r="AD388" s="818">
        <f t="shared" si="84"/>
        <v>-6337.4484312838358</v>
      </c>
      <c r="AE388" s="818">
        <f t="shared" si="84"/>
        <v>-7078.9855615958231</v>
      </c>
      <c r="AF388" s="818">
        <f t="shared" si="84"/>
        <v>-8140.8103236409725</v>
      </c>
      <c r="AG388" s="818">
        <f t="shared" si="84"/>
        <v>-9945.363129291256</v>
      </c>
      <c r="AH388" s="818">
        <f t="shared" si="84"/>
        <v>-14348.091198105329</v>
      </c>
      <c r="AI388" s="818">
        <f t="shared" si="84"/>
        <v>-65118.652886718795</v>
      </c>
      <c r="AJ388" s="818">
        <f t="shared" si="83"/>
        <v>0</v>
      </c>
      <c r="AK388" s="818">
        <f t="shared" si="83"/>
        <v>0</v>
      </c>
    </row>
  </sheetData>
  <sheetProtection formatCells="0" formatColumns="0" formatRows="0" insertColumns="0"/>
  <mergeCells count="4">
    <mergeCell ref="N3:P3"/>
    <mergeCell ref="Q3:AL3"/>
    <mergeCell ref="I3:L3"/>
    <mergeCell ref="F3:G3"/>
  </mergeCells>
  <printOptions headings="1"/>
  <pageMargins left="0.19685039370078741" right="0.23622047244094491" top="0.43307086614173229" bottom="0.39370078740157483" header="0.27559055118110237" footer="0.11811023622047245"/>
  <pageSetup paperSize="9" scale="40" orientation="landscape" r:id="rId1"/>
  <headerFooter>
    <oddFooter>&amp;R&amp;F &amp;A &amp;D Page &amp;P</oddFooter>
  </headerFooter>
  <rowBreaks count="4" manualBreakCount="4">
    <brk id="144" min="1" max="37" man="1"/>
    <brk id="218" min="1" max="37" man="1"/>
    <brk id="292" min="1" max="37" man="1"/>
    <brk id="362" min="1" max="3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vince" prompt="Select province from the list, or select Total to see the national view. " xr:uid="{3F1DBB8B-7779-47AB-8198-7429C3A05BFB}">
          <x14:formula1>
            <xm:f>'14. Permanent Info'!$C$7:$C$12</xm:f>
          </x14:formula1>
          <xm:sqref>E10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F447-FF27-4ECF-9E7C-1952F874386E}">
  <sheetPr codeName="Sheet9">
    <tabColor theme="5" tint="0.59999389629810485"/>
  </sheetPr>
  <dimension ref="A1:BM388"/>
  <sheetViews>
    <sheetView showGridLines="0" view="pageBreakPreview" zoomScale="75" zoomScaleNormal="100" zoomScaleSheetLayoutView="75" workbookViewId="0">
      <selection activeCell="D14" sqref="D14"/>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EC 2013/14</v>
      </c>
      <c r="O1" s="803" t="str">
        <f t="shared" si="0"/>
        <v>EC 2014/15</v>
      </c>
      <c r="P1" s="803" t="str">
        <f t="shared" si="0"/>
        <v>EC 2015/16</v>
      </c>
      <c r="Q1" s="803" t="str">
        <f t="shared" si="0"/>
        <v>EC 2016/17</v>
      </c>
      <c r="R1" s="803" t="str">
        <f t="shared" si="0"/>
        <v>EC 2017/18</v>
      </c>
      <c r="S1" s="803" t="str">
        <f t="shared" si="0"/>
        <v>EC 2018/19</v>
      </c>
      <c r="T1" s="803" t="str">
        <f t="shared" si="0"/>
        <v>EC 2019/20</v>
      </c>
      <c r="U1" s="803" t="str">
        <f t="shared" si="0"/>
        <v>EC 2020/21</v>
      </c>
      <c r="V1" s="803" t="str">
        <f t="shared" si="0"/>
        <v>EC 2021/22</v>
      </c>
      <c r="W1" s="803" t="str">
        <f t="shared" si="0"/>
        <v>EC 2022/23</v>
      </c>
      <c r="X1" s="803" t="str">
        <f t="shared" si="0"/>
        <v>EC 2023/24</v>
      </c>
      <c r="Y1" s="803" t="str">
        <f t="shared" si="0"/>
        <v>EC 2024/25</v>
      </c>
      <c r="Z1" s="803"/>
      <c r="AA1" s="803"/>
      <c r="AB1" s="803"/>
      <c r="AC1" s="803"/>
      <c r="AD1" s="803"/>
      <c r="AE1" s="803"/>
      <c r="AF1" s="803"/>
      <c r="AG1" s="803"/>
      <c r="AH1" s="803"/>
      <c r="AI1" s="803"/>
      <c r="AJ1" s="803" t="str">
        <f>$E$10&amp;" "&amp;AJ5</f>
        <v>EC 2035/36</v>
      </c>
      <c r="AK1" s="803" t="str">
        <f>$E$10&amp;" "&amp;AK5</f>
        <v>EC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EC</v>
      </c>
      <c r="E3" s="60"/>
      <c r="F3" s="1361" t="s">
        <v>1460</v>
      </c>
      <c r="G3" s="1361"/>
      <c r="I3" s="1363" t="s">
        <v>1457</v>
      </c>
      <c r="J3" s="1364"/>
      <c r="K3" s="1364"/>
      <c r="L3" s="136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1084" t="s">
        <v>1328</v>
      </c>
      <c r="J4" s="1084" t="s">
        <v>1405</v>
      </c>
      <c r="K4" s="1084" t="s">
        <v>1453</v>
      </c>
      <c r="L4" s="1084"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1085" t="str">
        <f>'7. Scenario Detailed'!E12</f>
        <v>BC</v>
      </c>
      <c r="J5" s="1060"/>
      <c r="K5" s="1060"/>
      <c r="L5" s="1060"/>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 Forecast Results'!AL127,0)</f>
        <v>-17026220</v>
      </c>
      <c r="I6" s="1060"/>
      <c r="J6" s="1060"/>
      <c r="K6" s="1060"/>
      <c r="L6" s="1060"/>
      <c r="M6" s="783"/>
      <c r="N6" s="781">
        <f>-'9. Forecast Results'!N127</f>
        <v>-5576064</v>
      </c>
      <c r="O6" s="781">
        <f>-'9. Forecast Results'!O127</f>
        <v>-1243913</v>
      </c>
      <c r="P6" s="781">
        <f>-'9. Forecast Results'!P127</f>
        <v>-313420</v>
      </c>
      <c r="Q6" s="781">
        <f>-'9. Forecast Results'!Q127</f>
        <v>-210409.8845669291</v>
      </c>
      <c r="R6" s="781">
        <f>-'9. Forecast Results'!R127</f>
        <v>-210409.8845669291</v>
      </c>
      <c r="S6" s="781">
        <f>-'9. Forecast Results'!S127</f>
        <v>-210409.8845669291</v>
      </c>
      <c r="T6" s="781">
        <f>-'9. Forecast Results'!T127</f>
        <v>-23378.876062992123</v>
      </c>
      <c r="U6" s="781">
        <f>-'9. Forecast Results'!U127</f>
        <v>-23378.876062992123</v>
      </c>
      <c r="V6" s="781">
        <f>-'9. Forecast Results'!V127</f>
        <v>-23378.876062992123</v>
      </c>
      <c r="W6" s="781">
        <f>-'9. Forecast Results'!W127</f>
        <v>-23378.876062992123</v>
      </c>
      <c r="X6" s="781">
        <f>-'9. Forecast Results'!X127</f>
        <v>-23378.876062992123</v>
      </c>
      <c r="Y6" s="781">
        <f>-'9. Forecast Results'!Y127</f>
        <v>-23378.876062992123</v>
      </c>
      <c r="Z6" s="781">
        <f>-'9. Forecast Results'!Z127</f>
        <v>-23378.876062992123</v>
      </c>
      <c r="AA6" s="781">
        <f>-'9. Forecast Results'!AA127</f>
        <v>-23378.876062992123</v>
      </c>
      <c r="AB6" s="781">
        <f>-'9. Forecast Results'!AB127</f>
        <v>-23378.876062992123</v>
      </c>
      <c r="AC6" s="781">
        <f>-'9. Forecast Results'!AC127</f>
        <v>-23378.876062992123</v>
      </c>
      <c r="AD6" s="781">
        <f>-'9. Forecast Results'!AD127</f>
        <v>-23378.876062992123</v>
      </c>
      <c r="AE6" s="781">
        <f>-'9. Forecast Results'!AE127</f>
        <v>-23378.876062992123</v>
      </c>
      <c r="AF6" s="781">
        <f>-'9. Forecast Results'!AF127</f>
        <v>-23378.876062992123</v>
      </c>
      <c r="AG6" s="781">
        <f>-'9. Forecast Results'!AG127</f>
        <v>-23378.876062992123</v>
      </c>
      <c r="AH6" s="781">
        <f>-'9. Forecast Results'!AH127</f>
        <v>-23378.876062992123</v>
      </c>
      <c r="AI6" s="781">
        <f>-'9. Forecast Results'!AI127</f>
        <v>-23378.876062992123</v>
      </c>
      <c r="AJ6" s="781">
        <f>-'9. Forecast Results'!AJ127</f>
        <v>-16020928.030877186</v>
      </c>
      <c r="AK6" s="781">
        <f>-'9. Forecast Results'!AK127</f>
        <v>0</v>
      </c>
      <c r="AL6" s="781">
        <f>-'9. Forecast Results'!AL127</f>
        <v>-17026219.701585848</v>
      </c>
    </row>
    <row r="7" spans="1:38" outlineLevel="1" x14ac:dyDescent="0.45">
      <c r="D7" s="1102" t="s">
        <v>1324</v>
      </c>
      <c r="E7" s="781">
        <f>ROUND('9. Forecast Results'!AL51,0)</f>
        <v>-90921270</v>
      </c>
      <c r="I7" s="1060"/>
      <c r="J7" s="1060"/>
      <c r="K7" s="1060"/>
      <c r="L7" s="1060"/>
      <c r="M7" s="783"/>
      <c r="N7" s="781">
        <f>'9. Forecast Results'!N51</f>
        <v>-9354796.4700000007</v>
      </c>
      <c r="O7" s="781">
        <f>'9. Forecast Results'!O51</f>
        <v>-10229237.26</v>
      </c>
      <c r="P7" s="781">
        <f>'9. Forecast Results'!P51</f>
        <v>-10415188.16</v>
      </c>
      <c r="Q7" s="781">
        <f>'9. Forecast Results'!Q51</f>
        <v>-9050671.484040793</v>
      </c>
      <c r="R7" s="781">
        <f>'9. Forecast Results'!R51</f>
        <v>-7276268.3573198924</v>
      </c>
      <c r="S7" s="781">
        <f>'9. Forecast Results'!S51</f>
        <v>-5272498.0344495559</v>
      </c>
      <c r="T7" s="781">
        <f>'9. Forecast Results'!T51</f>
        <v>-5562124.3240768462</v>
      </c>
      <c r="U7" s="781">
        <f>'9. Forecast Results'!U51</f>
        <v>-5535382.1975866212</v>
      </c>
      <c r="V7" s="781">
        <f>'9. Forecast Results'!V51</f>
        <v>-5487924.873524704</v>
      </c>
      <c r="W7" s="781">
        <f>'9. Forecast Results'!W51</f>
        <v>-5417569.3500243956</v>
      </c>
      <c r="X7" s="781">
        <f>'9. Forecast Results'!X51</f>
        <v>-5321955.1584863178</v>
      </c>
      <c r="Y7" s="781">
        <f>'9. Forecast Results'!Y51</f>
        <v>-5198531.4458184605</v>
      </c>
      <c r="Z7" s="781">
        <f>'9. Forecast Results'!Z51</f>
        <v>-5044543.1725595053</v>
      </c>
      <c r="AA7" s="781">
        <f>'9. Forecast Results'!AA51</f>
        <v>-4857016.3687088052</v>
      </c>
      <c r="AB7" s="781">
        <f>'9. Forecast Results'!AB51</f>
        <v>-4632742.3853614368</v>
      </c>
      <c r="AC7" s="781">
        <f>'9. Forecast Results'!AC51</f>
        <v>-4368261.0762879653</v>
      </c>
      <c r="AD7" s="781">
        <f>'9. Forecast Results'!AD51</f>
        <v>-4059842.8393917042</v>
      </c>
      <c r="AE7" s="781">
        <f>'9. Forecast Results'!AE51</f>
        <v>-3703469.4435056476</v>
      </c>
      <c r="AF7" s="781">
        <f>'9. Forecast Results'!AF51</f>
        <v>-3294813.561241088</v>
      </c>
      <c r="AG7" s="781">
        <f>'9. Forecast Results'!AG51</f>
        <v>-2829216.9235524968</v>
      </c>
      <c r="AH7" s="781">
        <f>'9. Forecast Results'!AH51</f>
        <v>-2301667.0063206377</v>
      </c>
      <c r="AI7" s="781">
        <f>'9. Forecast Results'!AI51</f>
        <v>-1706772.1535583164</v>
      </c>
      <c r="AJ7" s="781">
        <f>'9. Forecast Results'!AJ51</f>
        <v>0</v>
      </c>
      <c r="AK7" s="781">
        <f>'9. Forecast Results'!AK51</f>
        <v>0</v>
      </c>
      <c r="AL7" s="781">
        <f>'9. Forecast Results'!AL48</f>
        <v>-90893125.858811185</v>
      </c>
    </row>
    <row r="8" spans="1:38" outlineLevel="1" x14ac:dyDescent="0.45">
      <c r="D8" s="1102" t="s">
        <v>1311</v>
      </c>
      <c r="E8" s="781">
        <f>'9. Forecast Results'!$AL$20+'9. Forecast Results'!$AL$24</f>
        <v>-5193777.9070538152</v>
      </c>
      <c r="I8" s="1060"/>
      <c r="J8" s="1060"/>
      <c r="K8" s="1060"/>
      <c r="L8" s="1060"/>
      <c r="M8" s="783"/>
      <c r="N8" s="781">
        <f>'9. Forecast Results'!N20+'9. Forecast Results'!N24</f>
        <v>-1790588.56</v>
      </c>
      <c r="O8" s="781">
        <f>'9. Forecast Results'!O20+'9. Forecast Results'!O24</f>
        <v>-859115.06</v>
      </c>
      <c r="P8" s="781">
        <f>'9. Forecast Results'!P20+'9. Forecast Results'!P24</f>
        <v>-963366.22</v>
      </c>
      <c r="Q8" s="781">
        <f>'9. Forecast Results'!Q20+'9. Forecast Results'!Q24</f>
        <v>-1009764.8169663185</v>
      </c>
      <c r="R8" s="781">
        <f>'9. Forecast Results'!R20+'9. Forecast Results'!R24</f>
        <v>-985150.0169663186</v>
      </c>
      <c r="S8" s="781">
        <f>'9. Forecast Results'!S20+'9. Forecast Results'!S24</f>
        <v>-960535.21696631855</v>
      </c>
      <c r="T8" s="781">
        <f>'9. Forecast Results'!T20+'9. Forecast Results'!T24</f>
        <v>-147750.80188514653</v>
      </c>
      <c r="U8" s="781">
        <f>'9. Forecast Results'!U20+'9. Forecast Results'!U24</f>
        <v>-145015.82410736874</v>
      </c>
      <c r="V8" s="781">
        <f>'9. Forecast Results'!V20+'9. Forecast Results'!V24</f>
        <v>-142280.84632959098</v>
      </c>
      <c r="W8" s="781">
        <f>'9. Forecast Results'!W20+'9. Forecast Results'!W24</f>
        <v>-139545.86855181318</v>
      </c>
      <c r="X8" s="781">
        <f>'9. Forecast Results'!X20+'9. Forecast Results'!X24</f>
        <v>-136810.89077403542</v>
      </c>
      <c r="Y8" s="781">
        <f>'9. Forecast Results'!Y20+'9. Forecast Results'!Y24</f>
        <v>-134075.91299625763</v>
      </c>
      <c r="Z8" s="781">
        <f>'9. Forecast Results'!Z20+'9. Forecast Results'!Z24</f>
        <v>-131340.93521847983</v>
      </c>
      <c r="AA8" s="781">
        <f>'9. Forecast Results'!AA20+'9. Forecast Results'!AA24</f>
        <v>-128605.95744070207</v>
      </c>
      <c r="AB8" s="781">
        <f>'9. Forecast Results'!AB20+'9. Forecast Results'!AB24</f>
        <v>-125870.97966292429</v>
      </c>
      <c r="AC8" s="781">
        <f>'9. Forecast Results'!AC20+'9. Forecast Results'!AC24</f>
        <v>-123136.00188514651</v>
      </c>
      <c r="AD8" s="781">
        <f>'9. Forecast Results'!AD20+'9. Forecast Results'!AD24</f>
        <v>-120401.02410736874</v>
      </c>
      <c r="AE8" s="781">
        <f>'9. Forecast Results'!AE20+'9. Forecast Results'!AE24</f>
        <v>-117666.04632959096</v>
      </c>
      <c r="AF8" s="781">
        <f>'9. Forecast Results'!AF20+'9. Forecast Results'!AF24</f>
        <v>-114931.06855181318</v>
      </c>
      <c r="AG8" s="781">
        <f>'9. Forecast Results'!AG20+'9. Forecast Results'!AG24</f>
        <v>-112196.0907740354</v>
      </c>
      <c r="AH8" s="781">
        <f>'9. Forecast Results'!AH20+'9. Forecast Results'!AH24</f>
        <v>-109461.11299625762</v>
      </c>
      <c r="AI8" s="781">
        <f>'9. Forecast Results'!AI20+'9. Forecast Results'!AI24</f>
        <v>-106726.13521847985</v>
      </c>
      <c r="AJ8" s="781">
        <f>'9. Forecast Results'!AJ20+'9. Forecast Results'!AJ24</f>
        <v>-202512.35932584858</v>
      </c>
      <c r="AK8" s="781">
        <f>'9. Forecast Results'!AK20+'9. Forecast Results'!AK24</f>
        <v>0</v>
      </c>
      <c r="AL8" s="781">
        <f>'9. Forecast Results'!AL20+'9. Forecast Results'!AL24</f>
        <v>-5193777.9070538152</v>
      </c>
    </row>
    <row r="9" spans="1:38" outlineLevel="1" x14ac:dyDescent="0.45">
      <c r="D9" s="1102" t="s">
        <v>1322</v>
      </c>
      <c r="E9" s="1110">
        <f>-(SUMIF('10. Inputs &amp; Calcs'!$D$396:$D$400,$E$10,'10. Inputs &amp; Calcs'!AC$396:AC$400)+SUMIF('10. Inputs &amp; Calcs'!$D$628:$D$633,$E$10,'10. Inputs &amp; Calcs'!AC$628:AC$633))</f>
        <v>0</v>
      </c>
      <c r="I9" s="1060"/>
      <c r="J9" s="1060"/>
      <c r="K9" s="1060"/>
      <c r="L9" s="1060"/>
      <c r="M9" s="1029"/>
      <c r="N9" s="780"/>
      <c r="O9" s="780"/>
      <c r="P9" s="781">
        <f>-('10. Inputs &amp; Calcs'!H$191+SUMIF('10. Inputs &amp; Calcs'!$D$628:$D$633,$E$10,'10. Inputs &amp; Calcs'!H$628:H$633))</f>
        <v>-9798853.2999999989</v>
      </c>
      <c r="Q9" s="781">
        <f>-('10. Inputs &amp; Calcs'!I$191+SUMIF('10. Inputs &amp; Calcs'!$D$628:$D$633,$E$10,'10. Inputs &amp; Calcs'!I$628:I$633))</f>
        <v>-11080108.492210526</v>
      </c>
      <c r="R9" s="781">
        <f>-('10. Inputs &amp; Calcs'!J$191+SUMIF('10. Inputs &amp; Calcs'!$D$628:$D$633,$E$10,'10. Inputs &amp; Calcs'!J$628:J$633))</f>
        <v>-12312134.084421052</v>
      </c>
      <c r="S9" s="781">
        <f>-('10. Inputs &amp; Calcs'!K$191+SUMIF('10. Inputs &amp; Calcs'!$D$628:$D$633,$E$10,'10. Inputs &amp; Calcs'!K$628:K$633))</f>
        <v>-13494930.076631576</v>
      </c>
      <c r="T9" s="781">
        <f>-('10. Inputs &amp; Calcs'!L$191+SUMIF('10. Inputs &amp; Calcs'!$D$628:$D$633,$E$10,'10. Inputs &amp; Calcs'!L$628:L$633))</f>
        <v>-13661906.564654969</v>
      </c>
      <c r="U9" s="781">
        <f>-('10. Inputs &amp; Calcs'!M$191+SUMIF('10. Inputs &amp; Calcs'!$D$628:$D$633,$E$10,'10. Inputs &amp; Calcs'!M$628:M$633))</f>
        <v>-13823413.097122803</v>
      </c>
      <c r="V9" s="781">
        <f>-('10. Inputs &amp; Calcs'!N$191+SUMIF('10. Inputs &amp; Calcs'!$D$628:$D$633,$E$10,'10. Inputs &amp; Calcs'!N$628:N$633))</f>
        <v>-13979449.674035084</v>
      </c>
      <c r="W9" s="781">
        <f>-('10. Inputs &amp; Calcs'!O$191+SUMIF('10. Inputs &amp; Calcs'!$D$628:$D$633,$E$10,'10. Inputs &amp; Calcs'!O$628:O$633))</f>
        <v>-14132751.273169586</v>
      </c>
      <c r="X9" s="781">
        <f>-('10. Inputs &amp; Calcs'!P$191+SUMIF('10. Inputs &amp; Calcs'!$D$628:$D$633,$E$10,'10. Inputs &amp; Calcs'!P$628:P$633))</f>
        <v>-14280582.916748535</v>
      </c>
      <c r="Y9" s="781">
        <f>-('10. Inputs &amp; Calcs'!Q$191+SUMIF('10. Inputs &amp; Calcs'!$D$628:$D$633,$E$10,'10. Inputs &amp; Calcs'!Q$628:Q$633))</f>
        <v>-14422944.604771925</v>
      </c>
      <c r="Z9" s="781">
        <f>-('10. Inputs &amp; Calcs'!R$191+SUMIF('10. Inputs &amp; Calcs'!$D$628:$D$633,$E$10,'10. Inputs &amp; Calcs'!R$628:R$633))</f>
        <v>-14559836.337239761</v>
      </c>
      <c r="AA9" s="781">
        <f>-('10. Inputs &amp; Calcs'!S$191+SUMIF('10. Inputs &amp; Calcs'!$D$628:$D$633,$E$10,'10. Inputs &amp; Calcs'!S$628:S$633))</f>
        <v>-14691258.114152042</v>
      </c>
      <c r="AB9" s="781">
        <f>-('10. Inputs &amp; Calcs'!T$191+SUMIF('10. Inputs &amp; Calcs'!$D$628:$D$633,$E$10,'10. Inputs &amp; Calcs'!T$628:T$633))</f>
        <v>-14817209.935508767</v>
      </c>
      <c r="AC9" s="781">
        <f>-('10. Inputs &amp; Calcs'!U$191+SUMIF('10. Inputs &amp; Calcs'!$D$628:$D$633,$E$10,'10. Inputs &amp; Calcs'!U$628:U$633))</f>
        <v>-14937691.801309936</v>
      </c>
      <c r="AD9" s="781">
        <f>-('10. Inputs &amp; Calcs'!V$191+SUMIF('10. Inputs &amp; Calcs'!$D$628:$D$633,$E$10,'10. Inputs &amp; Calcs'!V$628:V$633))</f>
        <v>-15052703.71155555</v>
      </c>
      <c r="AE9" s="781">
        <f>-('10. Inputs &amp; Calcs'!W$191+SUMIF('10. Inputs &amp; Calcs'!$D$628:$D$633,$E$10,'10. Inputs &amp; Calcs'!W$628:W$633))</f>
        <v>-15162245.666245608</v>
      </c>
      <c r="AF9" s="781">
        <f>-('10. Inputs &amp; Calcs'!X$191+SUMIF('10. Inputs &amp; Calcs'!$D$628:$D$633,$E$10,'10. Inputs &amp; Calcs'!X$628:X$633))</f>
        <v>-15266317.665380111</v>
      </c>
      <c r="AG9" s="781">
        <f>-('10. Inputs &amp; Calcs'!Y$191+SUMIF('10. Inputs &amp; Calcs'!$D$628:$D$633,$E$10,'10. Inputs &amp; Calcs'!Y$628:Y$633))</f>
        <v>-15364919.708959058</v>
      </c>
      <c r="AH9" s="781">
        <f>-('10. Inputs &amp; Calcs'!Z$191+SUMIF('10. Inputs &amp; Calcs'!$D$628:$D$633,$E$10,'10. Inputs &amp; Calcs'!Z$628:Z$633))</f>
        <v>-15458051.796982449</v>
      </c>
      <c r="AI9" s="781">
        <f>-('10. Inputs &amp; Calcs'!AA$191+SUMIF('10. Inputs &amp; Calcs'!$D$628:$D$633,$E$10,'10. Inputs &amp; Calcs'!AA$628:AA$633))</f>
        <v>-15545713.929450285</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tr">
        <f>'5. Dashboard Live'!C12</f>
        <v>EC</v>
      </c>
      <c r="I10" s="1060"/>
      <c r="J10" s="1060"/>
      <c r="K10" s="1060"/>
      <c r="L10" s="1060"/>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25" t="str">
        <f>'5. Dashboard Live'!C13</f>
        <v>BC</v>
      </c>
      <c r="I11" s="1060"/>
      <c r="J11" s="1060"/>
      <c r="K11" s="1060"/>
      <c r="L11" s="1060"/>
      <c r="M11" s="542"/>
    </row>
    <row r="12" spans="1:38" x14ac:dyDescent="0.45">
      <c r="D12" t="s">
        <v>1330</v>
      </c>
      <c r="I12" s="1060"/>
      <c r="J12" s="1060"/>
      <c r="K12" s="1060"/>
      <c r="L12" s="1060"/>
      <c r="N12" s="578"/>
      <c r="O12" s="578"/>
      <c r="P12" s="784">
        <f>SUMIF('10. Inputs &amp; Calcs'!$D$78:$D$83,$E$10,'10. Inputs &amp; Calcs'!H$78:H$83)</f>
        <v>114</v>
      </c>
      <c r="Q12" s="784">
        <f>SUMIF('10. Inputs &amp; Calcs'!$D$78:$D$83,$E$10,'10. Inputs &amp; Calcs'!I$78:I$83)</f>
        <v>132</v>
      </c>
      <c r="R12" s="784">
        <f>SUMIF('10. Inputs &amp; Calcs'!$D$78:$D$83,$E$10,'10. Inputs &amp; Calcs'!J$78:J$83)</f>
        <v>150</v>
      </c>
      <c r="S12" s="784">
        <f>SUMIF('10. Inputs &amp; Calcs'!$D$78:$D$83,$E$10,'10. Inputs &amp; Calcs'!K$78:K$83)</f>
        <v>168</v>
      </c>
      <c r="T12" s="784">
        <f>SUMIF('10. Inputs &amp; Calcs'!$D$78:$D$83,$E$10,'10. Inputs &amp; Calcs'!L$78:L$83)</f>
        <v>170</v>
      </c>
      <c r="U12" s="784">
        <f>SUMIF('10. Inputs &amp; Calcs'!$D$78:$D$83,$E$10,'10. Inputs &amp; Calcs'!M$78:M$83)</f>
        <v>172</v>
      </c>
      <c r="V12" s="784">
        <f>SUMIF('10. Inputs &amp; Calcs'!$D$78:$D$83,$E$10,'10. Inputs &amp; Calcs'!N$78:N$83)</f>
        <v>174</v>
      </c>
      <c r="W12" s="784">
        <f>SUMIF('10. Inputs &amp; Calcs'!$D$78:$D$83,$E$10,'10. Inputs &amp; Calcs'!O$78:O$83)</f>
        <v>176</v>
      </c>
      <c r="X12" s="784">
        <f>SUMIF('10. Inputs &amp; Calcs'!$D$78:$D$83,$E$10,'10. Inputs &amp; Calcs'!P$78:P$83)</f>
        <v>178</v>
      </c>
      <c r="Y12" s="784">
        <f>SUMIF('10. Inputs &amp; Calcs'!$D$78:$D$83,$E$10,'10. Inputs &amp; Calcs'!Q$78:Q$83)</f>
        <v>180</v>
      </c>
      <c r="Z12" s="784">
        <f>SUMIF('10. Inputs &amp; Calcs'!$D$78:$D$83,$E$10,'10. Inputs &amp; Calcs'!R$78:R$83)</f>
        <v>182</v>
      </c>
      <c r="AA12" s="784">
        <f>SUMIF('10. Inputs &amp; Calcs'!$D$78:$D$83,$E$10,'10. Inputs &amp; Calcs'!S$78:S$83)</f>
        <v>184</v>
      </c>
      <c r="AB12" s="784">
        <f>SUMIF('10. Inputs &amp; Calcs'!$D$78:$D$83,$E$10,'10. Inputs &amp; Calcs'!T$78:T$83)</f>
        <v>186</v>
      </c>
      <c r="AC12" s="784">
        <f>SUMIF('10. Inputs &amp; Calcs'!$D$78:$D$83,$E$10,'10. Inputs &amp; Calcs'!U$78:U$83)</f>
        <v>188</v>
      </c>
      <c r="AD12" s="784">
        <f>SUMIF('10. Inputs &amp; Calcs'!$D$78:$D$83,$E$10,'10. Inputs &amp; Calcs'!V$78:V$83)</f>
        <v>190</v>
      </c>
      <c r="AE12" s="784">
        <f>SUMIF('10. Inputs &amp; Calcs'!$D$78:$D$83,$E$10,'10. Inputs &amp; Calcs'!W$78:W$83)</f>
        <v>192</v>
      </c>
      <c r="AF12" s="784">
        <f>SUMIF('10. Inputs &amp; Calcs'!$D$78:$D$83,$E$10,'10. Inputs &amp; Calcs'!X$78:X$83)</f>
        <v>194</v>
      </c>
      <c r="AG12" s="784">
        <f>SUMIF('10. Inputs &amp; Calcs'!$D$78:$D$83,$E$10,'10. Inputs &amp; Calcs'!Y$78:Y$83)</f>
        <v>196</v>
      </c>
      <c r="AH12" s="784">
        <f>SUMIF('10. Inputs &amp; Calcs'!$D$78:$D$83,$E$10,'10. Inputs &amp; Calcs'!Z$78:Z$83)</f>
        <v>198</v>
      </c>
      <c r="AI12" s="784">
        <f>SUMIF('10. Inputs &amp; Calcs'!$D$78:$D$83,$E$10,'10. Inputs &amp; Calcs'!AA$78:AA$83)</f>
        <v>200</v>
      </c>
      <c r="AJ12" s="784">
        <f>SUMIF('10. Inputs &amp; Calcs'!$D$78:$D$83,$E$10,'10. Inputs &amp; Calcs'!AB$78:AB$83)</f>
        <v>204</v>
      </c>
      <c r="AK12" s="784">
        <f>SUMIF('10. Inputs &amp; Calcs'!$D$78:$D$83,$E$10,'10. Inputs &amp; Calcs'!AC$78:AC$83)</f>
        <v>0</v>
      </c>
      <c r="AL12" s="536"/>
    </row>
    <row r="13" spans="1:38" x14ac:dyDescent="0.45">
      <c r="D13" t="s">
        <v>1329</v>
      </c>
      <c r="I13" s="1060"/>
      <c r="J13" s="1060"/>
      <c r="K13" s="1060"/>
      <c r="L13" s="1060"/>
      <c r="N13" s="578"/>
      <c r="O13" s="578"/>
      <c r="P13" s="784">
        <f>SUMIF('10. Inputs &amp; Calcs'!$D$520:$D$525,$E$10,'10. Inputs &amp; Calcs'!H$520:H$525)</f>
        <v>90</v>
      </c>
      <c r="Q13" s="784">
        <f>SUMIF('10. Inputs &amp; Calcs'!$D$520:$D$525,$E$10,'10. Inputs &amp; Calcs'!I$520:I$525)</f>
        <v>72</v>
      </c>
      <c r="R13" s="784">
        <f>SUMIF('10. Inputs &amp; Calcs'!$D$520:$D$525,$E$10,'10. Inputs &amp; Calcs'!J$520:J$525)</f>
        <v>54</v>
      </c>
      <c r="S13" s="784">
        <f>SUMIF('10. Inputs &amp; Calcs'!$D$520:$D$525,$E$10,'10. Inputs &amp; Calcs'!K$520:K$525)</f>
        <v>36</v>
      </c>
      <c r="T13" s="784">
        <f>SUMIF('10. Inputs &amp; Calcs'!$D$520:$D$525,$E$10,'10. Inputs &amp; Calcs'!L$520:L$525)</f>
        <v>34</v>
      </c>
      <c r="U13" s="784">
        <f>SUMIF('10. Inputs &amp; Calcs'!$D$520:$D$525,$E$10,'10. Inputs &amp; Calcs'!M$520:M$525)</f>
        <v>32</v>
      </c>
      <c r="V13" s="784">
        <f>SUMIF('10. Inputs &amp; Calcs'!$D$520:$D$525,$E$10,'10. Inputs &amp; Calcs'!N$520:N$525)</f>
        <v>30</v>
      </c>
      <c r="W13" s="784">
        <f>SUMIF('10. Inputs &amp; Calcs'!$D$520:$D$525,$E$10,'10. Inputs &amp; Calcs'!O$520:O$525)</f>
        <v>28</v>
      </c>
      <c r="X13" s="784">
        <f>SUMIF('10. Inputs &amp; Calcs'!$D$520:$D$525,$E$10,'10. Inputs &amp; Calcs'!P$520:P$525)</f>
        <v>26</v>
      </c>
      <c r="Y13" s="784">
        <f>SUMIF('10. Inputs &amp; Calcs'!$D$520:$D$525,$E$10,'10. Inputs &amp; Calcs'!Q$520:Q$525)</f>
        <v>24</v>
      </c>
      <c r="Z13" s="784">
        <f>SUMIF('10. Inputs &amp; Calcs'!$D$520:$D$525,$E$10,'10. Inputs &amp; Calcs'!R$520:R$525)</f>
        <v>22</v>
      </c>
      <c r="AA13" s="784">
        <f>SUMIF('10. Inputs &amp; Calcs'!$D$520:$D$525,$E$10,'10. Inputs &amp; Calcs'!S$520:S$525)</f>
        <v>20</v>
      </c>
      <c r="AB13" s="784">
        <f>SUMIF('10. Inputs &amp; Calcs'!$D$520:$D$525,$E$10,'10. Inputs &amp; Calcs'!T$520:T$525)</f>
        <v>18</v>
      </c>
      <c r="AC13" s="784">
        <f>SUMIF('10. Inputs &amp; Calcs'!$D$520:$D$525,$E$10,'10. Inputs &amp; Calcs'!U$520:U$525)</f>
        <v>16</v>
      </c>
      <c r="AD13" s="784">
        <f>SUMIF('10. Inputs &amp; Calcs'!$D$520:$D$525,$E$10,'10. Inputs &amp; Calcs'!V$520:V$525)</f>
        <v>14</v>
      </c>
      <c r="AE13" s="784">
        <f>SUMIF('10. Inputs &amp; Calcs'!$D$520:$D$525,$E$10,'10. Inputs &amp; Calcs'!W$520:W$525)</f>
        <v>12</v>
      </c>
      <c r="AF13" s="784">
        <f>SUMIF('10. Inputs &amp; Calcs'!$D$520:$D$525,$E$10,'10. Inputs &amp; Calcs'!X$520:X$525)</f>
        <v>10</v>
      </c>
      <c r="AG13" s="784">
        <f>SUMIF('10. Inputs &amp; Calcs'!$D$520:$D$525,$E$10,'10. Inputs &amp; Calcs'!Y$520:Y$525)</f>
        <v>8</v>
      </c>
      <c r="AH13" s="784">
        <f>SUMIF('10. Inputs &amp; Calcs'!$D$520:$D$525,$E$10,'10. Inputs &amp; Calcs'!Z$520:Z$525)</f>
        <v>6</v>
      </c>
      <c r="AI13" s="784">
        <f>SUMIF('10. Inputs &amp; Calcs'!$D$520:$D$525,$E$10,'10. Inputs &amp; Calcs'!AA$520:AA$525)</f>
        <v>4</v>
      </c>
      <c r="AJ13" s="784">
        <f>SUMIF('10. Inputs &amp; Calcs'!$D$520:$D$525,$E$10,'10. Inputs &amp; Calcs'!AB$520:AB$525)</f>
        <v>0</v>
      </c>
      <c r="AK13" s="784">
        <f>SUMIF('10. Inputs &amp; Calcs'!$D$520:$D$525,$E$10,'10. Inputs &amp; Calcs'!AC$520:AC$525)</f>
        <v>0</v>
      </c>
      <c r="AL13" s="536"/>
    </row>
    <row r="14" spans="1:38" x14ac:dyDescent="0.45">
      <c r="I14" s="1060"/>
      <c r="J14" s="1060"/>
      <c r="K14" s="1060"/>
      <c r="L14" s="1060"/>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I15" s="1060"/>
      <c r="J15" s="1060"/>
      <c r="K15" s="1060"/>
      <c r="L15" s="1060"/>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I16" s="1060"/>
      <c r="J16" s="1060"/>
      <c r="K16" s="1060"/>
      <c r="L16" s="1060"/>
      <c r="M16" s="451"/>
    </row>
    <row r="17" spans="2:65" x14ac:dyDescent="0.45">
      <c r="I17" s="1060"/>
      <c r="J17" s="1060"/>
      <c r="K17" s="1060"/>
      <c r="L17" s="1060"/>
    </row>
    <row r="18" spans="2:65" ht="5.25" customHeight="1" x14ac:dyDescent="0.45">
      <c r="F18" s="852"/>
      <c r="G18" s="852"/>
      <c r="I18" s="1064"/>
      <c r="J18" s="1064"/>
      <c r="K18" s="1064"/>
      <c r="L18" s="1086"/>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1054">
        <f>AL19</f>
        <v>6932132.3210526258</v>
      </c>
      <c r="J19" s="1096">
        <v>541188154.3171711</v>
      </c>
      <c r="K19" s="1054">
        <f t="shared" ref="K19:K28" si="1">I19-J19</f>
        <v>-534256021.99611849</v>
      </c>
      <c r="L19" s="1087">
        <f t="shared" ref="L19:L28" si="2">IF(J19&lt;&gt;0,K19/J19,0)</f>
        <v>-0.98719090160094314</v>
      </c>
      <c r="N19" s="763">
        <f>SUMIF('10. Inputs &amp; Calcs'!$D$423:$D$428,$E$10,'10. Inputs &amp; Calcs'!F$423:F$428)</f>
        <v>1255258.96</v>
      </c>
      <c r="O19" s="567">
        <f>SUMIF('10. Inputs &amp; Calcs'!$D$423:$D$428,$E$10,'10. Inputs &amp; Calcs'!G$423:G$428)</f>
        <v>1310743.93</v>
      </c>
      <c r="P19" s="764">
        <f>SUMIF('10. Inputs &amp; Calcs'!$D$423:$D$428,$E$10,'10. Inputs &amp; Calcs'!H$423:H$428)</f>
        <v>1394850.75</v>
      </c>
      <c r="Q19" s="748">
        <f>SUMIF('10. Inputs &amp; Calcs'!$D$423:$D$428,$E$10,'10. Inputs &amp; Calcs'!I$423:I$428)</f>
        <v>1386426.4642105261</v>
      </c>
      <c r="R19" s="535">
        <f>SUMIF('10. Inputs &amp; Calcs'!$D$423:$D$428,$E$10,'10. Inputs &amp; Calcs'!J$423:J$428)</f>
        <v>1386426.4642105261</v>
      </c>
      <c r="S19" s="535">
        <f>SUMIF('10. Inputs &amp; Calcs'!$D$423:$D$428,$E$10,'10. Inputs &amp; Calcs'!K$423:K$428)</f>
        <v>1386426.4642105261</v>
      </c>
      <c r="T19" s="535">
        <f>SUMIF('10. Inputs &amp; Calcs'!$D$423:$D$428,$E$10,'10. Inputs &amp; Calcs'!L$423:L$428)</f>
        <v>154047.38491228069</v>
      </c>
      <c r="U19" s="535">
        <f>SUMIF('10. Inputs &amp; Calcs'!$D$423:$D$428,$E$10,'10. Inputs &amp; Calcs'!M$423:M$428)</f>
        <v>154047.38491228069</v>
      </c>
      <c r="V19" s="535">
        <f>SUMIF('10. Inputs &amp; Calcs'!$D$423:$D$428,$E$10,'10. Inputs &amp; Calcs'!N$423:N$428)</f>
        <v>154047.38491228069</v>
      </c>
      <c r="W19" s="535">
        <f>SUMIF('10. Inputs &amp; Calcs'!$D$423:$D$428,$E$10,'10. Inputs &amp; Calcs'!O$423:O$428)</f>
        <v>154047.38491228069</v>
      </c>
      <c r="X19" s="535">
        <f>SUMIF('10. Inputs &amp; Calcs'!$D$423:$D$428,$E$10,'10. Inputs &amp; Calcs'!P$423:P$428)</f>
        <v>154047.38491228069</v>
      </c>
      <c r="Y19" s="535">
        <f>SUMIF('10. Inputs &amp; Calcs'!$D$423:$D$428,$E$10,'10. Inputs &amp; Calcs'!Q$423:Q$428)</f>
        <v>154047.38491228069</v>
      </c>
      <c r="Z19" s="535">
        <f>SUMIF('10. Inputs &amp; Calcs'!$D$423:$D$428,$E$10,'10. Inputs &amp; Calcs'!R$423:R$428)</f>
        <v>154047.38491228069</v>
      </c>
      <c r="AA19" s="535">
        <f>SUMIF('10. Inputs &amp; Calcs'!$D$423:$D$428,$E$10,'10. Inputs &amp; Calcs'!S$423:S$428)</f>
        <v>154047.38491228069</v>
      </c>
      <c r="AB19" s="535">
        <f>SUMIF('10. Inputs &amp; Calcs'!$D$423:$D$428,$E$10,'10. Inputs &amp; Calcs'!T$423:T$428)</f>
        <v>154047.38491228069</v>
      </c>
      <c r="AC19" s="535">
        <f>SUMIF('10. Inputs &amp; Calcs'!$D$423:$D$428,$E$10,'10. Inputs &amp; Calcs'!U$423:U$428)</f>
        <v>154047.38491228069</v>
      </c>
      <c r="AD19" s="535">
        <f>SUMIF('10. Inputs &amp; Calcs'!$D$423:$D$428,$E$10,'10. Inputs &amp; Calcs'!V$423:V$428)</f>
        <v>154047.38491228069</v>
      </c>
      <c r="AE19" s="535">
        <f>SUMIF('10. Inputs &amp; Calcs'!$D$423:$D$428,$E$10,'10. Inputs &amp; Calcs'!W$423:W$428)</f>
        <v>154047.38491228069</v>
      </c>
      <c r="AF19" s="535">
        <f>SUMIF('10. Inputs &amp; Calcs'!$D$423:$D$428,$E$10,'10. Inputs &amp; Calcs'!X$423:X$428)</f>
        <v>154047.38491228069</v>
      </c>
      <c r="AG19" s="535">
        <f>SUMIF('10. Inputs &amp; Calcs'!$D$423:$D$428,$E$10,'10. Inputs &amp; Calcs'!Y$423:Y$428)</f>
        <v>154047.38491228069</v>
      </c>
      <c r="AH19" s="535">
        <f>SUMIF('10. Inputs &amp; Calcs'!$D$423:$D$428,$E$10,'10. Inputs &amp; Calcs'!Z$423:Z$428)</f>
        <v>154047.38491228069</v>
      </c>
      <c r="AI19" s="535">
        <f>SUMIF('10. Inputs &amp; Calcs'!$D$423:$D$428,$E$10,'10. Inputs &amp; Calcs'!AA$423:AA$428)</f>
        <v>154047.38491228069</v>
      </c>
      <c r="AJ19" s="535">
        <f>SUMIF('10. Inputs &amp; Calcs'!$D$423:$D$428,$E$10,'10. Inputs &amp; Calcs'!AB$423:AB$428)</f>
        <v>308094.76982456137</v>
      </c>
      <c r="AK19" s="749">
        <f>SUMIF('10. Inputs &amp; Calcs'!$D$423:$D$428,$E$10,'10. Inputs &amp; Calcs'!AC$423:AC$428)</f>
        <v>0</v>
      </c>
      <c r="AL19" s="753">
        <f>SUM(Q19:AK19)</f>
        <v>6932132.3210526258</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1056">
        <f>AL20</f>
        <v>-4556528.0848315926</v>
      </c>
      <c r="J20" s="1097">
        <v>-495353935.28849757</v>
      </c>
      <c r="K20" s="1056">
        <f t="shared" si="1"/>
        <v>490797407.20366597</v>
      </c>
      <c r="L20" s="1088">
        <f t="shared" si="2"/>
        <v>-0.99080146989812878</v>
      </c>
      <c r="N20" s="765">
        <f t="shared" ref="N20:AK20" si="4">N21-N19</f>
        <v>-1152149.05</v>
      </c>
      <c r="O20" s="766">
        <f t="shared" si="4"/>
        <v>-611049.26</v>
      </c>
      <c r="P20" s="767">
        <f t="shared" si="4"/>
        <v>-840292.22</v>
      </c>
      <c r="Q20" s="750">
        <f t="shared" si="4"/>
        <v>-911305.61696631857</v>
      </c>
      <c r="R20" s="751">
        <f t="shared" si="4"/>
        <v>-911305.61696631857</v>
      </c>
      <c r="S20" s="751">
        <f t="shared" si="4"/>
        <v>-911305.61696631857</v>
      </c>
      <c r="T20" s="751">
        <f t="shared" si="4"/>
        <v>-101256.17966292429</v>
      </c>
      <c r="U20" s="751">
        <f t="shared" si="4"/>
        <v>-101256.17966292429</v>
      </c>
      <c r="V20" s="751">
        <f t="shared" si="4"/>
        <v>-101256.17966292429</v>
      </c>
      <c r="W20" s="751">
        <f t="shared" si="4"/>
        <v>-101256.17966292429</v>
      </c>
      <c r="X20" s="751">
        <f t="shared" si="4"/>
        <v>-101256.17966292429</v>
      </c>
      <c r="Y20" s="751">
        <f t="shared" si="4"/>
        <v>-101256.17966292429</v>
      </c>
      <c r="Z20" s="751">
        <f t="shared" si="4"/>
        <v>-101256.17966292429</v>
      </c>
      <c r="AA20" s="751">
        <f t="shared" si="4"/>
        <v>-101256.17966292429</v>
      </c>
      <c r="AB20" s="751">
        <f t="shared" si="4"/>
        <v>-101256.17966292429</v>
      </c>
      <c r="AC20" s="751">
        <f t="shared" si="4"/>
        <v>-101256.17966292429</v>
      </c>
      <c r="AD20" s="751">
        <f t="shared" si="4"/>
        <v>-101256.17966292429</v>
      </c>
      <c r="AE20" s="751">
        <f t="shared" si="4"/>
        <v>-101256.17966292429</v>
      </c>
      <c r="AF20" s="751">
        <f t="shared" si="4"/>
        <v>-101256.17966292429</v>
      </c>
      <c r="AG20" s="751">
        <f t="shared" si="4"/>
        <v>-101256.17966292429</v>
      </c>
      <c r="AH20" s="751">
        <f t="shared" si="4"/>
        <v>-101256.17966292429</v>
      </c>
      <c r="AI20" s="751">
        <f t="shared" si="4"/>
        <v>-101256.17966292429</v>
      </c>
      <c r="AJ20" s="751">
        <f t="shared" si="4"/>
        <v>-202512.35932584858</v>
      </c>
      <c r="AK20" s="752">
        <f t="shared" si="4"/>
        <v>0</v>
      </c>
      <c r="AL20" s="754">
        <f>SUM(Q20:AK20)</f>
        <v>-4556528.0848315926</v>
      </c>
      <c r="AO20" s="803" t="s">
        <v>1538</v>
      </c>
      <c r="AP20" s="533">
        <f>N51</f>
        <v>-9354796.4700000007</v>
      </c>
      <c r="AQ20" s="533">
        <f t="shared" ref="AQ20:BM20" si="5">O51</f>
        <v>-10229237.26</v>
      </c>
      <c r="AR20" s="533">
        <f t="shared" si="5"/>
        <v>-10415188.16</v>
      </c>
      <c r="AS20" s="533">
        <f t="shared" si="5"/>
        <v>-9050671.484040793</v>
      </c>
      <c r="AT20" s="533">
        <f t="shared" si="5"/>
        <v>-7276268.3573198924</v>
      </c>
      <c r="AU20" s="533">
        <f t="shared" si="5"/>
        <v>-5272498.0344495559</v>
      </c>
      <c r="AV20" s="533">
        <f t="shared" si="5"/>
        <v>-5562124.3240768462</v>
      </c>
      <c r="AW20" s="533">
        <f t="shared" si="5"/>
        <v>-5535382.1975866212</v>
      </c>
      <c r="AX20" s="533">
        <f t="shared" si="5"/>
        <v>-5487924.873524704</v>
      </c>
      <c r="AY20" s="533">
        <f t="shared" si="5"/>
        <v>-5417569.3500243956</v>
      </c>
      <c r="AZ20" s="533">
        <f t="shared" si="5"/>
        <v>-5321955.1584863178</v>
      </c>
      <c r="BA20" s="533">
        <f t="shared" si="5"/>
        <v>-5198531.4458184605</v>
      </c>
      <c r="BB20" s="533">
        <f t="shared" si="5"/>
        <v>-5044543.1725595053</v>
      </c>
      <c r="BC20" s="533">
        <f t="shared" si="5"/>
        <v>-4857016.3687088052</v>
      </c>
      <c r="BD20" s="533">
        <f t="shared" si="5"/>
        <v>-4632742.3853614368</v>
      </c>
      <c r="BE20" s="533">
        <f t="shared" si="5"/>
        <v>-4368261.0762879653</v>
      </c>
      <c r="BF20" s="533">
        <f t="shared" si="5"/>
        <v>-4059842.8393917042</v>
      </c>
      <c r="BG20" s="533">
        <f t="shared" si="5"/>
        <v>-3703469.4435056476</v>
      </c>
      <c r="BH20" s="533">
        <f t="shared" si="5"/>
        <v>-3294813.561241088</v>
      </c>
      <c r="BI20" s="533">
        <f t="shared" si="5"/>
        <v>-2829216.9235524968</v>
      </c>
      <c r="BJ20" s="533">
        <f t="shared" si="5"/>
        <v>-2301667.0063206377</v>
      </c>
      <c r="BK20" s="533">
        <f t="shared" si="5"/>
        <v>-1706772.1535583164</v>
      </c>
      <c r="BL20" s="533">
        <f t="shared" si="5"/>
        <v>0</v>
      </c>
      <c r="BM20" s="533">
        <f t="shared" si="5"/>
        <v>0</v>
      </c>
    </row>
    <row r="21" spans="2:65" x14ac:dyDescent="0.45">
      <c r="D21" s="18" t="s">
        <v>1307</v>
      </c>
      <c r="F21" s="852">
        <f>P21/P$28</f>
        <v>0.71615918379538845</v>
      </c>
      <c r="G21" s="852">
        <f>AL21/AL$28</f>
        <v>0.67610908866107466</v>
      </c>
      <c r="I21" s="1064">
        <f>AL21</f>
        <v>2375604.2362210331</v>
      </c>
      <c r="J21" s="793">
        <v>45834219.02867353</v>
      </c>
      <c r="K21" s="1064">
        <f t="shared" si="1"/>
        <v>-43458614.792452499</v>
      </c>
      <c r="L21" s="1086">
        <f t="shared" si="2"/>
        <v>-0.94816963642961016</v>
      </c>
      <c r="N21" s="566">
        <f>SUMIF('10. Inputs &amp; Calcs'!$D$432:$D$437,$E$10,'10. Inputs &amp; Calcs'!F$432:F$437)</f>
        <v>103109.91</v>
      </c>
      <c r="O21" s="566">
        <f>SUMIF('10. Inputs &amp; Calcs'!$D$432:$D$437,$E$10,'10. Inputs &amp; Calcs'!G$432:G$437)</f>
        <v>699694.66999999993</v>
      </c>
      <c r="P21" s="566">
        <f>SUMIF('10. Inputs &amp; Calcs'!$D$432:$D$437,$E$10,'10. Inputs &amp; Calcs'!H$432:H$437)</f>
        <v>554558.53</v>
      </c>
      <c r="Q21" s="566">
        <f>SUMIF('10. Inputs &amp; Calcs'!$D$432:$D$437,$E$10,'10. Inputs &amp; Calcs'!I$432:I$437)</f>
        <v>475120.84724420751</v>
      </c>
      <c r="R21" s="566">
        <f>SUMIF('10. Inputs &amp; Calcs'!$D$432:$D$437,$E$10,'10. Inputs &amp; Calcs'!J$432:J$437)</f>
        <v>475120.84724420751</v>
      </c>
      <c r="S21" s="566">
        <f>SUMIF('10. Inputs &amp; Calcs'!$D$432:$D$437,$E$10,'10. Inputs &amp; Calcs'!K$432:K$437)</f>
        <v>475120.84724420751</v>
      </c>
      <c r="T21" s="566">
        <f>SUMIF('10. Inputs &amp; Calcs'!$D$432:$D$437,$E$10,'10. Inputs &amp; Calcs'!L$432:L$437)</f>
        <v>52791.205249356397</v>
      </c>
      <c r="U21" s="566">
        <f>SUMIF('10. Inputs &amp; Calcs'!$D$432:$D$437,$E$10,'10. Inputs &amp; Calcs'!M$432:M$437)</f>
        <v>52791.205249356397</v>
      </c>
      <c r="V21" s="566">
        <f>SUMIF('10. Inputs &amp; Calcs'!$D$432:$D$437,$E$10,'10. Inputs &amp; Calcs'!N$432:N$437)</f>
        <v>52791.205249356397</v>
      </c>
      <c r="W21" s="566">
        <f>SUMIF('10. Inputs &amp; Calcs'!$D$432:$D$437,$E$10,'10. Inputs &amp; Calcs'!O$432:O$437)</f>
        <v>52791.205249356397</v>
      </c>
      <c r="X21" s="566">
        <f>SUMIF('10. Inputs &amp; Calcs'!$D$432:$D$437,$E$10,'10. Inputs &amp; Calcs'!P$432:P$437)</f>
        <v>52791.205249356397</v>
      </c>
      <c r="Y21" s="566">
        <f>SUMIF('10. Inputs &amp; Calcs'!$D$432:$D$437,$E$10,'10. Inputs &amp; Calcs'!Q$432:Q$437)</f>
        <v>52791.205249356397</v>
      </c>
      <c r="Z21" s="566">
        <f>SUMIF('10. Inputs &amp; Calcs'!$D$432:$D$437,$E$10,'10. Inputs &amp; Calcs'!R$432:R$437)</f>
        <v>52791.205249356397</v>
      </c>
      <c r="AA21" s="566">
        <f>SUMIF('10. Inputs &amp; Calcs'!$D$432:$D$437,$E$10,'10. Inputs &amp; Calcs'!S$432:S$437)</f>
        <v>52791.205249356397</v>
      </c>
      <c r="AB21" s="566">
        <f>SUMIF('10. Inputs &amp; Calcs'!$D$432:$D$437,$E$10,'10. Inputs &amp; Calcs'!T$432:T$437)</f>
        <v>52791.205249356397</v>
      </c>
      <c r="AC21" s="566">
        <f>SUMIF('10. Inputs &amp; Calcs'!$D$432:$D$437,$E$10,'10. Inputs &amp; Calcs'!U$432:U$437)</f>
        <v>52791.205249356397</v>
      </c>
      <c r="AD21" s="566">
        <f>SUMIF('10. Inputs &amp; Calcs'!$D$432:$D$437,$E$10,'10. Inputs &amp; Calcs'!V$432:V$437)</f>
        <v>52791.205249356397</v>
      </c>
      <c r="AE21" s="566">
        <f>SUMIF('10. Inputs &amp; Calcs'!$D$432:$D$437,$E$10,'10. Inputs &amp; Calcs'!W$432:W$437)</f>
        <v>52791.205249356397</v>
      </c>
      <c r="AF21" s="566">
        <f>SUMIF('10. Inputs &amp; Calcs'!$D$432:$D$437,$E$10,'10. Inputs &amp; Calcs'!X$432:X$437)</f>
        <v>52791.205249356397</v>
      </c>
      <c r="AG21" s="566">
        <f>SUMIF('10. Inputs &amp; Calcs'!$D$432:$D$437,$E$10,'10. Inputs &amp; Calcs'!Y$432:Y$437)</f>
        <v>52791.205249356397</v>
      </c>
      <c r="AH21" s="566">
        <f>SUMIF('10. Inputs &amp; Calcs'!$D$432:$D$437,$E$10,'10. Inputs &amp; Calcs'!Z$432:Z$437)</f>
        <v>52791.205249356397</v>
      </c>
      <c r="AI21" s="566">
        <f>SUMIF('10. Inputs &amp; Calcs'!$D$432:$D$437,$E$10,'10. Inputs &amp; Calcs'!AA$432:AA$437)</f>
        <v>52791.205249356397</v>
      </c>
      <c r="AJ21" s="566">
        <f>SUMIF('10. Inputs &amp; Calcs'!$D$432:$D$437,$E$10,'10. Inputs &amp; Calcs'!AB$432:AB$437)</f>
        <v>105582.41049871279</v>
      </c>
      <c r="AK21" s="566">
        <f>SUMIF('10. Inputs &amp; Calcs'!$D$432:$D$437,$E$10,'10. Inputs &amp; Calcs'!AC$432:AC$437)</f>
        <v>0</v>
      </c>
      <c r="AL21" s="533">
        <f>SUM(AL19:AL20)</f>
        <v>2375604.2362210331</v>
      </c>
      <c r="AO21" s="803" t="str">
        <f>'10. Inputs &amp; Calcs'!D190</f>
        <v>EEDBS utilised to settle Existing Sales Debtors Balances Owing</v>
      </c>
      <c r="AP21" s="533">
        <f t="shared" ref="AP21:BM21" si="6">N53</f>
        <v>-5576064</v>
      </c>
      <c r="AQ21" s="533">
        <f t="shared" si="6"/>
        <v>-1243913</v>
      </c>
      <c r="AR21" s="533">
        <f t="shared" si="6"/>
        <v>-313420</v>
      </c>
      <c r="AS21" s="533">
        <f t="shared" si="6"/>
        <v>-210409.8845669291</v>
      </c>
      <c r="AT21" s="533">
        <f t="shared" si="6"/>
        <v>-210409.8845669291</v>
      </c>
      <c r="AU21" s="533">
        <f t="shared" si="6"/>
        <v>-210409.8845669291</v>
      </c>
      <c r="AV21" s="533">
        <f t="shared" si="6"/>
        <v>-23378.876062992123</v>
      </c>
      <c r="AW21" s="533">
        <f t="shared" si="6"/>
        <v>-23378.876062992123</v>
      </c>
      <c r="AX21" s="533">
        <f t="shared" si="6"/>
        <v>-23378.876062992123</v>
      </c>
      <c r="AY21" s="533">
        <f t="shared" si="6"/>
        <v>-23378.876062992123</v>
      </c>
      <c r="AZ21" s="533">
        <f t="shared" si="6"/>
        <v>-23378.876062992123</v>
      </c>
      <c r="BA21" s="533">
        <f t="shared" si="6"/>
        <v>-23378.876062992123</v>
      </c>
      <c r="BB21" s="533">
        <f t="shared" si="6"/>
        <v>-23378.876062992123</v>
      </c>
      <c r="BC21" s="533">
        <f t="shared" si="6"/>
        <v>-23378.876062992123</v>
      </c>
      <c r="BD21" s="533">
        <f t="shared" si="6"/>
        <v>-23378.876062992123</v>
      </c>
      <c r="BE21" s="533">
        <f t="shared" si="6"/>
        <v>-23378.876062992123</v>
      </c>
      <c r="BF21" s="533">
        <f t="shared" si="6"/>
        <v>-23378.876062992123</v>
      </c>
      <c r="BG21" s="533">
        <f t="shared" si="6"/>
        <v>-23378.876062992123</v>
      </c>
      <c r="BH21" s="533">
        <f t="shared" si="6"/>
        <v>-23378.876062992123</v>
      </c>
      <c r="BI21" s="533">
        <f t="shared" si="6"/>
        <v>-23378.876062992123</v>
      </c>
      <c r="BJ21" s="533">
        <f t="shared" si="6"/>
        <v>-23378.876062992123</v>
      </c>
      <c r="BK21" s="533">
        <f t="shared" si="6"/>
        <v>-23378.876062992123</v>
      </c>
      <c r="BL21" s="533">
        <f t="shared" si="6"/>
        <v>-15759591.013178613</v>
      </c>
      <c r="BM21" s="533">
        <f t="shared" si="6"/>
        <v>0</v>
      </c>
    </row>
    <row r="22" spans="2:65" ht="21.75" customHeight="1" x14ac:dyDescent="0.45">
      <c r="D22" s="18"/>
      <c r="E22" s="18"/>
      <c r="F22" s="852"/>
      <c r="G22" s="852"/>
      <c r="I22" s="1064"/>
      <c r="J22" s="793"/>
      <c r="K22" s="1064"/>
      <c r="L22" s="1086"/>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1054">
        <f>AL23</f>
        <v>1775286.0266666668</v>
      </c>
      <c r="J23" s="1096">
        <v>79105866.497481197</v>
      </c>
      <c r="K23" s="1054">
        <f t="shared" si="1"/>
        <v>-77330580.470814526</v>
      </c>
      <c r="L23" s="1087">
        <f t="shared" si="2"/>
        <v>-0.97755809897205037</v>
      </c>
      <c r="N23" s="763">
        <f>SUMIF('10. Inputs &amp; Calcs'!$D$538:$D$543,$E$10,'10. Inputs &amp; Calcs'!F$538:F$543)</f>
        <v>1522082.52</v>
      </c>
      <c r="O23" s="567">
        <f>SUMIF('10. Inputs &amp; Calcs'!$D$538:$D$543,$E$10,'10. Inputs &amp; Calcs'!G$538:G$543)</f>
        <v>445558.61</v>
      </c>
      <c r="P23" s="764">
        <f>SUMIF('10. Inputs &amp; Calcs'!$D$538:$D$543,$E$10,'10. Inputs &amp; Calcs'!H$538:H$543)</f>
        <v>342866.4</v>
      </c>
      <c r="Q23" s="748">
        <f>SUMIF('10. Inputs &amp; Calcs'!$D$538:$D$543,$E$10,'10. Inputs &amp; Calcs'!I$538:I$543)</f>
        <v>274293.12</v>
      </c>
      <c r="R23" s="535">
        <f>SUMIF('10. Inputs &amp; Calcs'!$D$538:$D$543,$E$10,'10. Inputs &amp; Calcs'!J$538:J$543)</f>
        <v>205719.84</v>
      </c>
      <c r="S23" s="535">
        <f>SUMIF('10. Inputs &amp; Calcs'!$D$538:$D$543,$E$10,'10. Inputs &amp; Calcs'!K$538:K$543)</f>
        <v>137146.56</v>
      </c>
      <c r="T23" s="535">
        <f>SUMIF('10. Inputs &amp; Calcs'!$D$538:$D$543,$E$10,'10. Inputs &amp; Calcs'!L$538:L$543)</f>
        <v>129527.30666666667</v>
      </c>
      <c r="U23" s="535">
        <f>SUMIF('10. Inputs &amp; Calcs'!$D$538:$D$543,$E$10,'10. Inputs &amp; Calcs'!M$538:M$543)</f>
        <v>121908.05333333334</v>
      </c>
      <c r="V23" s="535">
        <f>SUMIF('10. Inputs &amp; Calcs'!$D$538:$D$543,$E$10,'10. Inputs &amp; Calcs'!N$538:N$543)</f>
        <v>114288.80000000002</v>
      </c>
      <c r="W23" s="535">
        <f>SUMIF('10. Inputs &amp; Calcs'!$D$538:$D$543,$E$10,'10. Inputs &amp; Calcs'!O$538:O$543)</f>
        <v>106669.54666666668</v>
      </c>
      <c r="X23" s="535">
        <f>SUMIF('10. Inputs &amp; Calcs'!$D$538:$D$543,$E$10,'10. Inputs &amp; Calcs'!P$538:P$543)</f>
        <v>99050.293333333335</v>
      </c>
      <c r="Y23" s="535">
        <f>SUMIF('10. Inputs &amp; Calcs'!$D$538:$D$543,$E$10,'10. Inputs &amp; Calcs'!Q$538:Q$543)</f>
        <v>91431.040000000008</v>
      </c>
      <c r="Z23" s="535">
        <f>SUMIF('10. Inputs &amp; Calcs'!$D$538:$D$543,$E$10,'10. Inputs &amp; Calcs'!R$538:R$543)</f>
        <v>83811.786666666667</v>
      </c>
      <c r="AA23" s="535">
        <f>SUMIF('10. Inputs &amp; Calcs'!$D$538:$D$543,$E$10,'10. Inputs &amp; Calcs'!S$538:S$543)</f>
        <v>76192.53333333334</v>
      </c>
      <c r="AB23" s="535">
        <f>SUMIF('10. Inputs &amp; Calcs'!$D$538:$D$543,$E$10,'10. Inputs &amp; Calcs'!T$538:T$543)</f>
        <v>68573.279999999999</v>
      </c>
      <c r="AC23" s="535">
        <f>SUMIF('10. Inputs &amp; Calcs'!$D$538:$D$543,$E$10,'10. Inputs &amp; Calcs'!U$538:U$543)</f>
        <v>60954.026666666665</v>
      </c>
      <c r="AD23" s="535">
        <f>SUMIF('10. Inputs &amp; Calcs'!$D$538:$D$543,$E$10,'10. Inputs &amp; Calcs'!V$538:V$543)</f>
        <v>53334.773333333331</v>
      </c>
      <c r="AE23" s="535">
        <f>SUMIF('10. Inputs &amp; Calcs'!$D$538:$D$543,$E$10,'10. Inputs &amp; Calcs'!W$538:W$543)</f>
        <v>45715.520000000004</v>
      </c>
      <c r="AF23" s="535">
        <f>SUMIF('10. Inputs &amp; Calcs'!$D$538:$D$543,$E$10,'10. Inputs &amp; Calcs'!X$538:X$543)</f>
        <v>38096.26666666667</v>
      </c>
      <c r="AG23" s="535">
        <f>SUMIF('10. Inputs &amp; Calcs'!$D$538:$D$543,$E$10,'10. Inputs &amp; Calcs'!Y$538:Y$543)</f>
        <v>30477.013333333336</v>
      </c>
      <c r="AH23" s="535">
        <f>SUMIF('10. Inputs &amp; Calcs'!$D$538:$D$543,$E$10,'10. Inputs &amp; Calcs'!Z$538:Z$543)</f>
        <v>22857.760000000002</v>
      </c>
      <c r="AI23" s="535">
        <f>SUMIF('10. Inputs &amp; Calcs'!$D$538:$D$543,$E$10,'10. Inputs &amp; Calcs'!AA$538:AA$543)</f>
        <v>15238.506666666668</v>
      </c>
      <c r="AJ23" s="535">
        <f>SUMIF('10. Inputs &amp; Calcs'!$D$538:$D$543,$E$10,'10. Inputs &amp; Calcs'!AB$538:AB$543)</f>
        <v>0</v>
      </c>
      <c r="AK23" s="749">
        <f>SUMIF('10. Inputs &amp; Calcs'!$D$538:$D$543,$E$10,'10. Inputs &amp; Calcs'!AC$538:AC$543)</f>
        <v>0</v>
      </c>
      <c r="AL23" s="753">
        <f>SUM(Q23:AK23)</f>
        <v>1775286.0266666668</v>
      </c>
    </row>
    <row r="24" spans="2:65" x14ac:dyDescent="0.45">
      <c r="B24" t="s">
        <v>59</v>
      </c>
      <c r="D24" s="18" t="s">
        <v>1306</v>
      </c>
      <c r="F24" s="852"/>
      <c r="G24" s="852"/>
      <c r="I24" s="1056">
        <f>AL24</f>
        <v>-637249.82222222246</v>
      </c>
      <c r="J24" s="1097">
        <v>-46430679.750859335</v>
      </c>
      <c r="K24" s="1056">
        <f t="shared" si="1"/>
        <v>45793429.92863711</v>
      </c>
      <c r="L24" s="1088">
        <f t="shared" si="2"/>
        <v>-0.98627524245516929</v>
      </c>
      <c r="N24" s="765">
        <f>N25-N23</f>
        <v>-638439.50999999989</v>
      </c>
      <c r="O24" s="766">
        <f t="shared" ref="O24:AK24" si="7">O25-O23</f>
        <v>-248065.8</v>
      </c>
      <c r="P24" s="767">
        <f t="shared" si="7"/>
        <v>-123074.00000000003</v>
      </c>
      <c r="Q24" s="750">
        <f t="shared" si="7"/>
        <v>-98459.200000000012</v>
      </c>
      <c r="R24" s="751">
        <f t="shared" si="7"/>
        <v>-73844.400000000023</v>
      </c>
      <c r="S24" s="751">
        <f t="shared" si="7"/>
        <v>-49229.600000000006</v>
      </c>
      <c r="T24" s="751">
        <f t="shared" si="7"/>
        <v>-46494.622222222228</v>
      </c>
      <c r="U24" s="751">
        <f t="shared" si="7"/>
        <v>-43759.64444444445</v>
      </c>
      <c r="V24" s="751">
        <f t="shared" si="7"/>
        <v>-41024.666666666686</v>
      </c>
      <c r="W24" s="751">
        <f t="shared" si="7"/>
        <v>-38289.688888888893</v>
      </c>
      <c r="X24" s="751">
        <f t="shared" si="7"/>
        <v>-35554.711111111115</v>
      </c>
      <c r="Y24" s="751">
        <f t="shared" si="7"/>
        <v>-32819.733333333344</v>
      </c>
      <c r="Z24" s="751">
        <f t="shared" ref="Z24:AJ24" si="8">Z25-Z23</f>
        <v>-30084.755555555559</v>
      </c>
      <c r="AA24" s="751">
        <f t="shared" si="8"/>
        <v>-27349.777777777788</v>
      </c>
      <c r="AB24" s="751">
        <f t="shared" si="8"/>
        <v>-24614.800000000003</v>
      </c>
      <c r="AC24" s="751">
        <f t="shared" si="8"/>
        <v>-21879.822222222225</v>
      </c>
      <c r="AD24" s="751">
        <f t="shared" si="8"/>
        <v>-19144.844444444447</v>
      </c>
      <c r="AE24" s="751">
        <f t="shared" si="8"/>
        <v>-16409.866666666672</v>
      </c>
      <c r="AF24" s="751">
        <f t="shared" si="8"/>
        <v>-13674.888888888894</v>
      </c>
      <c r="AG24" s="751">
        <f t="shared" si="8"/>
        <v>-10939.911111111112</v>
      </c>
      <c r="AH24" s="751">
        <f t="shared" si="8"/>
        <v>-8204.9333333333361</v>
      </c>
      <c r="AI24" s="751">
        <f t="shared" si="8"/>
        <v>-5469.9555555555562</v>
      </c>
      <c r="AJ24" s="751">
        <f t="shared" si="8"/>
        <v>0</v>
      </c>
      <c r="AK24" s="752">
        <f t="shared" si="7"/>
        <v>0</v>
      </c>
      <c r="AL24" s="754">
        <f>SUM(Q24:AK24)</f>
        <v>-637249.82222222246</v>
      </c>
    </row>
    <row r="25" spans="2:65" x14ac:dyDescent="0.45">
      <c r="D25" s="18" t="str">
        <f>'10. Inputs &amp; Calcs'!D573</f>
        <v>Total Rental Collected p.a.</v>
      </c>
      <c r="F25" s="852">
        <f>P25/P$28</f>
        <v>0.28384081620461149</v>
      </c>
      <c r="G25" s="852">
        <f>AL25/AL$28</f>
        <v>0.32389091133892522</v>
      </c>
      <c r="I25" s="1064">
        <f>AL25</f>
        <v>1138036.2044444445</v>
      </c>
      <c r="J25" s="793">
        <v>32675186.746621851</v>
      </c>
      <c r="K25" s="1064">
        <f t="shared" si="1"/>
        <v>-31537150.542177405</v>
      </c>
      <c r="L25" s="1086">
        <f t="shared" si="2"/>
        <v>-0.96517124100102958</v>
      </c>
      <c r="N25" s="566">
        <f>SUMIF('10. Inputs &amp; Calcs'!$D$574:$D$579,$E$10,'10. Inputs &amp; Calcs'!F$574:F$579)</f>
        <v>883643.01000000013</v>
      </c>
      <c r="O25" s="566">
        <f>SUMIF('10. Inputs &amp; Calcs'!$D$574:$D$579,$E$10,'10. Inputs &amp; Calcs'!G$574:G$579)</f>
        <v>197492.81</v>
      </c>
      <c r="P25" s="566">
        <f>SUMIF('10. Inputs &amp; Calcs'!$D$574:$D$579,$E$10,'10. Inputs &amp; Calcs'!H$574:H$579)</f>
        <v>219792.4</v>
      </c>
      <c r="Q25" s="535">
        <f>SUMIF('10. Inputs &amp; Calcs'!$D$574:$D$579,$E$10,'10. Inputs &amp; Calcs'!I$574:I$579)</f>
        <v>175833.91999999998</v>
      </c>
      <c r="R25" s="535">
        <f>SUMIF('10. Inputs &amp; Calcs'!$D$574:$D$579,$E$10,'10. Inputs &amp; Calcs'!J$574:J$579)</f>
        <v>131875.43999999997</v>
      </c>
      <c r="S25" s="535">
        <f>SUMIF('10. Inputs &amp; Calcs'!$D$574:$D$579,$E$10,'10. Inputs &amp; Calcs'!K$574:K$579)</f>
        <v>87916.959999999992</v>
      </c>
      <c r="T25" s="535">
        <f>SUMIF('10. Inputs &amp; Calcs'!$D$574:$D$579,$E$10,'10. Inputs &amp; Calcs'!L$574:L$579)</f>
        <v>83032.684444444443</v>
      </c>
      <c r="U25" s="535">
        <f>SUMIF('10. Inputs &amp; Calcs'!$D$574:$D$579,$E$10,'10. Inputs &amp; Calcs'!M$574:M$579)</f>
        <v>78148.408888888895</v>
      </c>
      <c r="V25" s="535">
        <f>SUMIF('10. Inputs &amp; Calcs'!$D$574:$D$579,$E$10,'10. Inputs &amp; Calcs'!N$574:N$579)</f>
        <v>73264.133333333331</v>
      </c>
      <c r="W25" s="535">
        <f>SUMIF('10. Inputs &amp; Calcs'!$D$574:$D$579,$E$10,'10. Inputs &amp; Calcs'!O$574:O$579)</f>
        <v>68379.857777777783</v>
      </c>
      <c r="X25" s="535">
        <f>SUMIF('10. Inputs &amp; Calcs'!$D$574:$D$579,$E$10,'10. Inputs &amp; Calcs'!P$574:P$579)</f>
        <v>63495.58222222222</v>
      </c>
      <c r="Y25" s="535">
        <f>SUMIF('10. Inputs &amp; Calcs'!$D$574:$D$579,$E$10,'10. Inputs &amp; Calcs'!Q$574:Q$579)</f>
        <v>58611.306666666664</v>
      </c>
      <c r="Z25" s="535">
        <f>SUMIF('10. Inputs &amp; Calcs'!$D$574:$D$579,$E$10,'10. Inputs &amp; Calcs'!R$574:R$579)</f>
        <v>53727.031111111108</v>
      </c>
      <c r="AA25" s="535">
        <f>SUMIF('10. Inputs &amp; Calcs'!$D$574:$D$579,$E$10,'10. Inputs &amp; Calcs'!S$574:S$579)</f>
        <v>48842.755555555552</v>
      </c>
      <c r="AB25" s="535">
        <f>SUMIF('10. Inputs &amp; Calcs'!$D$574:$D$579,$E$10,'10. Inputs &amp; Calcs'!T$574:T$579)</f>
        <v>43958.479999999996</v>
      </c>
      <c r="AC25" s="535">
        <f>SUMIF('10. Inputs &amp; Calcs'!$D$574:$D$579,$E$10,'10. Inputs &amp; Calcs'!U$574:U$579)</f>
        <v>39074.20444444444</v>
      </c>
      <c r="AD25" s="535">
        <f>SUMIF('10. Inputs &amp; Calcs'!$D$574:$D$579,$E$10,'10. Inputs &amp; Calcs'!V$574:V$579)</f>
        <v>34189.928888888884</v>
      </c>
      <c r="AE25" s="535">
        <f>SUMIF('10. Inputs &amp; Calcs'!$D$574:$D$579,$E$10,'10. Inputs &amp; Calcs'!W$574:W$579)</f>
        <v>29305.653333333332</v>
      </c>
      <c r="AF25" s="535">
        <f>SUMIF('10. Inputs &amp; Calcs'!$D$574:$D$579,$E$10,'10. Inputs &amp; Calcs'!X$574:X$579)</f>
        <v>24421.377777777776</v>
      </c>
      <c r="AG25" s="535">
        <f>SUMIF('10. Inputs &amp; Calcs'!$D$574:$D$579,$E$10,'10. Inputs &amp; Calcs'!Y$574:Y$579)</f>
        <v>19537.102222222224</v>
      </c>
      <c r="AH25" s="535">
        <f>SUMIF('10. Inputs &amp; Calcs'!$D$574:$D$579,$E$10,'10. Inputs &amp; Calcs'!Z$574:Z$579)</f>
        <v>14652.826666666666</v>
      </c>
      <c r="AI25" s="535">
        <f>SUMIF('10. Inputs &amp; Calcs'!$D$574:$D$579,$E$10,'10. Inputs &amp; Calcs'!AA$574:AA$579)</f>
        <v>9768.5511111111118</v>
      </c>
      <c r="AJ25" s="535">
        <f>SUMIF('10. Inputs &amp; Calcs'!$D$574:$D$579,$E$10,'10. Inputs &amp; Calcs'!AB$574:AB$579)</f>
        <v>0</v>
      </c>
      <c r="AK25" s="535">
        <f>SUMIF('10. Inputs &amp; Calcs'!$D$574:$D$579,$E$10,'10. Inputs &amp; Calcs'!AC$574:AC$579)</f>
        <v>0</v>
      </c>
      <c r="AL25" s="533">
        <f>SUM(Q25:AK25)</f>
        <v>1138036.2044444445</v>
      </c>
    </row>
    <row r="26" spans="2:65" ht="6" customHeight="1" x14ac:dyDescent="0.45">
      <c r="D26" s="18"/>
      <c r="F26" s="852"/>
      <c r="G26" s="852"/>
      <c r="I26" s="1064"/>
      <c r="J26" s="793"/>
      <c r="K26" s="1064"/>
      <c r="L26" s="1086"/>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1064">
        <f>AL27</f>
        <v>0</v>
      </c>
      <c r="J27" s="793">
        <v>0</v>
      </c>
      <c r="K27" s="1064">
        <f t="shared" si="1"/>
        <v>0</v>
      </c>
      <c r="L27" s="1086">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AL28/AL$28</f>
        <v>1</v>
      </c>
      <c r="I28" s="1089">
        <f>AL28</f>
        <v>3513640.4406654779</v>
      </c>
      <c r="J28" s="1098">
        <v>78509405.775295377</v>
      </c>
      <c r="K28" s="1089">
        <f t="shared" si="1"/>
        <v>-74995765.334629893</v>
      </c>
      <c r="L28" s="1090">
        <f t="shared" si="2"/>
        <v>-0.95524561158032451</v>
      </c>
      <c r="N28" s="992">
        <f t="shared" ref="N28:AL28" si="9">N25+N67*0+N21+N27</f>
        <v>986752.92000000016</v>
      </c>
      <c r="O28" s="992">
        <f t="shared" si="9"/>
        <v>897187.48</v>
      </c>
      <c r="P28" s="992">
        <f t="shared" si="9"/>
        <v>774350.93</v>
      </c>
      <c r="Q28" s="992">
        <f t="shared" si="9"/>
        <v>650954.76724420744</v>
      </c>
      <c r="R28" s="992">
        <f t="shared" si="9"/>
        <v>606996.28724420746</v>
      </c>
      <c r="S28" s="992">
        <f t="shared" si="9"/>
        <v>563037.80724420748</v>
      </c>
      <c r="T28" s="992">
        <f t="shared" si="9"/>
        <v>135823.88969380083</v>
      </c>
      <c r="U28" s="992">
        <f t="shared" si="9"/>
        <v>130939.61413824529</v>
      </c>
      <c r="V28" s="992">
        <f t="shared" si="9"/>
        <v>126055.33858268973</v>
      </c>
      <c r="W28" s="992">
        <f t="shared" si="9"/>
        <v>121171.06302713418</v>
      </c>
      <c r="X28" s="992">
        <f t="shared" si="9"/>
        <v>116286.78747157862</v>
      </c>
      <c r="Y28" s="992">
        <f t="shared" si="9"/>
        <v>111402.51191602307</v>
      </c>
      <c r="Z28" s="992">
        <f t="shared" si="9"/>
        <v>106518.2363604675</v>
      </c>
      <c r="AA28" s="992">
        <f t="shared" si="9"/>
        <v>101633.96080491194</v>
      </c>
      <c r="AB28" s="992">
        <f t="shared" si="9"/>
        <v>96749.685249356393</v>
      </c>
      <c r="AC28" s="992">
        <f t="shared" si="9"/>
        <v>91865.409693800844</v>
      </c>
      <c r="AD28" s="992">
        <f t="shared" si="9"/>
        <v>86981.134138245281</v>
      </c>
      <c r="AE28" s="992">
        <f t="shared" si="9"/>
        <v>82096.858582689732</v>
      </c>
      <c r="AF28" s="992">
        <f t="shared" si="9"/>
        <v>77212.583027134169</v>
      </c>
      <c r="AG28" s="992">
        <f t="shared" si="9"/>
        <v>72328.307471578621</v>
      </c>
      <c r="AH28" s="992">
        <f t="shared" si="9"/>
        <v>67444.031916023057</v>
      </c>
      <c r="AI28" s="992">
        <f t="shared" si="9"/>
        <v>62559.756360467509</v>
      </c>
      <c r="AJ28" s="992">
        <f t="shared" si="9"/>
        <v>105582.41049871279</v>
      </c>
      <c r="AK28" s="992">
        <f t="shared" si="9"/>
        <v>0</v>
      </c>
      <c r="AL28" s="992">
        <f t="shared" si="9"/>
        <v>3513640.4406654779</v>
      </c>
    </row>
    <row r="29" spans="2:65" x14ac:dyDescent="0.45">
      <c r="I29" s="1060"/>
      <c r="J29" s="794"/>
      <c r="K29" s="1060"/>
      <c r="L29" s="1060"/>
      <c r="N29" s="533"/>
      <c r="O29" s="533"/>
      <c r="P29" s="533"/>
      <c r="AL29" s="533"/>
    </row>
    <row r="30" spans="2:65" x14ac:dyDescent="0.45">
      <c r="D30" s="451" t="s">
        <v>934</v>
      </c>
      <c r="E30" s="451"/>
      <c r="I30" s="1060"/>
      <c r="J30" s="794"/>
      <c r="K30" s="1060"/>
      <c r="L30" s="1060"/>
      <c r="M30" s="451"/>
      <c r="N30" s="533"/>
      <c r="O30" s="533"/>
      <c r="P30" s="533"/>
    </row>
    <row r="31" spans="2:65" x14ac:dyDescent="0.45">
      <c r="B31" t="s">
        <v>59</v>
      </c>
      <c r="D31" t="str">
        <f>'11. Table - Expenditure Review'!E177</f>
        <v>Rates &amp; Taxes</v>
      </c>
      <c r="F31" s="885">
        <f t="shared" ref="F31:F47" si="10">P31/P$47</f>
        <v>9.7301594931020526E-3</v>
      </c>
      <c r="G31" s="885">
        <f t="shared" ref="G31:G47" si="11">AL31/AL$47</f>
        <v>8.837952260059373E-3</v>
      </c>
      <c r="I31" s="1054">
        <f t="shared" ref="I31:I48" si="12">AL31</f>
        <v>834362.49358135683</v>
      </c>
      <c r="J31" s="1096">
        <v>268801320.53464037</v>
      </c>
      <c r="K31" s="1054">
        <f t="shared" ref="K31:K48" si="13">I31-J31</f>
        <v>-267966958.04105902</v>
      </c>
      <c r="L31" s="1087">
        <f t="shared" ref="L31:L48" si="14">IF(J31&lt;&gt;0,K31/J31,0)</f>
        <v>-0.99689598811523017</v>
      </c>
      <c r="N31" s="566">
        <f>SUMIF('10. Inputs &amp; Calcs'!$D$650:$D$655,$E$10,'10. Inputs &amp; Calcs'!F$650:F$655)</f>
        <v>1116065</v>
      </c>
      <c r="O31" s="566">
        <f>SUMIF('10. Inputs &amp; Calcs'!$D$650:$D$655,$E$10,'10. Inputs &amp; Calcs'!G$650:G$655)</f>
        <v>1590923</v>
      </c>
      <c r="P31" s="566">
        <f>SUMIF('10. Inputs &amp; Calcs'!$D$650:$D$655,$E$10,'10. Inputs &amp; Calcs'!H$650:H$655)</f>
        <v>108876</v>
      </c>
      <c r="Q31" s="533">
        <f>SUMIF('10. Inputs &amp; Calcs'!$D$650:$D$655,$E$10,'10. Inputs &amp; Calcs'!I$650:I$655)</f>
        <v>91891.343999999997</v>
      </c>
      <c r="R31" s="533">
        <f>SUMIF('10. Inputs &amp; Calcs'!$D$650:$D$655,$E$10,'10. Inputs &amp; Calcs'!J$650:J$655)</f>
        <v>72709.025939999978</v>
      </c>
      <c r="S31" s="533">
        <f>SUMIF('10. Inputs &amp; Calcs'!$D$650:$D$655,$E$10,'10. Inputs &amp; Calcs'!K$650:K$655)</f>
        <v>51138.681577799987</v>
      </c>
      <c r="T31" s="533">
        <f>SUMIF('10. Inputs &amp; Calcs'!$D$650:$D$655,$E$10,'10. Inputs &amp; Calcs'!L$650:L$655)</f>
        <v>50954.014116546816</v>
      </c>
      <c r="U31" s="533">
        <f>SUMIF('10. Inputs &amp; Calcs'!$D$650:$D$655,$E$10,'10. Inputs &amp; Calcs'!M$650:M$655)</f>
        <v>50594.338722782959</v>
      </c>
      <c r="V31" s="533">
        <f>SUMIF('10. Inputs &amp; Calcs'!$D$650:$D$655,$E$10,'10. Inputs &amp; Calcs'!N$650:N$655)</f>
        <v>50040.963143002518</v>
      </c>
      <c r="W31" s="533">
        <f>SUMIF('10. Inputs &amp; Calcs'!$D$650:$D$655,$E$10,'10. Inputs &amp; Calcs'!O$650:O$655)</f>
        <v>49273.668374809808</v>
      </c>
      <c r="X31" s="533">
        <f>SUMIF('10. Inputs &amp; Calcs'!$D$650:$D$655,$E$10,'10. Inputs &amp; Calcs'!P$650:P$655)</f>
        <v>48270.597268608319</v>
      </c>
      <c r="Y31" s="533">
        <f>SUMIF('10. Inputs &amp; Calcs'!$D$650:$D$655,$E$10,'10. Inputs &amp; Calcs'!Q$650:Q$655)</f>
        <v>47008.13549389087</v>
      </c>
      <c r="Z31" s="533">
        <f>SUMIF('10. Inputs &amp; Calcs'!$D$650:$D$655,$E$10,'10. Inputs &amp; Calcs'!R$650:R$655)</f>
        <v>45460.784367216962</v>
      </c>
      <c r="AA31" s="533">
        <f>SUMIF('10. Inputs &amp; Calcs'!$D$650:$D$655,$E$10,'10. Inputs &amp; Calcs'!S$650:S$655)</f>
        <v>43601.025006739896</v>
      </c>
      <c r="AB31" s="533">
        <f>SUMIF('10. Inputs &amp; Calcs'!$D$650:$D$655,$E$10,'10. Inputs &amp; Calcs'!T$650:T$655)</f>
        <v>41399.173243899531</v>
      </c>
      <c r="AC31" s="533">
        <f>SUMIF('10. Inputs &amp; Calcs'!$D$650:$D$655,$E$10,'10. Inputs &amp; Calcs'!U$650:U$655)</f>
        <v>38823.224686501337</v>
      </c>
      <c r="AD31" s="533">
        <f>SUMIF('10. Inputs &amp; Calcs'!$D$650:$D$655,$E$10,'10. Inputs &amp; Calcs'!V$650:V$655)</f>
        <v>35838.689288726549</v>
      </c>
      <c r="AE31" s="533">
        <f>SUMIF('10. Inputs &amp; Calcs'!$D$650:$D$655,$E$10,'10. Inputs &amp; Calcs'!W$650:W$655)</f>
        <v>32408.414742519864</v>
      </c>
      <c r="AF31" s="533">
        <f>SUMIF('10. Inputs &amp; Calcs'!$D$650:$D$655,$E$10,'10. Inputs &amp; Calcs'!X$650:X$655)</f>
        <v>28492.397961132043</v>
      </c>
      <c r="AG31" s="533">
        <f>SUMIF('10. Inputs &amp; Calcs'!$D$650:$D$655,$E$10,'10. Inputs &amp; Calcs'!Y$650:Y$655)</f>
        <v>24047.583879195441</v>
      </c>
      <c r="AH31" s="533">
        <f>SUMIF('10. Inputs &amp; Calcs'!$D$650:$D$655,$E$10,'10. Inputs &amp; Calcs'!Z$650:Z$655)</f>
        <v>19027.650744413389</v>
      </c>
      <c r="AI31" s="533">
        <f>SUMIF('10. Inputs &amp; Calcs'!$D$650:$D$655,$E$10,'10. Inputs &amp; Calcs'!AA$650:AA$655)</f>
        <v>13382.781023570749</v>
      </c>
      <c r="AJ31" s="533">
        <f>SUMIF('10. Inputs &amp; Calcs'!$D$650:$D$655,$E$10,'10. Inputs &amp; Calcs'!AB$650:AB$655)</f>
        <v>0</v>
      </c>
      <c r="AK31" s="533">
        <f>SUMIF('10. Inputs &amp; Calcs'!$D$650:$D$655,$E$10,'10. Inputs &amp; Calcs'!AC$650:AC$655)</f>
        <v>0</v>
      </c>
      <c r="AL31" s="533">
        <f t="shared" ref="AL31:AL46" si="15">SUM(Q31:AK31)</f>
        <v>834362.49358135683</v>
      </c>
    </row>
    <row r="32" spans="2:65" x14ac:dyDescent="0.45">
      <c r="B32" t="s">
        <v>59</v>
      </c>
      <c r="D32" t="str">
        <f>'11. Table - Expenditure Review'!E178</f>
        <v>Municipal Charges</v>
      </c>
      <c r="F32" s="889">
        <f t="shared" si="10"/>
        <v>9.6869398519884936E-2</v>
      </c>
      <c r="G32" s="889">
        <f t="shared" si="11"/>
        <v>8.7986956450851458E-2</v>
      </c>
      <c r="I32" s="1055">
        <f t="shared" si="12"/>
        <v>8306564.0350577645</v>
      </c>
      <c r="J32" s="1099">
        <v>95065328.031410933</v>
      </c>
      <c r="K32" s="1055">
        <f t="shared" si="13"/>
        <v>-86758763.996353164</v>
      </c>
      <c r="L32" s="1091">
        <f t="shared" si="14"/>
        <v>-0.91262257010975478</v>
      </c>
      <c r="N32" s="566">
        <f>SUMIF('10. Inputs &amp; Calcs'!$D$659:$D$664,$E$10,'10. Inputs &amp; Calcs'!F$659:F$664)</f>
        <v>1986493.629015544</v>
      </c>
      <c r="O32" s="566">
        <f>SUMIF('10. Inputs &amp; Calcs'!$D$659:$D$664,$E$10,'10. Inputs &amp; Calcs'!G$659:G$664)</f>
        <v>1396462.4550970874</v>
      </c>
      <c r="P32" s="566">
        <f>SUMIF('10. Inputs &amp; Calcs'!$D$659:$D$664,$E$10,'10. Inputs &amp; Calcs'!H$659:H$664)</f>
        <v>1083923.9213630406</v>
      </c>
      <c r="Q32" s="533">
        <f>SUMIF('10. Inputs &amp; Calcs'!$D$659:$D$664,$E$10,'10. Inputs &amp; Calcs'!I$659:I$664)</f>
        <v>914831.78963040619</v>
      </c>
      <c r="R32" s="533">
        <f>SUMIF('10. Inputs &amp; Calcs'!$D$659:$D$664,$E$10,'10. Inputs &amp; Calcs'!J$659:J$664)</f>
        <v>723860.65354505891</v>
      </c>
      <c r="S32" s="533">
        <f>SUMIF('10. Inputs &amp; Calcs'!$D$659:$D$664,$E$10,'10. Inputs &amp; Calcs'!K$659:K$664)</f>
        <v>509115.32632669143</v>
      </c>
      <c r="T32" s="533">
        <f>SUMIF('10. Inputs &amp; Calcs'!$D$659:$D$664,$E$10,'10. Inputs &amp; Calcs'!L$659:L$664)</f>
        <v>507276.85431495606</v>
      </c>
      <c r="U32" s="533">
        <f>SUMIF('10. Inputs &amp; Calcs'!$D$659:$D$664,$E$10,'10. Inputs &amp; Calcs'!M$659:M$664)</f>
        <v>503696.07651979162</v>
      </c>
      <c r="V32" s="533">
        <f>SUMIF('10. Inputs &amp; Calcs'!$D$659:$D$664,$E$10,'10. Inputs &amp; Calcs'!N$659:N$664)</f>
        <v>498186.90068285633</v>
      </c>
      <c r="W32" s="533">
        <f>SUMIF('10. Inputs &amp; Calcs'!$D$659:$D$664,$E$10,'10. Inputs &amp; Calcs'!O$659:O$664)</f>
        <v>490548.03487238585</v>
      </c>
      <c r="X32" s="533">
        <f>SUMIF('10. Inputs &amp; Calcs'!$D$659:$D$664,$E$10,'10. Inputs &amp; Calcs'!P$659:P$664)</f>
        <v>480561.87844819797</v>
      </c>
      <c r="Y32" s="533">
        <f>SUMIF('10. Inputs &amp; Calcs'!$D$659:$D$664,$E$10,'10. Inputs &amp; Calcs'!Q$659:Q$664)</f>
        <v>467993.33701186045</v>
      </c>
      <c r="Z32" s="533">
        <f>SUMIF('10. Inputs &amp; Calcs'!$D$659:$D$664,$E$10,'10. Inputs &amp; Calcs'!R$659:R$664)</f>
        <v>452588.55633522</v>
      </c>
      <c r="AA32" s="533">
        <f>SUMIF('10. Inputs &amp; Calcs'!$D$659:$D$664,$E$10,'10. Inputs &amp; Calcs'!S$659:S$664)</f>
        <v>434073.56993968826</v>
      </c>
      <c r="AB32" s="533">
        <f>SUMIF('10. Inputs &amp; Calcs'!$D$659:$D$664,$E$10,'10. Inputs &amp; Calcs'!T$659:T$664)</f>
        <v>412152.85465773399</v>
      </c>
      <c r="AC32" s="533">
        <f>SUMIF('10. Inputs &amp; Calcs'!$D$659:$D$664,$E$10,'10. Inputs &amp; Calcs'!U$659:U$664)</f>
        <v>386507.78814569721</v>
      </c>
      <c r="AD32" s="533">
        <f>SUMIF('10. Inputs &amp; Calcs'!$D$659:$D$664,$E$10,'10. Inputs &amp; Calcs'!V$659:V$664)</f>
        <v>356795.00193199673</v>
      </c>
      <c r="AE32" s="533">
        <f>SUMIF('10. Inputs &amp; Calcs'!$D$659:$D$664,$E$10,'10. Inputs &amp; Calcs'!W$659:W$664)</f>
        <v>322644.62317564839</v>
      </c>
      <c r="AF32" s="533">
        <f>SUMIF('10. Inputs &amp; Calcs'!$D$659:$D$664,$E$10,'10. Inputs &amp; Calcs'!X$659:X$664)</f>
        <v>283658.39787525759</v>
      </c>
      <c r="AG32" s="533">
        <f>SUMIF('10. Inputs &amp; Calcs'!$D$659:$D$664,$E$10,'10. Inputs &amp; Calcs'!Y$659:Y$664)</f>
        <v>239407.68780671738</v>
      </c>
      <c r="AH32" s="533">
        <f>SUMIF('10. Inputs &amp; Calcs'!$D$659:$D$664,$E$10,'10. Inputs &amp; Calcs'!Z$659:Z$664)</f>
        <v>189431.33297706512</v>
      </c>
      <c r="AI32" s="533">
        <f>SUMIF('10. Inputs &amp; Calcs'!$D$659:$D$664,$E$10,'10. Inputs &amp; Calcs'!AA$659:AA$664)</f>
        <v>133233.3708605358</v>
      </c>
      <c r="AJ32" s="533">
        <f>SUMIF('10. Inputs &amp; Calcs'!$D$659:$D$664,$E$10,'10. Inputs &amp; Calcs'!AB$659:AB$664)</f>
        <v>0</v>
      </c>
      <c r="AK32" s="533">
        <f>SUMIF('10. Inputs &amp; Calcs'!$D$659:$D$664,$E$10,'10. Inputs &amp; Calcs'!AC$659:AC$664)</f>
        <v>0</v>
      </c>
      <c r="AL32" s="533">
        <f t="shared" si="15"/>
        <v>8306564.0350577645</v>
      </c>
    </row>
    <row r="33" spans="2:38" x14ac:dyDescent="0.45">
      <c r="B33" t="s">
        <v>59</v>
      </c>
      <c r="D33" t="str">
        <f>'11. Table - Expenditure Review'!E179</f>
        <v>Maintenance</v>
      </c>
      <c r="F33" s="889">
        <f t="shared" si="10"/>
        <v>0</v>
      </c>
      <c r="G33" s="889">
        <f t="shared" si="11"/>
        <v>0</v>
      </c>
      <c r="I33" s="1055">
        <f t="shared" si="12"/>
        <v>0</v>
      </c>
      <c r="J33" s="1099">
        <v>704365386.98006427</v>
      </c>
      <c r="K33" s="1055">
        <f t="shared" si="13"/>
        <v>-704365386.98006427</v>
      </c>
      <c r="L33" s="1091">
        <f t="shared" si="14"/>
        <v>-1</v>
      </c>
      <c r="N33" s="566">
        <f>SUMIF('10. Inputs &amp; Calcs'!$D$668:$D$673,$E$10,'10. Inputs &amp; Calcs'!F$668:F$673)</f>
        <v>0</v>
      </c>
      <c r="O33" s="566">
        <f>SUMIF('10. Inputs &amp; Calcs'!$D$668:$D$673,$E$10,'10. Inputs &amp; Calcs'!G$668:G$673)</f>
        <v>0</v>
      </c>
      <c r="P33" s="566">
        <f>SUMIF('10. Inputs &amp; Calcs'!$D$668:$D$673,$E$10,'10. Inputs &amp; Calcs'!H$668:H$673)</f>
        <v>0</v>
      </c>
      <c r="Q33" s="533">
        <f>SUMIF('10. Inputs &amp; Calcs'!$D$668:$D$673,$E$10,'10. Inputs &amp; Calcs'!I$668:I$673)</f>
        <v>0</v>
      </c>
      <c r="R33" s="533">
        <f>SUMIF('10. Inputs &amp; Calcs'!$D$668:$D$673,$E$10,'10. Inputs &amp; Calcs'!J$668:J$673)</f>
        <v>0</v>
      </c>
      <c r="S33" s="533">
        <f>SUMIF('10. Inputs &amp; Calcs'!$D$668:$D$673,$E$10,'10. Inputs &amp; Calcs'!K$668:K$673)</f>
        <v>0</v>
      </c>
      <c r="T33" s="533">
        <f>SUMIF('10. Inputs &amp; Calcs'!$D$668:$D$673,$E$10,'10. Inputs &amp; Calcs'!L$668:L$673)</f>
        <v>0</v>
      </c>
      <c r="U33" s="533">
        <f>SUMIF('10. Inputs &amp; Calcs'!$D$668:$D$673,$E$10,'10. Inputs &amp; Calcs'!M$668:M$673)</f>
        <v>0</v>
      </c>
      <c r="V33" s="533">
        <f>SUMIF('10. Inputs &amp; Calcs'!$D$668:$D$673,$E$10,'10. Inputs &amp; Calcs'!N$668:N$673)</f>
        <v>0</v>
      </c>
      <c r="W33" s="533">
        <f>SUMIF('10. Inputs &amp; Calcs'!$D$668:$D$673,$E$10,'10. Inputs &amp; Calcs'!O$668:O$673)</f>
        <v>0</v>
      </c>
      <c r="X33" s="533">
        <f>SUMIF('10. Inputs &amp; Calcs'!$D$668:$D$673,$E$10,'10. Inputs &amp; Calcs'!P$668:P$673)</f>
        <v>0</v>
      </c>
      <c r="Y33" s="533">
        <f>SUMIF('10. Inputs &amp; Calcs'!$D$668:$D$673,$E$10,'10. Inputs &amp; Calcs'!Q$668:Q$673)</f>
        <v>0</v>
      </c>
      <c r="Z33" s="533">
        <f>SUMIF('10. Inputs &amp; Calcs'!$D$668:$D$673,$E$10,'10. Inputs &amp; Calcs'!R$668:R$673)</f>
        <v>0</v>
      </c>
      <c r="AA33" s="533">
        <f>SUMIF('10. Inputs &amp; Calcs'!$D$668:$D$673,$E$10,'10. Inputs &amp; Calcs'!S$668:S$673)</f>
        <v>0</v>
      </c>
      <c r="AB33" s="533">
        <f>SUMIF('10. Inputs &amp; Calcs'!$D$668:$D$673,$E$10,'10. Inputs &amp; Calcs'!T$668:T$673)</f>
        <v>0</v>
      </c>
      <c r="AC33" s="533">
        <f>SUMIF('10. Inputs &amp; Calcs'!$D$668:$D$673,$E$10,'10. Inputs &amp; Calcs'!U$668:U$673)</f>
        <v>0</v>
      </c>
      <c r="AD33" s="533">
        <f>SUMIF('10. Inputs &amp; Calcs'!$D$668:$D$673,$E$10,'10. Inputs &amp; Calcs'!V$668:V$673)</f>
        <v>0</v>
      </c>
      <c r="AE33" s="533">
        <f>SUMIF('10. Inputs &amp; Calcs'!$D$668:$D$673,$E$10,'10. Inputs &amp; Calcs'!W$668:W$673)</f>
        <v>0</v>
      </c>
      <c r="AF33" s="533">
        <f>SUMIF('10. Inputs &amp; Calcs'!$D$668:$D$673,$E$10,'10. Inputs &amp; Calcs'!X$668:X$673)</f>
        <v>0</v>
      </c>
      <c r="AG33" s="533">
        <f>SUMIF('10. Inputs &amp; Calcs'!$D$668:$D$673,$E$10,'10. Inputs &amp; Calcs'!Y$668:Y$673)</f>
        <v>0</v>
      </c>
      <c r="AH33" s="533">
        <f>SUMIF('10. Inputs &amp; Calcs'!$D$668:$D$673,$E$10,'10. Inputs &amp; Calcs'!Z$668:Z$673)</f>
        <v>0</v>
      </c>
      <c r="AI33" s="533">
        <f>SUMIF('10. Inputs &amp; Calcs'!$D$668:$D$673,$E$10,'10. Inputs &amp; Calcs'!AA$668:AA$673)</f>
        <v>0</v>
      </c>
      <c r="AJ33" s="533">
        <f>SUMIF('10. Inputs &amp; Calcs'!$D$668:$D$673,$E$10,'10. Inputs &amp; Calcs'!AB$668:AB$673)</f>
        <v>0</v>
      </c>
      <c r="AK33" s="533">
        <f>SUMIF('10. Inputs &amp; Calcs'!$D$668:$D$673,$E$10,'10. Inputs &amp; Calcs'!AC$668:AC$673)</f>
        <v>0</v>
      </c>
      <c r="AL33" s="533">
        <f t="shared" si="15"/>
        <v>0</v>
      </c>
    </row>
    <row r="34" spans="2:38" x14ac:dyDescent="0.45">
      <c r="B34" t="s">
        <v>59</v>
      </c>
      <c r="D34" t="str">
        <f>'11. Table - Expenditure Review'!E180</f>
        <v>Property Payments</v>
      </c>
      <c r="F34" s="889">
        <f t="shared" si="10"/>
        <v>0</v>
      </c>
      <c r="G34" s="889">
        <f t="shared" si="11"/>
        <v>0</v>
      </c>
      <c r="I34" s="1055">
        <f t="shared" si="12"/>
        <v>0</v>
      </c>
      <c r="J34" s="1099">
        <v>0</v>
      </c>
      <c r="K34" s="1055">
        <f t="shared" si="13"/>
        <v>0</v>
      </c>
      <c r="L34" s="1091">
        <f t="shared" si="14"/>
        <v>0</v>
      </c>
      <c r="N34" s="566">
        <f>SUMIF('10. Inputs &amp; Calcs'!$D$677:$D$682,$E$10,'10. Inputs &amp; Calcs'!F$677:F$682)</f>
        <v>0</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5"/>
        <v>0</v>
      </c>
    </row>
    <row r="35" spans="2:38" x14ac:dyDescent="0.45">
      <c r="B35" t="s">
        <v>1077</v>
      </c>
      <c r="D35" t="str">
        <f>'11. Table - Expenditure Review'!E181</f>
        <v>Administering Assets</v>
      </c>
      <c r="F35" s="889">
        <f t="shared" si="10"/>
        <v>9.1616821010631996E-2</v>
      </c>
      <c r="G35" s="889">
        <f t="shared" si="11"/>
        <v>8.3216014175758371E-2</v>
      </c>
      <c r="I35" s="1055">
        <f t="shared" si="12"/>
        <v>7856154.8026647586</v>
      </c>
      <c r="J35" s="1099">
        <v>7856154.8026647586</v>
      </c>
      <c r="K35" s="1055">
        <f t="shared" si="13"/>
        <v>0</v>
      </c>
      <c r="L35" s="1091">
        <f t="shared" si="14"/>
        <v>0</v>
      </c>
      <c r="N35" s="566">
        <f>SUMIF('10. Inputs &amp; Calcs'!$D$686:$D$691,$E$10,'10. Inputs &amp; Calcs'!F$686:F$691)</f>
        <v>2858990</v>
      </c>
      <c r="O35" s="566">
        <f>SUMIF('10. Inputs &amp; Calcs'!$D$686:$D$691,$E$10,'10. Inputs &amp; Calcs'!G$686:G$691)</f>
        <v>3028121</v>
      </c>
      <c r="P35" s="566">
        <f>SUMIF('10. Inputs &amp; Calcs'!$D$686:$D$691,$E$10,'10. Inputs &amp; Calcs'!H$686:H$691)</f>
        <v>1025150</v>
      </c>
      <c r="Q35" s="533">
        <f>SUMIF('10. Inputs &amp; Calcs'!$D$686:$D$691,$E$10,'10. Inputs &amp; Calcs'!I$686:I$691)</f>
        <v>865226.6</v>
      </c>
      <c r="R35" s="533">
        <f>SUMIF('10. Inputs &amp; Calcs'!$D$686:$D$691,$E$10,'10. Inputs &amp; Calcs'!J$686:J$691)</f>
        <v>684610.54724999995</v>
      </c>
      <c r="S35" s="533">
        <f>SUMIF('10. Inputs &amp; Calcs'!$D$686:$D$691,$E$10,'10. Inputs &amp; Calcs'!K$686:K$691)</f>
        <v>481509.41823249997</v>
      </c>
      <c r="T35" s="533">
        <f>SUMIF('10. Inputs &amp; Calcs'!$D$686:$D$691,$E$10,'10. Inputs &amp; Calcs'!L$686:L$691)</f>
        <v>479770.63422221591</v>
      </c>
      <c r="U35" s="533">
        <f>SUMIF('10. Inputs &amp; Calcs'!$D$686:$D$691,$E$10,'10. Inputs &amp; Calcs'!M$686:M$691)</f>
        <v>476384.01798064727</v>
      </c>
      <c r="V35" s="533">
        <f>SUMIF('10. Inputs &amp; Calcs'!$D$686:$D$691,$E$10,'10. Inputs &amp; Calcs'!N$686:N$691)</f>
        <v>471173.56778398389</v>
      </c>
      <c r="W35" s="533">
        <f>SUMIF('10. Inputs &amp; Calcs'!$D$686:$D$691,$E$10,'10. Inputs &amp; Calcs'!O$686:O$691)</f>
        <v>463948.90641129611</v>
      </c>
      <c r="X35" s="533">
        <f>SUMIF('10. Inputs &amp; Calcs'!$D$686:$D$691,$E$10,'10. Inputs &amp; Calcs'!P$686:P$691)</f>
        <v>454504.23224506614</v>
      </c>
      <c r="Y35" s="533">
        <f>SUMIF('10. Inputs &amp; Calcs'!$D$686:$D$691,$E$10,'10. Inputs &amp; Calcs'!Q$686:Q$691)</f>
        <v>442617.1984786567</v>
      </c>
      <c r="Z35" s="533">
        <f>SUMIF('10. Inputs &amp; Calcs'!$D$686:$D$691,$E$10,'10. Inputs &amp; Calcs'!R$686:R$691)</f>
        <v>428047.7156954009</v>
      </c>
      <c r="AA35" s="533">
        <f>SUMIF('10. Inputs &amp; Calcs'!$D$686:$D$691,$E$10,'10. Inputs &amp; Calcs'!S$686:S$691)</f>
        <v>410536.67278058903</v>
      </c>
      <c r="AB35" s="533">
        <f>SUMIF('10. Inputs &amp; Calcs'!$D$686:$D$691,$E$10,'10. Inputs &amp; Calcs'!T$686:T$691)</f>
        <v>389804.57080516929</v>
      </c>
      <c r="AC35" s="533">
        <f>SUMIF('10. Inputs &amp; Calcs'!$D$686:$D$691,$E$10,'10. Inputs &amp; Calcs'!U$686:U$691)</f>
        <v>365550.06417729205</v>
      </c>
      <c r="AD35" s="533">
        <f>SUMIF('10. Inputs &amp; Calcs'!$D$686:$D$691,$E$10,'10. Inputs &amp; Calcs'!V$686:V$691)</f>
        <v>337448.40299366269</v>
      </c>
      <c r="AE35" s="533">
        <f>SUMIF('10. Inputs &amp; Calcs'!$D$686:$D$691,$E$10,'10. Inputs &amp; Calcs'!W$686:W$691)</f>
        <v>305149.77013569779</v>
      </c>
      <c r="AF35" s="533">
        <f>SUMIF('10. Inputs &amp; Calcs'!$D$686:$D$691,$E$10,'10. Inputs &amp; Calcs'!X$686:X$691)</f>
        <v>268277.50624430098</v>
      </c>
      <c r="AG35" s="533">
        <f>SUMIF('10. Inputs &amp; Calcs'!$D$686:$D$691,$E$10,'10. Inputs &amp; Calcs'!Y$686:Y$691)</f>
        <v>226426.21527019</v>
      </c>
      <c r="AH35" s="533">
        <f>SUMIF('10. Inputs &amp; Calcs'!$D$686:$D$691,$E$10,'10. Inputs &amp; Calcs'!Z$686:Z$691)</f>
        <v>179159.74283253783</v>
      </c>
      <c r="AI35" s="533">
        <f>SUMIF('10. Inputs &amp; Calcs'!$D$686:$D$691,$E$10,'10. Inputs &amp; Calcs'!AA$686:AA$691)</f>
        <v>126009.0191255516</v>
      </c>
      <c r="AJ35" s="533">
        <f>SUMIF('10. Inputs &amp; Calcs'!$D$686:$D$691,$E$10,'10. Inputs &amp; Calcs'!AB$686:AB$691)</f>
        <v>0</v>
      </c>
      <c r="AK35" s="533">
        <f>SUMIF('10. Inputs &amp; Calcs'!$D$686:$D$691,$E$10,'10. Inputs &amp; Calcs'!AC$686:AC$691)</f>
        <v>0</v>
      </c>
      <c r="AL35" s="533">
        <f t="shared" si="15"/>
        <v>7856154.8026647586</v>
      </c>
    </row>
    <row r="36" spans="2:38" x14ac:dyDescent="0.45">
      <c r="B36" t="s">
        <v>1075</v>
      </c>
      <c r="D36" t="str">
        <f>'10. Inputs &amp; Calcs'!D507</f>
        <v>Total Disposal Costs</v>
      </c>
      <c r="F36" s="889">
        <f t="shared" si="10"/>
        <v>0</v>
      </c>
      <c r="G36" s="889">
        <f t="shared" si="11"/>
        <v>9.3393126728249006E-3</v>
      </c>
      <c r="I36" s="1055">
        <f t="shared" si="12"/>
        <v>881694.30890112126</v>
      </c>
      <c r="J36" s="1099">
        <v>57651480.565872036</v>
      </c>
      <c r="K36" s="1055">
        <f>I36-J36</f>
        <v>-56769786.256970912</v>
      </c>
      <c r="L36" s="1091">
        <f t="shared" si="14"/>
        <v>-0.9847064758745665</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126000</v>
      </c>
      <c r="R36" s="533">
        <f>SUMIF('10. Inputs &amp; Calcs'!$D$508:$D$513,$E$10,'10. Inputs &amp; Calcs'!J$508:J$513)</f>
        <v>132930</v>
      </c>
      <c r="S36" s="533">
        <f>SUMIF('10. Inputs &amp; Calcs'!$D$508:$D$513,$E$10,'10. Inputs &amp; Calcs'!K$508:K$513)</f>
        <v>140241.15</v>
      </c>
      <c r="T36" s="533">
        <f>SUMIF('10. Inputs &amp; Calcs'!$D$508:$D$513,$E$10,'10. Inputs &amp; Calcs'!L$508:L$513)</f>
        <v>16439.379249999998</v>
      </c>
      <c r="U36" s="533">
        <f>SUMIF('10. Inputs &amp; Calcs'!$D$508:$D$513,$E$10,'10. Inputs &amp; Calcs'!M$508:M$513)</f>
        <v>17343.545108750001</v>
      </c>
      <c r="V36" s="533">
        <f>SUMIF('10. Inputs &amp; Calcs'!$D$508:$D$513,$E$10,'10. Inputs &amp; Calcs'!N$508:N$513)</f>
        <v>18297.440089731248</v>
      </c>
      <c r="W36" s="533">
        <f>SUMIF('10. Inputs &amp; Calcs'!$D$508:$D$513,$E$10,'10. Inputs &amp; Calcs'!O$508:O$513)</f>
        <v>19303.799294666467</v>
      </c>
      <c r="X36" s="533">
        <f>SUMIF('10. Inputs &amp; Calcs'!$D$508:$D$513,$E$10,'10. Inputs &amp; Calcs'!P$508:P$513)</f>
        <v>20365.508255873123</v>
      </c>
      <c r="Y36" s="533">
        <f>SUMIF('10. Inputs &amp; Calcs'!$D$508:$D$513,$E$10,'10. Inputs &amp; Calcs'!Q$508:Q$513)</f>
        <v>21485.611209946139</v>
      </c>
      <c r="Z36" s="533">
        <f>SUMIF('10. Inputs &amp; Calcs'!$D$508:$D$513,$E$10,'10. Inputs &amp; Calcs'!R$508:R$513)</f>
        <v>22667.319826493178</v>
      </c>
      <c r="AA36" s="533">
        <f>SUMIF('10. Inputs &amp; Calcs'!$D$508:$D$513,$E$10,'10. Inputs &amp; Calcs'!S$508:S$513)</f>
        <v>23914.022416950298</v>
      </c>
      <c r="AB36" s="533">
        <f>SUMIF('10. Inputs &amp; Calcs'!$D$508:$D$513,$E$10,'10. Inputs &amp; Calcs'!T$508:T$513)</f>
        <v>25229.293649882566</v>
      </c>
      <c r="AC36" s="533">
        <f>SUMIF('10. Inputs &amp; Calcs'!$D$508:$D$513,$E$10,'10. Inputs &amp; Calcs'!U$508:U$513)</f>
        <v>26616.904800626107</v>
      </c>
      <c r="AD36" s="533">
        <f>SUMIF('10. Inputs &amp; Calcs'!$D$508:$D$513,$E$10,'10. Inputs &amp; Calcs'!V$508:V$513)</f>
        <v>28080.834564660538</v>
      </c>
      <c r="AE36" s="533">
        <f>SUMIF('10. Inputs &amp; Calcs'!$D$508:$D$513,$E$10,'10. Inputs &amp; Calcs'!W$508:W$513)</f>
        <v>29625.280465716867</v>
      </c>
      <c r="AF36" s="533">
        <f>SUMIF('10. Inputs &amp; Calcs'!$D$508:$D$513,$E$10,'10. Inputs &amp; Calcs'!X$508:X$513)</f>
        <v>31254.670891331298</v>
      </c>
      <c r="AG36" s="533">
        <f>SUMIF('10. Inputs &amp; Calcs'!$D$508:$D$513,$E$10,'10. Inputs &amp; Calcs'!Y$508:Y$513)</f>
        <v>32973.677790354515</v>
      </c>
      <c r="AH36" s="533">
        <f>SUMIF('10. Inputs &amp; Calcs'!$D$508:$D$513,$E$10,'10. Inputs &amp; Calcs'!Z$508:Z$513)</f>
        <v>34787.230068824014</v>
      </c>
      <c r="AI36" s="533">
        <f>SUMIF('10. Inputs &amp; Calcs'!$D$508:$D$513,$E$10,'10. Inputs &amp; Calcs'!AA$508:AA$513)</f>
        <v>36700.527722609331</v>
      </c>
      <c r="AJ36" s="533">
        <f>SUMIF('10. Inputs &amp; Calcs'!$D$508:$D$513,$E$10,'10. Inputs &amp; Calcs'!AB$508:AB$513)</f>
        <v>77438.113494705685</v>
      </c>
      <c r="AK36" s="533">
        <f>SUMIF('10. Inputs &amp; Calcs'!$D$508:$D$513,$E$10,'10. Inputs &amp; Calcs'!AC$508:AC$513)</f>
        <v>0</v>
      </c>
      <c r="AL36" s="533">
        <f t="shared" si="15"/>
        <v>881694.30890112126</v>
      </c>
    </row>
    <row r="37" spans="2:38" x14ac:dyDescent="0.45">
      <c r="B37" t="s">
        <v>59</v>
      </c>
      <c r="C37" t="str">
        <f>'10. Inputs &amp; Calcs'!E15</f>
        <v>Sc1</v>
      </c>
      <c r="D37" t="str">
        <f>'10. Inputs &amp; Calcs'!D703</f>
        <v>Management Costs Paid to Outsourced Rental Property Manager p.a.</v>
      </c>
      <c r="F37" s="889">
        <f t="shared" si="10"/>
        <v>0</v>
      </c>
      <c r="G37" s="889">
        <f t="shared" si="11"/>
        <v>0</v>
      </c>
      <c r="I37" s="1055">
        <f t="shared" si="12"/>
        <v>0</v>
      </c>
      <c r="J37" s="1099">
        <v>0</v>
      </c>
      <c r="K37" s="1055">
        <f t="shared" si="13"/>
        <v>0</v>
      </c>
      <c r="L37" s="1091">
        <f t="shared" si="14"/>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5"/>
        <v>0</v>
      </c>
    </row>
    <row r="38" spans="2:38" outlineLevel="1" x14ac:dyDescent="0.45">
      <c r="D38">
        <f>'11. Table - Expenditure Review'!E184</f>
        <v>0</v>
      </c>
      <c r="F38" s="889">
        <f t="shared" si="10"/>
        <v>0</v>
      </c>
      <c r="G38" s="889">
        <f t="shared" si="11"/>
        <v>0</v>
      </c>
      <c r="I38" s="1055">
        <f t="shared" si="12"/>
        <v>0</v>
      </c>
      <c r="J38" s="1099">
        <v>0</v>
      </c>
      <c r="K38" s="1055">
        <f t="shared" si="13"/>
        <v>0</v>
      </c>
      <c r="L38" s="1091">
        <f t="shared" si="14"/>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5"/>
        <v>0</v>
      </c>
    </row>
    <row r="39" spans="2:38" outlineLevel="1" x14ac:dyDescent="0.45">
      <c r="D39">
        <f>'11. Table - Expenditure Review'!E185</f>
        <v>0</v>
      </c>
      <c r="F39" s="889">
        <f t="shared" si="10"/>
        <v>0</v>
      </c>
      <c r="G39" s="889">
        <f t="shared" si="11"/>
        <v>0</v>
      </c>
      <c r="I39" s="1055">
        <f t="shared" si="12"/>
        <v>0</v>
      </c>
      <c r="J39" s="1099">
        <v>0</v>
      </c>
      <c r="K39" s="1055">
        <f t="shared" si="13"/>
        <v>0</v>
      </c>
      <c r="L39" s="1091">
        <f t="shared" si="14"/>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5"/>
        <v>0</v>
      </c>
    </row>
    <row r="40" spans="2:38" outlineLevel="1" x14ac:dyDescent="0.45">
      <c r="D40">
        <f>'11. Table - Expenditure Review'!E186</f>
        <v>0</v>
      </c>
      <c r="F40" s="889">
        <f t="shared" si="10"/>
        <v>0</v>
      </c>
      <c r="G40" s="889">
        <f t="shared" si="11"/>
        <v>0</v>
      </c>
      <c r="I40" s="1055">
        <f t="shared" si="12"/>
        <v>0</v>
      </c>
      <c r="J40" s="1099">
        <v>0</v>
      </c>
      <c r="K40" s="1055">
        <f t="shared" si="13"/>
        <v>0</v>
      </c>
      <c r="L40" s="1091">
        <f t="shared" si="14"/>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5"/>
        <v>0</v>
      </c>
    </row>
    <row r="41" spans="2:38" x14ac:dyDescent="0.45">
      <c r="B41" t="s">
        <v>59</v>
      </c>
      <c r="D41" t="str">
        <f>'11. Table - Expenditure Review'!E187</f>
        <v>Unallocated Expenses</v>
      </c>
      <c r="F41" s="889">
        <f t="shared" si="10"/>
        <v>0.73134656421643185</v>
      </c>
      <c r="G41" s="889">
        <f t="shared" si="11"/>
        <v>0.66428572159433585</v>
      </c>
      <c r="I41" s="1055">
        <f t="shared" si="12"/>
        <v>62713066.874635682</v>
      </c>
      <c r="J41" s="1099">
        <v>75000272.124837771</v>
      </c>
      <c r="K41" s="1055">
        <f t="shared" si="13"/>
        <v>-12287205.25020209</v>
      </c>
      <c r="L41" s="1091">
        <f t="shared" si="14"/>
        <v>-0.16382880891085391</v>
      </c>
      <c r="N41" s="566">
        <f>SUMIF('10. Inputs &amp; Calcs'!$D$713:$D$718,$E$10,'10. Inputs &amp; Calcs'!F$713:F$718)</f>
        <v>3718763.7609844562</v>
      </c>
      <c r="O41" s="566">
        <f>SUMIF('10. Inputs &amp; Calcs'!$D$713:$D$718,$E$10,'10. Inputs &amp; Calcs'!G$713:G$718)</f>
        <v>4385874.4349029129</v>
      </c>
      <c r="P41" s="566">
        <f>SUMIF('10. Inputs &amp; Calcs'!$D$713:$D$718,$E$10,'10. Inputs &amp; Calcs'!H$713:H$718)</f>
        <v>8183430.9686369598</v>
      </c>
      <c r="Q41" s="533">
        <f>SUMIF('10. Inputs &amp; Calcs'!$D$713:$D$718,$E$10,'10. Inputs &amp; Calcs'!I$713:I$718)</f>
        <v>6906815.7375295935</v>
      </c>
      <c r="R41" s="533">
        <f>SUMIF('10. Inputs &amp; Calcs'!$D$713:$D$718,$E$10,'10. Inputs &amp; Calcs'!J$713:J$718)</f>
        <v>5465017.9523202907</v>
      </c>
      <c r="S41" s="533">
        <f>SUMIF('10. Inputs &amp; Calcs'!$D$713:$D$718,$E$10,'10. Inputs &amp; Calcs'!K$713:K$718)</f>
        <v>3843729.2931319377</v>
      </c>
      <c r="T41" s="533">
        <f>SUMIF('10. Inputs &amp; Calcs'!$D$713:$D$718,$E$10,'10. Inputs &amp; Calcs'!L$713:L$718)</f>
        <v>3829849.1595734055</v>
      </c>
      <c r="U41" s="533">
        <f>SUMIF('10. Inputs &amp; Calcs'!$D$713:$D$718,$E$10,'10. Inputs &amp; Calcs'!M$713:M$718)</f>
        <v>3802814.9302117107</v>
      </c>
      <c r="V41" s="533">
        <f>SUMIF('10. Inputs &amp; Calcs'!$D$713:$D$718,$E$10,'10. Inputs &amp; Calcs'!N$713:N$718)</f>
        <v>3761221.6419125199</v>
      </c>
      <c r="W41" s="533">
        <f>SUMIF('10. Inputs &amp; Calcs'!$D$713:$D$718,$E$10,'10. Inputs &amp; Calcs'!O$713:O$718)</f>
        <v>3703549.5767365275</v>
      </c>
      <c r="X41" s="533">
        <f>SUMIF('10. Inputs &amp; Calcs'!$D$713:$D$718,$E$10,'10. Inputs &amp; Calcs'!P$713:P$718)</f>
        <v>3628155.888924391</v>
      </c>
      <c r="Y41" s="533">
        <f>SUMIF('10. Inputs &amp; Calcs'!$D$713:$D$718,$E$10,'10. Inputs &amp; Calcs'!Q$713:Q$718)</f>
        <v>3533265.6579832919</v>
      </c>
      <c r="Z41" s="533">
        <f>SUMIF('10. Inputs &amp; Calcs'!$D$713:$D$718,$E$10,'10. Inputs &amp; Calcs'!R$713:R$718)</f>
        <v>3416962.3300746754</v>
      </c>
      <c r="AA41" s="533">
        <f>SUMIF('10. Inputs &amp; Calcs'!$D$713:$D$718,$E$10,'10. Inputs &amp; Calcs'!S$713:S$718)</f>
        <v>3277177.5074807112</v>
      </c>
      <c r="AB41" s="533">
        <f>SUMIF('10. Inputs &amp; Calcs'!$D$713:$D$718,$E$10,'10. Inputs &amp; Calcs'!T$713:T$718)</f>
        <v>3111680.043352935</v>
      </c>
      <c r="AC41" s="533">
        <f>SUMIF('10. Inputs &amp; Calcs'!$D$713:$D$718,$E$10,'10. Inputs &amp; Calcs'!U$713:U$718)</f>
        <v>2918064.3962109741</v>
      </c>
      <c r="AD41" s="533">
        <f>SUMIF('10. Inputs &amp; Calcs'!$D$713:$D$718,$E$10,'10. Inputs &amp; Calcs'!V$713:V$718)</f>
        <v>2693738.1957522552</v>
      </c>
      <c r="AE41" s="533">
        <f>SUMIF('10. Inputs &amp; Calcs'!$D$713:$D$718,$E$10,'10. Inputs &amp; Calcs'!W$713:W$718)</f>
        <v>2435908.9684445388</v>
      </c>
      <c r="AF41" s="533">
        <f>SUMIF('10. Inputs &amp; Calcs'!$D$713:$D$718,$E$10,'10. Inputs &amp; Calcs'!X$713:X$718)</f>
        <v>2141569.9680908239</v>
      </c>
      <c r="AG41" s="533">
        <f>SUMIF('10. Inputs &amp; Calcs'!$D$713:$D$718,$E$10,'10. Inputs &amp; Calcs'!Y$713:Y$718)</f>
        <v>1807485.0530686553</v>
      </c>
      <c r="AH41" s="533">
        <f>SUMIF('10. Inputs &amp; Calcs'!$D$713:$D$718,$E$10,'10. Inputs &amp; Calcs'!Z$713:Z$718)</f>
        <v>1430172.5482405734</v>
      </c>
      <c r="AI41" s="533">
        <f>SUMIF('10. Inputs &amp; Calcs'!$D$713:$D$718,$E$10,'10. Inputs &amp; Calcs'!AA$713:AA$718)</f>
        <v>1005888.0255958699</v>
      </c>
      <c r="AJ41" s="533">
        <f>SUMIF('10. Inputs &amp; Calcs'!$D$713:$D$718,$E$10,'10. Inputs &amp; Calcs'!AB$713:AB$718)</f>
        <v>0</v>
      </c>
      <c r="AK41" s="533">
        <f>SUMIF('10. Inputs &amp; Calcs'!$D$713:$D$718,$E$10,'10. Inputs &amp; Calcs'!AC$713:AC$718)</f>
        <v>0</v>
      </c>
      <c r="AL41" s="533">
        <f t="shared" si="15"/>
        <v>62713066.874635682</v>
      </c>
    </row>
    <row r="42" spans="2:38" x14ac:dyDescent="0.45">
      <c r="D42" t="str">
        <f>'11. Table - Expenditure Review'!E188</f>
        <v>Overheads</v>
      </c>
      <c r="F42" s="889">
        <f t="shared" si="10"/>
        <v>0</v>
      </c>
      <c r="G42" s="889">
        <f t="shared" si="11"/>
        <v>0</v>
      </c>
      <c r="I42" s="1055">
        <f t="shared" si="12"/>
        <v>0</v>
      </c>
      <c r="J42" s="1099">
        <v>0</v>
      </c>
      <c r="K42" s="1055">
        <f t="shared" si="13"/>
        <v>0</v>
      </c>
      <c r="L42" s="1091">
        <f t="shared" si="14"/>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5"/>
        <v>0</v>
      </c>
    </row>
    <row r="43" spans="2:38" x14ac:dyDescent="0.45">
      <c r="B43" t="s">
        <v>1077</v>
      </c>
      <c r="D43" t="str">
        <f>'11. Table - Expenditure Review'!E189</f>
        <v>Staff</v>
      </c>
      <c r="F43" s="889">
        <f t="shared" si="10"/>
        <v>7.0437056759949171E-2</v>
      </c>
      <c r="G43" s="889">
        <f t="shared" si="11"/>
        <v>0.14633404284617002</v>
      </c>
      <c r="I43" s="1055">
        <f t="shared" si="12"/>
        <v>13814923.78463598</v>
      </c>
      <c r="J43" s="1099">
        <v>792055630.31912971</v>
      </c>
      <c r="K43" s="1055">
        <f t="shared" si="13"/>
        <v>-778240706.53449368</v>
      </c>
      <c r="L43" s="1091">
        <f t="shared" si="14"/>
        <v>-0.98255813953488369</v>
      </c>
      <c r="N43" s="566">
        <f>SUMIF('10. Inputs &amp; Calcs'!$D$733:$D$738,$E$10,'10. Inputs &amp; Calcs'!F$733:F$738)</f>
        <v>661237</v>
      </c>
      <c r="O43" s="566">
        <f>SUMIF('10. Inputs &amp; Calcs'!$D$733:$D$738,$E$10,'10. Inputs &amp; Calcs'!G$733:G$738)</f>
        <v>725043.85</v>
      </c>
      <c r="P43" s="566">
        <f>SUMIF('10. Inputs &amp; Calcs'!$D$733:$D$738,$E$10,'10. Inputs &amp; Calcs'!H$733:H$738)</f>
        <v>788158.2</v>
      </c>
      <c r="Q43" s="533">
        <f>SUMIF('10. Inputs &amp; Calcs'!$D$733:$D$738,$E$10,'10. Inputs &amp; Calcs'!I$733:I$738)</f>
        <v>796860.78012499982</v>
      </c>
      <c r="R43" s="533">
        <f>SUMIF('10. Inputs &amp; Calcs'!$D$733:$D$738,$E$10,'10. Inputs &amp; Calcs'!J$733:J$738)</f>
        <v>804136.46550874971</v>
      </c>
      <c r="S43" s="533">
        <f>SUMIF('10. Inputs &amp; Calcs'!$D$733:$D$738,$E$10,'10. Inputs &amp; Calcs'!K$733:K$738)</f>
        <v>809801.97242483404</v>
      </c>
      <c r="T43" s="533">
        <f>SUMIF('10. Inputs &amp; Calcs'!$D$733:$D$738,$E$10,'10. Inputs &amp; Calcs'!L$733:L$738)</f>
        <v>813658.17229352368</v>
      </c>
      <c r="U43" s="533">
        <f>SUMIF('10. Inputs &amp; Calcs'!$D$733:$D$738,$E$10,'10. Inputs &amp; Calcs'!M$733:M$738)</f>
        <v>815488.9031811842</v>
      </c>
      <c r="V43" s="533">
        <f>SUMIF('10. Inputs &amp; Calcs'!$D$733:$D$738,$E$10,'10. Inputs &amp; Calcs'!N$733:N$738)</f>
        <v>815059.69849529932</v>
      </c>
      <c r="W43" s="533">
        <f>SUMIF('10. Inputs &amp; Calcs'!$D$733:$D$738,$E$10,'10. Inputs &amp; Calcs'!O$733:O$738)</f>
        <v>812116.42736184387</v>
      </c>
      <c r="X43" s="533">
        <f>SUMIF('10. Inputs &amp; Calcs'!$D$733:$D$738,$E$10,'10. Inputs &amp; Calcs'!P$733:P$738)</f>
        <v>806383.8408157602</v>
      </c>
      <c r="Y43" s="533">
        <f>SUMIF('10. Inputs &amp; Calcs'!$D$733:$D$738,$E$10,'10. Inputs &amp; Calcs'!Q$733:Q$738)</f>
        <v>797564.01755683776</v>
      </c>
      <c r="Z43" s="533">
        <f>SUMIF('10. Inputs &amp; Calcs'!$D$733:$D$738,$E$10,'10. Inputs &amp; Calcs'!R$733:R$738)</f>
        <v>785334.70262096624</v>
      </c>
      <c r="AA43" s="533">
        <f>SUMIF('10. Inputs &amp; Calcs'!$D$733:$D$738,$E$10,'10. Inputs &amp; Calcs'!S$733:S$738)</f>
        <v>769347.53188903932</v>
      </c>
      <c r="AB43" s="533">
        <f>SUMIF('10. Inputs &amp; Calcs'!$D$733:$D$738,$E$10,'10. Inputs &amp; Calcs'!T$733:T$738)</f>
        <v>749226.13490117225</v>
      </c>
      <c r="AC43" s="533">
        <f>SUMIF('10. Inputs &amp; Calcs'!$D$733:$D$738,$E$10,'10. Inputs &amp; Calcs'!U$733:U$738)</f>
        <v>724564.10796067526</v>
      </c>
      <c r="AD43" s="533">
        <f>SUMIF('10. Inputs &amp; Calcs'!$D$733:$D$738,$E$10,'10. Inputs &amp; Calcs'!V$733:V$738)</f>
        <v>694922.84899864765</v>
      </c>
      <c r="AE43" s="533">
        <f>SUMIF('10. Inputs &amp; Calcs'!$D$733:$D$738,$E$10,'10. Inputs &amp; Calcs'!W$733:W$738)</f>
        <v>659829.24512421584</v>
      </c>
      <c r="AF43" s="533">
        <f>SUMIF('10. Inputs &amp; Calcs'!$D$733:$D$738,$E$10,'10. Inputs &amp; Calcs'!X$733:X$738)</f>
        <v>618773.2032053757</v>
      </c>
      <c r="AG43" s="533">
        <f>SUMIF('10. Inputs &amp; Calcs'!$D$733:$D$738,$E$10,'10. Inputs &amp; Calcs'!Y$733:Y$738)</f>
        <v>571205.01320896239</v>
      </c>
      <c r="AH43" s="533">
        <f>SUMIF('10. Inputs &amp; Calcs'!$D$733:$D$738,$E$10,'10. Inputs &amp; Calcs'!Z$733:Z$738)</f>
        <v>516532.53337324737</v>
      </c>
      <c r="AI43" s="533">
        <f>SUMIF('10. Inputs &amp; Calcs'!$D$733:$D$738,$E$10,'10. Inputs &amp; Calcs'!AA$733:AA$738)</f>
        <v>454118.18559064664</v>
      </c>
      <c r="AJ43" s="533">
        <f>SUMIF('10. Inputs &amp; Calcs'!$D$733:$D$738,$E$10,'10. Inputs &amp; Calcs'!AB$733:AB$738)</f>
        <v>0</v>
      </c>
      <c r="AK43" s="533">
        <f>SUMIF('10. Inputs &amp; Calcs'!$D$733:$D$738,$E$10,'10. Inputs &amp; Calcs'!AC$733:AC$738)</f>
        <v>0</v>
      </c>
      <c r="AL43" s="533">
        <f t="shared" si="15"/>
        <v>13814923.78463598</v>
      </c>
    </row>
    <row r="44" spans="2:38" x14ac:dyDescent="0.45">
      <c r="D44" t="str">
        <f>'11. Table - Expenditure Review'!E190</f>
        <v>Office</v>
      </c>
      <c r="F44" s="889">
        <f t="shared" si="10"/>
        <v>0</v>
      </c>
      <c r="G44" s="889">
        <f t="shared" si="11"/>
        <v>0</v>
      </c>
      <c r="I44" s="1055">
        <f t="shared" si="12"/>
        <v>0</v>
      </c>
      <c r="J44" s="1099">
        <v>0</v>
      </c>
      <c r="K44" s="1055">
        <f t="shared" si="13"/>
        <v>0</v>
      </c>
      <c r="L44" s="1091">
        <f t="shared" si="14"/>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5"/>
        <v>0</v>
      </c>
    </row>
    <row r="45" spans="2:38" x14ac:dyDescent="0.45">
      <c r="D45">
        <f>'11. Table - Expenditure Review'!E191</f>
        <v>0</v>
      </c>
      <c r="F45" s="889">
        <f t="shared" si="10"/>
        <v>0</v>
      </c>
      <c r="G45" s="889">
        <f t="shared" si="11"/>
        <v>0</v>
      </c>
      <c r="I45" s="1055">
        <f t="shared" si="12"/>
        <v>0</v>
      </c>
      <c r="J45" s="1099">
        <v>0</v>
      </c>
      <c r="K45" s="1055">
        <f t="shared" si="13"/>
        <v>0</v>
      </c>
      <c r="L45" s="1091">
        <f t="shared" si="14"/>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5"/>
        <v>0</v>
      </c>
    </row>
    <row r="46" spans="2:38" x14ac:dyDescent="0.45">
      <c r="D46" s="794" t="str">
        <f>D133</f>
        <v>Total Expenditure for Rental Operations</v>
      </c>
      <c r="F46" s="886">
        <f t="shared" si="10"/>
        <v>1</v>
      </c>
      <c r="G46" s="886">
        <f t="shared" si="11"/>
        <v>0.99066068732717516</v>
      </c>
      <c r="I46" s="1056">
        <f t="shared" si="12"/>
        <v>93525071.990575552</v>
      </c>
      <c r="J46" s="1097">
        <v>1943144092.7927477</v>
      </c>
      <c r="K46" s="1056">
        <f t="shared" si="13"/>
        <v>-1849619020.8021722</v>
      </c>
      <c r="L46" s="1088">
        <f t="shared" si="14"/>
        <v>-0.95186920396821506</v>
      </c>
      <c r="N46" s="793">
        <f>SUMIF('10. Inputs &amp; Calcs'!$D$742:$D$747,$E$10,'10. Inputs &amp; Calcs'!F$742:F$747)</f>
        <v>10341549.390000001</v>
      </c>
      <c r="O46" s="793">
        <f>SUMIF('10. Inputs &amp; Calcs'!$D$742:$D$747,$E$10,'10. Inputs &amp; Calcs'!G$742:G$747)</f>
        <v>11126424.74</v>
      </c>
      <c r="P46" s="793">
        <f>SUMIF('10. Inputs &amp; Calcs'!$D$742:$D$747,$E$10,'10. Inputs &amp; Calcs'!H$742:H$747)</f>
        <v>11189539.09</v>
      </c>
      <c r="Q46" s="793">
        <f>SUMIF('10. Inputs &amp; Calcs'!$D$742:$D$747,$E$10,'10. Inputs &amp; Calcs'!I$742:I$747)</f>
        <v>9575626.2512849998</v>
      </c>
      <c r="R46" s="793">
        <f>SUMIF('10. Inputs &amp; Calcs'!$D$742:$D$747,$E$10,'10. Inputs &amp; Calcs'!J$742:J$747)</f>
        <v>7750334.6445640996</v>
      </c>
      <c r="S46" s="793">
        <f>SUMIF('10. Inputs &amp; Calcs'!$D$742:$D$747,$E$10,'10. Inputs &amp; Calcs'!K$742:K$747)</f>
        <v>5695294.6916937632</v>
      </c>
      <c r="T46" s="793">
        <f>SUMIF('10. Inputs &amp; Calcs'!$D$742:$D$747,$E$10,'10. Inputs &amp; Calcs'!L$742:L$747)</f>
        <v>5681508.8345206473</v>
      </c>
      <c r="U46" s="793">
        <f>SUMIF('10. Inputs &amp; Calcs'!$D$742:$D$747,$E$10,'10. Inputs &amp; Calcs'!M$742:M$747)</f>
        <v>5648978.2666161163</v>
      </c>
      <c r="V46" s="793">
        <f>SUMIF('10. Inputs &amp; Calcs'!$D$742:$D$747,$E$10,'10. Inputs &amp; Calcs'!N$742:N$747)</f>
        <v>5595682.7720176624</v>
      </c>
      <c r="W46" s="793">
        <f>SUMIF('10. Inputs &amp; Calcs'!$D$742:$D$747,$E$10,'10. Inputs &amp; Calcs'!O$742:O$747)</f>
        <v>5519436.6137568634</v>
      </c>
      <c r="X46" s="793">
        <f>SUMIF('10. Inputs &amp; Calcs'!$D$742:$D$747,$E$10,'10. Inputs &amp; Calcs'!P$742:P$747)</f>
        <v>5417876.4377020234</v>
      </c>
      <c r="Y46" s="793">
        <f>SUMIF('10. Inputs &amp; Calcs'!$D$742:$D$747,$E$10,'10. Inputs &amp; Calcs'!Q$742:Q$747)</f>
        <v>5288448.3465245375</v>
      </c>
      <c r="Z46" s="793">
        <f>SUMIF('10. Inputs &amp; Calcs'!$D$742:$D$747,$E$10,'10. Inputs &amp; Calcs'!R$742:R$747)</f>
        <v>5128394.0890934793</v>
      </c>
      <c r="AA46" s="793">
        <f>SUMIF('10. Inputs &amp; Calcs'!$D$742:$D$747,$E$10,'10. Inputs &amp; Calcs'!S$742:S$747)</f>
        <v>4934736.3070967672</v>
      </c>
      <c r="AB46" s="793">
        <f>SUMIF('10. Inputs &amp; Calcs'!$D$742:$D$747,$E$10,'10. Inputs &amp; Calcs'!T$742:T$747)</f>
        <v>4704262.7769609103</v>
      </c>
      <c r="AC46" s="793">
        <f>SUMIF('10. Inputs &amp; Calcs'!$D$742:$D$747,$E$10,'10. Inputs &amp; Calcs'!U$742:U$747)</f>
        <v>4433509.5811811397</v>
      </c>
      <c r="AD46" s="793">
        <f>SUMIF('10. Inputs &amp; Calcs'!$D$742:$D$747,$E$10,'10. Inputs &amp; Calcs'!V$742:V$747)</f>
        <v>4118743.1389652886</v>
      </c>
      <c r="AE46" s="793">
        <f>SUMIF('10. Inputs &amp; Calcs'!$D$742:$D$747,$E$10,'10. Inputs &amp; Calcs'!W$742:W$747)</f>
        <v>3755941.0216226205</v>
      </c>
      <c r="AF46" s="793">
        <f>SUMIF('10. Inputs &amp; Calcs'!$D$742:$D$747,$E$10,'10. Inputs &amp; Calcs'!X$742:X$747)</f>
        <v>3340771.4733768906</v>
      </c>
      <c r="AG46" s="793">
        <f>SUMIF('10. Inputs &amp; Calcs'!$D$742:$D$747,$E$10,'10. Inputs &amp; Calcs'!Y$742:Y$747)</f>
        <v>2868571.5532337208</v>
      </c>
      <c r="AH46" s="793">
        <f>SUMIF('10. Inputs &amp; Calcs'!$D$742:$D$747,$E$10,'10. Inputs &amp; Calcs'!Z$742:Z$747)</f>
        <v>2334323.8081678371</v>
      </c>
      <c r="AI46" s="793">
        <f>SUMIF('10. Inputs &amp; Calcs'!$D$742:$D$747,$E$10,'10. Inputs &amp; Calcs'!AA$742:AA$747)</f>
        <v>1732631.3821961747</v>
      </c>
      <c r="AJ46" s="793">
        <f>SUMIF('10. Inputs &amp; Calcs'!$D$742:$D$747,$E$10,'10. Inputs &amp; Calcs'!AB$742:AB$747)</f>
        <v>0</v>
      </c>
      <c r="AK46" s="793">
        <f>SUMIF('10. Inputs &amp; Calcs'!$D$742:$D$747,$E$10,'10. Inputs &amp; Calcs'!AC$742:AC$747)</f>
        <v>0</v>
      </c>
      <c r="AL46" s="793">
        <f t="shared" si="15"/>
        <v>93525071.990575552</v>
      </c>
    </row>
    <row r="47" spans="2:38" x14ac:dyDescent="0.45">
      <c r="D47" t="str">
        <f>'11. Table - Expenditure Review'!E193</f>
        <v>Total Expenditure</v>
      </c>
      <c r="F47" s="884">
        <f t="shared" si="10"/>
        <v>1</v>
      </c>
      <c r="G47" s="884">
        <f t="shared" si="11"/>
        <v>1</v>
      </c>
      <c r="I47" s="1089">
        <f t="shared" si="12"/>
        <v>94406766.299476668</v>
      </c>
      <c r="J47" s="1098">
        <v>2000795573.3586197</v>
      </c>
      <c r="K47" s="1089">
        <f t="shared" si="13"/>
        <v>-1906388807.0591431</v>
      </c>
      <c r="L47" s="1090">
        <f t="shared" si="14"/>
        <v>-0.95281538626107543</v>
      </c>
      <c r="N47" s="567">
        <f>N46+N36</f>
        <v>10341549.390000001</v>
      </c>
      <c r="O47" s="567">
        <f t="shared" ref="O47:AL47" si="16">O46+O36</f>
        <v>11126424.74</v>
      </c>
      <c r="P47" s="567">
        <f t="shared" si="16"/>
        <v>11189539.09</v>
      </c>
      <c r="Q47" s="535">
        <f t="shared" si="16"/>
        <v>9701626.2512849998</v>
      </c>
      <c r="R47" s="535">
        <f>R46+R36</f>
        <v>7883264.6445640996</v>
      </c>
      <c r="S47" s="535">
        <f t="shared" si="16"/>
        <v>5835535.8416937636</v>
      </c>
      <c r="T47" s="535">
        <f t="shared" si="16"/>
        <v>5697948.2137706475</v>
      </c>
      <c r="U47" s="535">
        <f t="shared" si="16"/>
        <v>5666321.8117248667</v>
      </c>
      <c r="V47" s="535">
        <f t="shared" si="16"/>
        <v>5613980.2121073939</v>
      </c>
      <c r="W47" s="535">
        <f t="shared" si="16"/>
        <v>5538740.4130515298</v>
      </c>
      <c r="X47" s="535">
        <f t="shared" si="16"/>
        <v>5438241.9459578963</v>
      </c>
      <c r="Y47" s="535">
        <f t="shared" si="16"/>
        <v>5309933.9577344833</v>
      </c>
      <c r="Z47" s="535">
        <f t="shared" ref="Z47:AJ47" si="17">Z46+Z36</f>
        <v>5151061.4089199724</v>
      </c>
      <c r="AA47" s="535">
        <f t="shared" si="17"/>
        <v>4958650.3295137174</v>
      </c>
      <c r="AB47" s="535">
        <f t="shared" si="17"/>
        <v>4729492.0706107933</v>
      </c>
      <c r="AC47" s="535">
        <f t="shared" si="17"/>
        <v>4460126.4859817661</v>
      </c>
      <c r="AD47" s="535">
        <f t="shared" si="17"/>
        <v>4146823.9735299493</v>
      </c>
      <c r="AE47" s="535">
        <f t="shared" si="17"/>
        <v>3785566.3020883375</v>
      </c>
      <c r="AF47" s="535">
        <f t="shared" si="17"/>
        <v>3372026.1442682222</v>
      </c>
      <c r="AG47" s="535">
        <f t="shared" si="17"/>
        <v>2901545.2310240753</v>
      </c>
      <c r="AH47" s="535">
        <f t="shared" si="17"/>
        <v>2369111.0382366609</v>
      </c>
      <c r="AI47" s="535">
        <f t="shared" si="17"/>
        <v>1769331.9099187839</v>
      </c>
      <c r="AJ47" s="535">
        <f t="shared" si="17"/>
        <v>77438.113494705685</v>
      </c>
      <c r="AK47" s="535">
        <f t="shared" si="16"/>
        <v>0</v>
      </c>
      <c r="AL47" s="535">
        <f t="shared" si="16"/>
        <v>94406766.299476668</v>
      </c>
    </row>
    <row r="48" spans="2:38" ht="14.65" thickBot="1" x14ac:dyDescent="0.5">
      <c r="D48" t="str">
        <f>'11. Table - Expenditure Review'!E194</f>
        <v>Net Surplus / (Deficit)</v>
      </c>
      <c r="I48" s="1092">
        <f t="shared" si="12"/>
        <v>-90893125.858811185</v>
      </c>
      <c r="J48" s="1100">
        <v>-1922286167.5833244</v>
      </c>
      <c r="K48" s="1092">
        <f t="shared" si="13"/>
        <v>1831393041.7245133</v>
      </c>
      <c r="L48" s="1093">
        <f t="shared" si="14"/>
        <v>-0.95271613176456404</v>
      </c>
      <c r="N48" s="568">
        <f>N28-N47</f>
        <v>-9354796.4700000007</v>
      </c>
      <c r="O48" s="568">
        <f>O28-O47</f>
        <v>-10229237.26</v>
      </c>
      <c r="P48" s="568">
        <f>P28-P47</f>
        <v>-10415188.16</v>
      </c>
      <c r="Q48" s="554">
        <f t="shared" ref="Q48:AL48" si="18">Q28-Q47</f>
        <v>-9050671.484040793</v>
      </c>
      <c r="R48" s="554">
        <f t="shared" si="18"/>
        <v>-7276268.3573198924</v>
      </c>
      <c r="S48" s="554">
        <f t="shared" si="18"/>
        <v>-5272498.0344495559</v>
      </c>
      <c r="T48" s="554">
        <f t="shared" si="18"/>
        <v>-5562124.3240768462</v>
      </c>
      <c r="U48" s="554">
        <f t="shared" si="18"/>
        <v>-5535382.1975866212</v>
      </c>
      <c r="V48" s="554">
        <f t="shared" si="18"/>
        <v>-5487924.873524704</v>
      </c>
      <c r="W48" s="554">
        <f t="shared" si="18"/>
        <v>-5417569.3500243956</v>
      </c>
      <c r="X48" s="554">
        <f t="shared" si="18"/>
        <v>-5321955.1584863178</v>
      </c>
      <c r="Y48" s="554">
        <f t="shared" si="18"/>
        <v>-5198531.4458184605</v>
      </c>
      <c r="Z48" s="554">
        <f t="shared" ref="Z48:AJ48" si="19">Z28-Z47</f>
        <v>-5044543.1725595053</v>
      </c>
      <c r="AA48" s="554">
        <f t="shared" si="19"/>
        <v>-4857016.3687088052</v>
      </c>
      <c r="AB48" s="554">
        <f t="shared" si="19"/>
        <v>-4632742.3853614368</v>
      </c>
      <c r="AC48" s="554">
        <f t="shared" si="19"/>
        <v>-4368261.0762879653</v>
      </c>
      <c r="AD48" s="554">
        <f t="shared" si="19"/>
        <v>-4059842.8393917042</v>
      </c>
      <c r="AE48" s="554">
        <f t="shared" si="19"/>
        <v>-3703469.4435056476</v>
      </c>
      <c r="AF48" s="554">
        <f t="shared" si="19"/>
        <v>-3294813.561241088</v>
      </c>
      <c r="AG48" s="554">
        <f t="shared" si="19"/>
        <v>-2829216.9235524968</v>
      </c>
      <c r="AH48" s="554">
        <f t="shared" si="19"/>
        <v>-2301667.0063206377</v>
      </c>
      <c r="AI48" s="554">
        <f t="shared" si="19"/>
        <v>-1706772.1535583164</v>
      </c>
      <c r="AJ48" s="554">
        <f t="shared" si="19"/>
        <v>28144.297004007109</v>
      </c>
      <c r="AK48" s="554">
        <f t="shared" si="18"/>
        <v>0</v>
      </c>
      <c r="AL48" s="768">
        <f t="shared" si="18"/>
        <v>-90893125.858811185</v>
      </c>
    </row>
    <row r="49" spans="4:40" ht="14.65" thickTop="1" x14ac:dyDescent="0.45">
      <c r="I49" s="1060"/>
      <c r="J49" s="794"/>
      <c r="K49" s="1060"/>
      <c r="L49" s="1060"/>
    </row>
    <row r="50" spans="4:40" x14ac:dyDescent="0.45">
      <c r="D50" s="451" t="s">
        <v>1327</v>
      </c>
      <c r="I50" s="1060"/>
      <c r="J50" s="794"/>
      <c r="K50" s="1060"/>
      <c r="L50" s="1060"/>
    </row>
    <row r="51" spans="4:40" x14ac:dyDescent="0.45">
      <c r="D51" t="s">
        <v>1326</v>
      </c>
      <c r="I51" s="1054">
        <f>AL51</f>
        <v>-90921270.155815199</v>
      </c>
      <c r="J51" s="1096">
        <v>-1922286167.5833244</v>
      </c>
      <c r="K51" s="1054">
        <f>I51-J51</f>
        <v>1831364897.4275093</v>
      </c>
      <c r="L51" s="1087">
        <f>IF(J51&lt;&gt;0,K51/J51,0)</f>
        <v>-0.95270149070982479</v>
      </c>
      <c r="N51" s="566">
        <f>IF(N48&gt;0,0,N48)</f>
        <v>-9354796.4700000007</v>
      </c>
      <c r="O51" s="566">
        <f t="shared" ref="O51:AK51" si="20">IF(O48&gt;0,0,O48)</f>
        <v>-10229237.26</v>
      </c>
      <c r="P51" s="566">
        <f t="shared" si="20"/>
        <v>-10415188.16</v>
      </c>
      <c r="Q51" s="566">
        <f t="shared" si="20"/>
        <v>-9050671.484040793</v>
      </c>
      <c r="R51" s="566">
        <f t="shared" si="20"/>
        <v>-7276268.3573198924</v>
      </c>
      <c r="S51" s="566">
        <f t="shared" si="20"/>
        <v>-5272498.0344495559</v>
      </c>
      <c r="T51" s="566">
        <f t="shared" si="20"/>
        <v>-5562124.3240768462</v>
      </c>
      <c r="U51" s="566">
        <f t="shared" si="20"/>
        <v>-5535382.1975866212</v>
      </c>
      <c r="V51" s="566">
        <f t="shared" si="20"/>
        <v>-5487924.873524704</v>
      </c>
      <c r="W51" s="566">
        <f t="shared" si="20"/>
        <v>-5417569.3500243956</v>
      </c>
      <c r="X51" s="566">
        <f t="shared" si="20"/>
        <v>-5321955.1584863178</v>
      </c>
      <c r="Y51" s="566">
        <f t="shared" si="20"/>
        <v>-5198531.4458184605</v>
      </c>
      <c r="Z51" s="566">
        <f t="shared" ref="Z51:AJ51" si="21">IF(Z48&gt;0,0,Z48)</f>
        <v>-5044543.1725595053</v>
      </c>
      <c r="AA51" s="566">
        <f t="shared" si="21"/>
        <v>-4857016.3687088052</v>
      </c>
      <c r="AB51" s="566">
        <f t="shared" si="21"/>
        <v>-4632742.3853614368</v>
      </c>
      <c r="AC51" s="566">
        <f t="shared" si="21"/>
        <v>-4368261.0762879653</v>
      </c>
      <c r="AD51" s="566">
        <f t="shared" si="21"/>
        <v>-4059842.8393917042</v>
      </c>
      <c r="AE51" s="566">
        <f t="shared" si="21"/>
        <v>-3703469.4435056476</v>
      </c>
      <c r="AF51" s="566">
        <f t="shared" si="21"/>
        <v>-3294813.561241088</v>
      </c>
      <c r="AG51" s="566">
        <f t="shared" si="21"/>
        <v>-2829216.9235524968</v>
      </c>
      <c r="AH51" s="566">
        <f t="shared" si="21"/>
        <v>-2301667.0063206377</v>
      </c>
      <c r="AI51" s="566">
        <f t="shared" si="21"/>
        <v>-1706772.1535583164</v>
      </c>
      <c r="AJ51" s="566">
        <f t="shared" si="21"/>
        <v>0</v>
      </c>
      <c r="AK51" s="566">
        <f t="shared" si="20"/>
        <v>0</v>
      </c>
      <c r="AL51" s="566">
        <f>SUM(Q51:AK51)</f>
        <v>-90921270.155815199</v>
      </c>
    </row>
    <row r="52" spans="4:40" x14ac:dyDescent="0.45">
      <c r="D52" t="s">
        <v>1562</v>
      </c>
      <c r="I52" s="1055">
        <f>AL52</f>
        <v>0</v>
      </c>
      <c r="J52" s="1099">
        <v>0</v>
      </c>
      <c r="K52" s="1055">
        <f>I52-J52</f>
        <v>0</v>
      </c>
      <c r="L52" s="1091">
        <f>IF(J52&lt;&gt;0,K52/J52,0)</f>
        <v>0</v>
      </c>
      <c r="N52" s="533">
        <f t="shared" ref="N52:AK53" si="22">-N66</f>
        <v>0</v>
      </c>
      <c r="O52" s="533">
        <f t="shared" si="22"/>
        <v>0</v>
      </c>
      <c r="P52" s="533">
        <f t="shared" si="22"/>
        <v>0</v>
      </c>
      <c r="Q52" s="533">
        <f t="shared" si="22"/>
        <v>0</v>
      </c>
      <c r="R52" s="533">
        <f t="shared" si="22"/>
        <v>0</v>
      </c>
      <c r="S52" s="533">
        <f t="shared" si="22"/>
        <v>0</v>
      </c>
      <c r="T52" s="533">
        <f t="shared" si="22"/>
        <v>0</v>
      </c>
      <c r="U52" s="533">
        <f t="shared" si="22"/>
        <v>0</v>
      </c>
      <c r="V52" s="533">
        <f t="shared" si="22"/>
        <v>0</v>
      </c>
      <c r="W52" s="533">
        <f t="shared" si="22"/>
        <v>0</v>
      </c>
      <c r="X52" s="533">
        <f t="shared" si="22"/>
        <v>0</v>
      </c>
      <c r="Y52" s="533">
        <f t="shared" si="22"/>
        <v>0</v>
      </c>
      <c r="Z52" s="533">
        <f t="shared" si="22"/>
        <v>0</v>
      </c>
      <c r="AA52" s="533">
        <f t="shared" si="22"/>
        <v>0</v>
      </c>
      <c r="AB52" s="533">
        <f t="shared" si="22"/>
        <v>0</v>
      </c>
      <c r="AC52" s="533">
        <f t="shared" si="22"/>
        <v>0</v>
      </c>
      <c r="AD52" s="533">
        <f t="shared" si="22"/>
        <v>0</v>
      </c>
      <c r="AE52" s="533">
        <f t="shared" si="22"/>
        <v>0</v>
      </c>
      <c r="AF52" s="533">
        <f t="shared" si="22"/>
        <v>0</v>
      </c>
      <c r="AG52" s="533">
        <f t="shared" si="22"/>
        <v>0</v>
      </c>
      <c r="AH52" s="533">
        <f t="shared" si="22"/>
        <v>0</v>
      </c>
      <c r="AI52" s="533">
        <f t="shared" si="22"/>
        <v>0</v>
      </c>
      <c r="AJ52" s="533">
        <f t="shared" si="22"/>
        <v>0</v>
      </c>
      <c r="AK52" s="533">
        <f t="shared" si="22"/>
        <v>0</v>
      </c>
      <c r="AL52" s="533">
        <f>SUM(Q52:AK52)</f>
        <v>0</v>
      </c>
    </row>
    <row r="53" spans="4:40" x14ac:dyDescent="0.45">
      <c r="D53" t="s">
        <v>1537</v>
      </c>
      <c r="I53" s="1056">
        <f>AL53</f>
        <v>-16764882.683887275</v>
      </c>
      <c r="J53" s="1097">
        <v>-833828355.43116808</v>
      </c>
      <c r="K53" s="1056">
        <f>I53-J53</f>
        <v>817063472.74728084</v>
      </c>
      <c r="L53" s="1088">
        <f>IF(J53&lt;&gt;0,K53/J53,0)</f>
        <v>-0.9798940842264614</v>
      </c>
      <c r="N53" s="533">
        <f t="shared" si="22"/>
        <v>-5576064</v>
      </c>
      <c r="O53" s="533">
        <f t="shared" si="22"/>
        <v>-1243913</v>
      </c>
      <c r="P53" s="533">
        <f t="shared" si="22"/>
        <v>-313420</v>
      </c>
      <c r="Q53" s="533">
        <f t="shared" si="22"/>
        <v>-210409.8845669291</v>
      </c>
      <c r="R53" s="533">
        <f t="shared" si="22"/>
        <v>-210409.8845669291</v>
      </c>
      <c r="S53" s="533">
        <f t="shared" si="22"/>
        <v>-210409.8845669291</v>
      </c>
      <c r="T53" s="533">
        <f t="shared" si="22"/>
        <v>-23378.876062992123</v>
      </c>
      <c r="U53" s="533">
        <f t="shared" si="22"/>
        <v>-23378.876062992123</v>
      </c>
      <c r="V53" s="533">
        <f t="shared" si="22"/>
        <v>-23378.876062992123</v>
      </c>
      <c r="W53" s="533">
        <f t="shared" si="22"/>
        <v>-23378.876062992123</v>
      </c>
      <c r="X53" s="533">
        <f t="shared" si="22"/>
        <v>-23378.876062992123</v>
      </c>
      <c r="Y53" s="533">
        <f t="shared" si="22"/>
        <v>-23378.876062992123</v>
      </c>
      <c r="Z53" s="533">
        <f t="shared" si="22"/>
        <v>-23378.876062992123</v>
      </c>
      <c r="AA53" s="533">
        <f t="shared" si="22"/>
        <v>-23378.876062992123</v>
      </c>
      <c r="AB53" s="533">
        <f t="shared" si="22"/>
        <v>-23378.876062992123</v>
      </c>
      <c r="AC53" s="533">
        <f t="shared" si="22"/>
        <v>-23378.876062992123</v>
      </c>
      <c r="AD53" s="533">
        <f t="shared" si="22"/>
        <v>-23378.876062992123</v>
      </c>
      <c r="AE53" s="533">
        <f t="shared" si="22"/>
        <v>-23378.876062992123</v>
      </c>
      <c r="AF53" s="533">
        <f t="shared" si="22"/>
        <v>-23378.876062992123</v>
      </c>
      <c r="AG53" s="533">
        <f t="shared" si="22"/>
        <v>-23378.876062992123</v>
      </c>
      <c r="AH53" s="533">
        <f t="shared" si="22"/>
        <v>-23378.876062992123</v>
      </c>
      <c r="AI53" s="533">
        <f t="shared" si="22"/>
        <v>-23378.876062992123</v>
      </c>
      <c r="AJ53" s="533">
        <f t="shared" si="22"/>
        <v>-15759591.013178613</v>
      </c>
      <c r="AK53" s="533">
        <f t="shared" si="22"/>
        <v>0</v>
      </c>
      <c r="AL53" s="533">
        <f>SUM(Q53:AK53)</f>
        <v>-16764882.683887275</v>
      </c>
      <c r="AN53" s="1097">
        <f>SUMIF('10. Inputs &amp; Calcs'!$D$288:$D$293,$E$10,'10. Inputs &amp; Calcs'!$AD$288:$AD$293)</f>
        <v>-16764882.683887275</v>
      </c>
    </row>
    <row r="54" spans="4:40" ht="14.65" thickBot="1" x14ac:dyDescent="0.5">
      <c r="D54" t="s">
        <v>1331</v>
      </c>
      <c r="I54" s="1092">
        <f>AL54</f>
        <v>-107686152.83970247</v>
      </c>
      <c r="J54" s="1100">
        <f>SUM(J51:J53)</f>
        <v>-2756114523.0144925</v>
      </c>
      <c r="K54" s="1092">
        <f>I54-J54</f>
        <v>2648428370.1747899</v>
      </c>
      <c r="L54" s="1093">
        <f>IF(J54&lt;&gt;0,K54/J54,0)</f>
        <v>-0.96092827350224863</v>
      </c>
      <c r="N54" s="535">
        <f>SUM(N51:N53)</f>
        <v>-14930860.470000001</v>
      </c>
      <c r="O54" s="535">
        <f t="shared" ref="O54:AL54" si="23">SUM(O51:O53)</f>
        <v>-11473150.26</v>
      </c>
      <c r="P54" s="535">
        <f t="shared" si="23"/>
        <v>-10728608.16</v>
      </c>
      <c r="Q54" s="535">
        <f t="shared" si="23"/>
        <v>-9261081.3686077222</v>
      </c>
      <c r="R54" s="535">
        <f t="shared" si="23"/>
        <v>-7486678.2418868216</v>
      </c>
      <c r="S54" s="535">
        <f t="shared" si="23"/>
        <v>-5482907.9190164851</v>
      </c>
      <c r="T54" s="535">
        <f t="shared" si="23"/>
        <v>-5585503.2001398383</v>
      </c>
      <c r="U54" s="535">
        <f t="shared" si="23"/>
        <v>-5558761.0736496132</v>
      </c>
      <c r="V54" s="535">
        <f t="shared" si="23"/>
        <v>-5511303.749587696</v>
      </c>
      <c r="W54" s="535">
        <f t="shared" si="23"/>
        <v>-5440948.2260873877</v>
      </c>
      <c r="X54" s="535">
        <f t="shared" si="23"/>
        <v>-5345334.0345493099</v>
      </c>
      <c r="Y54" s="535">
        <f t="shared" si="23"/>
        <v>-5221910.3218814526</v>
      </c>
      <c r="Z54" s="535">
        <f t="shared" ref="Z54:AJ54" si="24">SUM(Z51:Z53)</f>
        <v>-5067922.0486224974</v>
      </c>
      <c r="AA54" s="535">
        <f t="shared" si="24"/>
        <v>-4880395.2447717972</v>
      </c>
      <c r="AB54" s="535">
        <f t="shared" si="24"/>
        <v>-4656121.2614244288</v>
      </c>
      <c r="AC54" s="535">
        <f t="shared" si="24"/>
        <v>-4391639.9523509573</v>
      </c>
      <c r="AD54" s="535">
        <f t="shared" si="24"/>
        <v>-4083221.7154546962</v>
      </c>
      <c r="AE54" s="535">
        <f t="shared" si="24"/>
        <v>-3726848.3195686396</v>
      </c>
      <c r="AF54" s="535">
        <f t="shared" si="24"/>
        <v>-3318192.43730408</v>
      </c>
      <c r="AG54" s="535">
        <f t="shared" si="24"/>
        <v>-2852595.7996154889</v>
      </c>
      <c r="AH54" s="535">
        <f t="shared" si="24"/>
        <v>-2325045.8823836297</v>
      </c>
      <c r="AI54" s="535">
        <f t="shared" si="24"/>
        <v>-1730151.0296213084</v>
      </c>
      <c r="AJ54" s="535">
        <f t="shared" si="24"/>
        <v>-15759591.013178613</v>
      </c>
      <c r="AK54" s="535">
        <f t="shared" si="23"/>
        <v>0</v>
      </c>
      <c r="AL54" s="535">
        <f t="shared" si="23"/>
        <v>-107686152.83970247</v>
      </c>
    </row>
    <row r="55" spans="4:40" ht="14.65" thickTop="1" x14ac:dyDescent="0.45">
      <c r="I55" s="1060"/>
      <c r="J55" s="794"/>
      <c r="K55" s="1060"/>
      <c r="L55" s="1060"/>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40" x14ac:dyDescent="0.45">
      <c r="D56" t="s">
        <v>1583</v>
      </c>
      <c r="I56" s="1060"/>
      <c r="J56" s="794"/>
      <c r="K56" s="1060"/>
      <c r="L56" s="1060"/>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40" x14ac:dyDescent="0.45">
      <c r="D57" t="s">
        <v>1038</v>
      </c>
      <c r="I57" s="1094">
        <f>AL57</f>
        <v>-27275498.779662121</v>
      </c>
      <c r="J57" s="1096">
        <v>-626302296.32200313</v>
      </c>
      <c r="K57" s="1054">
        <f>I57-J57</f>
        <v>599026797.54234099</v>
      </c>
      <c r="L57" s="1060"/>
      <c r="N57" s="552"/>
      <c r="O57" s="552"/>
      <c r="P57" s="552"/>
      <c r="Q57" s="552"/>
      <c r="R57" s="552"/>
      <c r="S57" s="552">
        <f>S51</f>
        <v>-5272498.0344495559</v>
      </c>
      <c r="T57" s="552">
        <f>T51</f>
        <v>-5562124.3240768462</v>
      </c>
      <c r="U57" s="552">
        <f>U51</f>
        <v>-5535382.1975866212</v>
      </c>
      <c r="V57" s="552">
        <f>V51</f>
        <v>-5487924.873524704</v>
      </c>
      <c r="W57" s="552">
        <f>W51</f>
        <v>-5417569.3500243956</v>
      </c>
      <c r="X57" s="552"/>
      <c r="Y57" s="552"/>
      <c r="Z57" s="552"/>
      <c r="AA57" s="552"/>
      <c r="AB57" s="552"/>
      <c r="AC57" s="552"/>
      <c r="AD57" s="552"/>
      <c r="AE57" s="552"/>
      <c r="AF57" s="552"/>
      <c r="AG57" s="552"/>
      <c r="AH57" s="552"/>
      <c r="AI57" s="552"/>
      <c r="AJ57" s="552"/>
      <c r="AK57" s="552"/>
      <c r="AL57" s="533">
        <f>SUM(Q57:AK57)</f>
        <v>-27275498.779662121</v>
      </c>
    </row>
    <row r="58" spans="4:40" x14ac:dyDescent="0.45">
      <c r="D58" t="s">
        <v>233</v>
      </c>
      <c r="I58" s="1095">
        <f>AL58</f>
        <v>-303925.3888188976</v>
      </c>
      <c r="J58" s="1097">
        <v>-25925560.768902078</v>
      </c>
      <c r="K58" s="1056">
        <f>I58-J58</f>
        <v>25621635.380083181</v>
      </c>
      <c r="L58" s="1060"/>
      <c r="N58" s="552"/>
      <c r="O58" s="552"/>
      <c r="P58" s="552"/>
      <c r="Q58" s="552"/>
      <c r="R58" s="552"/>
      <c r="S58" s="552">
        <f>S53</f>
        <v>-210409.8845669291</v>
      </c>
      <c r="T58" s="552">
        <f>T53</f>
        <v>-23378.876062992123</v>
      </c>
      <c r="U58" s="552">
        <f>U53</f>
        <v>-23378.876062992123</v>
      </c>
      <c r="V58" s="552">
        <f>V53</f>
        <v>-23378.876062992123</v>
      </c>
      <c r="W58" s="552">
        <f>W53</f>
        <v>-23378.876062992123</v>
      </c>
      <c r="X58" s="552"/>
      <c r="Y58" s="552"/>
      <c r="Z58" s="552"/>
      <c r="AA58" s="552"/>
      <c r="AB58" s="552"/>
      <c r="AC58" s="552"/>
      <c r="AD58" s="552"/>
      <c r="AE58" s="552"/>
      <c r="AF58" s="552"/>
      <c r="AG58" s="552"/>
      <c r="AH58" s="552"/>
      <c r="AI58" s="552"/>
      <c r="AJ58" s="552"/>
      <c r="AK58" s="552"/>
      <c r="AL58" s="533">
        <f>SUM(Q58:AK58)</f>
        <v>-303925.3888188976</v>
      </c>
      <c r="AN58" s="1097">
        <f>SUMIF('10. Inputs &amp; Calcs'!$D$297:$D$302,$E$10,'10. Inputs &amp; Calcs'!$AD$297:$AD$302)</f>
        <v>-303925.3888188976</v>
      </c>
    </row>
    <row r="59" spans="4:40" ht="14.65" thickBot="1" x14ac:dyDescent="0.5">
      <c r="I59" s="1092">
        <f>SUM(S59:W59)</f>
        <v>-27579424.168481018</v>
      </c>
      <c r="J59" s="1100">
        <f>SUM(J57:J58)</f>
        <v>-652227857.09090519</v>
      </c>
      <c r="K59" s="1092">
        <f>I59-J59</f>
        <v>624648432.9224242</v>
      </c>
      <c r="L59" s="1060"/>
      <c r="N59" s="552"/>
      <c r="O59" s="552"/>
      <c r="P59" s="552"/>
      <c r="Q59" s="552"/>
      <c r="R59" s="552"/>
      <c r="S59" s="535">
        <f>SUM(S57:S58)</f>
        <v>-5482907.9190164851</v>
      </c>
      <c r="T59" s="535">
        <f>SUM(T57:T58)</f>
        <v>-5585503.2001398383</v>
      </c>
      <c r="U59" s="535">
        <f>SUM(U57:U58)</f>
        <v>-5558761.0736496132</v>
      </c>
      <c r="V59" s="535">
        <f>SUM(V57:V58)</f>
        <v>-5511303.749587696</v>
      </c>
      <c r="W59" s="535">
        <f>SUM(W57:W58)</f>
        <v>-5440948.2260873877</v>
      </c>
      <c r="X59" s="552"/>
      <c r="Y59" s="552"/>
      <c r="Z59" s="552"/>
      <c r="AA59" s="552"/>
      <c r="AB59" s="552"/>
      <c r="AC59" s="552"/>
      <c r="AD59" s="552"/>
      <c r="AE59" s="552"/>
      <c r="AF59" s="552"/>
      <c r="AG59" s="552"/>
      <c r="AH59" s="552"/>
      <c r="AI59" s="552"/>
      <c r="AJ59" s="552"/>
      <c r="AK59" s="552"/>
      <c r="AL59" s="535">
        <f>SUM(Q59:AK59)</f>
        <v>-27579424.168481018</v>
      </c>
    </row>
    <row r="60" spans="4:40" ht="14.65" thickTop="1" x14ac:dyDescent="0.45">
      <c r="I60" s="1060"/>
      <c r="J60" s="1101"/>
      <c r="K60" s="1060"/>
      <c r="L60" s="1060"/>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40" x14ac:dyDescent="0.45">
      <c r="D61" s="451" t="s">
        <v>1321</v>
      </c>
      <c r="I61" s="1060"/>
      <c r="J61" s="794"/>
      <c r="K61" s="1060"/>
      <c r="L61" s="1060"/>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40" x14ac:dyDescent="0.45">
      <c r="D62" t="s">
        <v>1319</v>
      </c>
      <c r="I62" s="1060"/>
      <c r="J62" s="794"/>
      <c r="K62" s="1060"/>
      <c r="L62" s="1060"/>
      <c r="N62" s="533">
        <f t="shared" ref="N62:AK62" si="25">-N20</f>
        <v>1152149.05</v>
      </c>
      <c r="O62" s="533">
        <f t="shared" si="25"/>
        <v>611049.26</v>
      </c>
      <c r="P62" s="533">
        <f t="shared" si="25"/>
        <v>840292.22</v>
      </c>
      <c r="Q62" s="533">
        <f t="shared" si="25"/>
        <v>911305.61696631857</v>
      </c>
      <c r="R62" s="533">
        <f t="shared" si="25"/>
        <v>911305.61696631857</v>
      </c>
      <c r="S62" s="533">
        <f t="shared" si="25"/>
        <v>911305.61696631857</v>
      </c>
      <c r="T62" s="533">
        <f t="shared" si="25"/>
        <v>101256.17966292429</v>
      </c>
      <c r="U62" s="533">
        <f t="shared" si="25"/>
        <v>101256.17966292429</v>
      </c>
      <c r="V62" s="533">
        <f t="shared" si="25"/>
        <v>101256.17966292429</v>
      </c>
      <c r="W62" s="533">
        <f t="shared" si="25"/>
        <v>101256.17966292429</v>
      </c>
      <c r="X62" s="533">
        <f t="shared" si="25"/>
        <v>101256.17966292429</v>
      </c>
      <c r="Y62" s="533">
        <f t="shared" si="25"/>
        <v>101256.17966292429</v>
      </c>
      <c r="Z62" s="533">
        <f t="shared" si="25"/>
        <v>101256.17966292429</v>
      </c>
      <c r="AA62" s="533">
        <f t="shared" si="25"/>
        <v>101256.17966292429</v>
      </c>
      <c r="AB62" s="533">
        <f t="shared" si="25"/>
        <v>101256.17966292429</v>
      </c>
      <c r="AC62" s="533">
        <f t="shared" si="25"/>
        <v>101256.17966292429</v>
      </c>
      <c r="AD62" s="533">
        <f t="shared" si="25"/>
        <v>101256.17966292429</v>
      </c>
      <c r="AE62" s="533">
        <f t="shared" si="25"/>
        <v>101256.17966292429</v>
      </c>
      <c r="AF62" s="533">
        <f t="shared" si="25"/>
        <v>101256.17966292429</v>
      </c>
      <c r="AG62" s="533">
        <f t="shared" si="25"/>
        <v>101256.17966292429</v>
      </c>
      <c r="AH62" s="533">
        <f t="shared" si="25"/>
        <v>101256.17966292429</v>
      </c>
      <c r="AI62" s="533">
        <f t="shared" si="25"/>
        <v>101256.17966292429</v>
      </c>
      <c r="AJ62" s="533">
        <f t="shared" si="25"/>
        <v>202512.35932584858</v>
      </c>
      <c r="AK62" s="533">
        <f t="shared" si="25"/>
        <v>0</v>
      </c>
      <c r="AL62" s="533">
        <f>SUM(Q62:AK62)</f>
        <v>4556528.0848315926</v>
      </c>
    </row>
    <row r="63" spans="4:40" x14ac:dyDescent="0.45">
      <c r="D63" t="s">
        <v>1320</v>
      </c>
      <c r="I63" s="1060"/>
      <c r="J63" s="794"/>
      <c r="K63" s="1060"/>
      <c r="L63" s="1060"/>
      <c r="N63" s="533">
        <f t="shared" ref="N63:AK63" si="26">-N24</f>
        <v>638439.50999999989</v>
      </c>
      <c r="O63" s="533">
        <f t="shared" si="26"/>
        <v>248065.8</v>
      </c>
      <c r="P63" s="533">
        <f t="shared" si="26"/>
        <v>123074.00000000003</v>
      </c>
      <c r="Q63" s="533">
        <f t="shared" si="26"/>
        <v>98459.200000000012</v>
      </c>
      <c r="R63" s="533">
        <f t="shared" si="26"/>
        <v>73844.400000000023</v>
      </c>
      <c r="S63" s="533">
        <f t="shared" si="26"/>
        <v>49229.600000000006</v>
      </c>
      <c r="T63" s="533">
        <f t="shared" si="26"/>
        <v>46494.622222222228</v>
      </c>
      <c r="U63" s="533">
        <f t="shared" si="26"/>
        <v>43759.64444444445</v>
      </c>
      <c r="V63" s="533">
        <f t="shared" si="26"/>
        <v>41024.666666666686</v>
      </c>
      <c r="W63" s="533">
        <f t="shared" si="26"/>
        <v>38289.688888888893</v>
      </c>
      <c r="X63" s="533">
        <f t="shared" si="26"/>
        <v>35554.711111111115</v>
      </c>
      <c r="Y63" s="533">
        <f t="shared" si="26"/>
        <v>32819.733333333344</v>
      </c>
      <c r="Z63" s="533">
        <f t="shared" si="26"/>
        <v>30084.755555555559</v>
      </c>
      <c r="AA63" s="533">
        <f t="shared" si="26"/>
        <v>27349.777777777788</v>
      </c>
      <c r="AB63" s="533">
        <f t="shared" si="26"/>
        <v>24614.800000000003</v>
      </c>
      <c r="AC63" s="533">
        <f t="shared" si="26"/>
        <v>21879.822222222225</v>
      </c>
      <c r="AD63" s="533">
        <f t="shared" si="26"/>
        <v>19144.844444444447</v>
      </c>
      <c r="AE63" s="533">
        <f t="shared" si="26"/>
        <v>16409.866666666672</v>
      </c>
      <c r="AF63" s="533">
        <f t="shared" si="26"/>
        <v>13674.888888888894</v>
      </c>
      <c r="AG63" s="533">
        <f t="shared" si="26"/>
        <v>10939.911111111112</v>
      </c>
      <c r="AH63" s="533">
        <f t="shared" si="26"/>
        <v>8204.9333333333361</v>
      </c>
      <c r="AI63" s="533">
        <f t="shared" si="26"/>
        <v>5469.9555555555562</v>
      </c>
      <c r="AJ63" s="533">
        <f t="shared" si="26"/>
        <v>0</v>
      </c>
      <c r="AK63" s="533">
        <f t="shared" si="26"/>
        <v>0</v>
      </c>
      <c r="AL63" s="533">
        <f>SUM(Q63:AK63)</f>
        <v>637249.82222222246</v>
      </c>
    </row>
    <row r="64" spans="4:40" x14ac:dyDescent="0.45">
      <c r="I64" s="1060"/>
      <c r="J64" s="794"/>
      <c r="K64" s="1060"/>
      <c r="L64" s="1060"/>
      <c r="N64" s="535">
        <f>SUM(N62:N63)</f>
        <v>1790588.56</v>
      </c>
      <c r="O64" s="535">
        <f t="shared" ref="O64:AL64" si="27">SUM(O62:O63)</f>
        <v>859115.06</v>
      </c>
      <c r="P64" s="535">
        <f t="shared" si="27"/>
        <v>963366.22</v>
      </c>
      <c r="Q64" s="535">
        <f t="shared" si="27"/>
        <v>1009764.8169663185</v>
      </c>
      <c r="R64" s="535">
        <f t="shared" si="27"/>
        <v>985150.0169663186</v>
      </c>
      <c r="S64" s="535">
        <f t="shared" si="27"/>
        <v>960535.21696631855</v>
      </c>
      <c r="T64" s="535">
        <f t="shared" si="27"/>
        <v>147750.80188514653</v>
      </c>
      <c r="U64" s="535">
        <f t="shared" si="27"/>
        <v>145015.82410736874</v>
      </c>
      <c r="V64" s="535">
        <f t="shared" si="27"/>
        <v>142280.84632959098</v>
      </c>
      <c r="W64" s="535">
        <f t="shared" si="27"/>
        <v>139545.86855181318</v>
      </c>
      <c r="X64" s="535">
        <f t="shared" si="27"/>
        <v>136810.89077403542</v>
      </c>
      <c r="Y64" s="535">
        <f t="shared" si="27"/>
        <v>134075.91299625763</v>
      </c>
      <c r="Z64" s="535">
        <f t="shared" ref="Z64:AJ64" si="28">SUM(Z62:Z63)</f>
        <v>131340.93521847983</v>
      </c>
      <c r="AA64" s="535">
        <f t="shared" si="28"/>
        <v>128605.95744070207</v>
      </c>
      <c r="AB64" s="535">
        <f t="shared" si="28"/>
        <v>125870.97966292429</v>
      </c>
      <c r="AC64" s="535">
        <f t="shared" si="28"/>
        <v>123136.00188514651</v>
      </c>
      <c r="AD64" s="535">
        <f t="shared" si="28"/>
        <v>120401.02410736874</v>
      </c>
      <c r="AE64" s="535">
        <f t="shared" si="28"/>
        <v>117666.04632959096</v>
      </c>
      <c r="AF64" s="535">
        <f t="shared" si="28"/>
        <v>114931.06855181318</v>
      </c>
      <c r="AG64" s="535">
        <f t="shared" si="28"/>
        <v>112196.0907740354</v>
      </c>
      <c r="AH64" s="535">
        <f t="shared" si="28"/>
        <v>109461.11299625762</v>
      </c>
      <c r="AI64" s="535">
        <f t="shared" si="28"/>
        <v>106726.13521847985</v>
      </c>
      <c r="AJ64" s="535">
        <f t="shared" si="28"/>
        <v>202512.35932584858</v>
      </c>
      <c r="AK64" s="535">
        <f t="shared" si="27"/>
        <v>0</v>
      </c>
      <c r="AL64" s="535">
        <f t="shared" si="27"/>
        <v>5193777.9070538152</v>
      </c>
    </row>
    <row r="65" spans="2:46" x14ac:dyDescent="0.45">
      <c r="I65" s="1060"/>
      <c r="J65" s="794"/>
      <c r="K65" s="1060"/>
      <c r="L65" s="1060"/>
      <c r="N65" s="533"/>
    </row>
    <row r="66" spans="2:46" x14ac:dyDescent="0.45">
      <c r="D66" t="s">
        <v>1581</v>
      </c>
      <c r="I66" s="1064">
        <f>SUM(S67:W67)</f>
        <v>303925.3888188976</v>
      </c>
      <c r="J66" s="793">
        <v>25925560.768902078</v>
      </c>
      <c r="K66" s="1064">
        <f>I66-J66</f>
        <v>-25621635.380083181</v>
      </c>
      <c r="L66" s="1086"/>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0.93167646683033734</v>
      </c>
      <c r="G67" s="852">
        <f>AL67/AL$28</f>
        <v>4.7713711653182225</v>
      </c>
      <c r="I67" s="1064">
        <f>AL67</f>
        <v>16764882.683887275</v>
      </c>
      <c r="J67" s="793">
        <f>-J53</f>
        <v>833828355.43116808</v>
      </c>
      <c r="K67" s="1064">
        <f>I67-J67</f>
        <v>-817063472.74728084</v>
      </c>
      <c r="L67" s="1086">
        <f>IF(J67&lt;&gt;0,K67/J67,0)</f>
        <v>-0.9798940842264614</v>
      </c>
      <c r="N67" s="566">
        <f>SUMIF('10. Inputs &amp; Calcs'!$D$143:$D$148,$E$10,'10. Inputs &amp; Calcs'!F$143:F$148)</f>
        <v>5576064</v>
      </c>
      <c r="O67" s="566">
        <f>SUMIF('10. Inputs &amp; Calcs'!$D$143:$D$148,$E$10,'10. Inputs &amp; Calcs'!G$143:G$148)</f>
        <v>1243913</v>
      </c>
      <c r="P67" s="566">
        <f>SUMIF('10. Inputs &amp; Calcs'!$D$143:$D$148,$E$10,'10. Inputs &amp; Calcs'!H$143:H$148)</f>
        <v>313420</v>
      </c>
      <c r="Q67" s="997">
        <f>-SUMIF('10. Inputs &amp; Calcs'!$D$279:$D$284,$E$10,'10. Inputs &amp; Calcs'!I$279:I$284)</f>
        <v>210409.8845669291</v>
      </c>
      <c r="R67" s="997">
        <f>-SUMIF('10. Inputs &amp; Calcs'!$D$279:$D$284,$E$10,'10. Inputs &amp; Calcs'!J$279:J$284)</f>
        <v>210409.8845669291</v>
      </c>
      <c r="S67" s="997">
        <f>-SUMIF('10. Inputs &amp; Calcs'!$D$279:$D$284,$E$10,'10. Inputs &amp; Calcs'!K$279:K$284)</f>
        <v>210409.8845669291</v>
      </c>
      <c r="T67" s="533">
        <f>-SUMIF('10. Inputs &amp; Calcs'!$D$279:$D$284,$E$10,'10. Inputs &amp; Calcs'!L$279:L$284)</f>
        <v>23378.876062992123</v>
      </c>
      <c r="U67" s="533">
        <f>-SUMIF('10. Inputs &amp; Calcs'!$D$279:$D$284,$E$10,'10. Inputs &amp; Calcs'!M$279:M$284)</f>
        <v>23378.876062992123</v>
      </c>
      <c r="V67" s="533">
        <f>-SUMIF('10. Inputs &amp; Calcs'!$D$279:$D$284,$E$10,'10. Inputs &amp; Calcs'!N$279:N$284)</f>
        <v>23378.876062992123</v>
      </c>
      <c r="W67" s="533">
        <f>-SUMIF('10. Inputs &amp; Calcs'!$D$279:$D$284,$E$10,'10. Inputs &amp; Calcs'!O$279:O$284)</f>
        <v>23378.876062992123</v>
      </c>
      <c r="X67" s="533">
        <f>-SUMIF('10. Inputs &amp; Calcs'!$D$279:$D$284,$E$10,'10. Inputs &amp; Calcs'!P$279:P$284)</f>
        <v>23378.876062992123</v>
      </c>
      <c r="Y67" s="533">
        <f>-SUMIF('10. Inputs &amp; Calcs'!$D$279:$D$284,$E$10,'10. Inputs &amp; Calcs'!Q$279:Q$284)</f>
        <v>23378.876062992123</v>
      </c>
      <c r="Z67" s="533">
        <f>-SUMIF('10. Inputs &amp; Calcs'!$D$279:$D$284,$E$10,'10. Inputs &amp; Calcs'!R$279:R$284)</f>
        <v>23378.876062992123</v>
      </c>
      <c r="AA67" s="533">
        <f>-SUMIF('10. Inputs &amp; Calcs'!$D$279:$D$284,$E$10,'10. Inputs &amp; Calcs'!S$279:S$284)</f>
        <v>23378.876062992123</v>
      </c>
      <c r="AB67" s="533">
        <f>-SUMIF('10. Inputs &amp; Calcs'!$D$279:$D$284,$E$10,'10. Inputs &amp; Calcs'!T$279:T$284)</f>
        <v>23378.876062992123</v>
      </c>
      <c r="AC67" s="533">
        <f>-SUMIF('10. Inputs &amp; Calcs'!$D$279:$D$284,$E$10,'10. Inputs &amp; Calcs'!U$279:U$284)</f>
        <v>23378.876062992123</v>
      </c>
      <c r="AD67" s="533">
        <f>-SUMIF('10. Inputs &amp; Calcs'!$D$279:$D$284,$E$10,'10. Inputs &amp; Calcs'!V$279:V$284)</f>
        <v>23378.876062992123</v>
      </c>
      <c r="AE67" s="533">
        <f>-SUMIF('10. Inputs &amp; Calcs'!$D$279:$D$284,$E$10,'10. Inputs &amp; Calcs'!W$279:W$284)</f>
        <v>23378.876062992123</v>
      </c>
      <c r="AF67" s="533">
        <f>-SUMIF('10. Inputs &amp; Calcs'!$D$279:$D$284,$E$10,'10. Inputs &amp; Calcs'!X$279:X$284)</f>
        <v>23378.876062992123</v>
      </c>
      <c r="AG67" s="533">
        <f>-SUMIF('10. Inputs &amp; Calcs'!$D$279:$D$284,$E$10,'10. Inputs &amp; Calcs'!Y$279:Y$284)</f>
        <v>23378.876062992123</v>
      </c>
      <c r="AH67" s="533">
        <f>-SUMIF('10. Inputs &amp; Calcs'!$D$279:$D$284,$E$10,'10. Inputs &amp; Calcs'!Z$279:Z$284)</f>
        <v>23378.876062992123</v>
      </c>
      <c r="AI67" s="533">
        <f>-SUMIF('10. Inputs &amp; Calcs'!$D$279:$D$284,$E$10,'10. Inputs &amp; Calcs'!AA$279:AA$284)</f>
        <v>23378.876062992123</v>
      </c>
      <c r="AJ67" s="533">
        <f>-SUMIF('10. Inputs &amp; Calcs'!$D$279:$D$284,$E$10,'10. Inputs &amp; Calcs'!AB$279:AB$284)</f>
        <v>15759591.013178613</v>
      </c>
      <c r="AK67" s="533">
        <f>-SUMIF('10. Inputs &amp; Calcs'!$D$279:$D$284,$E$10,'10. Inputs &amp; Calcs'!AC$279:AC$284)</f>
        <v>0</v>
      </c>
      <c r="AL67" s="533">
        <f>SUM(Q67:AK67)</f>
        <v>16764882.683887275</v>
      </c>
    </row>
    <row r="68" spans="2:46" x14ac:dyDescent="0.45">
      <c r="I68" s="1060"/>
      <c r="J68" s="1060"/>
      <c r="K68" s="1060"/>
      <c r="L68" s="1060"/>
      <c r="N68" s="533"/>
    </row>
    <row r="69" spans="2:46" x14ac:dyDescent="0.45">
      <c r="I69" s="1060"/>
      <c r="J69" s="1060"/>
      <c r="K69" s="1060"/>
      <c r="L69" s="1060"/>
      <c r="N69" s="533"/>
    </row>
    <row r="70" spans="2:46" x14ac:dyDescent="0.45">
      <c r="D70" t="s">
        <v>1582</v>
      </c>
      <c r="I70" s="1060"/>
      <c r="J70" s="1064">
        <f>IF($E$10='14. Permanent Info'!$C$12,'9a. Forecast Results - Total'!J70,IF($E$10='14. Permanent Info'!$C$7,'9b. Forecast Results - EC'!J70,IF($E$10='14. Permanent Info'!$C$8,'9c. Forecast Results - FS'!J70,IF($E$10='14. Permanent Info'!$C$9,'9d. Forecast Results - Gau'!J70,IF($E$10='14. Permanent Info'!$C$10,'9e. Forecast Results - KZN'!J70,IF($E$10='14. Permanent Info'!$C$11,'9f. Forecast Results - WC'!J70))))))</f>
        <v>0</v>
      </c>
      <c r="K70" s="1060"/>
      <c r="L70" s="1060"/>
    </row>
    <row r="71" spans="2:46" x14ac:dyDescent="0.45">
      <c r="D71" t="s">
        <v>1038</v>
      </c>
      <c r="I71" s="1060"/>
      <c r="J71" s="1064">
        <f>IF($E$10='14. Permanent Info'!$C$12,'9a. Forecast Results - Total'!J71,IF($E$10='14. Permanent Info'!$C$7,'9b. Forecast Results - EC'!J71,IF($E$10='14. Permanent Info'!$C$8,'9c. Forecast Results - FS'!J71,IF($E$10='14. Permanent Info'!$C$9,'9d. Forecast Results - Gau'!J71,IF($E$10='14. Permanent Info'!$C$10,'9e. Forecast Results - KZN'!J71,IF($E$10='14. Permanent Info'!$C$11,'9f. Forecast Results - WC'!J71))))))</f>
        <v>0</v>
      </c>
      <c r="K71" s="1060"/>
      <c r="L71" s="1060"/>
      <c r="N71" s="533">
        <f>SUMIF('10. Inputs &amp; Calcs'!$D$763:$D$768,$E$10,'10. Inputs &amp; Calcs'!F$763:F$768)</f>
        <v>2523803000</v>
      </c>
      <c r="O71" s="533">
        <f>SUMIF('10. Inputs &amp; Calcs'!$D$763:$D$768,$E$10,'10. Inputs &amp; Calcs'!G$763:G$768)</f>
        <v>2392718000</v>
      </c>
      <c r="P71" s="533">
        <f>SUMIF('10. Inputs &amp; Calcs'!$D$763:$D$768,$E$10,'10. Inputs &amp; Calcs'!H$763:H$768)</f>
        <v>2462372000</v>
      </c>
      <c r="Q71" s="801">
        <f>SUMIF('10. Inputs &amp; Calcs'!$D$763:$D$768,$E$10,'10. Inputs &amp; Calcs'!I$763:I$768)</f>
        <v>2462372000</v>
      </c>
      <c r="R71" s="801">
        <f>SUMIF('10. Inputs &amp; Calcs'!$D$763:$D$768,$E$10,'10. Inputs &amp; Calcs'!J$763:J$768)</f>
        <v>2462372000</v>
      </c>
      <c r="S71" s="801">
        <f>SUMIF('10. Inputs &amp; Calcs'!$D$763:$D$768,$E$10,'10. Inputs &amp; Calcs'!K$763:K$768)</f>
        <v>2462372000</v>
      </c>
      <c r="T71" s="801">
        <f>SUMIF('10. Inputs &amp; Calcs'!$D$763:$D$768,$E$10,'10. Inputs &amp; Calcs'!L$763:L$768)</f>
        <v>2462372000</v>
      </c>
      <c r="U71" s="801">
        <f>SUMIF('10. Inputs &amp; Calcs'!$D$763:$D$768,$E$10,'10. Inputs &amp; Calcs'!M$763:M$768)</f>
        <v>2462372000</v>
      </c>
      <c r="V71" s="801">
        <f>SUMIF('10. Inputs &amp; Calcs'!$D$763:$D$768,$E$10,'10. Inputs &amp; Calcs'!N$763:N$768)</f>
        <v>2462372000</v>
      </c>
      <c r="W71" s="801">
        <f>SUMIF('10. Inputs &amp; Calcs'!$D$763:$D$768,$E$10,'10. Inputs &amp; Calcs'!O$763:O$768)</f>
        <v>2462372000</v>
      </c>
      <c r="X71" s="801">
        <f>SUMIF('10. Inputs &amp; Calcs'!$D$763:$D$768,$E$10,'10. Inputs &amp; Calcs'!P$763:P$768)</f>
        <v>2462372000</v>
      </c>
      <c r="Y71" s="801">
        <f>SUMIF('10. Inputs &amp; Calcs'!$D$763:$D$768,$E$10,'10. Inputs &amp; Calcs'!Q$763:Q$768)</f>
        <v>2462372000</v>
      </c>
      <c r="Z71" s="801">
        <f>SUMIF('10. Inputs &amp; Calcs'!$D$763:$D$768,$E$10,'10. Inputs &amp; Calcs'!R$763:R$768)</f>
        <v>2462372000</v>
      </c>
      <c r="AA71" s="801">
        <f>SUMIF('10. Inputs &amp; Calcs'!$D$763:$D$768,$E$10,'10. Inputs &amp; Calcs'!S$763:S$768)</f>
        <v>2462372000</v>
      </c>
      <c r="AB71" s="801">
        <f>SUMIF('10. Inputs &amp; Calcs'!$D$763:$D$768,$E$10,'10. Inputs &amp; Calcs'!T$763:T$768)</f>
        <v>2462372000</v>
      </c>
      <c r="AC71" s="801">
        <f>SUMIF('10. Inputs &amp; Calcs'!$D$763:$D$768,$E$10,'10. Inputs &amp; Calcs'!U$763:U$768)</f>
        <v>2462372000</v>
      </c>
      <c r="AD71" s="801">
        <f>SUMIF('10. Inputs &amp; Calcs'!$D$763:$D$768,$E$10,'10. Inputs &amp; Calcs'!V$763:V$768)</f>
        <v>2462372000</v>
      </c>
      <c r="AE71" s="801">
        <f>SUMIF('10. Inputs &amp; Calcs'!$D$763:$D$768,$E$10,'10. Inputs &amp; Calcs'!W$763:W$768)</f>
        <v>2462372000</v>
      </c>
      <c r="AF71" s="533">
        <f>SUMIF('10. Inputs &amp; Calcs'!$D$763:$D$768,$E$10,'10. Inputs &amp; Calcs'!X$763:X$768)</f>
        <v>2462372000</v>
      </c>
      <c r="AG71" s="533">
        <f>SUMIF('10. Inputs &amp; Calcs'!$D$763:$D$768,$E$10,'10. Inputs &amp; Calcs'!Y$763:Y$768)</f>
        <v>2462372000</v>
      </c>
      <c r="AH71" s="533">
        <f>SUMIF('10. Inputs &amp; Calcs'!$D$763:$D$768,$E$10,'10. Inputs &amp; Calcs'!Z$763:Z$768)</f>
        <v>2462372000</v>
      </c>
      <c r="AI71" s="533">
        <f>SUMIF('10. Inputs &amp; Calcs'!$D$763:$D$768,$E$10,'10. Inputs &amp; Calcs'!AA$763:AA$768)</f>
        <v>2462372000</v>
      </c>
      <c r="AJ71" s="533">
        <f>SUMIF('10. Inputs &amp; Calcs'!$D$763:$D$768,$E$10,'10. Inputs &amp; Calcs'!AB$763:AB$768)</f>
        <v>2462372000</v>
      </c>
      <c r="AK71" s="533">
        <f>SUMIF('10. Inputs &amp; Calcs'!$D$763:$D$768,$E$10,'10. Inputs &amp; Calcs'!AC$763:AC$768)</f>
        <v>2462372000</v>
      </c>
      <c r="AL71" s="533">
        <f>SUM(Q71:AK71)</f>
        <v>51709812000</v>
      </c>
    </row>
    <row r="72" spans="2:46" x14ac:dyDescent="0.45">
      <c r="D72" t="s">
        <v>233</v>
      </c>
      <c r="N72" s="533">
        <f t="shared" ref="N72:AL72" si="29">N67</f>
        <v>5576064</v>
      </c>
      <c r="O72" s="533">
        <f t="shared" si="29"/>
        <v>1243913</v>
      </c>
      <c r="P72" s="533">
        <f t="shared" si="29"/>
        <v>313420</v>
      </c>
      <c r="Q72" s="801">
        <f t="shared" si="29"/>
        <v>210409.8845669291</v>
      </c>
      <c r="R72" s="801">
        <f t="shared" si="29"/>
        <v>210409.8845669291</v>
      </c>
      <c r="S72" s="801">
        <f t="shared" si="29"/>
        <v>210409.8845669291</v>
      </c>
      <c r="T72" s="801">
        <f t="shared" si="29"/>
        <v>23378.876062992123</v>
      </c>
      <c r="U72" s="801">
        <f t="shared" si="29"/>
        <v>23378.876062992123</v>
      </c>
      <c r="V72" s="801">
        <f t="shared" si="29"/>
        <v>23378.876062992123</v>
      </c>
      <c r="W72" s="801">
        <f t="shared" si="29"/>
        <v>23378.876062992123</v>
      </c>
      <c r="X72" s="801">
        <f t="shared" si="29"/>
        <v>23378.876062992123</v>
      </c>
      <c r="Y72" s="801">
        <f t="shared" si="29"/>
        <v>23378.876062992123</v>
      </c>
      <c r="Z72" s="801">
        <f t="shared" si="29"/>
        <v>23378.876062992123</v>
      </c>
      <c r="AA72" s="801">
        <f t="shared" si="29"/>
        <v>23378.876062992123</v>
      </c>
      <c r="AB72" s="801">
        <f t="shared" si="29"/>
        <v>23378.876062992123</v>
      </c>
      <c r="AC72" s="801">
        <f t="shared" si="29"/>
        <v>23378.876062992123</v>
      </c>
      <c r="AD72" s="801">
        <f t="shared" si="29"/>
        <v>23378.876062992123</v>
      </c>
      <c r="AE72" s="801">
        <f t="shared" si="29"/>
        <v>23378.876062992123</v>
      </c>
      <c r="AF72" s="533">
        <f t="shared" si="29"/>
        <v>23378.876062992123</v>
      </c>
      <c r="AG72" s="533">
        <f t="shared" si="29"/>
        <v>23378.876062992123</v>
      </c>
      <c r="AH72" s="533">
        <f t="shared" si="29"/>
        <v>23378.876062992123</v>
      </c>
      <c r="AI72" s="533">
        <f t="shared" si="29"/>
        <v>23378.876062992123</v>
      </c>
      <c r="AJ72" s="533">
        <f t="shared" si="29"/>
        <v>15759591.013178613</v>
      </c>
      <c r="AK72" s="533">
        <f t="shared" si="29"/>
        <v>0</v>
      </c>
      <c r="AL72" s="533">
        <f t="shared" si="29"/>
        <v>16764882.683887275</v>
      </c>
    </row>
    <row r="73" spans="2:46" x14ac:dyDescent="0.45">
      <c r="D73" t="s">
        <v>1037</v>
      </c>
      <c r="N73" s="559">
        <f>N48/N71</f>
        <v>-3.7066270505265271E-3</v>
      </c>
      <c r="O73" s="559">
        <f t="shared" ref="O73:AL73" si="30">O48/O71</f>
        <v>-4.2751537205805278E-3</v>
      </c>
      <c r="P73" s="559">
        <f t="shared" si="30"/>
        <v>-4.2297378950053042E-3</v>
      </c>
      <c r="Q73" s="581">
        <f>Q48/Q71</f>
        <v>-3.6755906435099136E-3</v>
      </c>
      <c r="R73" s="581">
        <f t="shared" si="30"/>
        <v>-2.9549833889111364E-3</v>
      </c>
      <c r="S73" s="581">
        <f t="shared" si="30"/>
        <v>-2.141227253416444E-3</v>
      </c>
      <c r="T73" s="581">
        <f t="shared" si="30"/>
        <v>-2.2588481042169284E-3</v>
      </c>
      <c r="U73" s="581">
        <f t="shared" si="30"/>
        <v>-2.2479877929031931E-3</v>
      </c>
      <c r="V73" s="581">
        <f t="shared" si="30"/>
        <v>-2.2287147813265843E-3</v>
      </c>
      <c r="W73" s="581">
        <f t="shared" si="30"/>
        <v>-2.2001425251848201E-3</v>
      </c>
      <c r="X73" s="581">
        <f t="shared" si="30"/>
        <v>-2.1613124087206635E-3</v>
      </c>
      <c r="Y73" s="581">
        <f t="shared" si="30"/>
        <v>-2.1111884986583914E-3</v>
      </c>
      <c r="Z73" s="581">
        <f t="shared" ref="Z73:AJ73" si="31">Z48/Z71</f>
        <v>-2.048651939089425E-3</v>
      </c>
      <c r="AA73" s="581">
        <f t="shared" si="31"/>
        <v>-1.9724949636808755E-3</v>
      </c>
      <c r="AB73" s="581">
        <f t="shared" si="31"/>
        <v>-1.8814145000679982E-3</v>
      </c>
      <c r="AC73" s="581">
        <f t="shared" si="31"/>
        <v>-1.7740053396838355E-3</v>
      </c>
      <c r="AD73" s="581">
        <f t="shared" si="31"/>
        <v>-1.648752844570887E-3</v>
      </c>
      <c r="AE73" s="581">
        <f t="shared" si="31"/>
        <v>-1.5040251609040583E-3</v>
      </c>
      <c r="AF73" s="559">
        <f t="shared" si="31"/>
        <v>-1.3380649070250507E-3</v>
      </c>
      <c r="AG73" s="559">
        <f t="shared" si="31"/>
        <v>-1.1489803017385256E-3</v>
      </c>
      <c r="AH73" s="559">
        <f t="shared" si="31"/>
        <v>-9.3473569644255121E-4</v>
      </c>
      <c r="AI73" s="559">
        <f t="shared" si="31"/>
        <v>-6.9314147235199084E-4</v>
      </c>
      <c r="AJ73" s="559">
        <f t="shared" si="31"/>
        <v>1.1429750258696537E-5</v>
      </c>
      <c r="AK73" s="559">
        <f t="shared" si="30"/>
        <v>0</v>
      </c>
      <c r="AL73" s="559">
        <f t="shared" si="30"/>
        <v>-1.757753941530694E-3</v>
      </c>
    </row>
    <row r="74" spans="2:46" x14ac:dyDescent="0.45">
      <c r="Q74" s="581"/>
      <c r="R74" s="581"/>
      <c r="S74" s="581"/>
      <c r="T74" s="581"/>
      <c r="U74" s="581"/>
      <c r="V74" s="581"/>
      <c r="W74" s="582"/>
      <c r="X74" s="18"/>
      <c r="Y74" s="18"/>
      <c r="Z74" s="18"/>
      <c r="AA74" s="18"/>
      <c r="AB74" s="18"/>
      <c r="AC74" s="18"/>
      <c r="AD74" s="18"/>
      <c r="AE74" s="18"/>
    </row>
    <row r="75" spans="2:46"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outlineLevel="1" x14ac:dyDescent="0.45">
      <c r="D76" t="s">
        <v>1539</v>
      </c>
      <c r="F76" s="18"/>
      <c r="G76" s="18"/>
      <c r="I76" s="18"/>
      <c r="J76" s="18"/>
      <c r="K76" s="18"/>
      <c r="L76" s="18"/>
      <c r="O76" s="533"/>
      <c r="P76" s="533">
        <f>SUMIF('10. Inputs &amp; Calcs'!$D$628:$D$633,$E$10,'10. Inputs &amp; Calcs'!$H$628:$H$633)</f>
        <v>1018152.36</v>
      </c>
      <c r="Q76" s="801">
        <f t="shared" ref="Q76:AK76" si="32">P83</f>
        <v>1018152.3599999999</v>
      </c>
      <c r="R76" s="801">
        <f t="shared" ca="1" si="32"/>
        <v>912981.08799999999</v>
      </c>
      <c r="S76" s="801">
        <f t="shared" ca="1" si="32"/>
        <v>758580.21600000001</v>
      </c>
      <c r="T76" s="801">
        <f t="shared" ca="1" si="32"/>
        <v>554949.74399999995</v>
      </c>
      <c r="U76" s="801">
        <f t="shared" ca="1" si="32"/>
        <v>567878.84711111104</v>
      </c>
      <c r="V76" s="801">
        <f t="shared" ca="1" si="32"/>
        <v>575337.99466666672</v>
      </c>
      <c r="W76" s="801">
        <f t="shared" ca="1" si="32"/>
        <v>577327.18666666653</v>
      </c>
      <c r="X76" s="801">
        <f t="shared" ca="1" si="32"/>
        <v>576581.40088888886</v>
      </c>
      <c r="Y76" s="801">
        <f t="shared" ca="1" si="32"/>
        <v>570365.65955555555</v>
      </c>
      <c r="Z76" s="801">
        <f t="shared" ca="1" si="32"/>
        <v>558679.9626666666</v>
      </c>
      <c r="AA76" s="801">
        <f t="shared" ca="1" si="32"/>
        <v>541524.31022222224</v>
      </c>
      <c r="AB76" s="801">
        <f t="shared" ca="1" si="32"/>
        <v>518898.70222222223</v>
      </c>
      <c r="AC76" s="801">
        <f t="shared" ca="1" si="32"/>
        <v>490803.13866666681</v>
      </c>
      <c r="AD76" s="801">
        <f t="shared" ca="1" si="32"/>
        <v>457237.61955555552</v>
      </c>
      <c r="AE76" s="801">
        <f t="shared" ca="1" si="32"/>
        <v>418202.14488888893</v>
      </c>
      <c r="AF76" s="533">
        <f t="shared" ca="1" si="32"/>
        <v>373696.7146666667</v>
      </c>
      <c r="AG76" s="533">
        <f t="shared" ca="1" si="32"/>
        <v>323721.32888888894</v>
      </c>
      <c r="AH76" s="533">
        <f t="shared" ca="1" si="32"/>
        <v>268275.98755555553</v>
      </c>
      <c r="AI76" s="533">
        <f t="shared" ca="1" si="32"/>
        <v>207360.69066666669</v>
      </c>
      <c r="AJ76" s="533">
        <f t="shared" ca="1" si="32"/>
        <v>140975.43822222229</v>
      </c>
      <c r="AK76" s="533">
        <f t="shared" ca="1" si="32"/>
        <v>0</v>
      </c>
      <c r="AL76" s="533">
        <f>P76</f>
        <v>1018152.36</v>
      </c>
      <c r="AM76" s="18"/>
      <c r="AN76" s="18"/>
      <c r="AO76" s="18"/>
      <c r="AP76" s="18"/>
      <c r="AQ76" s="18"/>
      <c r="AR76" s="18"/>
      <c r="AS76" s="18"/>
      <c r="AT76" s="18"/>
    </row>
    <row r="77" spans="2:46" outlineLevel="1" x14ac:dyDescent="0.45">
      <c r="D77" t="s">
        <v>1546</v>
      </c>
      <c r="F77" s="18"/>
      <c r="G77" s="18"/>
      <c r="I77" s="18"/>
      <c r="J77" s="18"/>
      <c r="K77" s="18"/>
      <c r="L77" s="18"/>
      <c r="N77" s="533"/>
      <c r="O77" s="533"/>
      <c r="P77" s="533">
        <f>IF(P84&gt;P76,P84-P76,0)</f>
        <v>0</v>
      </c>
      <c r="Q77" s="801">
        <f>IF(Q84&gt;Q76,Q84-Q76,0)</f>
        <v>0</v>
      </c>
      <c r="R77" s="801">
        <f ca="1">IF(R84&gt;R76,R84-R76,0)</f>
        <v>0</v>
      </c>
      <c r="S77" s="801">
        <f t="shared" ref="S77:AK77" ca="1" si="33">IF(S84&gt;S76,S84-S76,0)</f>
        <v>0</v>
      </c>
      <c r="T77" s="801">
        <f t="shared" ca="1" si="33"/>
        <v>12929.103111111093</v>
      </c>
      <c r="U77" s="801">
        <f t="shared" ca="1" si="33"/>
        <v>7459.1475555555662</v>
      </c>
      <c r="V77" s="801">
        <f t="shared" ca="1" si="33"/>
        <v>1989.1919999998063</v>
      </c>
      <c r="W77" s="801">
        <f t="shared" ca="1" si="33"/>
        <v>0</v>
      </c>
      <c r="X77" s="801">
        <f t="shared" ca="1" si="33"/>
        <v>0</v>
      </c>
      <c r="Y77" s="801">
        <f t="shared" ca="1" si="33"/>
        <v>0</v>
      </c>
      <c r="Z77" s="801">
        <f t="shared" ca="1" si="33"/>
        <v>0</v>
      </c>
      <c r="AA77" s="801">
        <f t="shared" ca="1" si="33"/>
        <v>0</v>
      </c>
      <c r="AB77" s="801">
        <f t="shared" ca="1" si="33"/>
        <v>0</v>
      </c>
      <c r="AC77" s="801">
        <f t="shared" ca="1" si="33"/>
        <v>0</v>
      </c>
      <c r="AD77" s="801">
        <f t="shared" ca="1" si="33"/>
        <v>0</v>
      </c>
      <c r="AE77" s="801">
        <f t="shared" ca="1" si="33"/>
        <v>0</v>
      </c>
      <c r="AF77" s="533">
        <f t="shared" ca="1" si="33"/>
        <v>0</v>
      </c>
      <c r="AG77" s="533">
        <f t="shared" ca="1" si="33"/>
        <v>0</v>
      </c>
      <c r="AH77" s="533">
        <f t="shared" ca="1" si="33"/>
        <v>0</v>
      </c>
      <c r="AI77" s="533">
        <f t="shared" ca="1" si="33"/>
        <v>0</v>
      </c>
      <c r="AJ77" s="533">
        <f t="shared" ca="1" si="33"/>
        <v>0</v>
      </c>
      <c r="AK77" s="533">
        <f t="shared" ca="1" si="33"/>
        <v>0</v>
      </c>
      <c r="AL77" s="533">
        <f ca="1">SUM(P77:AK77)</f>
        <v>22377.442666666466</v>
      </c>
      <c r="AM77" s="18"/>
      <c r="AN77" s="18"/>
      <c r="AO77" s="18"/>
      <c r="AP77" s="18"/>
      <c r="AQ77" s="18"/>
      <c r="AR77" s="18"/>
      <c r="AS77" s="18"/>
      <c r="AT77" s="18"/>
    </row>
    <row r="78" spans="2:46" outlineLevel="1" x14ac:dyDescent="0.45">
      <c r="D78" t="s">
        <v>1547</v>
      </c>
      <c r="F78" s="18"/>
      <c r="G78" s="18"/>
      <c r="I78" s="18"/>
      <c r="J78" s="18"/>
      <c r="K78" s="18"/>
      <c r="L78" s="18"/>
      <c r="N78" s="533"/>
      <c r="O78" s="533"/>
      <c r="P78" s="533">
        <f>IF(P84&lt;P76,P84-P76,0)</f>
        <v>0</v>
      </c>
      <c r="Q78" s="801">
        <f>IF(Q84&lt;Q76,Q84-Q76,0)</f>
        <v>-105171.27199999988</v>
      </c>
      <c r="R78" s="801">
        <f ca="1">IF(R84&lt;R76,R84-R76,0)</f>
        <v>-154400.87199999997</v>
      </c>
      <c r="S78" s="801">
        <f t="shared" ref="S78:AK78" ca="1" si="34">IF(S84&lt;S76,S84-S76,0)</f>
        <v>-203630.47200000007</v>
      </c>
      <c r="T78" s="801">
        <f t="shared" ca="1" si="34"/>
        <v>0</v>
      </c>
      <c r="U78" s="801">
        <f t="shared" ca="1" si="34"/>
        <v>0</v>
      </c>
      <c r="V78" s="801">
        <f t="shared" ca="1" si="34"/>
        <v>0</v>
      </c>
      <c r="W78" s="801">
        <f t="shared" ca="1" si="34"/>
        <v>-745.78577777778264</v>
      </c>
      <c r="X78" s="801">
        <f t="shared" ca="1" si="34"/>
        <v>-6215.7413333334262</v>
      </c>
      <c r="Y78" s="801">
        <f t="shared" ca="1" si="34"/>
        <v>-11685.696888888953</v>
      </c>
      <c r="Z78" s="801">
        <f t="shared" ca="1" si="34"/>
        <v>-17155.652444444364</v>
      </c>
      <c r="AA78" s="801">
        <f t="shared" ca="1" si="34"/>
        <v>-22625.608000000007</v>
      </c>
      <c r="AB78" s="801">
        <f t="shared" ca="1" si="34"/>
        <v>-28095.563555555535</v>
      </c>
      <c r="AC78" s="801">
        <f t="shared" ca="1" si="34"/>
        <v>-33565.519111111236</v>
      </c>
      <c r="AD78" s="801">
        <f t="shared" ca="1" si="34"/>
        <v>-39035.474666666589</v>
      </c>
      <c r="AE78" s="801">
        <f t="shared" ca="1" si="34"/>
        <v>-44505.430222222232</v>
      </c>
      <c r="AF78" s="533">
        <f t="shared" ca="1" si="34"/>
        <v>-49975.385777777759</v>
      </c>
      <c r="AG78" s="533">
        <f t="shared" ca="1" si="34"/>
        <v>-55445.341333333345</v>
      </c>
      <c r="AH78" s="533">
        <f t="shared" ca="1" si="34"/>
        <v>-60915.296888888843</v>
      </c>
      <c r="AI78" s="533">
        <f t="shared" ca="1" si="34"/>
        <v>-66385.252444444428</v>
      </c>
      <c r="AJ78" s="533">
        <f t="shared" ca="1" si="34"/>
        <v>-140975.43822222229</v>
      </c>
      <c r="AK78" s="533">
        <f t="shared" ca="1" si="34"/>
        <v>0</v>
      </c>
      <c r="AL78" s="533">
        <f ca="1">SUM(P78:AK78)</f>
        <v>-1040529.8026666667</v>
      </c>
      <c r="AM78" s="18"/>
      <c r="AN78" s="18"/>
      <c r="AO78" s="18"/>
      <c r="AP78" s="18"/>
      <c r="AQ78" s="18"/>
      <c r="AR78" s="18"/>
      <c r="AS78" s="18"/>
      <c r="AT78" s="18"/>
    </row>
    <row r="79" spans="2:46" outlineLevel="1" x14ac:dyDescent="0.45">
      <c r="D79" t="s">
        <v>1537</v>
      </c>
      <c r="F79" s="18"/>
      <c r="G79" s="18"/>
      <c r="I79" s="18"/>
      <c r="J79" s="18"/>
      <c r="K79" s="18"/>
      <c r="L79" s="18"/>
      <c r="N79" s="533"/>
      <c r="O79" s="533"/>
      <c r="P79" s="533"/>
      <c r="Q79" s="801">
        <f ca="1">'10. Inputs &amp; Calcs'!I148*0</f>
        <v>0</v>
      </c>
      <c r="R79" s="801">
        <f ca="1">'10. Inputs &amp; Calcs'!J148*0</f>
        <v>0</v>
      </c>
      <c r="S79" s="801">
        <f ca="1">'10. Inputs &amp; Calcs'!K148*0</f>
        <v>0</v>
      </c>
      <c r="T79" s="801"/>
      <c r="U79" s="801"/>
      <c r="V79" s="801"/>
      <c r="W79" s="801"/>
      <c r="X79" s="801"/>
      <c r="Y79" s="801"/>
      <c r="Z79" s="801"/>
      <c r="AA79" s="801"/>
      <c r="AB79" s="801"/>
      <c r="AC79" s="801"/>
      <c r="AD79" s="801"/>
      <c r="AE79" s="801"/>
      <c r="AF79" s="533"/>
      <c r="AG79" s="533"/>
      <c r="AH79" s="533"/>
      <c r="AI79" s="533"/>
      <c r="AJ79" s="533"/>
      <c r="AK79" s="533"/>
      <c r="AL79" s="533">
        <f ca="1">SUM(P79:AK79)</f>
        <v>0</v>
      </c>
      <c r="AM79" s="18"/>
      <c r="AN79" s="18"/>
      <c r="AO79" s="18"/>
      <c r="AP79" s="18"/>
      <c r="AQ79" s="18"/>
      <c r="AR79" s="18"/>
      <c r="AS79" s="18"/>
      <c r="AT79" s="18"/>
    </row>
    <row r="80" spans="2:46" outlineLevel="1" x14ac:dyDescent="0.45">
      <c r="D80" t="s">
        <v>1540</v>
      </c>
      <c r="F80" s="18"/>
      <c r="G80" s="18"/>
      <c r="I80" s="18"/>
      <c r="J80" s="18"/>
      <c r="K80" s="18"/>
      <c r="L80" s="18"/>
      <c r="N80" s="533"/>
      <c r="O80" s="533"/>
      <c r="P80" s="533">
        <f t="shared" ref="P80:AL80" si="35">P19</f>
        <v>1394850.75</v>
      </c>
      <c r="Q80" s="801">
        <f t="shared" si="35"/>
        <v>1386426.4642105261</v>
      </c>
      <c r="R80" s="801">
        <f t="shared" si="35"/>
        <v>1386426.4642105261</v>
      </c>
      <c r="S80" s="801">
        <f t="shared" si="35"/>
        <v>1386426.4642105261</v>
      </c>
      <c r="T80" s="801">
        <f t="shared" si="35"/>
        <v>154047.38491228069</v>
      </c>
      <c r="U80" s="801">
        <f t="shared" si="35"/>
        <v>154047.38491228069</v>
      </c>
      <c r="V80" s="801">
        <f t="shared" si="35"/>
        <v>154047.38491228069</v>
      </c>
      <c r="W80" s="801">
        <f t="shared" si="35"/>
        <v>154047.38491228069</v>
      </c>
      <c r="X80" s="801">
        <f t="shared" si="35"/>
        <v>154047.38491228069</v>
      </c>
      <c r="Y80" s="801">
        <f t="shared" si="35"/>
        <v>154047.38491228069</v>
      </c>
      <c r="Z80" s="801">
        <f t="shared" si="35"/>
        <v>154047.38491228069</v>
      </c>
      <c r="AA80" s="801">
        <f t="shared" si="35"/>
        <v>154047.38491228069</v>
      </c>
      <c r="AB80" s="801">
        <f t="shared" si="35"/>
        <v>154047.38491228069</v>
      </c>
      <c r="AC80" s="801">
        <f t="shared" si="35"/>
        <v>154047.38491228069</v>
      </c>
      <c r="AD80" s="801">
        <f t="shared" si="35"/>
        <v>154047.38491228069</v>
      </c>
      <c r="AE80" s="801">
        <f t="shared" si="35"/>
        <v>154047.38491228069</v>
      </c>
      <c r="AF80" s="533">
        <f t="shared" si="35"/>
        <v>154047.38491228069</v>
      </c>
      <c r="AG80" s="533">
        <f t="shared" si="35"/>
        <v>154047.38491228069</v>
      </c>
      <c r="AH80" s="533">
        <f t="shared" si="35"/>
        <v>154047.38491228069</v>
      </c>
      <c r="AI80" s="533">
        <f t="shared" si="35"/>
        <v>154047.38491228069</v>
      </c>
      <c r="AJ80" s="533">
        <f t="shared" si="35"/>
        <v>308094.76982456137</v>
      </c>
      <c r="AK80" s="533">
        <f t="shared" si="35"/>
        <v>0</v>
      </c>
      <c r="AL80" s="533">
        <f t="shared" si="35"/>
        <v>6932132.3210526258</v>
      </c>
      <c r="AM80" s="18"/>
      <c r="AN80" s="18"/>
      <c r="AO80" s="18"/>
      <c r="AP80" s="18"/>
      <c r="AQ80" s="18"/>
      <c r="AR80" s="18"/>
      <c r="AS80" s="18"/>
      <c r="AT80" s="18"/>
    </row>
    <row r="81" spans="1:46" outlineLevel="1" x14ac:dyDescent="0.45">
      <c r="D81" t="s">
        <v>379</v>
      </c>
      <c r="F81" s="18"/>
      <c r="G81" s="18"/>
      <c r="I81" s="18"/>
      <c r="J81" s="18"/>
      <c r="K81" s="18"/>
      <c r="L81" s="18"/>
      <c r="N81" s="533"/>
      <c r="O81" s="533"/>
      <c r="P81" s="533">
        <f t="shared" ref="P81:AL81" si="36">-P21</f>
        <v>-554558.53</v>
      </c>
      <c r="Q81" s="801">
        <f t="shared" si="36"/>
        <v>-475120.84724420751</v>
      </c>
      <c r="R81" s="801">
        <f t="shared" si="36"/>
        <v>-475120.84724420751</v>
      </c>
      <c r="S81" s="801">
        <f t="shared" si="36"/>
        <v>-475120.84724420751</v>
      </c>
      <c r="T81" s="801">
        <f t="shared" si="36"/>
        <v>-52791.205249356397</v>
      </c>
      <c r="U81" s="801">
        <f t="shared" si="36"/>
        <v>-52791.205249356397</v>
      </c>
      <c r="V81" s="801">
        <f t="shared" si="36"/>
        <v>-52791.205249356397</v>
      </c>
      <c r="W81" s="801">
        <f t="shared" si="36"/>
        <v>-52791.205249356397</v>
      </c>
      <c r="X81" s="801">
        <f t="shared" si="36"/>
        <v>-52791.205249356397</v>
      </c>
      <c r="Y81" s="801">
        <f t="shared" si="36"/>
        <v>-52791.205249356397</v>
      </c>
      <c r="Z81" s="801">
        <f t="shared" si="36"/>
        <v>-52791.205249356397</v>
      </c>
      <c r="AA81" s="801">
        <f t="shared" si="36"/>
        <v>-52791.205249356397</v>
      </c>
      <c r="AB81" s="801">
        <f t="shared" si="36"/>
        <v>-52791.205249356397</v>
      </c>
      <c r="AC81" s="801">
        <f t="shared" si="36"/>
        <v>-52791.205249356397</v>
      </c>
      <c r="AD81" s="801">
        <f t="shared" si="36"/>
        <v>-52791.205249356397</v>
      </c>
      <c r="AE81" s="801">
        <f t="shared" si="36"/>
        <v>-52791.205249356397</v>
      </c>
      <c r="AF81" s="533">
        <f t="shared" si="36"/>
        <v>-52791.205249356397</v>
      </c>
      <c r="AG81" s="533">
        <f t="shared" si="36"/>
        <v>-52791.205249356397</v>
      </c>
      <c r="AH81" s="533">
        <f t="shared" si="36"/>
        <v>-52791.205249356397</v>
      </c>
      <c r="AI81" s="533">
        <f t="shared" si="36"/>
        <v>-52791.205249356397</v>
      </c>
      <c r="AJ81" s="533">
        <f t="shared" si="36"/>
        <v>-105582.41049871279</v>
      </c>
      <c r="AK81" s="533">
        <f t="shared" si="36"/>
        <v>0</v>
      </c>
      <c r="AL81" s="533">
        <f t="shared" si="36"/>
        <v>-2375604.2362210331</v>
      </c>
      <c r="AM81" s="18"/>
      <c r="AN81" s="18"/>
      <c r="AO81" s="18"/>
      <c r="AP81" s="18"/>
      <c r="AQ81" s="18"/>
      <c r="AR81" s="18"/>
      <c r="AS81" s="18"/>
      <c r="AT81" s="18"/>
    </row>
    <row r="82" spans="1:46" outlineLevel="1" x14ac:dyDescent="0.45">
      <c r="D82" t="s">
        <v>1545</v>
      </c>
      <c r="F82" s="18"/>
      <c r="G82" s="18"/>
      <c r="I82" s="18"/>
      <c r="J82" s="18"/>
      <c r="K82" s="18"/>
      <c r="L82" s="18"/>
      <c r="N82" s="533"/>
      <c r="O82" s="533"/>
      <c r="P82" s="533">
        <f t="shared" ref="P82:AL82" si="37">-P80-P81</f>
        <v>-840292.22</v>
      </c>
      <c r="Q82" s="801">
        <f t="shared" si="37"/>
        <v>-911305.61696631857</v>
      </c>
      <c r="R82" s="801">
        <f t="shared" si="37"/>
        <v>-911305.61696631857</v>
      </c>
      <c r="S82" s="801">
        <f t="shared" si="37"/>
        <v>-911305.61696631857</v>
      </c>
      <c r="T82" s="801">
        <f t="shared" si="37"/>
        <v>-101256.17966292429</v>
      </c>
      <c r="U82" s="801">
        <f t="shared" si="37"/>
        <v>-101256.17966292429</v>
      </c>
      <c r="V82" s="801">
        <f t="shared" si="37"/>
        <v>-101256.17966292429</v>
      </c>
      <c r="W82" s="801">
        <f t="shared" si="37"/>
        <v>-101256.17966292429</v>
      </c>
      <c r="X82" s="801">
        <f t="shared" si="37"/>
        <v>-101256.17966292429</v>
      </c>
      <c r="Y82" s="801">
        <f t="shared" si="37"/>
        <v>-101256.17966292429</v>
      </c>
      <c r="Z82" s="801">
        <f t="shared" si="37"/>
        <v>-101256.17966292429</v>
      </c>
      <c r="AA82" s="801">
        <f t="shared" si="37"/>
        <v>-101256.17966292429</v>
      </c>
      <c r="AB82" s="801">
        <f t="shared" si="37"/>
        <v>-101256.17966292429</v>
      </c>
      <c r="AC82" s="801">
        <f t="shared" si="37"/>
        <v>-101256.17966292429</v>
      </c>
      <c r="AD82" s="801">
        <f t="shared" si="37"/>
        <v>-101256.17966292429</v>
      </c>
      <c r="AE82" s="801">
        <f t="shared" si="37"/>
        <v>-101256.17966292429</v>
      </c>
      <c r="AF82" s="533">
        <f t="shared" si="37"/>
        <v>-101256.17966292429</v>
      </c>
      <c r="AG82" s="533">
        <f t="shared" si="37"/>
        <v>-101256.17966292429</v>
      </c>
      <c r="AH82" s="533">
        <f t="shared" si="37"/>
        <v>-101256.17966292429</v>
      </c>
      <c r="AI82" s="533">
        <f t="shared" si="37"/>
        <v>-101256.17966292429</v>
      </c>
      <c r="AJ82" s="533">
        <f t="shared" si="37"/>
        <v>-202512.35932584858</v>
      </c>
      <c r="AK82" s="533">
        <f t="shared" si="37"/>
        <v>0</v>
      </c>
      <c r="AL82" s="533">
        <f t="shared" si="37"/>
        <v>-4556528.0848315926</v>
      </c>
      <c r="AM82" s="18"/>
      <c r="AN82" s="18"/>
      <c r="AO82" s="18"/>
      <c r="AP82" s="18"/>
      <c r="AQ82" s="18"/>
      <c r="AR82" s="18"/>
      <c r="AS82" s="18"/>
      <c r="AT82" s="18"/>
    </row>
    <row r="83" spans="1:46" outlineLevel="1" x14ac:dyDescent="0.45">
      <c r="D83" t="s">
        <v>1544</v>
      </c>
      <c r="F83" s="18"/>
      <c r="G83" s="18"/>
      <c r="I83" s="18"/>
      <c r="J83" s="18"/>
      <c r="K83" s="18"/>
      <c r="L83" s="18"/>
      <c r="N83" s="535"/>
      <c r="O83" s="535"/>
      <c r="P83" s="535">
        <f>SUM(P76:P82)</f>
        <v>1018152.3599999999</v>
      </c>
      <c r="Q83" s="1135">
        <f t="shared" ref="Q83:AL83" ca="1" si="38">SUM(Q76:Q82)</f>
        <v>912981.08799999999</v>
      </c>
      <c r="R83" s="1135">
        <f ca="1">SUM(R76:R82)</f>
        <v>758580.21600000001</v>
      </c>
      <c r="S83" s="1135">
        <f t="shared" ca="1" si="38"/>
        <v>554949.74399999995</v>
      </c>
      <c r="T83" s="1135">
        <f t="shared" ca="1" si="38"/>
        <v>567878.84711111104</v>
      </c>
      <c r="U83" s="1135">
        <f t="shared" ca="1" si="38"/>
        <v>575337.99466666672</v>
      </c>
      <c r="V83" s="1135">
        <f t="shared" ca="1" si="38"/>
        <v>577327.18666666653</v>
      </c>
      <c r="W83" s="1135">
        <f t="shared" ca="1" si="38"/>
        <v>576581.40088888886</v>
      </c>
      <c r="X83" s="1135">
        <f t="shared" ca="1" si="38"/>
        <v>570365.65955555555</v>
      </c>
      <c r="Y83" s="1135">
        <f t="shared" ca="1" si="38"/>
        <v>558679.9626666666</v>
      </c>
      <c r="Z83" s="1135">
        <f t="shared" ca="1" si="38"/>
        <v>541524.31022222224</v>
      </c>
      <c r="AA83" s="1135">
        <f t="shared" ca="1" si="38"/>
        <v>518898.70222222223</v>
      </c>
      <c r="AB83" s="1135">
        <f t="shared" ca="1" si="38"/>
        <v>490803.13866666681</v>
      </c>
      <c r="AC83" s="1135">
        <f t="shared" ca="1" si="38"/>
        <v>457237.61955555552</v>
      </c>
      <c r="AD83" s="1135">
        <f t="shared" ca="1" si="38"/>
        <v>418202.14488888893</v>
      </c>
      <c r="AE83" s="1135">
        <f t="shared" ca="1" si="38"/>
        <v>373696.7146666667</v>
      </c>
      <c r="AF83" s="535">
        <f t="shared" ca="1" si="38"/>
        <v>323721.32888888894</v>
      </c>
      <c r="AG83" s="535">
        <f t="shared" ca="1" si="38"/>
        <v>268275.98755555553</v>
      </c>
      <c r="AH83" s="535">
        <f t="shared" ca="1" si="38"/>
        <v>207360.69066666669</v>
      </c>
      <c r="AI83" s="535">
        <f t="shared" ca="1" si="38"/>
        <v>140975.43822222229</v>
      </c>
      <c r="AJ83" s="535">
        <f t="shared" ca="1" si="38"/>
        <v>0</v>
      </c>
      <c r="AK83" s="535">
        <f t="shared" ca="1" si="38"/>
        <v>0</v>
      </c>
      <c r="AL83" s="535">
        <f t="shared" ca="1" si="38"/>
        <v>0</v>
      </c>
      <c r="AM83" s="18"/>
      <c r="AN83" s="18"/>
      <c r="AO83" s="18"/>
      <c r="AP83" s="18"/>
      <c r="AQ83" s="18"/>
      <c r="AR83" s="18"/>
      <c r="AS83" s="18"/>
      <c r="AT83" s="18"/>
    </row>
    <row r="84" spans="1:46" outlineLevel="1" x14ac:dyDescent="0.45">
      <c r="F84" s="18"/>
      <c r="G84" s="18"/>
      <c r="I84" s="18"/>
      <c r="J84" s="18"/>
      <c r="K84" s="18"/>
      <c r="L84" s="18"/>
      <c r="P84" s="533">
        <f>SUMIF('10. Inputs &amp; Calcs'!$D$628:$D$633,$E$10,'10. Inputs &amp; Calcs'!H$628:H$633)</f>
        <v>1018152.36</v>
      </c>
      <c r="Q84" s="801">
        <f>SUMIF('10. Inputs &amp; Calcs'!$D$628:$D$633,$E$10,'10. Inputs &amp; Calcs'!I$628:I$633)</f>
        <v>912981.08799999999</v>
      </c>
      <c r="R84" s="801">
        <f>SUMIF('10. Inputs &amp; Calcs'!$D$628:$D$633,$E$10,'10. Inputs &amp; Calcs'!J$628:J$633)</f>
        <v>758580.21600000001</v>
      </c>
      <c r="S84" s="801">
        <f>SUMIF('10. Inputs &amp; Calcs'!$D$628:$D$633,$E$10,'10. Inputs &amp; Calcs'!K$628:K$633)</f>
        <v>554949.74399999995</v>
      </c>
      <c r="T84" s="801">
        <f>SUMIF('10. Inputs &amp; Calcs'!$D$628:$D$633,$E$10,'10. Inputs &amp; Calcs'!L$628:L$633)</f>
        <v>567878.84711111104</v>
      </c>
      <c r="U84" s="801">
        <f>SUMIF('10. Inputs &amp; Calcs'!$D$628:$D$633,$E$10,'10. Inputs &amp; Calcs'!M$628:M$633)</f>
        <v>575337.99466666661</v>
      </c>
      <c r="V84" s="801">
        <f>SUMIF('10. Inputs &amp; Calcs'!$D$628:$D$633,$E$10,'10. Inputs &amp; Calcs'!N$628:N$633)</f>
        <v>577327.18666666653</v>
      </c>
      <c r="W84" s="801">
        <f>SUMIF('10. Inputs &amp; Calcs'!$D$628:$D$633,$E$10,'10. Inputs &amp; Calcs'!O$628:O$633)</f>
        <v>576581.40088888875</v>
      </c>
      <c r="X84" s="801">
        <f>SUMIF('10. Inputs &amp; Calcs'!$D$628:$D$633,$E$10,'10. Inputs &amp; Calcs'!P$628:P$633)</f>
        <v>570365.65955555544</v>
      </c>
      <c r="Y84" s="801">
        <f>SUMIF('10. Inputs &amp; Calcs'!$D$628:$D$633,$E$10,'10. Inputs &amp; Calcs'!Q$628:Q$633)</f>
        <v>558679.9626666666</v>
      </c>
      <c r="Z84" s="801">
        <f>SUMIF('10. Inputs &amp; Calcs'!$D$628:$D$633,$E$10,'10. Inputs &amp; Calcs'!R$628:R$633)</f>
        <v>541524.31022222224</v>
      </c>
      <c r="AA84" s="801">
        <f>SUMIF('10. Inputs &amp; Calcs'!$D$628:$D$633,$E$10,'10. Inputs &amp; Calcs'!S$628:S$633)</f>
        <v>518898.70222222223</v>
      </c>
      <c r="AB84" s="801">
        <f>SUMIF('10. Inputs &amp; Calcs'!$D$628:$D$633,$E$10,'10. Inputs &amp; Calcs'!T$628:T$633)</f>
        <v>490803.13866666669</v>
      </c>
      <c r="AC84" s="801">
        <f>SUMIF('10. Inputs &amp; Calcs'!$D$628:$D$633,$E$10,'10. Inputs &amp; Calcs'!U$628:U$633)</f>
        <v>457237.61955555558</v>
      </c>
      <c r="AD84" s="801">
        <f>SUMIF('10. Inputs &amp; Calcs'!$D$628:$D$633,$E$10,'10. Inputs &amp; Calcs'!V$628:V$633)</f>
        <v>418202.14488888893</v>
      </c>
      <c r="AE84" s="801">
        <f>SUMIF('10. Inputs &amp; Calcs'!$D$628:$D$633,$E$10,'10. Inputs &amp; Calcs'!W$628:W$633)</f>
        <v>373696.7146666667</v>
      </c>
      <c r="AF84" s="533">
        <f>SUMIF('10. Inputs &amp; Calcs'!$D$628:$D$633,$E$10,'10. Inputs &amp; Calcs'!X$628:X$633)</f>
        <v>323721.32888888894</v>
      </c>
      <c r="AG84" s="533">
        <f>SUMIF('10. Inputs &amp; Calcs'!$D$628:$D$633,$E$10,'10. Inputs &amp; Calcs'!Y$628:Y$633)</f>
        <v>268275.98755555559</v>
      </c>
      <c r="AH84" s="533">
        <f>SUMIF('10. Inputs &amp; Calcs'!$D$628:$D$633,$E$10,'10. Inputs &amp; Calcs'!Z$628:Z$633)</f>
        <v>207360.69066666669</v>
      </c>
      <c r="AI84" s="533">
        <f>SUMIF('10. Inputs &amp; Calcs'!$D$628:$D$633,$E$10,'10. Inputs &amp; Calcs'!AA$628:AA$633)</f>
        <v>140975.43822222226</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outlineLevel="1" x14ac:dyDescent="0.45">
      <c r="D86" t="s">
        <v>1539</v>
      </c>
      <c r="F86" s="18"/>
      <c r="G86" s="18"/>
      <c r="I86" s="18"/>
      <c r="J86" s="18"/>
      <c r="K86" s="18"/>
      <c r="L86" s="18"/>
      <c r="O86" s="533"/>
      <c r="P86" s="533">
        <f>SUMIF('10. Inputs &amp; Calcs'!$D$396:$D$400,$E$10,'10. Inputs &amp; Calcs'!$H$396:$H$400)</f>
        <v>8780700.9399999995</v>
      </c>
      <c r="Q86" s="801">
        <f t="shared" ref="Q86:AK86" si="39">P93</f>
        <v>9094120.9399999995</v>
      </c>
      <c r="R86" s="801">
        <f t="shared" si="39"/>
        <v>10167127.404210525</v>
      </c>
      <c r="S86" s="801">
        <f t="shared" si="39"/>
        <v>11553553.868421052</v>
      </c>
      <c r="T86" s="801">
        <f t="shared" si="39"/>
        <v>12939980.332631577</v>
      </c>
      <c r="U86" s="801">
        <f t="shared" si="39"/>
        <v>13094027.717543859</v>
      </c>
      <c r="V86" s="801">
        <f t="shared" si="39"/>
        <v>13248075.102456138</v>
      </c>
      <c r="W86" s="801">
        <f t="shared" si="39"/>
        <v>13402122.487368422</v>
      </c>
      <c r="X86" s="801">
        <f t="shared" si="39"/>
        <v>13556169.8722807</v>
      </c>
      <c r="Y86" s="801">
        <f t="shared" si="39"/>
        <v>13710217.25719298</v>
      </c>
      <c r="Z86" s="801">
        <f t="shared" si="39"/>
        <v>13864264.642105261</v>
      </c>
      <c r="AA86" s="801">
        <f t="shared" si="39"/>
        <v>14018312.027017543</v>
      </c>
      <c r="AB86" s="801">
        <f t="shared" si="39"/>
        <v>14172359.411929823</v>
      </c>
      <c r="AC86" s="801">
        <f t="shared" si="39"/>
        <v>14326406.796842102</v>
      </c>
      <c r="AD86" s="801">
        <f t="shared" si="39"/>
        <v>14480454.181754386</v>
      </c>
      <c r="AE86" s="801">
        <f t="shared" si="39"/>
        <v>14634501.566666665</v>
      </c>
      <c r="AF86" s="533">
        <f t="shared" si="39"/>
        <v>14788548.951578943</v>
      </c>
      <c r="AG86" s="533">
        <f t="shared" si="39"/>
        <v>14942596.336491229</v>
      </c>
      <c r="AH86" s="533">
        <f t="shared" si="39"/>
        <v>15096643.721403508</v>
      </c>
      <c r="AI86" s="533">
        <f t="shared" si="39"/>
        <v>15250691.106315788</v>
      </c>
      <c r="AJ86" s="533">
        <f t="shared" si="39"/>
        <v>15404738.491228066</v>
      </c>
      <c r="AK86" s="533">
        <f t="shared" si="39"/>
        <v>-308094.76982455887</v>
      </c>
      <c r="AL86" s="533">
        <f>P86</f>
        <v>8780700.9399999995</v>
      </c>
      <c r="AM86" s="18"/>
      <c r="AN86" s="18"/>
      <c r="AO86" s="18"/>
      <c r="AP86" s="18"/>
      <c r="AQ86" s="18"/>
      <c r="AR86" s="18"/>
      <c r="AS86" s="18"/>
      <c r="AT86" s="18"/>
    </row>
    <row r="87" spans="1:46" outlineLevel="1" x14ac:dyDescent="0.45">
      <c r="D87" t="s">
        <v>1546</v>
      </c>
      <c r="F87" s="18"/>
      <c r="G87" s="18"/>
      <c r="I87" s="18"/>
      <c r="J87" s="18"/>
      <c r="K87" s="18"/>
      <c r="L87" s="18"/>
      <c r="N87" s="533"/>
      <c r="O87" s="533"/>
      <c r="P87" s="533">
        <f t="shared" ref="P87:Y87" si="40">IF(P94&gt;P86,P94-P86-P89,0)</f>
        <v>0</v>
      </c>
      <c r="Q87" s="801">
        <f>IF(Q94&gt;Q86,Q94-Q86-Q89,0)</f>
        <v>1073006.4642105252</v>
      </c>
      <c r="R87" s="801">
        <f t="shared" si="40"/>
        <v>1386426.464210527</v>
      </c>
      <c r="S87" s="801">
        <f t="shared" si="40"/>
        <v>1386426.4642105252</v>
      </c>
      <c r="T87" s="801">
        <f t="shared" si="40"/>
        <v>154047.38491228223</v>
      </c>
      <c r="U87" s="801">
        <f t="shared" si="40"/>
        <v>154047.38491228037</v>
      </c>
      <c r="V87" s="801">
        <f t="shared" si="40"/>
        <v>154047.38491228223</v>
      </c>
      <c r="W87" s="801">
        <f t="shared" si="40"/>
        <v>154047.3849122785</v>
      </c>
      <c r="X87" s="801">
        <f t="shared" si="40"/>
        <v>154047.38491228037</v>
      </c>
      <c r="Y87" s="801">
        <f t="shared" si="40"/>
        <v>154047.38491228037</v>
      </c>
      <c r="Z87" s="801">
        <f t="shared" ref="Z87:AK87" si="41">IF(Z94&gt;Z86,Z94-Z86-Z89,0)</f>
        <v>154047.38491228223</v>
      </c>
      <c r="AA87" s="801">
        <f t="shared" si="41"/>
        <v>154047.38491228037</v>
      </c>
      <c r="AB87" s="801">
        <f t="shared" si="41"/>
        <v>154047.38491228037</v>
      </c>
      <c r="AC87" s="801">
        <f t="shared" si="41"/>
        <v>154047.38491228223</v>
      </c>
      <c r="AD87" s="801">
        <f t="shared" si="41"/>
        <v>154047.3849122785</v>
      </c>
      <c r="AE87" s="801">
        <f t="shared" si="41"/>
        <v>154047.38491228037</v>
      </c>
      <c r="AF87" s="533">
        <f t="shared" si="41"/>
        <v>154047.38491228409</v>
      </c>
      <c r="AG87" s="533">
        <f t="shared" si="41"/>
        <v>154047.3849122785</v>
      </c>
      <c r="AH87" s="533">
        <f t="shared" si="41"/>
        <v>154047.38491228037</v>
      </c>
      <c r="AI87" s="533">
        <f t="shared" si="41"/>
        <v>154047.38491228037</v>
      </c>
      <c r="AJ87" s="533">
        <f t="shared" si="41"/>
        <v>0</v>
      </c>
      <c r="AK87" s="533">
        <f t="shared" si="41"/>
        <v>308094.76982455887</v>
      </c>
      <c r="AL87" s="533">
        <f>SUM(P87:AK87)</f>
        <v>6618712.3210526276</v>
      </c>
      <c r="AM87" s="18"/>
      <c r="AN87" s="18"/>
      <c r="AO87" s="18"/>
      <c r="AP87" s="18"/>
      <c r="AQ87" s="18"/>
      <c r="AR87" s="18"/>
      <c r="AS87" s="18"/>
      <c r="AT87" s="18"/>
    </row>
    <row r="88" spans="1:46"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outlineLevel="1" x14ac:dyDescent="0.45">
      <c r="A89">
        <v>0</v>
      </c>
      <c r="D89" t="s">
        <v>1537</v>
      </c>
      <c r="F89" s="18"/>
      <c r="G89" s="18"/>
      <c r="I89" s="18"/>
      <c r="J89" s="18"/>
      <c r="K89" s="18"/>
      <c r="L89" s="18"/>
      <c r="N89" s="533"/>
      <c r="O89" s="533"/>
      <c r="P89" s="533">
        <f>SUMIF('10. Inputs &amp; Calcs'!$D$143:$D$148,$E$10,'10. Inputs &amp; Calcs'!$H$143:$H$148)</f>
        <v>313420</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-15399413.261052625</v>
      </c>
      <c r="AM89" s="18"/>
      <c r="AN89" s="18"/>
      <c r="AO89" s="18"/>
      <c r="AP89" s="18"/>
      <c r="AQ89" s="18"/>
      <c r="AR89" s="18"/>
      <c r="AS89" s="18"/>
      <c r="AT89" s="18"/>
    </row>
    <row r="90" spans="1:46" outlineLevel="1" x14ac:dyDescent="0.45">
      <c r="D90" t="s">
        <v>1542</v>
      </c>
      <c r="F90" s="18"/>
      <c r="G90" s="18"/>
      <c r="I90" s="18"/>
      <c r="J90" s="18"/>
      <c r="K90" s="18"/>
      <c r="L90" s="18"/>
      <c r="N90" s="533"/>
      <c r="O90" s="533"/>
      <c r="P90" s="533">
        <f t="shared" ref="P90:AL90" si="42">P23</f>
        <v>342866.4</v>
      </c>
      <c r="Q90" s="801">
        <f t="shared" si="42"/>
        <v>274293.12</v>
      </c>
      <c r="R90" s="801">
        <f t="shared" si="42"/>
        <v>205719.84</v>
      </c>
      <c r="S90" s="801">
        <f t="shared" si="42"/>
        <v>137146.56</v>
      </c>
      <c r="T90" s="801">
        <f t="shared" si="42"/>
        <v>129527.30666666667</v>
      </c>
      <c r="U90" s="801">
        <f t="shared" si="42"/>
        <v>121908.05333333334</v>
      </c>
      <c r="V90" s="801">
        <f t="shared" si="42"/>
        <v>114288.80000000002</v>
      </c>
      <c r="W90" s="801">
        <f t="shared" si="42"/>
        <v>106669.54666666668</v>
      </c>
      <c r="X90" s="801">
        <f t="shared" si="42"/>
        <v>99050.293333333335</v>
      </c>
      <c r="Y90" s="801">
        <f t="shared" si="42"/>
        <v>91431.040000000008</v>
      </c>
      <c r="Z90" s="801">
        <f t="shared" si="42"/>
        <v>83811.786666666667</v>
      </c>
      <c r="AA90" s="801">
        <f t="shared" si="42"/>
        <v>76192.53333333334</v>
      </c>
      <c r="AB90" s="801">
        <f t="shared" si="42"/>
        <v>68573.279999999999</v>
      </c>
      <c r="AC90" s="801">
        <f t="shared" si="42"/>
        <v>60954.026666666665</v>
      </c>
      <c r="AD90" s="801">
        <f t="shared" si="42"/>
        <v>53334.773333333331</v>
      </c>
      <c r="AE90" s="801">
        <f t="shared" si="42"/>
        <v>45715.520000000004</v>
      </c>
      <c r="AF90" s="533">
        <f t="shared" si="42"/>
        <v>38096.26666666667</v>
      </c>
      <c r="AG90" s="533">
        <f t="shared" si="42"/>
        <v>30477.013333333336</v>
      </c>
      <c r="AH90" s="533">
        <f t="shared" si="42"/>
        <v>22857.760000000002</v>
      </c>
      <c r="AI90" s="533">
        <f t="shared" si="42"/>
        <v>15238.506666666668</v>
      </c>
      <c r="AJ90" s="533">
        <f t="shared" si="42"/>
        <v>0</v>
      </c>
      <c r="AK90" s="533">
        <f t="shared" si="42"/>
        <v>0</v>
      </c>
      <c r="AL90" s="533">
        <f t="shared" si="42"/>
        <v>1775286.0266666668</v>
      </c>
      <c r="AM90" s="18"/>
      <c r="AN90" s="18"/>
      <c r="AO90" s="18"/>
      <c r="AP90" s="18"/>
      <c r="AQ90" s="18"/>
      <c r="AR90" s="18"/>
      <c r="AS90" s="18"/>
      <c r="AT90" s="18"/>
    </row>
    <row r="91" spans="1:46" outlineLevel="1" x14ac:dyDescent="0.45">
      <c r="D91" t="s">
        <v>1543</v>
      </c>
      <c r="F91" s="18"/>
      <c r="G91" s="18"/>
      <c r="I91" s="18"/>
      <c r="J91" s="18"/>
      <c r="K91" s="18"/>
      <c r="L91" s="18"/>
      <c r="N91" s="533"/>
      <c r="O91" s="533"/>
      <c r="P91" s="533">
        <f t="shared" ref="P91:AL91" si="43">-P25</f>
        <v>-219792.4</v>
      </c>
      <c r="Q91" s="801">
        <f t="shared" si="43"/>
        <v>-175833.91999999998</v>
      </c>
      <c r="R91" s="801">
        <f t="shared" si="43"/>
        <v>-131875.43999999997</v>
      </c>
      <c r="S91" s="801">
        <f t="shared" si="43"/>
        <v>-87916.959999999992</v>
      </c>
      <c r="T91" s="801">
        <f t="shared" si="43"/>
        <v>-83032.684444444443</v>
      </c>
      <c r="U91" s="801">
        <f t="shared" si="43"/>
        <v>-78148.408888888895</v>
      </c>
      <c r="V91" s="801">
        <f t="shared" si="43"/>
        <v>-73264.133333333331</v>
      </c>
      <c r="W91" s="801">
        <f t="shared" si="43"/>
        <v>-68379.857777777783</v>
      </c>
      <c r="X91" s="801">
        <f t="shared" si="43"/>
        <v>-63495.58222222222</v>
      </c>
      <c r="Y91" s="801">
        <f t="shared" si="43"/>
        <v>-58611.306666666664</v>
      </c>
      <c r="Z91" s="801">
        <f t="shared" si="43"/>
        <v>-53727.031111111108</v>
      </c>
      <c r="AA91" s="801">
        <f t="shared" si="43"/>
        <v>-48842.755555555552</v>
      </c>
      <c r="AB91" s="801">
        <f t="shared" si="43"/>
        <v>-43958.479999999996</v>
      </c>
      <c r="AC91" s="801">
        <f t="shared" si="43"/>
        <v>-39074.20444444444</v>
      </c>
      <c r="AD91" s="801">
        <f t="shared" si="43"/>
        <v>-34189.928888888884</v>
      </c>
      <c r="AE91" s="801">
        <f t="shared" si="43"/>
        <v>-29305.653333333332</v>
      </c>
      <c r="AF91" s="533">
        <f t="shared" si="43"/>
        <v>-24421.377777777776</v>
      </c>
      <c r="AG91" s="533">
        <f t="shared" si="43"/>
        <v>-19537.102222222224</v>
      </c>
      <c r="AH91" s="533">
        <f t="shared" si="43"/>
        <v>-14652.826666666666</v>
      </c>
      <c r="AI91" s="533">
        <f t="shared" si="43"/>
        <v>-9768.5511111111118</v>
      </c>
      <c r="AJ91" s="533">
        <f t="shared" si="43"/>
        <v>0</v>
      </c>
      <c r="AK91" s="533">
        <f t="shared" si="43"/>
        <v>0</v>
      </c>
      <c r="AL91" s="533">
        <f t="shared" si="43"/>
        <v>-1138036.2044444445</v>
      </c>
      <c r="AM91" s="18"/>
      <c r="AN91" s="18"/>
      <c r="AO91" s="18"/>
      <c r="AP91" s="18"/>
      <c r="AQ91" s="18"/>
      <c r="AR91" s="18"/>
      <c r="AS91" s="18"/>
      <c r="AT91" s="18"/>
    </row>
    <row r="92" spans="1:46" outlineLevel="1" x14ac:dyDescent="0.45">
      <c r="D92" t="s">
        <v>1545</v>
      </c>
      <c r="F92" s="18"/>
      <c r="G92" s="18"/>
      <c r="I92" s="18"/>
      <c r="J92" s="18"/>
      <c r="K92" s="18"/>
      <c r="L92" s="18"/>
      <c r="N92" s="533"/>
      <c r="O92" s="533"/>
      <c r="P92" s="533">
        <f t="shared" ref="P92:AL92" si="44">-P90-P91</f>
        <v>-123074.00000000003</v>
      </c>
      <c r="Q92" s="801">
        <f t="shared" si="44"/>
        <v>-98459.200000000012</v>
      </c>
      <c r="R92" s="801">
        <f t="shared" si="44"/>
        <v>-73844.400000000023</v>
      </c>
      <c r="S92" s="801">
        <f t="shared" si="44"/>
        <v>-49229.600000000006</v>
      </c>
      <c r="T92" s="801">
        <f t="shared" si="44"/>
        <v>-46494.622222222228</v>
      </c>
      <c r="U92" s="801">
        <f t="shared" si="44"/>
        <v>-43759.64444444445</v>
      </c>
      <c r="V92" s="801">
        <f t="shared" si="44"/>
        <v>-41024.666666666686</v>
      </c>
      <c r="W92" s="801">
        <f t="shared" si="44"/>
        <v>-38289.688888888893</v>
      </c>
      <c r="X92" s="801">
        <f t="shared" si="44"/>
        <v>-35554.711111111115</v>
      </c>
      <c r="Y92" s="801">
        <f t="shared" si="44"/>
        <v>-32819.733333333344</v>
      </c>
      <c r="Z92" s="801">
        <f t="shared" si="44"/>
        <v>-30084.755555555559</v>
      </c>
      <c r="AA92" s="801">
        <f t="shared" si="44"/>
        <v>-27349.777777777788</v>
      </c>
      <c r="AB92" s="801">
        <f t="shared" si="44"/>
        <v>-24614.800000000003</v>
      </c>
      <c r="AC92" s="801">
        <f t="shared" si="44"/>
        <v>-21879.822222222225</v>
      </c>
      <c r="AD92" s="801">
        <f t="shared" si="44"/>
        <v>-19144.844444444447</v>
      </c>
      <c r="AE92" s="801">
        <f t="shared" si="44"/>
        <v>-16409.866666666672</v>
      </c>
      <c r="AF92" s="533">
        <f t="shared" si="44"/>
        <v>-13674.888888888894</v>
      </c>
      <c r="AG92" s="533">
        <f t="shared" si="44"/>
        <v>-10939.911111111112</v>
      </c>
      <c r="AH92" s="533">
        <f t="shared" si="44"/>
        <v>-8204.9333333333361</v>
      </c>
      <c r="AI92" s="533">
        <f t="shared" si="44"/>
        <v>-5469.9555555555562</v>
      </c>
      <c r="AJ92" s="533">
        <f t="shared" si="44"/>
        <v>0</v>
      </c>
      <c r="AK92" s="533">
        <f t="shared" si="44"/>
        <v>0</v>
      </c>
      <c r="AL92" s="533">
        <f t="shared" si="44"/>
        <v>-637249.82222222234</v>
      </c>
      <c r="AM92" s="18"/>
      <c r="AN92" s="18"/>
      <c r="AO92" s="18"/>
      <c r="AP92" s="18"/>
      <c r="AQ92" s="18"/>
      <c r="AR92" s="18"/>
      <c r="AS92" s="18"/>
      <c r="AT92" s="18"/>
    </row>
    <row r="93" spans="1:46" outlineLevel="1" x14ac:dyDescent="0.45">
      <c r="D93" t="s">
        <v>1544</v>
      </c>
      <c r="F93" s="18"/>
      <c r="G93" s="18"/>
      <c r="I93" s="18"/>
      <c r="J93" s="18"/>
      <c r="K93" s="18"/>
      <c r="L93" s="18"/>
      <c r="N93" s="535"/>
      <c r="O93" s="535"/>
      <c r="P93" s="535">
        <f>SUM(P86:P92)</f>
        <v>9094120.9399999995</v>
      </c>
      <c r="Q93" s="1135">
        <f t="shared" ref="Q93:AL93" si="45">SUM(Q86:Q92)</f>
        <v>10167127.404210525</v>
      </c>
      <c r="R93" s="1135">
        <f t="shared" si="45"/>
        <v>11553553.868421052</v>
      </c>
      <c r="S93" s="1135">
        <f t="shared" si="45"/>
        <v>12939980.332631577</v>
      </c>
      <c r="T93" s="1135">
        <f>SUM(T86:T92)</f>
        <v>13094027.717543859</v>
      </c>
      <c r="U93" s="1135">
        <f t="shared" si="45"/>
        <v>13248075.102456138</v>
      </c>
      <c r="V93" s="1135">
        <f t="shared" si="45"/>
        <v>13402122.487368422</v>
      </c>
      <c r="W93" s="1135">
        <f t="shared" si="45"/>
        <v>13556169.8722807</v>
      </c>
      <c r="X93" s="1135">
        <f t="shared" si="45"/>
        <v>13710217.25719298</v>
      </c>
      <c r="Y93" s="1135">
        <f t="shared" si="45"/>
        <v>13864264.642105261</v>
      </c>
      <c r="Z93" s="1135">
        <f t="shared" si="45"/>
        <v>14018312.027017543</v>
      </c>
      <c r="AA93" s="1135">
        <f t="shared" si="45"/>
        <v>14172359.411929823</v>
      </c>
      <c r="AB93" s="1135">
        <f t="shared" si="45"/>
        <v>14326406.796842102</v>
      </c>
      <c r="AC93" s="1135">
        <f t="shared" si="45"/>
        <v>14480454.181754386</v>
      </c>
      <c r="AD93" s="1135">
        <f t="shared" si="45"/>
        <v>14634501.566666665</v>
      </c>
      <c r="AE93" s="1135">
        <f t="shared" si="45"/>
        <v>14788548.951578943</v>
      </c>
      <c r="AF93" s="535">
        <f t="shared" si="45"/>
        <v>14942596.336491229</v>
      </c>
      <c r="AG93" s="535">
        <f t="shared" si="45"/>
        <v>15096643.721403508</v>
      </c>
      <c r="AH93" s="535">
        <f t="shared" si="45"/>
        <v>15250691.106315788</v>
      </c>
      <c r="AI93" s="535">
        <f t="shared" si="45"/>
        <v>15404738.491228066</v>
      </c>
      <c r="AJ93" s="535">
        <f t="shared" si="45"/>
        <v>-308094.76982455887</v>
      </c>
      <c r="AK93" s="535">
        <f t="shared" si="45"/>
        <v>0</v>
      </c>
      <c r="AL93" s="535">
        <f t="shared" si="45"/>
        <v>1.862645149230957E-9</v>
      </c>
      <c r="AM93" s="18"/>
      <c r="AN93" s="18"/>
      <c r="AO93" s="18"/>
      <c r="AP93" s="18"/>
      <c r="AQ93" s="18"/>
      <c r="AR93" s="18"/>
      <c r="AS93" s="18"/>
      <c r="AT93" s="18"/>
    </row>
    <row r="94" spans="1:46" outlineLevel="1" x14ac:dyDescent="0.45">
      <c r="F94" s="18"/>
      <c r="G94" s="18"/>
      <c r="I94" s="18"/>
      <c r="J94" s="18"/>
      <c r="K94" s="18"/>
      <c r="L94" s="18"/>
      <c r="P94" s="533">
        <f>SUMIF('10. Inputs &amp; Calcs'!$D$396:$D$400,$E$10,'10. Inputs &amp; Calcs'!H$396:H$400)</f>
        <v>8780700.9399999995</v>
      </c>
      <c r="Q94" s="801">
        <f>SUMIF('10. Inputs &amp; Calcs'!$D$396:$D$400,$E$10,'10. Inputs &amp; Calcs'!I$396:I$400)</f>
        <v>10167127.404210525</v>
      </c>
      <c r="R94" s="801">
        <f>SUMIF('10. Inputs &amp; Calcs'!$D$396:$D$400,$E$10,'10. Inputs &amp; Calcs'!J$396:J$400)</f>
        <v>11553553.868421052</v>
      </c>
      <c r="S94" s="801">
        <f>SUMIF('10. Inputs &amp; Calcs'!$D$396:$D$400,$E$10,'10. Inputs &amp; Calcs'!K$396:K$400)</f>
        <v>12939980.332631577</v>
      </c>
      <c r="T94" s="801">
        <f>SUMIF('10. Inputs &amp; Calcs'!$D$396:$D$400,$E$10,'10. Inputs &amp; Calcs'!L$396:L$400)</f>
        <v>13094027.717543859</v>
      </c>
      <c r="U94" s="801">
        <f>SUMIF('10. Inputs &amp; Calcs'!$D$396:$D$400,$E$10,'10. Inputs &amp; Calcs'!M$396:M$400)</f>
        <v>13248075.102456139</v>
      </c>
      <c r="V94" s="801">
        <f>SUMIF('10. Inputs &amp; Calcs'!$D$396:$D$400,$E$10,'10. Inputs &amp; Calcs'!N$396:N$400)</f>
        <v>13402122.48736842</v>
      </c>
      <c r="W94" s="801">
        <f>SUMIF('10. Inputs &amp; Calcs'!$D$396:$D$400,$E$10,'10. Inputs &amp; Calcs'!O$396:O$400)</f>
        <v>13556169.8722807</v>
      </c>
      <c r="X94" s="801">
        <f>SUMIF('10. Inputs &amp; Calcs'!$D$396:$D$400,$E$10,'10. Inputs &amp; Calcs'!P$396:P$400)</f>
        <v>13710217.25719298</v>
      </c>
      <c r="Y94" s="801">
        <f>SUMIF('10. Inputs &amp; Calcs'!$D$396:$D$400,$E$10,'10. Inputs &amp; Calcs'!Q$396:Q$400)</f>
        <v>13864264.642105261</v>
      </c>
      <c r="Z94" s="801">
        <f>SUMIF('10. Inputs &amp; Calcs'!$D$396:$D$400,$E$10,'10. Inputs &amp; Calcs'!R$396:R$400)</f>
        <v>14018312.027017543</v>
      </c>
      <c r="AA94" s="801">
        <f>SUMIF('10. Inputs &amp; Calcs'!$D$396:$D$400,$E$10,'10. Inputs &amp; Calcs'!S$396:S$400)</f>
        <v>14172359.411929823</v>
      </c>
      <c r="AB94" s="801">
        <f>SUMIF('10. Inputs &amp; Calcs'!$D$396:$D$400,$E$10,'10. Inputs &amp; Calcs'!T$396:T$400)</f>
        <v>14326406.796842104</v>
      </c>
      <c r="AC94" s="801">
        <f>SUMIF('10. Inputs &amp; Calcs'!$D$396:$D$400,$E$10,'10. Inputs &amp; Calcs'!U$396:U$400)</f>
        <v>14480454.181754384</v>
      </c>
      <c r="AD94" s="801">
        <f>SUMIF('10. Inputs &amp; Calcs'!$D$396:$D$400,$E$10,'10. Inputs &amp; Calcs'!V$396:V$400)</f>
        <v>14634501.566666665</v>
      </c>
      <c r="AE94" s="801">
        <f>SUMIF('10. Inputs &amp; Calcs'!$D$396:$D$400,$E$10,'10. Inputs &amp; Calcs'!W$396:W$400)</f>
        <v>14788548.951578945</v>
      </c>
      <c r="AF94" s="533">
        <f>SUMIF('10. Inputs &amp; Calcs'!$D$396:$D$400,$E$10,'10. Inputs &amp; Calcs'!X$396:X$400)</f>
        <v>14942596.336491227</v>
      </c>
      <c r="AG94" s="533">
        <f>SUMIF('10. Inputs &amp; Calcs'!$D$396:$D$400,$E$10,'10. Inputs &amp; Calcs'!Y$396:Y$400)</f>
        <v>15096643.721403508</v>
      </c>
      <c r="AH94" s="533">
        <f>SUMIF('10. Inputs &amp; Calcs'!$D$396:$D$400,$E$10,'10. Inputs &amp; Calcs'!Z$396:Z$400)</f>
        <v>15250691.106315788</v>
      </c>
      <c r="AI94" s="533">
        <f>SUMIF('10. Inputs &amp; Calcs'!$D$396:$D$400,$E$10,'10. Inputs &amp; Calcs'!AA$396:AA$400)</f>
        <v>15404738.491228068</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outlineLevel="1" x14ac:dyDescent="0.45">
      <c r="F96" s="18"/>
      <c r="G96" s="18"/>
      <c r="I96" s="18"/>
      <c r="J96" s="18"/>
      <c r="K96" s="18"/>
      <c r="L96" s="18"/>
      <c r="P96" s="533">
        <f>P94-P95</f>
        <v>0</v>
      </c>
      <c r="Q96" s="801">
        <f t="shared" ref="Q96:AL96" si="46">Q94-Q95</f>
        <v>0</v>
      </c>
      <c r="R96" s="801">
        <f t="shared" si="46"/>
        <v>0</v>
      </c>
      <c r="S96" s="801">
        <f t="shared" si="46"/>
        <v>0</v>
      </c>
      <c r="T96" s="801">
        <f t="shared" si="46"/>
        <v>0</v>
      </c>
      <c r="U96" s="801">
        <f t="shared" si="46"/>
        <v>0</v>
      </c>
      <c r="V96" s="801">
        <f t="shared" si="46"/>
        <v>0</v>
      </c>
      <c r="W96" s="801">
        <f t="shared" si="46"/>
        <v>0</v>
      </c>
      <c r="X96" s="801">
        <f t="shared" si="46"/>
        <v>0</v>
      </c>
      <c r="Y96" s="801">
        <f t="shared" si="46"/>
        <v>0</v>
      </c>
      <c r="Z96" s="801">
        <f t="shared" si="46"/>
        <v>0</v>
      </c>
      <c r="AA96" s="801">
        <f t="shared" si="46"/>
        <v>0</v>
      </c>
      <c r="AB96" s="801">
        <f t="shared" si="46"/>
        <v>0</v>
      </c>
      <c r="AC96" s="801">
        <f t="shared" si="46"/>
        <v>0</v>
      </c>
      <c r="AD96" s="801">
        <f t="shared" si="46"/>
        <v>0</v>
      </c>
      <c r="AE96" s="801">
        <f t="shared" si="46"/>
        <v>0</v>
      </c>
      <c r="AF96" s="533">
        <f t="shared" si="46"/>
        <v>0</v>
      </c>
      <c r="AG96" s="533">
        <f t="shared" si="46"/>
        <v>0</v>
      </c>
      <c r="AH96" s="533">
        <f t="shared" si="46"/>
        <v>0</v>
      </c>
      <c r="AI96" s="533">
        <f t="shared" si="46"/>
        <v>0</v>
      </c>
      <c r="AJ96" s="533">
        <f t="shared" si="46"/>
        <v>0</v>
      </c>
      <c r="AK96" s="533">
        <f t="shared" si="46"/>
        <v>0</v>
      </c>
      <c r="AL96" s="533">
        <f t="shared" si="46"/>
        <v>0</v>
      </c>
      <c r="AM96" s="18"/>
      <c r="AN96" s="18"/>
      <c r="AO96" s="18"/>
      <c r="AP96" s="18"/>
      <c r="AQ96" s="18"/>
      <c r="AR96" s="18"/>
      <c r="AS96" s="18"/>
      <c r="AT96" s="18"/>
    </row>
    <row r="97" spans="3:46"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outlineLevel="1" x14ac:dyDescent="0.45">
      <c r="P101" s="896">
        <f>SUM(P99:P100)</f>
        <v>7399</v>
      </c>
      <c r="Q101" s="1137">
        <f t="shared" ref="Q101:AK101" si="47">SUM(Q99:Q100)</f>
        <v>7399</v>
      </c>
      <c r="R101" s="1137">
        <f t="shared" si="47"/>
        <v>7399</v>
      </c>
      <c r="S101" s="1137">
        <f t="shared" si="47"/>
        <v>7399</v>
      </c>
      <c r="T101" s="1137">
        <f t="shared" si="47"/>
        <v>7399</v>
      </c>
      <c r="U101" s="1137">
        <f t="shared" si="47"/>
        <v>7399</v>
      </c>
      <c r="V101" s="1137">
        <f t="shared" si="47"/>
        <v>7399</v>
      </c>
      <c r="W101" s="1137">
        <f t="shared" si="47"/>
        <v>7399</v>
      </c>
      <c r="X101" s="1137">
        <f t="shared" si="47"/>
        <v>7399</v>
      </c>
      <c r="Y101" s="1137">
        <f t="shared" si="47"/>
        <v>7399</v>
      </c>
      <c r="Z101" s="1137">
        <f t="shared" si="47"/>
        <v>7399</v>
      </c>
      <c r="AA101" s="1137">
        <f t="shared" si="47"/>
        <v>7399</v>
      </c>
      <c r="AB101" s="1137">
        <f t="shared" si="47"/>
        <v>7399</v>
      </c>
      <c r="AC101" s="1137">
        <f t="shared" si="47"/>
        <v>7399</v>
      </c>
      <c r="AD101" s="1137">
        <f t="shared" si="47"/>
        <v>7399</v>
      </c>
      <c r="AE101" s="1137">
        <f t="shared" si="47"/>
        <v>7399</v>
      </c>
      <c r="AF101" s="896">
        <f t="shared" si="47"/>
        <v>7399</v>
      </c>
      <c r="AG101" s="896">
        <f t="shared" si="47"/>
        <v>7399</v>
      </c>
      <c r="AH101" s="896">
        <f t="shared" si="47"/>
        <v>7399</v>
      </c>
      <c r="AI101" s="896">
        <f t="shared" si="47"/>
        <v>7399</v>
      </c>
      <c r="AJ101" s="896">
        <f t="shared" si="47"/>
        <v>7399</v>
      </c>
      <c r="AK101" s="896">
        <f t="shared" si="47"/>
        <v>0</v>
      </c>
      <c r="AL101" s="18"/>
      <c r="AM101" s="18"/>
      <c r="AN101" s="18"/>
      <c r="AO101" s="18"/>
      <c r="AP101" s="18"/>
      <c r="AQ101" s="18"/>
      <c r="AR101" s="18"/>
      <c r="AS101" s="18"/>
      <c r="AT101" s="18"/>
    </row>
    <row r="102" spans="3:46"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 Forecast Results'!N$1,'11. Table - Expenditure Review'!$F210:$W210)</f>
        <v>8.2142341369943306E-2</v>
      </c>
      <c r="O104" s="800">
        <f>SUMIF('11. Table - Expenditure Review'!$F$3:$W$3,'9. Forecast Results'!O$1,'11. Table - Expenditure Review'!$F210:$W210)</f>
        <v>0.53381492294990063</v>
      </c>
      <c r="P104" s="800">
        <f>SUMIF('11. Table - Expenditure Review'!$F$3:$W$3,'9. Forecast Results'!P$1,'11. Table - Expenditure Review'!$F210:$W210)</f>
        <v>0.39757553272276625</v>
      </c>
      <c r="Q104" s="916">
        <f t="shared" ref="Q104:AL104" si="48">IF(Q19&lt;&gt;0,Q21/Q19,0)</f>
        <v>0.34269458893714638</v>
      </c>
      <c r="R104" s="916">
        <f t="shared" si="48"/>
        <v>0.34269458893714638</v>
      </c>
      <c r="S104" s="916">
        <f t="shared" si="48"/>
        <v>0.34269458893714638</v>
      </c>
      <c r="T104" s="916">
        <f t="shared" si="48"/>
        <v>0.34269458893714638</v>
      </c>
      <c r="U104" s="916">
        <f t="shared" si="48"/>
        <v>0.34269458893714638</v>
      </c>
      <c r="V104" s="916">
        <f t="shared" si="48"/>
        <v>0.34269458893714638</v>
      </c>
      <c r="W104" s="916">
        <f t="shared" si="48"/>
        <v>0.34269458893714638</v>
      </c>
      <c r="X104" s="916">
        <f t="shared" si="48"/>
        <v>0.34269458893714638</v>
      </c>
      <c r="Y104" s="916">
        <f t="shared" si="48"/>
        <v>0.34269458893714638</v>
      </c>
      <c r="Z104" s="916">
        <f t="shared" si="48"/>
        <v>0.34269458893714638</v>
      </c>
      <c r="AA104" s="916">
        <f t="shared" si="48"/>
        <v>0.34269458893714638</v>
      </c>
      <c r="AB104" s="916">
        <f t="shared" si="48"/>
        <v>0.34269458893714638</v>
      </c>
      <c r="AC104" s="916">
        <f t="shared" si="48"/>
        <v>0.34269458893714638</v>
      </c>
      <c r="AD104" s="916">
        <f t="shared" si="48"/>
        <v>0.34269458893714638</v>
      </c>
      <c r="AE104" s="916">
        <f t="shared" si="48"/>
        <v>0.34269458893714638</v>
      </c>
      <c r="AF104" s="916">
        <f t="shared" si="48"/>
        <v>0.34269458893714638</v>
      </c>
      <c r="AG104" s="916">
        <f t="shared" si="48"/>
        <v>0.34269458893714638</v>
      </c>
      <c r="AH104" s="916">
        <f t="shared" si="48"/>
        <v>0.34269458893714638</v>
      </c>
      <c r="AI104" s="916">
        <f t="shared" si="48"/>
        <v>0.34269458893714638</v>
      </c>
      <c r="AJ104" s="916">
        <f t="shared" si="48"/>
        <v>0.34269458893714638</v>
      </c>
      <c r="AK104" s="916">
        <f t="shared" si="48"/>
        <v>0</v>
      </c>
      <c r="AL104" s="916">
        <f t="shared" si="48"/>
        <v>0.34269458893714594</v>
      </c>
    </row>
    <row r="105" spans="3:46" x14ac:dyDescent="0.45">
      <c r="C105" t="str">
        <f>'11. Table - Expenditure Review'!C211</f>
        <v>E1.44</v>
      </c>
      <c r="D105" t="str">
        <f>'11. Table - Expenditure Review'!E211</f>
        <v>Rental Collections/Rentals Raised</v>
      </c>
      <c r="N105" s="800">
        <f>SUMIF('11. Table - Expenditure Review'!$F$3:$W$3,'9. Forecast Results'!N$1,'11. Table - Expenditure Review'!$F211:$W211)</f>
        <v>0.58054868799097703</v>
      </c>
      <c r="O105" s="800">
        <f>SUMIF('11. Table - Expenditure Review'!$F$3:$W$3,'9. Forecast Results'!O$1,'11. Table - Expenditure Review'!$F211:$W211)</f>
        <v>0.44324765713763226</v>
      </c>
      <c r="P105" s="800">
        <f>SUMIF('11. Table - Expenditure Review'!$F$3:$W$3,'9. Forecast Results'!P$1,'11. Table - Expenditure Review'!$F211:$W211)</f>
        <v>0.64104385848248757</v>
      </c>
      <c r="Q105" s="916">
        <f t="shared" ref="Q105:AL105" si="49">IF(Q23&lt;&gt;0,Q25/Q23,0)</f>
        <v>0.64104385848248757</v>
      </c>
      <c r="R105" s="916">
        <f t="shared" si="49"/>
        <v>0.64104385848248757</v>
      </c>
      <c r="S105" s="916">
        <f t="shared" si="49"/>
        <v>0.64104385848248757</v>
      </c>
      <c r="T105" s="916">
        <f t="shared" si="49"/>
        <v>0.64104385848248757</v>
      </c>
      <c r="U105" s="916">
        <f t="shared" si="49"/>
        <v>0.64104385848248768</v>
      </c>
      <c r="V105" s="916">
        <f t="shared" si="49"/>
        <v>0.64104385848248757</v>
      </c>
      <c r="W105" s="916">
        <f t="shared" si="49"/>
        <v>0.64104385848248768</v>
      </c>
      <c r="X105" s="916">
        <f t="shared" si="49"/>
        <v>0.64104385848248757</v>
      </c>
      <c r="Y105" s="916">
        <f t="shared" si="49"/>
        <v>0.64104385848248757</v>
      </c>
      <c r="Z105" s="916">
        <f t="shared" si="49"/>
        <v>0.64104385848248757</v>
      </c>
      <c r="AA105" s="916">
        <f t="shared" si="49"/>
        <v>0.64104385848248757</v>
      </c>
      <c r="AB105" s="916">
        <f t="shared" si="49"/>
        <v>0.64104385848248757</v>
      </c>
      <c r="AC105" s="916">
        <f t="shared" si="49"/>
        <v>0.64104385848248757</v>
      </c>
      <c r="AD105" s="916">
        <f t="shared" si="49"/>
        <v>0.64104385848248757</v>
      </c>
      <c r="AE105" s="916">
        <f t="shared" si="49"/>
        <v>0.64104385848248757</v>
      </c>
      <c r="AF105" s="916">
        <f t="shared" si="49"/>
        <v>0.64104385848248757</v>
      </c>
      <c r="AG105" s="916">
        <f t="shared" si="49"/>
        <v>0.64104385848248768</v>
      </c>
      <c r="AH105" s="916">
        <f t="shared" si="49"/>
        <v>0.64104385848248757</v>
      </c>
      <c r="AI105" s="916">
        <f t="shared" si="49"/>
        <v>0.64104385848248768</v>
      </c>
      <c r="AJ105" s="916">
        <f t="shared" si="49"/>
        <v>0</v>
      </c>
      <c r="AK105" s="916">
        <f t="shared" si="49"/>
        <v>0</v>
      </c>
      <c r="AL105" s="916">
        <f t="shared" si="49"/>
        <v>0.64104385848248757</v>
      </c>
    </row>
    <row r="106" spans="3:46" x14ac:dyDescent="0.45">
      <c r="C106" t="str">
        <f>'11. Table - Expenditure Review'!C212</f>
        <v>E1.45</v>
      </c>
      <c r="D106" t="str">
        <f>'11. Table - Expenditure Review'!E212</f>
        <v>No. of Sales Accounts Where Any Collections Were Made/Sales Accounts Raised</v>
      </c>
      <c r="N106" s="800">
        <f>SUMIF('11. Table - Expenditure Review'!$F$3:$W$3,'9. Forecast Results'!N$1,'11. Table - Expenditure Review'!$F212:$W212)</f>
        <v>0.14444444444444443</v>
      </c>
      <c r="O106" s="800">
        <f>SUMIF('11. Table - Expenditure Review'!$F$3:$W$3,'9. Forecast Results'!O$1,'11. Table - Expenditure Review'!$F212:$W212)</f>
        <v>0.14772727272727273</v>
      </c>
      <c r="P106" s="800">
        <f>SUMIF('11. Table - Expenditure Review'!$F$3:$W$3,'9. Forecast Results'!P$1,'11. Table - Expenditure Review'!$F212:$W212)</f>
        <v>0.12048192771084337</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 Forecast Results'!N$1,'11. Table - Expenditure Review'!$F213:$W213)</f>
        <v>0.73734939759036144</v>
      </c>
      <c r="O107" s="800">
        <f>SUMIF('11. Table - Expenditure Review'!$F$3:$W$3,'9. Forecast Results'!O$1,'11. Table - Expenditure Review'!$F213:$W213)</f>
        <v>0.4375</v>
      </c>
      <c r="P107" s="800">
        <f>SUMIF('11. Table - Expenditure Review'!$F$3:$W$3,'9. Forecast Results'!P$1,'11. Table - Expenditure Review'!$F213:$W213)</f>
        <v>0.54736842105263162</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 Forecast Results'!N$1,'11. Table - Expenditure Review'!$F214:$W214)</f>
        <v>0</v>
      </c>
      <c r="O108" s="800">
        <f>SUMIF('11. Table - Expenditure Review'!$F$3:$W$3,'9. Forecast Results'!O$1,'11. Table - Expenditure Review'!$F214:$W214)</f>
        <v>0.73369537590465173</v>
      </c>
      <c r="P108" s="800">
        <f>SUMIF('11. Table - Expenditure Review'!$F$3:$W$3,'9. Forecast Results'!P$1,'11. Table - Expenditure Review'!$F214:$W214)</f>
        <v>0.61576389611397953</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 Forecast Results'!N$1,'11. Table - Expenditure Review'!$F215:$W215)</f>
        <v>0</v>
      </c>
      <c r="O109" s="800">
        <f>SUMIF('11. Table - Expenditure Review'!$F$3:$W$3,'9. Forecast Results'!O$1,'11. Table - Expenditure Review'!$F215:$W215)</f>
        <v>0</v>
      </c>
      <c r="P109" s="800">
        <f>SUMIF('11. Table - Expenditure Review'!$F$3:$W$3,'9. Forecast Results'!P$1,'11.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 Forecast Results'!N$1,'11. Table - Expenditure Review'!$F216:$W216)</f>
        <v>1.5829116337490683</v>
      </c>
      <c r="O110" s="800">
        <f>SUMIF('11. Table - Expenditure Review'!$F$3:$W$3,'9. Forecast Results'!O$1,'11. Table - Expenditure Review'!$F216:$W216)</f>
        <v>5.1965915863976644</v>
      </c>
      <c r="P110" s="800">
        <f>SUMIF('11. Table - Expenditure Review'!$F$3:$W$3,'9. Forecast Results'!P$1,'11. Table - Expenditure Review'!$F216:$W216)</f>
        <v>10.286667956766635</v>
      </c>
      <c r="Q110" s="914">
        <f t="shared" ref="Q110:AL110" si="50">IF(Q28&lt;&gt;0,Q47/Q28,0)</f>
        <v>14.903687229078097</v>
      </c>
      <c r="R110" s="914">
        <f t="shared" si="50"/>
        <v>12.987335853987679</v>
      </c>
      <c r="S110" s="914">
        <f t="shared" si="50"/>
        <v>10.364376542058224</v>
      </c>
      <c r="T110" s="914">
        <f t="shared" si="50"/>
        <v>41.951001599321074</v>
      </c>
      <c r="U110" s="914">
        <f t="shared" si="50"/>
        <v>43.274312735811158</v>
      </c>
      <c r="V110" s="914">
        <f t="shared" si="50"/>
        <v>44.535838586675467</v>
      </c>
      <c r="W110" s="914">
        <f t="shared" si="50"/>
        <v>45.710091788261558</v>
      </c>
      <c r="X110" s="914">
        <f t="shared" si="50"/>
        <v>46.765776785148908</v>
      </c>
      <c r="Y110" s="914">
        <f t="shared" si="50"/>
        <v>47.664400617260711</v>
      </c>
      <c r="Z110" s="914">
        <f t="shared" si="50"/>
        <v>48.358493201936867</v>
      </c>
      <c r="AA110" s="914">
        <f t="shared" si="50"/>
        <v>48.78930517164364</v>
      </c>
      <c r="AB110" s="914">
        <f t="shared" si="50"/>
        <v>48.883798003283481</v>
      </c>
      <c r="AC110" s="914">
        <f t="shared" si="50"/>
        <v>48.550662331425265</v>
      </c>
      <c r="AD110" s="914">
        <f t="shared" si="50"/>
        <v>47.674981645319868</v>
      </c>
      <c r="AE110" s="914">
        <f t="shared" si="50"/>
        <v>46.110976320432933</v>
      </c>
      <c r="AF110" s="914">
        <f t="shared" si="50"/>
        <v>43.671976924839043</v>
      </c>
      <c r="AG110" s="914">
        <f t="shared" si="50"/>
        <v>40.116315899749715</v>
      </c>
      <c r="AH110" s="914">
        <f t="shared" si="50"/>
        <v>35.127067153792417</v>
      </c>
      <c r="AI110" s="914">
        <f t="shared" si="50"/>
        <v>28.282269830527227</v>
      </c>
      <c r="AJ110" s="914">
        <f t="shared" si="50"/>
        <v>0.73343763538766493</v>
      </c>
      <c r="AK110" s="914">
        <f t="shared" si="50"/>
        <v>0</v>
      </c>
      <c r="AL110" s="914">
        <f t="shared" si="50"/>
        <v>26.868647459441291</v>
      </c>
    </row>
    <row r="111" spans="3:46" x14ac:dyDescent="0.45">
      <c r="C111" t="str">
        <f>'11. Table - Expenditure Review'!C217</f>
        <v>E1.50</v>
      </c>
      <c r="D111" t="str">
        <f>'11. Table - Expenditure Review'!E217</f>
        <v>Maintenance as % of Expenses</v>
      </c>
      <c r="N111" s="800">
        <f>SUMIF('11. Table - Expenditure Review'!$F$3:$W$3,'9. Forecast Results'!N$1,'11. Table - Expenditure Review'!$F217:$W217)</f>
        <v>0</v>
      </c>
      <c r="O111" s="800">
        <f>SUMIF('11. Table - Expenditure Review'!$F$3:$W$3,'9. Forecast Results'!O$1,'11. Table - Expenditure Review'!$F217:$W217)</f>
        <v>0</v>
      </c>
      <c r="P111" s="800">
        <f>SUMIF('11. Table - Expenditure Review'!$F$3:$W$3,'9. Forecast Results'!P$1,'11. Table - Expenditure Review'!$F217:$W217)</f>
        <v>0</v>
      </c>
      <c r="Q111" s="914">
        <f t="shared" ref="Q111:AL111" si="51">IF(Q47&lt;&gt;0,Q33/Q47,0)</f>
        <v>0</v>
      </c>
      <c r="R111" s="914">
        <f t="shared" si="51"/>
        <v>0</v>
      </c>
      <c r="S111" s="914">
        <f t="shared" si="51"/>
        <v>0</v>
      </c>
      <c r="T111" s="914">
        <f t="shared" si="51"/>
        <v>0</v>
      </c>
      <c r="U111" s="914">
        <f t="shared" si="51"/>
        <v>0</v>
      </c>
      <c r="V111" s="914">
        <f t="shared" si="51"/>
        <v>0</v>
      </c>
      <c r="W111" s="914">
        <f t="shared" si="51"/>
        <v>0</v>
      </c>
      <c r="X111" s="914">
        <f t="shared" si="51"/>
        <v>0</v>
      </c>
      <c r="Y111" s="914">
        <f t="shared" si="51"/>
        <v>0</v>
      </c>
      <c r="Z111" s="914">
        <f t="shared" si="51"/>
        <v>0</v>
      </c>
      <c r="AA111" s="914">
        <f t="shared" si="51"/>
        <v>0</v>
      </c>
      <c r="AB111" s="914">
        <f t="shared" si="51"/>
        <v>0</v>
      </c>
      <c r="AC111" s="914">
        <f t="shared" si="51"/>
        <v>0</v>
      </c>
      <c r="AD111" s="914">
        <f t="shared" si="51"/>
        <v>0</v>
      </c>
      <c r="AE111" s="914">
        <f t="shared" si="51"/>
        <v>0</v>
      </c>
      <c r="AF111" s="914">
        <f t="shared" si="51"/>
        <v>0</v>
      </c>
      <c r="AG111" s="914">
        <f t="shared" si="51"/>
        <v>0</v>
      </c>
      <c r="AH111" s="914">
        <f t="shared" si="51"/>
        <v>0</v>
      </c>
      <c r="AI111" s="914">
        <f t="shared" si="51"/>
        <v>0</v>
      </c>
      <c r="AJ111" s="914">
        <f t="shared" si="51"/>
        <v>0</v>
      </c>
      <c r="AK111" s="914">
        <f t="shared" si="51"/>
        <v>0</v>
      </c>
      <c r="AL111" s="914">
        <f t="shared" si="51"/>
        <v>0</v>
      </c>
    </row>
    <row r="112" spans="3:46" x14ac:dyDescent="0.45">
      <c r="C112" t="str">
        <f>'11. Table - Expenditure Review'!C218</f>
        <v>E1.51</v>
      </c>
      <c r="D112" t="str">
        <f>'11. Table - Expenditure Review'!E218</f>
        <v>Maintenance Cost per Unit</v>
      </c>
      <c r="N112" s="801">
        <f>SUMIF('11. Table - Expenditure Review'!$F$3:$W$3,'9. Forecast Results'!N$1,'11. Table - Expenditure Review'!$F218:$W218)</f>
        <v>0</v>
      </c>
      <c r="O112" s="801">
        <f>SUMIF('11. Table - Expenditure Review'!$F$3:$W$3,'9. Forecast Results'!O$1,'11. Table - Expenditure Review'!$F218:$W218)</f>
        <v>0</v>
      </c>
      <c r="P112" s="801">
        <f>SUMIF('11. Table - Expenditure Review'!$F$3:$W$3,'9. Forecast Results'!P$1,'11. Table - Expenditure Review'!$F218:$W218)</f>
        <v>0</v>
      </c>
      <c r="Q112" s="566">
        <f t="shared" ref="Q112:AL112" si="52">IF(Q13&lt;&gt;0,Q33/Q13,0)</f>
        <v>0</v>
      </c>
      <c r="R112" s="566">
        <f t="shared" si="52"/>
        <v>0</v>
      </c>
      <c r="S112" s="566">
        <f t="shared" si="52"/>
        <v>0</v>
      </c>
      <c r="T112" s="566">
        <f t="shared" si="52"/>
        <v>0</v>
      </c>
      <c r="U112" s="566">
        <f t="shared" si="52"/>
        <v>0</v>
      </c>
      <c r="V112" s="566">
        <f t="shared" si="52"/>
        <v>0</v>
      </c>
      <c r="W112" s="566">
        <f t="shared" si="52"/>
        <v>0</v>
      </c>
      <c r="X112" s="566">
        <f t="shared" si="52"/>
        <v>0</v>
      </c>
      <c r="Y112" s="566">
        <f t="shared" si="52"/>
        <v>0</v>
      </c>
      <c r="Z112" s="566">
        <f t="shared" si="52"/>
        <v>0</v>
      </c>
      <c r="AA112" s="566">
        <f t="shared" si="52"/>
        <v>0</v>
      </c>
      <c r="AB112" s="566">
        <f t="shared" si="52"/>
        <v>0</v>
      </c>
      <c r="AC112" s="566">
        <f t="shared" si="52"/>
        <v>0</v>
      </c>
      <c r="AD112" s="566">
        <f t="shared" si="52"/>
        <v>0</v>
      </c>
      <c r="AE112" s="566">
        <f t="shared" si="52"/>
        <v>0</v>
      </c>
      <c r="AF112" s="566">
        <f t="shared" si="52"/>
        <v>0</v>
      </c>
      <c r="AG112" s="566">
        <f t="shared" si="52"/>
        <v>0</v>
      </c>
      <c r="AH112" s="566">
        <f t="shared" si="52"/>
        <v>0</v>
      </c>
      <c r="AI112" s="566">
        <f t="shared" si="52"/>
        <v>0</v>
      </c>
      <c r="AJ112" s="566">
        <f t="shared" si="52"/>
        <v>0</v>
      </c>
      <c r="AK112" s="566">
        <f t="shared" si="52"/>
        <v>0</v>
      </c>
      <c r="AL112" s="566">
        <f t="shared" si="52"/>
        <v>0</v>
      </c>
    </row>
    <row r="113" spans="1:38" x14ac:dyDescent="0.45">
      <c r="C113" t="str">
        <f>'11. Table - Expenditure Review'!C219</f>
        <v>E1.52</v>
      </c>
      <c r="D113" t="str">
        <f>'11. Table - Expenditure Review'!E219</f>
        <v>Net Deficit as % of HSDG Grant -  NDoHS Calc  (excl staff costs)</v>
      </c>
      <c r="N113" s="802">
        <f>SUMIF('11. Table - Expenditure Review'!$F$3:$W$3,'9. Forecast Results'!N$1,'11. Table - Expenditure Review'!$F219:$W219)</f>
        <v>3.4563440450780035E-3</v>
      </c>
      <c r="O113" s="802">
        <f>SUMIF('11. Table - Expenditure Review'!$F$3:$W$3,'9. Forecast Results'!O$1,'11. Table - Expenditure Review'!$F219:$W219)</f>
        <v>3.9721327001343244E-3</v>
      </c>
      <c r="P113" s="802">
        <f>SUMIF('11. Table - Expenditure Review'!$F$3:$W$3,'9. Forecast Results'!P$1,'11. Table - Expenditure Review'!$F219:$W219)</f>
        <v>0</v>
      </c>
      <c r="Q113" s="915">
        <f t="shared" ref="Q113:AL113" si="53">IF(Q71&lt;&gt;0,-Q48/Q71,0)</f>
        <v>3.6755906435099136E-3</v>
      </c>
      <c r="R113" s="915">
        <f t="shared" si="53"/>
        <v>2.9549833889111364E-3</v>
      </c>
      <c r="S113" s="915">
        <f t="shared" si="53"/>
        <v>2.141227253416444E-3</v>
      </c>
      <c r="T113" s="915">
        <f t="shared" si="53"/>
        <v>2.2588481042169284E-3</v>
      </c>
      <c r="U113" s="915">
        <f t="shared" si="53"/>
        <v>2.2479877929031931E-3</v>
      </c>
      <c r="V113" s="915">
        <f t="shared" si="53"/>
        <v>2.2287147813265843E-3</v>
      </c>
      <c r="W113" s="915">
        <f t="shared" si="53"/>
        <v>2.2001425251848201E-3</v>
      </c>
      <c r="X113" s="915">
        <f t="shared" si="53"/>
        <v>2.1613124087206635E-3</v>
      </c>
      <c r="Y113" s="915">
        <f t="shared" si="53"/>
        <v>2.1111884986583914E-3</v>
      </c>
      <c r="Z113" s="915">
        <f t="shared" si="53"/>
        <v>2.048651939089425E-3</v>
      </c>
      <c r="AA113" s="915">
        <f t="shared" si="53"/>
        <v>1.9724949636808755E-3</v>
      </c>
      <c r="AB113" s="915">
        <f t="shared" si="53"/>
        <v>1.8814145000679982E-3</v>
      </c>
      <c r="AC113" s="915">
        <f t="shared" si="53"/>
        <v>1.7740053396838355E-3</v>
      </c>
      <c r="AD113" s="915">
        <f t="shared" si="53"/>
        <v>1.648752844570887E-3</v>
      </c>
      <c r="AE113" s="915">
        <f t="shared" si="53"/>
        <v>1.5040251609040583E-3</v>
      </c>
      <c r="AF113" s="915">
        <f t="shared" si="53"/>
        <v>1.3380649070250507E-3</v>
      </c>
      <c r="AG113" s="915">
        <f t="shared" si="53"/>
        <v>1.1489803017385256E-3</v>
      </c>
      <c r="AH113" s="915">
        <f t="shared" si="53"/>
        <v>9.3473569644255121E-4</v>
      </c>
      <c r="AI113" s="915">
        <f t="shared" si="53"/>
        <v>6.9314147235199084E-4</v>
      </c>
      <c r="AJ113" s="915">
        <f t="shared" si="53"/>
        <v>-1.1429750258696537E-5</v>
      </c>
      <c r="AK113" s="915">
        <f t="shared" si="53"/>
        <v>0</v>
      </c>
      <c r="AL113" s="915">
        <f t="shared" si="53"/>
        <v>1.757753941530694E-3</v>
      </c>
    </row>
    <row r="114" spans="1:38" x14ac:dyDescent="0.45">
      <c r="C114" t="str">
        <f>'11. Table - Expenditure Review'!C220</f>
        <v>E1.53</v>
      </c>
      <c r="D114" t="str">
        <f>'11. Table - Expenditure Review'!E220</f>
        <v>Net Deficit (Surplus) as % of HSDG Grant - Calculated Above</v>
      </c>
      <c r="N114" s="802">
        <f>SUMIF('11. Table - Expenditure Review'!$F$3:$W$3,'9. Forecast Results'!N$1,'11. Table - Expenditure Review'!$F220:$W220)</f>
        <v>1.5089547282414676E-3</v>
      </c>
      <c r="O114" s="802">
        <f>SUMIF('11. Table - Expenditure Review'!$F$3:$W$3,'9. Forecast Results'!O$1,'11. Table - Expenditure Review'!$F220:$W220)</f>
        <v>3.7552792514621448E-3</v>
      </c>
      <c r="P114" s="802">
        <f>SUMIF('11. Table - Expenditure Review'!$F$3:$W$3,'9. Forecast Results'!P$1,'11. Table - Expenditure Review'!$F220:$W220)</f>
        <v>4.1024540930452427E-3</v>
      </c>
      <c r="Q114" s="915">
        <f t="shared" ref="Q114:AL114" si="54">IF(Q71&lt;&gt;0,-Q48/Q71,0)</f>
        <v>3.6755906435099136E-3</v>
      </c>
      <c r="R114" s="915">
        <f t="shared" si="54"/>
        <v>2.9549833889111364E-3</v>
      </c>
      <c r="S114" s="915">
        <f t="shared" si="54"/>
        <v>2.141227253416444E-3</v>
      </c>
      <c r="T114" s="915">
        <f t="shared" si="54"/>
        <v>2.2588481042169284E-3</v>
      </c>
      <c r="U114" s="915">
        <f t="shared" si="54"/>
        <v>2.2479877929031931E-3</v>
      </c>
      <c r="V114" s="915">
        <f t="shared" si="54"/>
        <v>2.2287147813265843E-3</v>
      </c>
      <c r="W114" s="915">
        <f t="shared" si="54"/>
        <v>2.2001425251848201E-3</v>
      </c>
      <c r="X114" s="915">
        <f t="shared" si="54"/>
        <v>2.1613124087206635E-3</v>
      </c>
      <c r="Y114" s="915">
        <f t="shared" si="54"/>
        <v>2.1111884986583914E-3</v>
      </c>
      <c r="Z114" s="915">
        <f t="shared" si="54"/>
        <v>2.048651939089425E-3</v>
      </c>
      <c r="AA114" s="915">
        <f t="shared" si="54"/>
        <v>1.9724949636808755E-3</v>
      </c>
      <c r="AB114" s="915">
        <f t="shared" si="54"/>
        <v>1.8814145000679982E-3</v>
      </c>
      <c r="AC114" s="915">
        <f t="shared" si="54"/>
        <v>1.7740053396838355E-3</v>
      </c>
      <c r="AD114" s="915">
        <f t="shared" si="54"/>
        <v>1.648752844570887E-3</v>
      </c>
      <c r="AE114" s="915">
        <f t="shared" si="54"/>
        <v>1.5040251609040583E-3</v>
      </c>
      <c r="AF114" s="915">
        <f t="shared" si="54"/>
        <v>1.3380649070250507E-3</v>
      </c>
      <c r="AG114" s="915">
        <f t="shared" si="54"/>
        <v>1.1489803017385256E-3</v>
      </c>
      <c r="AH114" s="915">
        <f t="shared" si="54"/>
        <v>9.3473569644255121E-4</v>
      </c>
      <c r="AI114" s="915">
        <f t="shared" si="54"/>
        <v>6.9314147235199084E-4</v>
      </c>
      <c r="AJ114" s="915">
        <f t="shared" si="54"/>
        <v>-1.1429750258696537E-5</v>
      </c>
      <c r="AK114" s="915">
        <f t="shared" si="54"/>
        <v>0</v>
      </c>
      <c r="AL114" s="915">
        <f t="shared" si="54"/>
        <v>1.757753941530694E-3</v>
      </c>
    </row>
    <row r="115" spans="1:38" x14ac:dyDescent="0.45">
      <c r="C115" t="str">
        <f>'11. Table - Expenditure Review'!C221</f>
        <v>E1.54</v>
      </c>
      <c r="D115" t="str">
        <f>'11. Table - Expenditure Review'!E221</f>
        <v>EEDBS as % of HSDG</v>
      </c>
      <c r="N115" s="802">
        <f>SUMIF('11. Table - Expenditure Review'!$F$3:$W$3,'9. Forecast Results'!N$1,'11. Table - Expenditure Review'!$F221:$W221)</f>
        <v>2.2093895601201837E-3</v>
      </c>
      <c r="O115" s="802">
        <f>SUMIF('11. Table - Expenditure Review'!$F$3:$W$3,'9. Forecast Results'!O$1,'11. Table - Expenditure Review'!$F221:$W221)</f>
        <v>5.1987446911838338E-4</v>
      </c>
      <c r="P115" s="802">
        <f>SUMIF('11. Table - Expenditure Review'!$F$3:$W$3,'9. Forecast Results'!P$1,'11. Table - Expenditure Review'!$F221:$W221)</f>
        <v>1.2728377353218767E-4</v>
      </c>
      <c r="Q115" s="580">
        <f t="shared" ref="Q115:AL115" si="55">IF(Q71&lt;&gt;0,Q67/Q71,0)</f>
        <v>8.5450080071950579E-5</v>
      </c>
      <c r="R115" s="580">
        <f t="shared" si="55"/>
        <v>8.5450080071950579E-5</v>
      </c>
      <c r="S115" s="580">
        <f t="shared" si="55"/>
        <v>8.5450080071950579E-5</v>
      </c>
      <c r="T115" s="580">
        <f t="shared" si="55"/>
        <v>9.4944533413278436E-6</v>
      </c>
      <c r="U115" s="580">
        <f t="shared" si="55"/>
        <v>9.4944533413278436E-6</v>
      </c>
      <c r="V115" s="580">
        <f t="shared" si="55"/>
        <v>9.4944533413278436E-6</v>
      </c>
      <c r="W115" s="580">
        <f t="shared" si="55"/>
        <v>9.4944533413278436E-6</v>
      </c>
      <c r="X115" s="580">
        <f t="shared" si="55"/>
        <v>9.4944533413278436E-6</v>
      </c>
      <c r="Y115" s="580">
        <f t="shared" si="55"/>
        <v>9.4944533413278436E-6</v>
      </c>
      <c r="Z115" s="580">
        <f t="shared" si="55"/>
        <v>9.4944533413278436E-6</v>
      </c>
      <c r="AA115" s="580">
        <f t="shared" si="55"/>
        <v>9.4944533413278436E-6</v>
      </c>
      <c r="AB115" s="580">
        <f t="shared" si="55"/>
        <v>9.4944533413278436E-6</v>
      </c>
      <c r="AC115" s="580">
        <f t="shared" si="55"/>
        <v>9.4944533413278436E-6</v>
      </c>
      <c r="AD115" s="580">
        <f t="shared" si="55"/>
        <v>9.4944533413278436E-6</v>
      </c>
      <c r="AE115" s="580">
        <f t="shared" si="55"/>
        <v>9.4944533413278436E-6</v>
      </c>
      <c r="AF115" s="580">
        <f t="shared" si="55"/>
        <v>9.4944533413278436E-6</v>
      </c>
      <c r="AG115" s="580">
        <f t="shared" si="55"/>
        <v>9.4944533413278436E-6</v>
      </c>
      <c r="AH115" s="580">
        <f t="shared" si="55"/>
        <v>9.4944533413278436E-6</v>
      </c>
      <c r="AI115" s="580">
        <f t="shared" si="55"/>
        <v>9.4944533413278436E-6</v>
      </c>
      <c r="AJ115" s="580">
        <f t="shared" si="55"/>
        <v>6.4001665926913618E-3</v>
      </c>
      <c r="AK115" s="580">
        <f t="shared" si="55"/>
        <v>0</v>
      </c>
      <c r="AL115" s="580">
        <f t="shared" si="55"/>
        <v>3.2421086125564088E-4</v>
      </c>
    </row>
    <row r="116" spans="1:38" x14ac:dyDescent="0.45">
      <c r="C116" t="str">
        <f>'11. Table - Expenditure Review'!C222</f>
        <v>E1.55</v>
      </c>
      <c r="D116" t="str">
        <f>'11. Table - Expenditure Review'!E222</f>
        <v>Debtors Balance as % of Rental Raised</v>
      </c>
      <c r="N116" s="802">
        <f>SUMIF('11. Table - Expenditure Review'!$F$3:$W$3,'9. Forecast Results'!N$1,'11. Table - Expenditure Review'!$F222:$W222)</f>
        <v>0</v>
      </c>
      <c r="O116" s="802">
        <f>SUMIF('11. Table - Expenditure Review'!$F$3:$W$3,'9. Forecast Results'!O$1,'11. Table - Expenditure Review'!$F222:$W222)</f>
        <v>0</v>
      </c>
      <c r="P116" s="802">
        <f>SUMIF('11. Table - Expenditure Review'!$F$3:$W$3,'9. Forecast Results'!P$1,'11. Table - Expenditure Review'!$F222:$W222)</f>
        <v>2.969529822694787</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 Forecast Results'!N$1,'11. Table - Expenditure Review'!$F223:$W223)</f>
        <v>0</v>
      </c>
      <c r="O117" s="801">
        <f>SUMIF('11. Table - Expenditure Review'!$F$3:$W$3,'9. Forecast Results'!O$1,'11. Table - Expenditure Review'!$F223:$W223)</f>
        <v>0</v>
      </c>
      <c r="P117" s="801">
        <f>SUMIF('11. Table - Expenditure Review'!$F$3:$W$3,'9. Forecast Results'!P$1,'11. Table - Expenditure Review'!$F223:$W223)</f>
        <v>10360.684342592593</v>
      </c>
      <c r="Q117" s="566">
        <f t="shared" ref="Q117:AL117" si="56">IF(Q13&lt;&gt;0,Q47/Q13/12,0)</f>
        <v>11228.734087135417</v>
      </c>
      <c r="R117" s="566">
        <f t="shared" si="56"/>
        <v>12165.531858895216</v>
      </c>
      <c r="S117" s="566">
        <f t="shared" si="56"/>
        <v>13508.184818735564</v>
      </c>
      <c r="T117" s="566">
        <f t="shared" si="56"/>
        <v>13965.559347477078</v>
      </c>
      <c r="U117" s="566">
        <f t="shared" si="56"/>
        <v>14756.046384700174</v>
      </c>
      <c r="V117" s="566">
        <f t="shared" si="56"/>
        <v>15594.389478076095</v>
      </c>
      <c r="W117" s="566">
        <f t="shared" si="56"/>
        <v>16484.346467415267</v>
      </c>
      <c r="X117" s="566">
        <f t="shared" si="56"/>
        <v>17430.262647300948</v>
      </c>
      <c r="Y117" s="566">
        <f t="shared" si="56"/>
        <v>18437.270686578067</v>
      </c>
      <c r="Z117" s="566">
        <f t="shared" si="56"/>
        <v>19511.596245908986</v>
      </c>
      <c r="AA117" s="566">
        <f t="shared" si="56"/>
        <v>20661.043039640488</v>
      </c>
      <c r="AB117" s="566">
        <f t="shared" si="56"/>
        <v>21895.796623198115</v>
      </c>
      <c r="AC117" s="566">
        <f t="shared" si="56"/>
        <v>23229.825447821699</v>
      </c>
      <c r="AD117" s="566">
        <f t="shared" si="56"/>
        <v>24683.476032916366</v>
      </c>
      <c r="AE117" s="566">
        <f t="shared" si="56"/>
        <v>26288.654875613454</v>
      </c>
      <c r="AF117" s="566">
        <f t="shared" si="56"/>
        <v>28100.217868901851</v>
      </c>
      <c r="AG117" s="566">
        <f t="shared" si="56"/>
        <v>30224.429489834118</v>
      </c>
      <c r="AH117" s="566">
        <f t="shared" si="56"/>
        <v>32904.319975509177</v>
      </c>
      <c r="AI117" s="566">
        <f t="shared" si="56"/>
        <v>36861.081456641332</v>
      </c>
      <c r="AJ117" s="566">
        <f t="shared" si="56"/>
        <v>0</v>
      </c>
      <c r="AK117" s="566">
        <f t="shared" si="56"/>
        <v>0</v>
      </c>
      <c r="AL117" s="566">
        <f t="shared" si="56"/>
        <v>0</v>
      </c>
    </row>
    <row r="118" spans="1:38" x14ac:dyDescent="0.45">
      <c r="C118" t="str">
        <f>'11. Table - Expenditure Review'!C224</f>
        <v>E1.57</v>
      </c>
      <c r="D118" t="str">
        <f>'11. Table - Expenditure Review'!E224</f>
        <v>Net Surplus/Deficit p.u.p.m.</v>
      </c>
      <c r="N118" s="801">
        <f>SUMIF('11. Table - Expenditure Review'!$F$3:$W$3,'9. Forecast Results'!N$1,'11. Table - Expenditure Review'!$F224:$W224)</f>
        <v>0</v>
      </c>
      <c r="O118" s="801">
        <f>SUMIF('11. Table - Expenditure Review'!$F$3:$W$3,'9. Forecast Results'!O$1,'11. Table - Expenditure Review'!$F224:$W224)</f>
        <v>0</v>
      </c>
      <c r="P118" s="801">
        <f>SUMIF('11. Table - Expenditure Review'!$F$3:$W$3,'9. Forecast Results'!P$1,'11. Table - Expenditure Review'!$F224:$W224)</f>
        <v>-9353.4889722222215</v>
      </c>
      <c r="Q118" s="566">
        <f t="shared" ref="Q118:AL118" si="57">IF(Q13&lt;&gt;0,Q48/Q13/12,0)</f>
        <v>-10475.314217639807</v>
      </c>
      <c r="R118" s="566">
        <f t="shared" si="57"/>
        <v>-11228.809193394896</v>
      </c>
      <c r="S118" s="566">
        <f t="shared" si="57"/>
        <v>-12204.856561225824</v>
      </c>
      <c r="T118" s="566">
        <f t="shared" si="57"/>
        <v>-13632.657657051093</v>
      </c>
      <c r="U118" s="566">
        <f t="shared" si="57"/>
        <v>-14415.05780621516</v>
      </c>
      <c r="V118" s="566">
        <f t="shared" si="57"/>
        <v>-15244.235759790843</v>
      </c>
      <c r="W118" s="566">
        <f t="shared" si="57"/>
        <v>-16123.718303644035</v>
      </c>
      <c r="X118" s="566">
        <f t="shared" si="57"/>
        <v>-17057.548584892043</v>
      </c>
      <c r="Y118" s="566">
        <f t="shared" si="57"/>
        <v>-18050.456409091876</v>
      </c>
      <c r="Z118" s="566">
        <f t="shared" si="57"/>
        <v>-19108.118077876916</v>
      </c>
      <c r="AA118" s="566">
        <f t="shared" si="57"/>
        <v>-20237.568202953353</v>
      </c>
      <c r="AB118" s="566">
        <f t="shared" si="57"/>
        <v>-21447.881413710355</v>
      </c>
      <c r="AC118" s="566">
        <f t="shared" si="57"/>
        <v>-22751.359772333151</v>
      </c>
      <c r="AD118" s="566">
        <f t="shared" si="57"/>
        <v>-24165.731186855381</v>
      </c>
      <c r="AE118" s="566">
        <f t="shared" si="57"/>
        <v>-25718.537802122552</v>
      </c>
      <c r="AF118" s="566">
        <f t="shared" si="57"/>
        <v>-27456.779677009064</v>
      </c>
      <c r="AG118" s="566">
        <f t="shared" si="57"/>
        <v>-29471.009620338507</v>
      </c>
      <c r="AH118" s="566">
        <f t="shared" si="57"/>
        <v>-31967.597310008856</v>
      </c>
      <c r="AI118" s="566">
        <f t="shared" si="57"/>
        <v>-35557.753199131592</v>
      </c>
      <c r="AJ118" s="566">
        <f t="shared" si="57"/>
        <v>0</v>
      </c>
      <c r="AK118" s="566">
        <f t="shared" si="57"/>
        <v>0</v>
      </c>
      <c r="AL118" s="566">
        <f t="shared" si="57"/>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5576064</v>
      </c>
      <c r="O127" s="615">
        <f>SUMIF('10. Inputs &amp; Calcs'!$D$143:$D$148,$E$10,'10. Inputs &amp; Calcs'!G$143:G$148)</f>
        <v>1243913</v>
      </c>
      <c r="P127" s="615">
        <f>SUMIF('10. Inputs &amp; Calcs'!$D$143:$D$148,$E$10,'10. Inputs &amp; Calcs'!H$143:H$148)</f>
        <v>313420</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103109.91</v>
      </c>
      <c r="O128" s="615">
        <f>SUMIF('10. Inputs &amp; Calcs'!$D$432:$D$437,$E$10,'10. Inputs &amp; Calcs'!G$432:G$437)</f>
        <v>699694.66999999993</v>
      </c>
      <c r="P128" s="615">
        <f>SUMIF('10. Inputs &amp; Calcs'!$D$432:$D$437,$E$10,'10. Inputs &amp; Calcs'!H$432:H$437)</f>
        <v>554558.53</v>
      </c>
      <c r="Q128" s="615">
        <f>SUMIF('10. Inputs &amp; Calcs'!$D$432:$D$437,$E$10,'10. Inputs &amp; Calcs'!I$432:I$437)</f>
        <v>475120.84724420751</v>
      </c>
      <c r="R128" s="615">
        <f>SUMIF('10. Inputs &amp; Calcs'!$D$432:$D$437,$E$10,'10. Inputs &amp; Calcs'!J$432:J$437)</f>
        <v>475120.84724420751</v>
      </c>
      <c r="S128" s="615">
        <f>SUMIF('10. Inputs &amp; Calcs'!$D$432:$D$437,$E$10,'10. Inputs &amp; Calcs'!K$432:K$437)</f>
        <v>475120.84724420751</v>
      </c>
      <c r="T128" s="615">
        <f>SUMIF('10. Inputs &amp; Calcs'!$D$432:$D$437,$E$10,'10. Inputs &amp; Calcs'!L$432:L$437)</f>
        <v>52791.205249356397</v>
      </c>
      <c r="U128" s="615">
        <f>SUMIF('10. Inputs &amp; Calcs'!$D$432:$D$437,$E$10,'10. Inputs &amp; Calcs'!M$432:M$437)</f>
        <v>52791.205249356397</v>
      </c>
      <c r="V128" s="615">
        <f>SUMIF('10. Inputs &amp; Calcs'!$D$432:$D$437,$E$10,'10. Inputs &amp; Calcs'!N$432:N$437)</f>
        <v>52791.205249356397</v>
      </c>
      <c r="W128" s="615">
        <f>SUMIF('10. Inputs &amp; Calcs'!$D$432:$D$437,$E$10,'10. Inputs &amp; Calcs'!O$432:O$437)</f>
        <v>52791.205249356397</v>
      </c>
      <c r="X128" s="615">
        <f>SUMIF('10. Inputs &amp; Calcs'!$D$432:$D$437,$E$10,'10. Inputs &amp; Calcs'!P$432:P$437)</f>
        <v>52791.205249356397</v>
      </c>
      <c r="Y128" s="615">
        <f>SUMIF('10. Inputs &amp; Calcs'!$D$432:$D$437,$E$10,'10. Inputs &amp; Calcs'!Q$432:Q$437)</f>
        <v>52791.205249356397</v>
      </c>
      <c r="Z128" s="615">
        <f>SUMIF('10. Inputs &amp; Calcs'!$D$432:$D$437,$E$10,'10. Inputs &amp; Calcs'!R$432:R$437)</f>
        <v>52791.205249356397</v>
      </c>
      <c r="AA128" s="615">
        <f>SUMIF('10. Inputs &amp; Calcs'!$D$432:$D$437,$E$10,'10. Inputs &amp; Calcs'!S$432:S$437)</f>
        <v>52791.205249356397</v>
      </c>
      <c r="AB128" s="615">
        <f>SUMIF('10. Inputs &amp; Calcs'!$D$432:$D$437,$E$10,'10. Inputs &amp; Calcs'!T$432:T$437)</f>
        <v>52791.205249356397</v>
      </c>
      <c r="AC128" s="615">
        <f>SUMIF('10. Inputs &amp; Calcs'!$D$432:$D$437,$E$10,'10. Inputs &amp; Calcs'!U$432:U$437)</f>
        <v>52791.205249356397</v>
      </c>
      <c r="AD128" s="615">
        <f>SUMIF('10. Inputs &amp; Calcs'!$D$432:$D$437,$E$10,'10. Inputs &amp; Calcs'!V$432:V$437)</f>
        <v>52791.205249356397</v>
      </c>
      <c r="AE128" s="615">
        <f>SUMIF('10. Inputs &amp; Calcs'!$D$432:$D$437,$E$10,'10. Inputs &amp; Calcs'!W$432:W$437)</f>
        <v>52791.205249356397</v>
      </c>
      <c r="AF128" s="615">
        <f>SUMIF('10. Inputs &amp; Calcs'!$D$432:$D$437,$E$10,'10. Inputs &amp; Calcs'!X$432:X$437)</f>
        <v>52791.205249356397</v>
      </c>
      <c r="AG128" s="615">
        <f>SUMIF('10. Inputs &amp; Calcs'!$D$432:$D$437,$E$10,'10. Inputs &amp; Calcs'!Y$432:Y$437)</f>
        <v>52791.205249356397</v>
      </c>
      <c r="AH128" s="615">
        <f>SUMIF('10. Inputs &amp; Calcs'!$D$432:$D$437,$E$10,'10. Inputs &amp; Calcs'!Z$432:Z$437)</f>
        <v>52791.205249356397</v>
      </c>
      <c r="AI128" s="615">
        <f>SUMIF('10. Inputs &amp; Calcs'!$D$432:$D$437,$E$10,'10. Inputs &amp; Calcs'!AA$432:AA$437)</f>
        <v>52791.205249356397</v>
      </c>
      <c r="AJ128" s="615">
        <f>SUMIF('10. Inputs &amp; Calcs'!$D$432:$D$437,$E$10,'10. Inputs &amp; Calcs'!AB$432:AB$437)</f>
        <v>105582.41049871279</v>
      </c>
      <c r="AK128" s="615">
        <f>SUMIF('10. Inputs &amp; Calcs'!$D$432:$D$437,$E$10,'10. Inputs &amp; Calcs'!AC$432:AC$437)</f>
        <v>0</v>
      </c>
      <c r="AL128" s="615">
        <f>SUMIF('10. Inputs &amp; Calcs'!$D$432:$D$437,$E$10,'10. Inputs &amp; Calcs'!AD$432:AD$437)</f>
        <v>2375604.2362210373</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883643.01000000013</v>
      </c>
      <c r="O129" s="615">
        <f>SUMIF('10. Inputs &amp; Calcs'!$D$574:$D$579,$E$10,'10. Inputs &amp; Calcs'!G$574:G$579)</f>
        <v>197492.81</v>
      </c>
      <c r="P129" s="615">
        <f>SUMIF('10. Inputs &amp; Calcs'!$D$574:$D$579,$E$10,'10. Inputs &amp; Calcs'!H$574:H$579)</f>
        <v>219792.4</v>
      </c>
      <c r="Q129" s="615">
        <f>SUMIF('10. Inputs &amp; Calcs'!$D$574:$D$579,$E$10,'10. Inputs &amp; Calcs'!I$574:I$579)</f>
        <v>175833.91999999998</v>
      </c>
      <c r="R129" s="615">
        <f>SUMIF('10. Inputs &amp; Calcs'!$D$574:$D$579,$E$10,'10. Inputs &amp; Calcs'!J$574:J$579)</f>
        <v>131875.43999999997</v>
      </c>
      <c r="S129" s="615">
        <f>SUMIF('10. Inputs &amp; Calcs'!$D$574:$D$579,$E$10,'10. Inputs &amp; Calcs'!K$574:K$579)</f>
        <v>87916.959999999992</v>
      </c>
      <c r="T129" s="615">
        <f>SUMIF('10. Inputs &amp; Calcs'!$D$574:$D$579,$E$10,'10. Inputs &amp; Calcs'!L$574:L$579)</f>
        <v>83032.684444444443</v>
      </c>
      <c r="U129" s="615">
        <f>SUMIF('10. Inputs &amp; Calcs'!$D$574:$D$579,$E$10,'10. Inputs &amp; Calcs'!M$574:M$579)</f>
        <v>78148.408888888895</v>
      </c>
      <c r="V129" s="615">
        <f>SUMIF('10. Inputs &amp; Calcs'!$D$574:$D$579,$E$10,'10. Inputs &amp; Calcs'!N$574:N$579)</f>
        <v>73264.133333333331</v>
      </c>
      <c r="W129" s="615">
        <f>SUMIF('10. Inputs &amp; Calcs'!$D$574:$D$579,$E$10,'10. Inputs &amp; Calcs'!O$574:O$579)</f>
        <v>68379.857777777783</v>
      </c>
      <c r="X129" s="615">
        <f>SUMIF('10. Inputs &amp; Calcs'!$D$574:$D$579,$E$10,'10. Inputs &amp; Calcs'!P$574:P$579)</f>
        <v>63495.58222222222</v>
      </c>
      <c r="Y129" s="615">
        <f>SUMIF('10. Inputs &amp; Calcs'!$D$574:$D$579,$E$10,'10. Inputs &amp; Calcs'!Q$574:Q$579)</f>
        <v>58611.306666666664</v>
      </c>
      <c r="Z129" s="615">
        <f>SUMIF('10. Inputs &amp; Calcs'!$D$574:$D$579,$E$10,'10. Inputs &amp; Calcs'!R$574:R$579)</f>
        <v>53727.031111111108</v>
      </c>
      <c r="AA129" s="615">
        <f>SUMIF('10. Inputs &amp; Calcs'!$D$574:$D$579,$E$10,'10. Inputs &amp; Calcs'!S$574:S$579)</f>
        <v>48842.755555555552</v>
      </c>
      <c r="AB129" s="615">
        <f>SUMIF('10. Inputs &amp; Calcs'!$D$574:$D$579,$E$10,'10. Inputs &amp; Calcs'!T$574:T$579)</f>
        <v>43958.479999999996</v>
      </c>
      <c r="AC129" s="615">
        <f>SUMIF('10. Inputs &amp; Calcs'!$D$574:$D$579,$E$10,'10. Inputs &amp; Calcs'!U$574:U$579)</f>
        <v>39074.20444444444</v>
      </c>
      <c r="AD129" s="615">
        <f>SUMIF('10. Inputs &amp; Calcs'!$D$574:$D$579,$E$10,'10. Inputs &amp; Calcs'!V$574:V$579)</f>
        <v>34189.928888888884</v>
      </c>
      <c r="AE129" s="615">
        <f>SUMIF('10. Inputs &amp; Calcs'!$D$574:$D$579,$E$10,'10. Inputs &amp; Calcs'!W$574:W$579)</f>
        <v>29305.653333333332</v>
      </c>
      <c r="AF129" s="615">
        <f>SUMIF('10. Inputs &amp; Calcs'!$D$574:$D$579,$E$10,'10. Inputs &amp; Calcs'!X$574:X$579)</f>
        <v>24421.377777777776</v>
      </c>
      <c r="AG129" s="615">
        <f>SUMIF('10. Inputs &amp; Calcs'!$D$574:$D$579,$E$10,'10. Inputs &amp; Calcs'!Y$574:Y$579)</f>
        <v>19537.102222222224</v>
      </c>
      <c r="AH129" s="615">
        <f>SUMIF('10. Inputs &amp; Calcs'!$D$574:$D$579,$E$10,'10. Inputs &amp; Calcs'!Z$574:Z$579)</f>
        <v>14652.826666666666</v>
      </c>
      <c r="AI129" s="615">
        <f>SUMIF('10. Inputs &amp; Calcs'!$D$574:$D$579,$E$10,'10. Inputs &amp; Calcs'!AA$574:AA$579)</f>
        <v>9768.5511111111118</v>
      </c>
      <c r="AJ129" s="615">
        <f>SUMIF('10. Inputs &amp; Calcs'!$D$574:$D$579,$E$10,'10. Inputs &amp; Calcs'!AB$574:AB$579)</f>
        <v>0</v>
      </c>
      <c r="AK129" s="615">
        <f>SUMIF('10. Inputs &amp; Calcs'!$D$574:$D$579,$E$10,'10. Inputs &amp; Calcs'!AC$574:AC$579)</f>
        <v>0</v>
      </c>
      <c r="AL129" s="615">
        <f>SUMIF('10. Inputs &amp; Calcs'!$D$574:$D$579,$E$10,'10. Inputs &amp; Calcs'!AD$574:AD$579)</f>
        <v>1138036.2044444445</v>
      </c>
    </row>
    <row r="130" spans="1:38" x14ac:dyDescent="0.45">
      <c r="A130" s="583"/>
      <c r="B130" s="583"/>
      <c r="C130" s="583"/>
      <c r="D130" s="747" t="s">
        <v>330</v>
      </c>
      <c r="E130" s="583"/>
      <c r="M130" s="583"/>
      <c r="N130" s="613">
        <f t="shared" ref="N130:AL130" si="58">SUM(N127:N129)</f>
        <v>6562816.9199999999</v>
      </c>
      <c r="O130" s="613">
        <f t="shared" si="58"/>
        <v>2141100.48</v>
      </c>
      <c r="P130" s="613">
        <f t="shared" si="58"/>
        <v>1087770.93</v>
      </c>
      <c r="Q130" s="613">
        <f t="shared" si="58"/>
        <v>861364.65181113663</v>
      </c>
      <c r="R130" s="613">
        <f t="shared" si="58"/>
        <v>817406.17181113653</v>
      </c>
      <c r="S130" s="613">
        <f t="shared" si="58"/>
        <v>773447.69181113655</v>
      </c>
      <c r="T130" s="613">
        <f t="shared" si="58"/>
        <v>159202.76575679297</v>
      </c>
      <c r="U130" s="613">
        <f t="shared" si="58"/>
        <v>154318.49020123741</v>
      </c>
      <c r="V130" s="613">
        <f t="shared" si="58"/>
        <v>149434.21464568184</v>
      </c>
      <c r="W130" s="613">
        <f t="shared" si="58"/>
        <v>144549.93909012631</v>
      </c>
      <c r="X130" s="613">
        <f t="shared" si="58"/>
        <v>139665.66353457072</v>
      </c>
      <c r="Y130" s="613">
        <f t="shared" si="58"/>
        <v>134781.38797901518</v>
      </c>
      <c r="Z130" s="613">
        <f t="shared" ref="Z130:AJ130" si="59">SUM(Z127:Z129)</f>
        <v>129897.11242345962</v>
      </c>
      <c r="AA130" s="613">
        <f t="shared" si="59"/>
        <v>125012.83686790406</v>
      </c>
      <c r="AB130" s="613">
        <f t="shared" si="59"/>
        <v>120128.56131234851</v>
      </c>
      <c r="AC130" s="613">
        <f t="shared" si="59"/>
        <v>115244.28575679296</v>
      </c>
      <c r="AD130" s="613">
        <f t="shared" si="59"/>
        <v>110360.0102012374</v>
      </c>
      <c r="AE130" s="613">
        <f t="shared" si="59"/>
        <v>105475.73464568185</v>
      </c>
      <c r="AF130" s="613">
        <f t="shared" si="59"/>
        <v>100591.45909012629</v>
      </c>
      <c r="AG130" s="613">
        <f t="shared" si="59"/>
        <v>95707.183534570737</v>
      </c>
      <c r="AH130" s="613">
        <f t="shared" si="59"/>
        <v>90822.907979015174</v>
      </c>
      <c r="AI130" s="613">
        <f t="shared" si="59"/>
        <v>85938.632423459625</v>
      </c>
      <c r="AJ130" s="613">
        <f t="shared" si="59"/>
        <v>16126510.441375898</v>
      </c>
      <c r="AK130" s="613">
        <f t="shared" si="58"/>
        <v>0</v>
      </c>
      <c r="AL130" s="613">
        <f t="shared" si="58"/>
        <v>20539860.142251331</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126000</v>
      </c>
      <c r="R132" s="615">
        <f>SUMIF('10. Inputs &amp; Calcs'!$D$508:$D$513,$E$10,'10. Inputs &amp; Calcs'!J$508:J$513)</f>
        <v>132930</v>
      </c>
      <c r="S132" s="615">
        <f>SUMIF('10. Inputs &amp; Calcs'!$D$508:$D$513,$E$10,'10. Inputs &amp; Calcs'!K$508:K$513)</f>
        <v>140241.15</v>
      </c>
      <c r="T132" s="615">
        <f>SUMIF('10. Inputs &amp; Calcs'!$D$508:$D$513,$E$10,'10. Inputs &amp; Calcs'!L$508:L$513)</f>
        <v>16439.379249999998</v>
      </c>
      <c r="U132" s="615">
        <f>SUMIF('10. Inputs &amp; Calcs'!$D$508:$D$513,$E$10,'10. Inputs &amp; Calcs'!M$508:M$513)</f>
        <v>17343.545108750001</v>
      </c>
      <c r="V132" s="615">
        <f>SUMIF('10. Inputs &amp; Calcs'!$D$508:$D$513,$E$10,'10. Inputs &amp; Calcs'!N$508:N$513)</f>
        <v>18297.440089731248</v>
      </c>
      <c r="W132" s="615">
        <f>SUMIF('10. Inputs &amp; Calcs'!$D$508:$D$513,$E$10,'10. Inputs &amp; Calcs'!O$508:O$513)</f>
        <v>19303.799294666467</v>
      </c>
      <c r="X132" s="615">
        <f>SUMIF('10. Inputs &amp; Calcs'!$D$508:$D$513,$E$10,'10. Inputs &amp; Calcs'!P$508:P$513)</f>
        <v>20365.508255873123</v>
      </c>
      <c r="Y132" s="615">
        <f>SUMIF('10. Inputs &amp; Calcs'!$D$508:$D$513,$E$10,'10. Inputs &amp; Calcs'!Q$508:Q$513)</f>
        <v>21485.611209946139</v>
      </c>
      <c r="Z132" s="615">
        <f>SUMIF('10. Inputs &amp; Calcs'!$D$508:$D$513,$E$10,'10. Inputs &amp; Calcs'!R$508:R$513)</f>
        <v>22667.319826493178</v>
      </c>
      <c r="AA132" s="615">
        <f>SUMIF('10. Inputs &amp; Calcs'!$D$508:$D$513,$E$10,'10. Inputs &amp; Calcs'!S$508:S$513)</f>
        <v>23914.022416950298</v>
      </c>
      <c r="AB132" s="615">
        <f>SUMIF('10. Inputs &amp; Calcs'!$D$508:$D$513,$E$10,'10. Inputs &amp; Calcs'!T$508:T$513)</f>
        <v>25229.293649882566</v>
      </c>
      <c r="AC132" s="615">
        <f>SUMIF('10. Inputs &amp; Calcs'!$D$508:$D$513,$E$10,'10. Inputs &amp; Calcs'!U$508:U$513)</f>
        <v>26616.904800626107</v>
      </c>
      <c r="AD132" s="615">
        <f>SUMIF('10. Inputs &amp; Calcs'!$D$508:$D$513,$E$10,'10. Inputs &amp; Calcs'!V$508:V$513)</f>
        <v>28080.834564660538</v>
      </c>
      <c r="AE132" s="615">
        <f>SUMIF('10. Inputs &amp; Calcs'!$D$508:$D$513,$E$10,'10. Inputs &amp; Calcs'!W$508:W$513)</f>
        <v>29625.280465716867</v>
      </c>
      <c r="AF132" s="615">
        <f>SUMIF('10. Inputs &amp; Calcs'!$D$508:$D$513,$E$10,'10. Inputs &amp; Calcs'!X$508:X$513)</f>
        <v>31254.670891331298</v>
      </c>
      <c r="AG132" s="615">
        <f>SUMIF('10. Inputs &amp; Calcs'!$D$508:$D$513,$E$10,'10. Inputs &amp; Calcs'!Y$508:Y$513)</f>
        <v>32973.677790354515</v>
      </c>
      <c r="AH132" s="615">
        <f>SUMIF('10. Inputs &amp; Calcs'!$D$508:$D$513,$E$10,'10. Inputs &amp; Calcs'!Z$508:Z$513)</f>
        <v>34787.230068824014</v>
      </c>
      <c r="AI132" s="615">
        <f>SUMIF('10. Inputs &amp; Calcs'!$D$508:$D$513,$E$10,'10. Inputs &amp; Calcs'!AA$508:AA$513)</f>
        <v>36700.527722609331</v>
      </c>
      <c r="AJ132" s="615">
        <f>SUMIF('10. Inputs &amp; Calcs'!$D$508:$D$513,$E$10,'10. Inputs &amp; Calcs'!AB$508:AB$513)</f>
        <v>77438.113494705685</v>
      </c>
      <c r="AK132" s="615">
        <f>SUMIF('10. Inputs &amp; Calcs'!$D$508:$D$513,$E$10,'10. Inputs &amp; Calcs'!AC$508:AC$513)</f>
        <v>0</v>
      </c>
      <c r="AL132" s="615">
        <f>SUMIF('10. Inputs &amp; Calcs'!$D$508:$D$513,$E$10,'10. Inputs &amp; Calcs'!AD$508:AD$513)</f>
        <v>881694.30890112126</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10341549.390000001</v>
      </c>
      <c r="O133" s="615">
        <f>SUMIF('10. Inputs &amp; Calcs'!$D$742:$D$747,$E$10,'10. Inputs &amp; Calcs'!G$742:G$747)</f>
        <v>11126424.74</v>
      </c>
      <c r="P133" s="615">
        <f>SUMIF('10. Inputs &amp; Calcs'!$D$742:$D$747,$E$10,'10. Inputs &amp; Calcs'!H$742:H$747)</f>
        <v>11189539.09</v>
      </c>
      <c r="Q133" s="615">
        <f>SUMIF('10. Inputs &amp; Calcs'!$D$742:$D$747,$E$10,'10. Inputs &amp; Calcs'!I$742:I$747)</f>
        <v>9575626.2512849998</v>
      </c>
      <c r="R133" s="615">
        <f>SUMIF('10. Inputs &amp; Calcs'!$D$742:$D$747,$E$10,'10. Inputs &amp; Calcs'!J$742:J$747)</f>
        <v>7750334.6445640996</v>
      </c>
      <c r="S133" s="615">
        <f>SUMIF('10. Inputs &amp; Calcs'!$D$742:$D$747,$E$10,'10. Inputs &amp; Calcs'!K$742:K$747)</f>
        <v>5695294.6916937632</v>
      </c>
      <c r="T133" s="615">
        <f>SUMIF('10. Inputs &amp; Calcs'!$D$742:$D$747,$E$10,'10. Inputs &amp; Calcs'!L$742:L$747)</f>
        <v>5681508.8345206473</v>
      </c>
      <c r="U133" s="615">
        <f>SUMIF('10. Inputs &amp; Calcs'!$D$742:$D$747,$E$10,'10. Inputs &amp; Calcs'!M$742:M$747)</f>
        <v>5648978.2666161163</v>
      </c>
      <c r="V133" s="615">
        <f>SUMIF('10. Inputs &amp; Calcs'!$D$742:$D$747,$E$10,'10. Inputs &amp; Calcs'!N$742:N$747)</f>
        <v>5595682.7720176624</v>
      </c>
      <c r="W133" s="615">
        <f>SUMIF('10. Inputs &amp; Calcs'!$D$742:$D$747,$E$10,'10. Inputs &amp; Calcs'!O$742:O$747)</f>
        <v>5519436.6137568634</v>
      </c>
      <c r="X133" s="615">
        <f>SUMIF('10. Inputs &amp; Calcs'!$D$742:$D$747,$E$10,'10. Inputs &amp; Calcs'!P$742:P$747)</f>
        <v>5417876.4377020234</v>
      </c>
      <c r="Y133" s="615">
        <f>SUMIF('10. Inputs &amp; Calcs'!$D$742:$D$747,$E$10,'10. Inputs &amp; Calcs'!Q$742:Q$747)</f>
        <v>5288448.3465245375</v>
      </c>
      <c r="Z133" s="615">
        <f>SUMIF('10. Inputs &amp; Calcs'!$D$742:$D$747,$E$10,'10. Inputs &amp; Calcs'!R$742:R$747)</f>
        <v>5128394.0890934793</v>
      </c>
      <c r="AA133" s="615">
        <f>SUMIF('10. Inputs &amp; Calcs'!$D$742:$D$747,$E$10,'10. Inputs &amp; Calcs'!S$742:S$747)</f>
        <v>4934736.3070967672</v>
      </c>
      <c r="AB133" s="615">
        <f>SUMIF('10. Inputs &amp; Calcs'!$D$742:$D$747,$E$10,'10. Inputs &amp; Calcs'!T$742:T$747)</f>
        <v>4704262.7769609103</v>
      </c>
      <c r="AC133" s="615">
        <f>SUMIF('10. Inputs &amp; Calcs'!$D$742:$D$747,$E$10,'10. Inputs &amp; Calcs'!U$742:U$747)</f>
        <v>4433509.5811811397</v>
      </c>
      <c r="AD133" s="615">
        <f>SUMIF('10. Inputs &amp; Calcs'!$D$742:$D$747,$E$10,'10. Inputs &amp; Calcs'!V$742:V$747)</f>
        <v>4118743.1389652886</v>
      </c>
      <c r="AE133" s="615">
        <f>SUMIF('10. Inputs &amp; Calcs'!$D$742:$D$747,$E$10,'10. Inputs &amp; Calcs'!W$742:W$747)</f>
        <v>3755941.0216226205</v>
      </c>
      <c r="AF133" s="615">
        <f>SUMIF('10. Inputs &amp; Calcs'!$D$742:$D$747,$E$10,'10. Inputs &amp; Calcs'!X$742:X$747)</f>
        <v>3340771.4733768906</v>
      </c>
      <c r="AG133" s="615">
        <f>SUMIF('10. Inputs &amp; Calcs'!$D$742:$D$747,$E$10,'10. Inputs &amp; Calcs'!Y$742:Y$747)</f>
        <v>2868571.5532337208</v>
      </c>
      <c r="AH133" s="615">
        <f>SUMIF('10. Inputs &amp; Calcs'!$D$742:$D$747,$E$10,'10. Inputs &amp; Calcs'!Z$742:Z$747)</f>
        <v>2334323.8081678371</v>
      </c>
      <c r="AI133" s="615">
        <f>SUMIF('10. Inputs &amp; Calcs'!$D$742:$D$747,$E$10,'10. Inputs &amp; Calcs'!AA$742:AA$747)</f>
        <v>1732631.3821961747</v>
      </c>
      <c r="AJ133" s="615">
        <f>SUMIF('10. Inputs &amp; Calcs'!$D$742:$D$747,$E$10,'10. Inputs &amp; Calcs'!AB$742:AB$747)</f>
        <v>0</v>
      </c>
      <c r="AK133" s="615">
        <f>SUMIF('10. Inputs &amp; Calcs'!$D$742:$D$747,$E$10,'10. Inputs &amp; Calcs'!AC$742:AC$747)</f>
        <v>0</v>
      </c>
      <c r="AL133" s="615">
        <f>SUMIF('10. Inputs &amp; Calcs'!$D$742:$D$747,$E$10,'10. Inputs &amp; Calcs'!AD$742:AD$747)</f>
        <v>93525071.990575537</v>
      </c>
    </row>
    <row r="134" spans="1:38" x14ac:dyDescent="0.45">
      <c r="A134" s="583"/>
      <c r="B134" s="583"/>
      <c r="C134" s="583"/>
      <c r="D134" s="747" t="s">
        <v>369</v>
      </c>
      <c r="E134" s="583"/>
      <c r="M134" s="583"/>
      <c r="N134" s="613">
        <f t="shared" ref="N134:AL134" si="60">SUM(N132:N133)</f>
        <v>10341549.390000001</v>
      </c>
      <c r="O134" s="613">
        <f t="shared" si="60"/>
        <v>11126424.74</v>
      </c>
      <c r="P134" s="613">
        <f t="shared" si="60"/>
        <v>11189539.09</v>
      </c>
      <c r="Q134" s="613">
        <f t="shared" si="60"/>
        <v>9701626.2512849998</v>
      </c>
      <c r="R134" s="613">
        <f t="shared" si="60"/>
        <v>7883264.6445640996</v>
      </c>
      <c r="S134" s="613">
        <f t="shared" si="60"/>
        <v>5835535.8416937636</v>
      </c>
      <c r="T134" s="613">
        <f t="shared" si="60"/>
        <v>5697948.2137706475</v>
      </c>
      <c r="U134" s="613">
        <f t="shared" si="60"/>
        <v>5666321.8117248667</v>
      </c>
      <c r="V134" s="613">
        <f t="shared" si="60"/>
        <v>5613980.2121073939</v>
      </c>
      <c r="W134" s="613">
        <f t="shared" si="60"/>
        <v>5538740.4130515298</v>
      </c>
      <c r="X134" s="613">
        <f t="shared" si="60"/>
        <v>5438241.9459578963</v>
      </c>
      <c r="Y134" s="613">
        <f t="shared" si="60"/>
        <v>5309933.9577344833</v>
      </c>
      <c r="Z134" s="613">
        <f t="shared" ref="Z134:AJ134" si="61">SUM(Z132:Z133)</f>
        <v>5151061.4089199724</v>
      </c>
      <c r="AA134" s="613">
        <f t="shared" si="61"/>
        <v>4958650.3295137174</v>
      </c>
      <c r="AB134" s="613">
        <f t="shared" si="61"/>
        <v>4729492.0706107933</v>
      </c>
      <c r="AC134" s="613">
        <f t="shared" si="61"/>
        <v>4460126.4859817661</v>
      </c>
      <c r="AD134" s="613">
        <f t="shared" si="61"/>
        <v>4146823.9735299493</v>
      </c>
      <c r="AE134" s="613">
        <f t="shared" si="61"/>
        <v>3785566.3020883375</v>
      </c>
      <c r="AF134" s="613">
        <f t="shared" si="61"/>
        <v>3372026.1442682222</v>
      </c>
      <c r="AG134" s="613">
        <f t="shared" si="61"/>
        <v>2901545.2310240753</v>
      </c>
      <c r="AH134" s="613">
        <f t="shared" si="61"/>
        <v>2369111.0382366609</v>
      </c>
      <c r="AI134" s="613">
        <f t="shared" si="61"/>
        <v>1769331.9099187839</v>
      </c>
      <c r="AJ134" s="613">
        <f t="shared" si="61"/>
        <v>77438.113494705685</v>
      </c>
      <c r="AK134" s="613">
        <f t="shared" si="60"/>
        <v>0</v>
      </c>
      <c r="AL134" s="613">
        <f t="shared" si="60"/>
        <v>94406766.299476653</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62">N130-N134</f>
        <v>-3778732.4700000007</v>
      </c>
      <c r="O136" s="613">
        <f t="shared" si="62"/>
        <v>-8985324.2599999998</v>
      </c>
      <c r="P136" s="613">
        <f t="shared" si="62"/>
        <v>-10101768.16</v>
      </c>
      <c r="Q136" s="613">
        <f t="shared" si="62"/>
        <v>-8840261.5994738638</v>
      </c>
      <c r="R136" s="613">
        <f t="shared" si="62"/>
        <v>-7065858.4727529632</v>
      </c>
      <c r="S136" s="613">
        <f t="shared" si="62"/>
        <v>-5062088.1498826267</v>
      </c>
      <c r="T136" s="613">
        <f t="shared" si="62"/>
        <v>-5538745.4480138542</v>
      </c>
      <c r="U136" s="613">
        <f t="shared" si="62"/>
        <v>-5512003.3215236291</v>
      </c>
      <c r="V136" s="613">
        <f t="shared" si="62"/>
        <v>-5464545.997461712</v>
      </c>
      <c r="W136" s="613">
        <f t="shared" si="62"/>
        <v>-5394190.4739614036</v>
      </c>
      <c r="X136" s="613">
        <f t="shared" si="62"/>
        <v>-5298576.2824233258</v>
      </c>
      <c r="Y136" s="613">
        <f t="shared" si="62"/>
        <v>-5175152.5697554685</v>
      </c>
      <c r="Z136" s="613">
        <f t="shared" ref="Z136:AJ136" si="63">Z130-Z134</f>
        <v>-5021164.2964965124</v>
      </c>
      <c r="AA136" s="613">
        <f t="shared" si="63"/>
        <v>-4833637.4926458132</v>
      </c>
      <c r="AB136" s="613">
        <f t="shared" si="63"/>
        <v>-4609363.5092984447</v>
      </c>
      <c r="AC136" s="613">
        <f t="shared" si="63"/>
        <v>-4344882.2002249733</v>
      </c>
      <c r="AD136" s="613">
        <f t="shared" si="63"/>
        <v>-4036463.9633287117</v>
      </c>
      <c r="AE136" s="613">
        <f t="shared" si="63"/>
        <v>-3680090.5674426556</v>
      </c>
      <c r="AF136" s="613">
        <f t="shared" si="63"/>
        <v>-3271434.6851780959</v>
      </c>
      <c r="AG136" s="613">
        <f t="shared" si="63"/>
        <v>-2805838.0474895043</v>
      </c>
      <c r="AH136" s="613">
        <f t="shared" si="63"/>
        <v>-2278288.1302576456</v>
      </c>
      <c r="AI136" s="613">
        <f t="shared" si="63"/>
        <v>-1683393.2774953244</v>
      </c>
      <c r="AJ136" s="613">
        <f t="shared" si="63"/>
        <v>16049072.327881193</v>
      </c>
      <c r="AK136" s="613">
        <f t="shared" si="62"/>
        <v>0</v>
      </c>
      <c r="AL136" s="613">
        <f t="shared" si="62"/>
        <v>-73866906.157225326</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2523803000</v>
      </c>
      <c r="O138" s="615">
        <f>SUMIF('10. Inputs &amp; Calcs'!$D$763:$D$768,$E$10,'10. Inputs &amp; Calcs'!G$763:G$768)</f>
        <v>2392718000</v>
      </c>
      <c r="P138" s="615">
        <f>SUMIF('10. Inputs &amp; Calcs'!$D$763:$D$768,$E$10,'10. Inputs &amp; Calcs'!H$763:H$768)</f>
        <v>2462372000</v>
      </c>
      <c r="Q138" s="615">
        <f>SUMIF('10. Inputs &amp; Calcs'!$D$763:$D$768,$E$10,'10. Inputs &amp; Calcs'!I$763:I$768)</f>
        <v>2462372000</v>
      </c>
      <c r="R138" s="615">
        <f>SUMIF('10. Inputs &amp; Calcs'!$D$763:$D$768,$E$10,'10. Inputs &amp; Calcs'!J$763:J$768)</f>
        <v>2462372000</v>
      </c>
      <c r="S138" s="615">
        <f>SUMIF('10. Inputs &amp; Calcs'!$D$763:$D$768,$E$10,'10. Inputs &amp; Calcs'!K$763:K$768)</f>
        <v>2462372000</v>
      </c>
      <c r="T138" s="615">
        <f>SUMIF('10. Inputs &amp; Calcs'!$D$763:$D$768,$E$10,'10. Inputs &amp; Calcs'!L$763:L$768)</f>
        <v>2462372000</v>
      </c>
      <c r="U138" s="615">
        <f>SUMIF('10. Inputs &amp; Calcs'!$D$763:$D$768,$E$10,'10. Inputs &amp; Calcs'!M$763:M$768)</f>
        <v>2462372000</v>
      </c>
      <c r="V138" s="615">
        <f>SUMIF('10. Inputs &amp; Calcs'!$D$763:$D$768,$E$10,'10. Inputs &amp; Calcs'!N$763:N$768)</f>
        <v>2462372000</v>
      </c>
      <c r="W138" s="615">
        <f>SUMIF('10. Inputs &amp; Calcs'!$D$763:$D$768,$E$10,'10. Inputs &amp; Calcs'!O$763:O$768)</f>
        <v>2462372000</v>
      </c>
      <c r="X138" s="615">
        <f>SUMIF('10. Inputs &amp; Calcs'!$D$763:$D$768,$E$10,'10. Inputs &amp; Calcs'!P$763:P$768)</f>
        <v>2462372000</v>
      </c>
      <c r="Y138" s="615">
        <f>SUMIF('10. Inputs &amp; Calcs'!$D$763:$D$768,$E$10,'10. Inputs &amp; Calcs'!Q$763:Q$768)</f>
        <v>2462372000</v>
      </c>
      <c r="Z138" s="615">
        <f>SUMIF('10. Inputs &amp; Calcs'!$D$763:$D$768,$E$10,'10. Inputs &amp; Calcs'!R$763:R$768)</f>
        <v>2462372000</v>
      </c>
      <c r="AA138" s="615">
        <f>SUMIF('10. Inputs &amp; Calcs'!$D$763:$D$768,$E$10,'10. Inputs &amp; Calcs'!S$763:S$768)</f>
        <v>2462372000</v>
      </c>
      <c r="AB138" s="615">
        <f>SUMIF('10. Inputs &amp; Calcs'!$D$763:$D$768,$E$10,'10. Inputs &amp; Calcs'!T$763:T$768)</f>
        <v>2462372000</v>
      </c>
      <c r="AC138" s="615">
        <f>SUMIF('10. Inputs &amp; Calcs'!$D$763:$D$768,$E$10,'10. Inputs &amp; Calcs'!U$763:U$768)</f>
        <v>2462372000</v>
      </c>
      <c r="AD138" s="615">
        <f>SUMIF('10. Inputs &amp; Calcs'!$D$763:$D$768,$E$10,'10. Inputs &amp; Calcs'!V$763:V$768)</f>
        <v>2462372000</v>
      </c>
      <c r="AE138" s="615">
        <f>SUMIF('10. Inputs &amp; Calcs'!$D$763:$D$768,$E$10,'10. Inputs &amp; Calcs'!W$763:W$768)</f>
        <v>2462372000</v>
      </c>
      <c r="AF138" s="615">
        <f>SUMIF('10. Inputs &amp; Calcs'!$D$763:$D$768,$E$10,'10. Inputs &amp; Calcs'!X$763:X$768)</f>
        <v>2462372000</v>
      </c>
      <c r="AG138" s="615">
        <f>SUMIF('10. Inputs &amp; Calcs'!$D$763:$D$768,$E$10,'10. Inputs &amp; Calcs'!Y$763:Y$768)</f>
        <v>2462372000</v>
      </c>
      <c r="AH138" s="615">
        <f>SUMIF('10. Inputs &amp; Calcs'!$D$763:$D$768,$E$10,'10. Inputs &amp; Calcs'!Z$763:Z$768)</f>
        <v>2462372000</v>
      </c>
      <c r="AI138" s="615">
        <f>SUMIF('10. Inputs &amp; Calcs'!$D$763:$D$768,$E$10,'10. Inputs &amp; Calcs'!AA$763:AA$768)</f>
        <v>2462372000</v>
      </c>
      <c r="AJ138" s="615">
        <f>SUMIF('10. Inputs &amp; Calcs'!$D$763:$D$768,$E$10,'10. Inputs &amp; Calcs'!AB$763:AB$768)</f>
        <v>2462372000</v>
      </c>
      <c r="AK138" s="615">
        <f>SUMIF('10. Inputs &amp; Calcs'!$D$763:$D$768,$E$10,'10. Inputs &amp; Calcs'!AC$763:AC$768)</f>
        <v>2462372000</v>
      </c>
      <c r="AL138" s="615">
        <f>SUMIF('10. Inputs &amp; Calcs'!$D$763:$D$768,$E$10,'10. Inputs &amp; Calcs'!AD$763:AD$768)</f>
        <v>59088705000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64">N136/N138</f>
        <v>-1.4972374904063434E-3</v>
      </c>
      <c r="O140" s="789">
        <f t="shared" si="64"/>
        <v>-3.7552792514621448E-3</v>
      </c>
      <c r="P140" s="789">
        <f t="shared" si="64"/>
        <v>-4.1024541214731165E-3</v>
      </c>
      <c r="Q140" s="789">
        <f t="shared" si="64"/>
        <v>-3.5901405634379629E-3</v>
      </c>
      <c r="R140" s="789">
        <f t="shared" si="64"/>
        <v>-2.8695333088391856E-3</v>
      </c>
      <c r="S140" s="789">
        <f t="shared" si="64"/>
        <v>-2.0557771733444932E-3</v>
      </c>
      <c r="T140" s="789">
        <f t="shared" si="64"/>
        <v>-2.2493536508756003E-3</v>
      </c>
      <c r="U140" s="789">
        <f t="shared" si="64"/>
        <v>-2.238493339561865E-3</v>
      </c>
      <c r="V140" s="789">
        <f t="shared" si="64"/>
        <v>-2.2192203279852566E-3</v>
      </c>
      <c r="W140" s="789">
        <f t="shared" si="64"/>
        <v>-2.190648071843492E-3</v>
      </c>
      <c r="X140" s="789">
        <f t="shared" si="64"/>
        <v>-2.1518179553793359E-3</v>
      </c>
      <c r="Y140" s="789">
        <f t="shared" si="64"/>
        <v>-2.1016940453170638E-3</v>
      </c>
      <c r="Z140" s="789">
        <f t="shared" ref="Z140:AJ140" si="65">Z136/Z138</f>
        <v>-2.0391574857480969E-3</v>
      </c>
      <c r="AA140" s="789">
        <f t="shared" si="65"/>
        <v>-1.9630005103395479E-3</v>
      </c>
      <c r="AB140" s="789">
        <f t="shared" si="65"/>
        <v>-1.8719200467266703E-3</v>
      </c>
      <c r="AC140" s="789">
        <f t="shared" si="65"/>
        <v>-1.7645108863425076E-3</v>
      </c>
      <c r="AD140" s="789">
        <f t="shared" si="65"/>
        <v>-1.6392583912295589E-3</v>
      </c>
      <c r="AE140" s="789">
        <f t="shared" si="65"/>
        <v>-1.4945307075627304E-3</v>
      </c>
      <c r="AF140" s="789">
        <f t="shared" si="65"/>
        <v>-1.3285704536837228E-3</v>
      </c>
      <c r="AG140" s="789">
        <f t="shared" si="65"/>
        <v>-1.1394858483971977E-3</v>
      </c>
      <c r="AH140" s="789">
        <f t="shared" si="65"/>
        <v>-9.2524124310122333E-4</v>
      </c>
      <c r="AI140" s="789">
        <f t="shared" si="65"/>
        <v>-6.8364701901066306E-4</v>
      </c>
      <c r="AJ140" s="789">
        <f t="shared" si="65"/>
        <v>6.5177285673656106E-3</v>
      </c>
      <c r="AK140" s="789">
        <f t="shared" si="64"/>
        <v>0</v>
      </c>
      <c r="AL140" s="789">
        <f t="shared" si="64"/>
        <v>-1.2501019637716773E-3</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66">O$12</f>
        <v>0</v>
      </c>
      <c r="P145" s="785">
        <f t="shared" si="66"/>
        <v>114</v>
      </c>
      <c r="Q145" s="785">
        <f t="shared" si="66"/>
        <v>132</v>
      </c>
      <c r="R145" s="785">
        <f t="shared" si="66"/>
        <v>150</v>
      </c>
      <c r="S145" s="785">
        <f t="shared" si="66"/>
        <v>168</v>
      </c>
      <c r="T145" s="785">
        <f t="shared" si="66"/>
        <v>170</v>
      </c>
      <c r="U145" s="785">
        <f t="shared" si="66"/>
        <v>172</v>
      </c>
      <c r="V145" s="785">
        <f t="shared" si="66"/>
        <v>174</v>
      </c>
      <c r="W145" s="785">
        <f t="shared" si="66"/>
        <v>176</v>
      </c>
      <c r="X145" s="785">
        <f t="shared" si="66"/>
        <v>178</v>
      </c>
      <c r="Y145" s="785">
        <f t="shared" si="66"/>
        <v>180</v>
      </c>
      <c r="Z145" s="785">
        <f t="shared" si="66"/>
        <v>182</v>
      </c>
      <c r="AA145" s="785">
        <f t="shared" si="66"/>
        <v>184</v>
      </c>
      <c r="AB145" s="785">
        <f t="shared" si="66"/>
        <v>186</v>
      </c>
      <c r="AC145" s="785">
        <f t="shared" si="66"/>
        <v>188</v>
      </c>
      <c r="AD145" s="785">
        <f t="shared" si="66"/>
        <v>190</v>
      </c>
      <c r="AE145" s="785">
        <f t="shared" si="66"/>
        <v>192</v>
      </c>
      <c r="AF145" s="785">
        <f t="shared" si="66"/>
        <v>194</v>
      </c>
      <c r="AG145" s="785">
        <f t="shared" si="66"/>
        <v>196</v>
      </c>
      <c r="AH145" s="785">
        <f t="shared" si="66"/>
        <v>198</v>
      </c>
      <c r="AI145" s="785">
        <f t="shared" si="66"/>
        <v>200</v>
      </c>
      <c r="AJ145" s="785">
        <f t="shared" si="66"/>
        <v>204</v>
      </c>
      <c r="AK145" s="785">
        <f t="shared" si="66"/>
        <v>0</v>
      </c>
    </row>
    <row r="146" spans="4:37" x14ac:dyDescent="0.45">
      <c r="D146" s="451"/>
      <c r="N146" s="536" t="str">
        <f>N$5</f>
        <v>2013/14</v>
      </c>
      <c r="O146" s="536" t="str">
        <f t="shared" ref="O146:AK146" si="67">O$5</f>
        <v>2014/15</v>
      </c>
      <c r="P146" s="536" t="str">
        <f t="shared" si="67"/>
        <v>2015/16</v>
      </c>
      <c r="Q146" s="536" t="str">
        <f t="shared" si="67"/>
        <v>2016/17</v>
      </c>
      <c r="R146" s="536" t="str">
        <f t="shared" si="67"/>
        <v>2017/18</v>
      </c>
      <c r="S146" s="536" t="str">
        <f t="shared" si="67"/>
        <v>2018/19</v>
      </c>
      <c r="T146" s="536" t="str">
        <f t="shared" si="67"/>
        <v>2019/20</v>
      </c>
      <c r="U146" s="536" t="str">
        <f t="shared" si="67"/>
        <v>2020/21</v>
      </c>
      <c r="V146" s="536" t="str">
        <f t="shared" si="67"/>
        <v>2021/22</v>
      </c>
      <c r="W146" s="536" t="str">
        <f t="shared" si="67"/>
        <v>2022/23</v>
      </c>
      <c r="X146" s="536" t="str">
        <f t="shared" si="67"/>
        <v>2023/24</v>
      </c>
      <c r="Y146" s="536" t="str">
        <f t="shared" si="67"/>
        <v>2024/25</v>
      </c>
      <c r="Z146" s="536" t="str">
        <f t="shared" si="67"/>
        <v>2025/26</v>
      </c>
      <c r="AA146" s="536" t="str">
        <f t="shared" si="67"/>
        <v>2026/27</v>
      </c>
      <c r="AB146" s="536" t="str">
        <f t="shared" si="67"/>
        <v>2027/28</v>
      </c>
      <c r="AC146" s="536" t="str">
        <f t="shared" si="67"/>
        <v>2028/29</v>
      </c>
      <c r="AD146" s="536" t="str">
        <f t="shared" si="67"/>
        <v>2029/30</v>
      </c>
      <c r="AE146" s="536" t="str">
        <f t="shared" si="67"/>
        <v>2030/31</v>
      </c>
      <c r="AF146" s="536" t="str">
        <f t="shared" si="67"/>
        <v>2031/32</v>
      </c>
      <c r="AG146" s="536" t="str">
        <f t="shared" si="67"/>
        <v>3032/33</v>
      </c>
      <c r="AH146" s="536" t="str">
        <f t="shared" si="67"/>
        <v>2033/34</v>
      </c>
      <c r="AI146" s="536" t="str">
        <f t="shared" si="67"/>
        <v>2034/35</v>
      </c>
      <c r="AJ146" s="536" t="str">
        <f t="shared" si="67"/>
        <v>2035/36</v>
      </c>
      <c r="AK146" s="536" t="str">
        <f t="shared" si="6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68">O$13</f>
        <v>0</v>
      </c>
      <c r="P147" s="785">
        <f t="shared" si="68"/>
        <v>90</v>
      </c>
      <c r="Q147" s="785">
        <f t="shared" si="68"/>
        <v>72</v>
      </c>
      <c r="R147" s="785">
        <f t="shared" si="68"/>
        <v>54</v>
      </c>
      <c r="S147" s="785">
        <f t="shared" si="68"/>
        <v>36</v>
      </c>
      <c r="T147" s="785">
        <f t="shared" si="68"/>
        <v>34</v>
      </c>
      <c r="U147" s="785">
        <f t="shared" si="68"/>
        <v>32</v>
      </c>
      <c r="V147" s="785">
        <f t="shared" si="68"/>
        <v>30</v>
      </c>
      <c r="W147" s="785">
        <f t="shared" si="68"/>
        <v>28</v>
      </c>
      <c r="X147" s="785">
        <f t="shared" si="68"/>
        <v>26</v>
      </c>
      <c r="Y147" s="785">
        <f t="shared" si="68"/>
        <v>24</v>
      </c>
      <c r="Z147" s="785">
        <f t="shared" si="68"/>
        <v>22</v>
      </c>
      <c r="AA147" s="785">
        <f t="shared" si="68"/>
        <v>20</v>
      </c>
      <c r="AB147" s="785">
        <f t="shared" si="68"/>
        <v>18</v>
      </c>
      <c r="AC147" s="785">
        <f t="shared" si="68"/>
        <v>16</v>
      </c>
      <c r="AD147" s="785">
        <f t="shared" si="68"/>
        <v>14</v>
      </c>
      <c r="AE147" s="785">
        <f t="shared" si="68"/>
        <v>12</v>
      </c>
      <c r="AF147" s="785">
        <f t="shared" si="68"/>
        <v>10</v>
      </c>
      <c r="AG147" s="785">
        <f t="shared" si="68"/>
        <v>8</v>
      </c>
      <c r="AH147" s="785">
        <f t="shared" si="68"/>
        <v>6</v>
      </c>
      <c r="AI147" s="785">
        <f t="shared" si="68"/>
        <v>4</v>
      </c>
      <c r="AJ147" s="785">
        <f t="shared" si="68"/>
        <v>0</v>
      </c>
      <c r="AK147" s="785">
        <f t="shared" si="68"/>
        <v>0</v>
      </c>
    </row>
    <row r="148" spans="4:37" x14ac:dyDescent="0.45">
      <c r="D148" s="451"/>
      <c r="E148" s="803" t="str">
        <f>D$12</f>
        <v>No. of Sales Accounts</v>
      </c>
      <c r="F148" s="803"/>
      <c r="G148" s="803"/>
      <c r="H148" s="803"/>
      <c r="I148" s="803"/>
      <c r="J148" s="803"/>
      <c r="K148" s="803"/>
      <c r="L148" s="803"/>
      <c r="M148" s="803"/>
      <c r="N148" s="785">
        <f>N$12</f>
        <v>0</v>
      </c>
      <c r="O148" s="785">
        <f t="shared" si="66"/>
        <v>0</v>
      </c>
      <c r="P148" s="785">
        <f t="shared" si="66"/>
        <v>114</v>
      </c>
      <c r="Q148" s="785">
        <f t="shared" si="66"/>
        <v>132</v>
      </c>
      <c r="R148" s="785">
        <f t="shared" si="66"/>
        <v>150</v>
      </c>
      <c r="S148" s="785">
        <f t="shared" si="66"/>
        <v>168</v>
      </c>
      <c r="T148" s="785">
        <f t="shared" si="66"/>
        <v>170</v>
      </c>
      <c r="U148" s="785">
        <f t="shared" si="66"/>
        <v>172</v>
      </c>
      <c r="V148" s="785">
        <f t="shared" si="66"/>
        <v>174</v>
      </c>
      <c r="W148" s="785">
        <f t="shared" si="66"/>
        <v>176</v>
      </c>
      <c r="X148" s="785">
        <f t="shared" si="66"/>
        <v>178</v>
      </c>
      <c r="Y148" s="785">
        <f t="shared" si="66"/>
        <v>180</v>
      </c>
      <c r="Z148" s="785">
        <f t="shared" si="66"/>
        <v>182</v>
      </c>
      <c r="AA148" s="785">
        <f t="shared" si="66"/>
        <v>184</v>
      </c>
      <c r="AB148" s="785">
        <f t="shared" si="66"/>
        <v>186</v>
      </c>
      <c r="AC148" s="785">
        <f t="shared" si="66"/>
        <v>188</v>
      </c>
      <c r="AD148" s="785">
        <f t="shared" si="66"/>
        <v>190</v>
      </c>
      <c r="AE148" s="785">
        <f t="shared" si="66"/>
        <v>192</v>
      </c>
      <c r="AF148" s="785">
        <f t="shared" si="66"/>
        <v>194</v>
      </c>
      <c r="AG148" s="785">
        <f t="shared" si="66"/>
        <v>196</v>
      </c>
      <c r="AH148" s="785">
        <f t="shared" si="66"/>
        <v>198</v>
      </c>
      <c r="AI148" s="785">
        <f t="shared" si="66"/>
        <v>200</v>
      </c>
      <c r="AJ148" s="785">
        <f t="shared" si="66"/>
        <v>204</v>
      </c>
      <c r="AK148" s="785">
        <f t="shared" si="6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69">O$5</f>
        <v>2014/15</v>
      </c>
      <c r="P170" s="536" t="str">
        <f t="shared" si="69"/>
        <v>2015/16</v>
      </c>
      <c r="Q170" s="536" t="str">
        <f t="shared" si="69"/>
        <v>2016/17</v>
      </c>
      <c r="R170" s="536" t="str">
        <f t="shared" si="69"/>
        <v>2017/18</v>
      </c>
      <c r="S170" s="536" t="str">
        <f t="shared" si="69"/>
        <v>2018/19</v>
      </c>
      <c r="T170" s="536" t="str">
        <f t="shared" si="69"/>
        <v>2019/20</v>
      </c>
      <c r="U170" s="536" t="str">
        <f t="shared" si="69"/>
        <v>2020/21</v>
      </c>
      <c r="V170" s="536" t="str">
        <f t="shared" si="69"/>
        <v>2021/22</v>
      </c>
      <c r="W170" s="536" t="str">
        <f t="shared" si="69"/>
        <v>2022/23</v>
      </c>
      <c r="X170" s="536" t="str">
        <f t="shared" si="69"/>
        <v>2023/24</v>
      </c>
      <c r="Y170" s="536" t="str">
        <f t="shared" si="69"/>
        <v>2024/25</v>
      </c>
      <c r="Z170" s="536" t="str">
        <f t="shared" si="69"/>
        <v>2025/26</v>
      </c>
      <c r="AA170" s="536" t="str">
        <f t="shared" si="69"/>
        <v>2026/27</v>
      </c>
      <c r="AB170" s="536" t="str">
        <f t="shared" si="69"/>
        <v>2027/28</v>
      </c>
      <c r="AC170" s="536" t="str">
        <f t="shared" si="69"/>
        <v>2028/29</v>
      </c>
      <c r="AD170" s="536" t="str">
        <f t="shared" si="69"/>
        <v>2029/30</v>
      </c>
      <c r="AE170" s="536" t="str">
        <f t="shared" si="69"/>
        <v>2030/31</v>
      </c>
      <c r="AF170" s="536" t="str">
        <f t="shared" si="69"/>
        <v>2031/32</v>
      </c>
      <c r="AG170" s="536" t="str">
        <f t="shared" si="69"/>
        <v>3032/33</v>
      </c>
      <c r="AH170" s="536" t="str">
        <f t="shared" si="69"/>
        <v>2033/34</v>
      </c>
      <c r="AI170" s="536" t="str">
        <f t="shared" si="69"/>
        <v>2034/35</v>
      </c>
      <c r="AJ170" s="536" t="str">
        <f t="shared" si="69"/>
        <v>2035/36</v>
      </c>
      <c r="AK170" s="536" t="str">
        <f t="shared" si="69"/>
        <v>2036/37</v>
      </c>
    </row>
    <row r="171" spans="4:37" x14ac:dyDescent="0.45">
      <c r="E171" s="803" t="str">
        <f>D48</f>
        <v>Net Surplus / (Deficit)</v>
      </c>
      <c r="F171" s="803"/>
      <c r="G171" s="803"/>
      <c r="H171" s="803"/>
      <c r="I171" s="803"/>
      <c r="J171" s="803"/>
      <c r="K171" s="803"/>
      <c r="L171" s="803"/>
      <c r="M171" s="803"/>
      <c r="N171" s="533">
        <f t="shared" ref="N171:AK171" si="70">N48</f>
        <v>-9354796.4700000007</v>
      </c>
      <c r="O171" s="533">
        <f t="shared" si="70"/>
        <v>-10229237.26</v>
      </c>
      <c r="P171" s="533">
        <f t="shared" si="70"/>
        <v>-10415188.16</v>
      </c>
      <c r="Q171" s="579">
        <f t="shared" si="70"/>
        <v>-9050671.484040793</v>
      </c>
      <c r="R171" s="579">
        <f t="shared" si="70"/>
        <v>-7276268.3573198924</v>
      </c>
      <c r="S171" s="579">
        <f t="shared" si="70"/>
        <v>-5272498.0344495559</v>
      </c>
      <c r="T171" s="533">
        <f t="shared" si="70"/>
        <v>-5562124.3240768462</v>
      </c>
      <c r="U171" s="533">
        <f t="shared" si="70"/>
        <v>-5535382.1975866212</v>
      </c>
      <c r="V171" s="533">
        <f t="shared" si="70"/>
        <v>-5487924.873524704</v>
      </c>
      <c r="W171" s="533">
        <f t="shared" si="70"/>
        <v>-5417569.3500243956</v>
      </c>
      <c r="X171" s="533">
        <f t="shared" si="70"/>
        <v>-5321955.1584863178</v>
      </c>
      <c r="Y171" s="533">
        <f t="shared" si="70"/>
        <v>-5198531.4458184605</v>
      </c>
      <c r="Z171" s="533">
        <f t="shared" si="70"/>
        <v>-5044543.1725595053</v>
      </c>
      <c r="AA171" s="533">
        <f t="shared" si="70"/>
        <v>-4857016.3687088052</v>
      </c>
      <c r="AB171" s="533">
        <f t="shared" si="70"/>
        <v>-4632742.3853614368</v>
      </c>
      <c r="AC171" s="533">
        <f t="shared" si="70"/>
        <v>-4368261.0762879653</v>
      </c>
      <c r="AD171" s="533">
        <f t="shared" si="70"/>
        <v>-4059842.8393917042</v>
      </c>
      <c r="AE171" s="533">
        <f t="shared" si="70"/>
        <v>-3703469.4435056476</v>
      </c>
      <c r="AF171" s="533">
        <f t="shared" si="70"/>
        <v>-3294813.561241088</v>
      </c>
      <c r="AG171" s="533">
        <f t="shared" si="70"/>
        <v>-2829216.9235524968</v>
      </c>
      <c r="AH171" s="533">
        <f t="shared" si="70"/>
        <v>-2301667.0063206377</v>
      </c>
      <c r="AI171" s="533">
        <f t="shared" si="70"/>
        <v>-1706772.1535583164</v>
      </c>
      <c r="AJ171" s="533">
        <f t="shared" si="70"/>
        <v>28144.297004007109</v>
      </c>
      <c r="AK171" s="533">
        <f t="shared" si="70"/>
        <v>0</v>
      </c>
    </row>
    <row r="172" spans="4:37" x14ac:dyDescent="0.45">
      <c r="E172" s="803" t="str">
        <f>D47</f>
        <v>Total Expenditure</v>
      </c>
      <c r="F172" s="803"/>
      <c r="G172" s="803"/>
      <c r="H172" s="803"/>
      <c r="I172" s="803"/>
      <c r="J172" s="803"/>
      <c r="K172" s="803"/>
      <c r="L172" s="803"/>
      <c r="M172" s="803"/>
      <c r="N172" s="533">
        <f t="shared" ref="N172:AK172" si="71">N47</f>
        <v>10341549.390000001</v>
      </c>
      <c r="O172" s="533">
        <f t="shared" si="71"/>
        <v>11126424.74</v>
      </c>
      <c r="P172" s="533">
        <f t="shared" si="71"/>
        <v>11189539.09</v>
      </c>
      <c r="Q172" s="579">
        <f t="shared" si="71"/>
        <v>9701626.2512849998</v>
      </c>
      <c r="R172" s="579">
        <f t="shared" si="71"/>
        <v>7883264.6445640996</v>
      </c>
      <c r="S172" s="579">
        <f t="shared" si="71"/>
        <v>5835535.8416937636</v>
      </c>
      <c r="T172" s="533">
        <f t="shared" si="71"/>
        <v>5697948.2137706475</v>
      </c>
      <c r="U172" s="533">
        <f t="shared" si="71"/>
        <v>5666321.8117248667</v>
      </c>
      <c r="V172" s="533">
        <f t="shared" si="71"/>
        <v>5613980.2121073939</v>
      </c>
      <c r="W172" s="533">
        <f t="shared" si="71"/>
        <v>5538740.4130515298</v>
      </c>
      <c r="X172" s="533">
        <f t="shared" si="71"/>
        <v>5438241.9459578963</v>
      </c>
      <c r="Y172" s="533">
        <f t="shared" si="71"/>
        <v>5309933.9577344833</v>
      </c>
      <c r="Z172" s="533">
        <f t="shared" si="71"/>
        <v>5151061.4089199724</v>
      </c>
      <c r="AA172" s="533">
        <f t="shared" si="71"/>
        <v>4958650.3295137174</v>
      </c>
      <c r="AB172" s="533">
        <f t="shared" si="71"/>
        <v>4729492.0706107933</v>
      </c>
      <c r="AC172" s="533">
        <f t="shared" si="71"/>
        <v>4460126.4859817661</v>
      </c>
      <c r="AD172" s="533">
        <f t="shared" si="71"/>
        <v>4146823.9735299493</v>
      </c>
      <c r="AE172" s="533">
        <f t="shared" si="71"/>
        <v>3785566.3020883375</v>
      </c>
      <c r="AF172" s="533">
        <f t="shared" si="71"/>
        <v>3372026.1442682222</v>
      </c>
      <c r="AG172" s="533">
        <f t="shared" si="71"/>
        <v>2901545.2310240753</v>
      </c>
      <c r="AH172" s="533">
        <f t="shared" si="71"/>
        <v>2369111.0382366609</v>
      </c>
      <c r="AI172" s="533">
        <f t="shared" si="71"/>
        <v>1769331.9099187839</v>
      </c>
      <c r="AJ172" s="533">
        <f t="shared" si="71"/>
        <v>77438.113494705685</v>
      </c>
      <c r="AK172" s="533">
        <f t="shared" si="71"/>
        <v>0</v>
      </c>
    </row>
    <row r="173" spans="4:37" x14ac:dyDescent="0.45">
      <c r="E173" s="803" t="str">
        <f>D28</f>
        <v>Total Income</v>
      </c>
      <c r="F173" s="803"/>
      <c r="G173" s="803"/>
      <c r="H173" s="803"/>
      <c r="I173" s="803"/>
      <c r="J173" s="803"/>
      <c r="K173" s="803"/>
      <c r="L173" s="803"/>
      <c r="M173" s="803"/>
      <c r="N173" s="533">
        <f t="shared" ref="N173:AK173" si="72">N28</f>
        <v>986752.92000000016</v>
      </c>
      <c r="O173" s="533">
        <f t="shared" si="72"/>
        <v>897187.48</v>
      </c>
      <c r="P173" s="533">
        <f t="shared" si="72"/>
        <v>774350.93</v>
      </c>
      <c r="Q173" s="579">
        <f t="shared" si="72"/>
        <v>650954.76724420744</v>
      </c>
      <c r="R173" s="579">
        <f t="shared" si="72"/>
        <v>606996.28724420746</v>
      </c>
      <c r="S173" s="579">
        <f t="shared" si="72"/>
        <v>563037.80724420748</v>
      </c>
      <c r="T173" s="533">
        <f t="shared" si="72"/>
        <v>135823.88969380083</v>
      </c>
      <c r="U173" s="533">
        <f t="shared" si="72"/>
        <v>130939.61413824529</v>
      </c>
      <c r="V173" s="533">
        <f t="shared" si="72"/>
        <v>126055.33858268973</v>
      </c>
      <c r="W173" s="533">
        <f t="shared" si="72"/>
        <v>121171.06302713418</v>
      </c>
      <c r="X173" s="533">
        <f t="shared" si="72"/>
        <v>116286.78747157862</v>
      </c>
      <c r="Y173" s="533">
        <f t="shared" si="72"/>
        <v>111402.51191602307</v>
      </c>
      <c r="Z173" s="533">
        <f t="shared" si="72"/>
        <v>106518.2363604675</v>
      </c>
      <c r="AA173" s="533">
        <f t="shared" si="72"/>
        <v>101633.96080491194</v>
      </c>
      <c r="AB173" s="533">
        <f t="shared" si="72"/>
        <v>96749.685249356393</v>
      </c>
      <c r="AC173" s="533">
        <f t="shared" si="72"/>
        <v>91865.409693800844</v>
      </c>
      <c r="AD173" s="533">
        <f t="shared" si="72"/>
        <v>86981.134138245281</v>
      </c>
      <c r="AE173" s="533">
        <f t="shared" si="72"/>
        <v>82096.858582689732</v>
      </c>
      <c r="AF173" s="533">
        <f t="shared" si="72"/>
        <v>77212.583027134169</v>
      </c>
      <c r="AG173" s="533">
        <f t="shared" si="72"/>
        <v>72328.307471578621</v>
      </c>
      <c r="AH173" s="533">
        <f t="shared" si="72"/>
        <v>67444.031916023057</v>
      </c>
      <c r="AI173" s="533">
        <f t="shared" si="72"/>
        <v>62559.756360467509</v>
      </c>
      <c r="AJ173" s="533">
        <f t="shared" si="72"/>
        <v>105582.41049871279</v>
      </c>
      <c r="AK173" s="533">
        <f t="shared" si="72"/>
        <v>0</v>
      </c>
    </row>
    <row r="195" spans="5:37" x14ac:dyDescent="0.45">
      <c r="N195" s="536" t="str">
        <f>N$170</f>
        <v>2013/14</v>
      </c>
      <c r="O195" s="536" t="str">
        <f t="shared" ref="O195:AK195" si="73">O$170</f>
        <v>2014/15</v>
      </c>
      <c r="P195" s="536" t="str">
        <f t="shared" si="73"/>
        <v>2015/16</v>
      </c>
      <c r="Q195" s="536" t="str">
        <f t="shared" si="73"/>
        <v>2016/17</v>
      </c>
      <c r="R195" s="536" t="str">
        <f t="shared" si="73"/>
        <v>2017/18</v>
      </c>
      <c r="S195" s="536" t="str">
        <f t="shared" si="73"/>
        <v>2018/19</v>
      </c>
      <c r="T195" s="536" t="str">
        <f t="shared" si="73"/>
        <v>2019/20</v>
      </c>
      <c r="U195" s="536" t="str">
        <f t="shared" si="73"/>
        <v>2020/21</v>
      </c>
      <c r="V195" s="536" t="str">
        <f t="shared" si="73"/>
        <v>2021/22</v>
      </c>
      <c r="W195" s="536" t="str">
        <f t="shared" si="73"/>
        <v>2022/23</v>
      </c>
      <c r="X195" s="536" t="str">
        <f t="shared" si="73"/>
        <v>2023/24</v>
      </c>
      <c r="Y195" s="536" t="str">
        <f t="shared" si="73"/>
        <v>2024/25</v>
      </c>
      <c r="Z195" s="536" t="str">
        <f t="shared" si="73"/>
        <v>2025/26</v>
      </c>
      <c r="AA195" s="536" t="str">
        <f t="shared" si="73"/>
        <v>2026/27</v>
      </c>
      <c r="AB195" s="536" t="str">
        <f t="shared" si="73"/>
        <v>2027/28</v>
      </c>
      <c r="AC195" s="536" t="str">
        <f t="shared" si="73"/>
        <v>2028/29</v>
      </c>
      <c r="AD195" s="536" t="str">
        <f t="shared" si="73"/>
        <v>2029/30</v>
      </c>
      <c r="AE195" s="536" t="str">
        <f t="shared" si="73"/>
        <v>2030/31</v>
      </c>
      <c r="AF195" s="536" t="str">
        <f t="shared" si="73"/>
        <v>2031/32</v>
      </c>
      <c r="AG195" s="536" t="str">
        <f t="shared" si="73"/>
        <v>3032/33</v>
      </c>
      <c r="AH195" s="536" t="str">
        <f t="shared" si="73"/>
        <v>2033/34</v>
      </c>
      <c r="AI195" s="536" t="str">
        <f t="shared" si="73"/>
        <v>2034/35</v>
      </c>
      <c r="AJ195" s="536" t="str">
        <f t="shared" si="73"/>
        <v>2035/36</v>
      </c>
      <c r="AK195" s="536" t="str">
        <f t="shared" si="73"/>
        <v>2036/37</v>
      </c>
    </row>
    <row r="196" spans="5:37" x14ac:dyDescent="0.45">
      <c r="E196" s="803" t="str">
        <f>D104</f>
        <v>Sales &amp; Loans Collections/Sales &amp; Loans Raised</v>
      </c>
      <c r="F196" s="803"/>
      <c r="G196" s="803"/>
      <c r="H196" s="803"/>
      <c r="I196" s="803"/>
      <c r="J196" s="803"/>
      <c r="K196" s="803"/>
      <c r="L196" s="803"/>
      <c r="M196" s="803"/>
      <c r="N196" s="813">
        <f t="shared" ref="N196:AK196" si="74">N104</f>
        <v>8.2142341369943306E-2</v>
      </c>
      <c r="O196" s="813">
        <f t="shared" si="74"/>
        <v>0.53381492294990063</v>
      </c>
      <c r="P196" s="813">
        <f t="shared" si="74"/>
        <v>0.39757553272276625</v>
      </c>
      <c r="Q196" s="813">
        <f t="shared" si="74"/>
        <v>0.34269458893714638</v>
      </c>
      <c r="R196" s="813">
        <f t="shared" si="74"/>
        <v>0.34269458893714638</v>
      </c>
      <c r="S196" s="813">
        <f t="shared" si="74"/>
        <v>0.34269458893714638</v>
      </c>
      <c r="T196" s="813">
        <f t="shared" si="74"/>
        <v>0.34269458893714638</v>
      </c>
      <c r="U196" s="813">
        <f t="shared" si="74"/>
        <v>0.34269458893714638</v>
      </c>
      <c r="V196" s="813">
        <f t="shared" si="74"/>
        <v>0.34269458893714638</v>
      </c>
      <c r="W196" s="813">
        <f t="shared" si="74"/>
        <v>0.34269458893714638</v>
      </c>
      <c r="X196" s="813">
        <f t="shared" si="74"/>
        <v>0.34269458893714638</v>
      </c>
      <c r="Y196" s="813">
        <f t="shared" si="74"/>
        <v>0.34269458893714638</v>
      </c>
      <c r="Z196" s="813">
        <f t="shared" ref="Z196:AI196" si="75">Z104</f>
        <v>0.34269458893714638</v>
      </c>
      <c r="AA196" s="813">
        <f t="shared" si="75"/>
        <v>0.34269458893714638</v>
      </c>
      <c r="AB196" s="813">
        <f t="shared" si="75"/>
        <v>0.34269458893714638</v>
      </c>
      <c r="AC196" s="813">
        <f t="shared" si="75"/>
        <v>0.34269458893714638</v>
      </c>
      <c r="AD196" s="813">
        <f t="shared" si="75"/>
        <v>0.34269458893714638</v>
      </c>
      <c r="AE196" s="813">
        <f t="shared" si="75"/>
        <v>0.34269458893714638</v>
      </c>
      <c r="AF196" s="813">
        <f t="shared" si="75"/>
        <v>0.34269458893714638</v>
      </c>
      <c r="AG196" s="813">
        <f t="shared" si="75"/>
        <v>0.34269458893714638</v>
      </c>
      <c r="AH196" s="813">
        <f t="shared" si="75"/>
        <v>0.34269458893714638</v>
      </c>
      <c r="AI196" s="813">
        <f t="shared" si="75"/>
        <v>0.34269458893714638</v>
      </c>
      <c r="AJ196" s="813">
        <f t="shared" si="74"/>
        <v>0.34269458893714638</v>
      </c>
      <c r="AK196" s="813">
        <f t="shared" si="74"/>
        <v>0</v>
      </c>
    </row>
    <row r="219" spans="5:37" x14ac:dyDescent="0.45">
      <c r="N219" s="536" t="str">
        <f>N$170</f>
        <v>2013/14</v>
      </c>
      <c r="O219" s="536" t="str">
        <f t="shared" ref="O219:AK219" si="76">O$170</f>
        <v>2014/15</v>
      </c>
      <c r="P219" s="536" t="str">
        <f t="shared" si="76"/>
        <v>2015/16</v>
      </c>
      <c r="Q219" s="536" t="str">
        <f t="shared" si="76"/>
        <v>2016/17</v>
      </c>
      <c r="R219" s="536" t="str">
        <f t="shared" si="76"/>
        <v>2017/18</v>
      </c>
      <c r="S219" s="536" t="str">
        <f t="shared" si="76"/>
        <v>2018/19</v>
      </c>
      <c r="T219" s="536" t="str">
        <f t="shared" si="76"/>
        <v>2019/20</v>
      </c>
      <c r="U219" s="536" t="str">
        <f t="shared" si="76"/>
        <v>2020/21</v>
      </c>
      <c r="V219" s="536" t="str">
        <f t="shared" si="76"/>
        <v>2021/22</v>
      </c>
      <c r="W219" s="536" t="str">
        <f t="shared" si="76"/>
        <v>2022/23</v>
      </c>
      <c r="X219" s="536" t="str">
        <f t="shared" si="76"/>
        <v>2023/24</v>
      </c>
      <c r="Y219" s="536" t="str">
        <f t="shared" si="76"/>
        <v>2024/25</v>
      </c>
      <c r="Z219" s="536" t="str">
        <f t="shared" si="76"/>
        <v>2025/26</v>
      </c>
      <c r="AA219" s="536" t="str">
        <f t="shared" si="76"/>
        <v>2026/27</v>
      </c>
      <c r="AB219" s="536" t="str">
        <f t="shared" si="76"/>
        <v>2027/28</v>
      </c>
      <c r="AC219" s="536" t="str">
        <f t="shared" si="76"/>
        <v>2028/29</v>
      </c>
      <c r="AD219" s="536" t="str">
        <f t="shared" si="76"/>
        <v>2029/30</v>
      </c>
      <c r="AE219" s="536" t="str">
        <f t="shared" si="76"/>
        <v>2030/31</v>
      </c>
      <c r="AF219" s="536" t="str">
        <f t="shared" si="76"/>
        <v>2031/32</v>
      </c>
      <c r="AG219" s="536" t="str">
        <f t="shared" si="76"/>
        <v>3032/33</v>
      </c>
      <c r="AH219" s="536" t="str">
        <f t="shared" si="76"/>
        <v>2033/34</v>
      </c>
      <c r="AI219" s="536" t="str">
        <f t="shared" si="76"/>
        <v>2034/35</v>
      </c>
      <c r="AJ219" s="536" t="str">
        <f t="shared" si="76"/>
        <v>2035/36</v>
      </c>
      <c r="AK219" s="536" t="str">
        <f t="shared" si="76"/>
        <v>2036/37</v>
      </c>
    </row>
    <row r="220" spans="5:37" x14ac:dyDescent="0.45">
      <c r="E220" s="803" t="str">
        <f>D105</f>
        <v>Rental Collections/Rentals Raised</v>
      </c>
      <c r="F220" s="803"/>
      <c r="G220" s="803"/>
      <c r="H220" s="803"/>
      <c r="I220" s="803"/>
      <c r="J220" s="803"/>
      <c r="K220" s="803"/>
      <c r="L220" s="803"/>
      <c r="M220" s="803"/>
      <c r="N220" s="813">
        <f>N105</f>
        <v>0.58054868799097703</v>
      </c>
      <c r="O220" s="813">
        <f t="shared" ref="O220:AK220" si="77">O105</f>
        <v>0.44324765713763226</v>
      </c>
      <c r="P220" s="813">
        <f t="shared" si="77"/>
        <v>0.64104385848248757</v>
      </c>
      <c r="Q220" s="813">
        <f t="shared" si="77"/>
        <v>0.64104385848248757</v>
      </c>
      <c r="R220" s="813">
        <f t="shared" si="77"/>
        <v>0.64104385848248757</v>
      </c>
      <c r="S220" s="813">
        <f t="shared" si="77"/>
        <v>0.64104385848248757</v>
      </c>
      <c r="T220" s="813">
        <f t="shared" si="77"/>
        <v>0.64104385848248757</v>
      </c>
      <c r="U220" s="813">
        <f t="shared" si="77"/>
        <v>0.64104385848248768</v>
      </c>
      <c r="V220" s="813">
        <f t="shared" si="77"/>
        <v>0.64104385848248757</v>
      </c>
      <c r="W220" s="813">
        <f t="shared" si="77"/>
        <v>0.64104385848248768</v>
      </c>
      <c r="X220" s="813">
        <f t="shared" si="77"/>
        <v>0.64104385848248757</v>
      </c>
      <c r="Y220" s="813">
        <f t="shared" si="77"/>
        <v>0.64104385848248757</v>
      </c>
      <c r="Z220" s="813">
        <f t="shared" ref="Z220:AI220" si="78">Z105</f>
        <v>0.64104385848248757</v>
      </c>
      <c r="AA220" s="813">
        <f t="shared" si="78"/>
        <v>0.64104385848248757</v>
      </c>
      <c r="AB220" s="813">
        <f t="shared" si="78"/>
        <v>0.64104385848248757</v>
      </c>
      <c r="AC220" s="813">
        <f t="shared" si="78"/>
        <v>0.64104385848248757</v>
      </c>
      <c r="AD220" s="813">
        <f t="shared" si="78"/>
        <v>0.64104385848248757</v>
      </c>
      <c r="AE220" s="813">
        <f t="shared" si="78"/>
        <v>0.64104385848248757</v>
      </c>
      <c r="AF220" s="813">
        <f t="shared" si="78"/>
        <v>0.64104385848248757</v>
      </c>
      <c r="AG220" s="813">
        <f t="shared" si="78"/>
        <v>0.64104385848248768</v>
      </c>
      <c r="AH220" s="813">
        <f t="shared" si="78"/>
        <v>0.64104385848248757</v>
      </c>
      <c r="AI220" s="813">
        <f t="shared" si="78"/>
        <v>0.64104385848248768</v>
      </c>
      <c r="AJ220" s="813">
        <f t="shared" si="77"/>
        <v>0</v>
      </c>
      <c r="AK220" s="813">
        <f t="shared" si="77"/>
        <v>0</v>
      </c>
    </row>
    <row r="243" spans="5:37" x14ac:dyDescent="0.45">
      <c r="N243" s="536" t="str">
        <f>N$170</f>
        <v>2013/14</v>
      </c>
      <c r="O243" s="536" t="str">
        <f t="shared" ref="O243:AK243" si="79">O$170</f>
        <v>2014/15</v>
      </c>
      <c r="P243" s="536" t="str">
        <f t="shared" si="79"/>
        <v>2015/16</v>
      </c>
      <c r="Q243" s="536" t="str">
        <f t="shared" si="79"/>
        <v>2016/17</v>
      </c>
      <c r="R243" s="536" t="str">
        <f t="shared" si="79"/>
        <v>2017/18</v>
      </c>
      <c r="S243" s="536" t="str">
        <f t="shared" si="79"/>
        <v>2018/19</v>
      </c>
      <c r="T243" s="536" t="str">
        <f t="shared" si="79"/>
        <v>2019/20</v>
      </c>
      <c r="U243" s="536" t="str">
        <f t="shared" si="79"/>
        <v>2020/21</v>
      </c>
      <c r="V243" s="536" t="str">
        <f t="shared" si="79"/>
        <v>2021/22</v>
      </c>
      <c r="W243" s="536" t="str">
        <f t="shared" si="79"/>
        <v>2022/23</v>
      </c>
      <c r="X243" s="536" t="str">
        <f t="shared" si="79"/>
        <v>2023/24</v>
      </c>
      <c r="Y243" s="536" t="str">
        <f t="shared" si="79"/>
        <v>2024/25</v>
      </c>
      <c r="Z243" s="536" t="str">
        <f t="shared" si="79"/>
        <v>2025/26</v>
      </c>
      <c r="AA243" s="536" t="str">
        <f t="shared" si="79"/>
        <v>2026/27</v>
      </c>
      <c r="AB243" s="536" t="str">
        <f t="shared" si="79"/>
        <v>2027/28</v>
      </c>
      <c r="AC243" s="536" t="str">
        <f t="shared" si="79"/>
        <v>2028/29</v>
      </c>
      <c r="AD243" s="536" t="str">
        <f t="shared" si="79"/>
        <v>2029/30</v>
      </c>
      <c r="AE243" s="536" t="str">
        <f t="shared" si="79"/>
        <v>2030/31</v>
      </c>
      <c r="AF243" s="536" t="str">
        <f t="shared" si="79"/>
        <v>2031/32</v>
      </c>
      <c r="AG243" s="536" t="str">
        <f t="shared" si="79"/>
        <v>3032/33</v>
      </c>
      <c r="AH243" s="536" t="str">
        <f t="shared" si="79"/>
        <v>2033/34</v>
      </c>
      <c r="AI243" s="536" t="str">
        <f t="shared" si="79"/>
        <v>2034/35</v>
      </c>
      <c r="AJ243" s="536" t="str">
        <f t="shared" si="79"/>
        <v>2035/36</v>
      </c>
      <c r="AK243" s="536" t="str">
        <f t="shared" si="79"/>
        <v>2036/37</v>
      </c>
    </row>
    <row r="244" spans="5:37" x14ac:dyDescent="0.45">
      <c r="E244" s="803" t="str">
        <f>D110</f>
        <v>Cost to Income Ratio</v>
      </c>
      <c r="F244" s="803"/>
      <c r="G244" s="803"/>
      <c r="H244" s="803"/>
      <c r="I244" s="803"/>
      <c r="J244" s="803"/>
      <c r="K244" s="803"/>
      <c r="L244" s="803"/>
      <c r="M244" s="803"/>
      <c r="N244" s="813">
        <f>N110</f>
        <v>1.5829116337490683</v>
      </c>
      <c r="O244" s="813">
        <f t="shared" ref="O244:AK244" si="80">O110</f>
        <v>5.1965915863976644</v>
      </c>
      <c r="P244" s="813">
        <f t="shared" si="80"/>
        <v>10.286667956766635</v>
      </c>
      <c r="Q244" s="813">
        <f t="shared" si="80"/>
        <v>14.903687229078097</v>
      </c>
      <c r="R244" s="813">
        <f t="shared" si="80"/>
        <v>12.987335853987679</v>
      </c>
      <c r="S244" s="813">
        <f t="shared" si="80"/>
        <v>10.364376542058224</v>
      </c>
      <c r="T244" s="813">
        <f t="shared" si="80"/>
        <v>41.951001599321074</v>
      </c>
      <c r="U244" s="813">
        <f t="shared" si="80"/>
        <v>43.274312735811158</v>
      </c>
      <c r="V244" s="813">
        <f t="shared" si="80"/>
        <v>44.535838586675467</v>
      </c>
      <c r="W244" s="813">
        <f t="shared" si="80"/>
        <v>45.710091788261558</v>
      </c>
      <c r="X244" s="813">
        <f t="shared" si="80"/>
        <v>46.765776785148908</v>
      </c>
      <c r="Y244" s="813">
        <f t="shared" si="80"/>
        <v>47.664400617260711</v>
      </c>
      <c r="Z244" s="813">
        <f t="shared" ref="Z244:AI244" si="81">Z110</f>
        <v>48.358493201936867</v>
      </c>
      <c r="AA244" s="813">
        <f t="shared" si="81"/>
        <v>48.78930517164364</v>
      </c>
      <c r="AB244" s="813">
        <f t="shared" si="81"/>
        <v>48.883798003283481</v>
      </c>
      <c r="AC244" s="813">
        <f t="shared" si="81"/>
        <v>48.550662331425265</v>
      </c>
      <c r="AD244" s="813">
        <f t="shared" si="81"/>
        <v>47.674981645319868</v>
      </c>
      <c r="AE244" s="813">
        <f t="shared" si="81"/>
        <v>46.110976320432933</v>
      </c>
      <c r="AF244" s="813">
        <f t="shared" si="81"/>
        <v>43.671976924839043</v>
      </c>
      <c r="AG244" s="813">
        <f t="shared" si="81"/>
        <v>40.116315899749715</v>
      </c>
      <c r="AH244" s="813">
        <f t="shared" si="81"/>
        <v>35.127067153792417</v>
      </c>
      <c r="AI244" s="813">
        <f t="shared" si="81"/>
        <v>28.282269830527227</v>
      </c>
      <c r="AJ244" s="813">
        <f t="shared" si="80"/>
        <v>0.73343763538766493</v>
      </c>
      <c r="AK244" s="813">
        <f t="shared" si="80"/>
        <v>0</v>
      </c>
    </row>
    <row r="269" spans="5:37" x14ac:dyDescent="0.45">
      <c r="N269" s="536" t="str">
        <f>N$170</f>
        <v>2013/14</v>
      </c>
      <c r="O269" s="536" t="str">
        <f t="shared" ref="O269:AK269" si="82">O$170</f>
        <v>2014/15</v>
      </c>
      <c r="P269" s="536" t="str">
        <f t="shared" si="82"/>
        <v>2015/16</v>
      </c>
      <c r="Q269" s="536" t="str">
        <f t="shared" si="82"/>
        <v>2016/17</v>
      </c>
      <c r="R269" s="536" t="str">
        <f t="shared" si="82"/>
        <v>2017/18</v>
      </c>
      <c r="S269" s="536" t="str">
        <f t="shared" si="82"/>
        <v>2018/19</v>
      </c>
      <c r="T269" s="536" t="str">
        <f t="shared" si="82"/>
        <v>2019/20</v>
      </c>
      <c r="U269" s="536" t="str">
        <f t="shared" si="82"/>
        <v>2020/21</v>
      </c>
      <c r="V269" s="536" t="str">
        <f t="shared" si="82"/>
        <v>2021/22</v>
      </c>
      <c r="W269" s="536" t="str">
        <f t="shared" si="82"/>
        <v>2022/23</v>
      </c>
      <c r="X269" s="536" t="str">
        <f t="shared" si="82"/>
        <v>2023/24</v>
      </c>
      <c r="Y269" s="536" t="str">
        <f t="shared" si="82"/>
        <v>2024/25</v>
      </c>
      <c r="Z269" s="536" t="str">
        <f t="shared" si="82"/>
        <v>2025/26</v>
      </c>
      <c r="AA269" s="536" t="str">
        <f t="shared" si="82"/>
        <v>2026/27</v>
      </c>
      <c r="AB269" s="536" t="str">
        <f t="shared" si="82"/>
        <v>2027/28</v>
      </c>
      <c r="AC269" s="536" t="str">
        <f t="shared" si="82"/>
        <v>2028/29</v>
      </c>
      <c r="AD269" s="536" t="str">
        <f t="shared" si="82"/>
        <v>2029/30</v>
      </c>
      <c r="AE269" s="536" t="str">
        <f t="shared" si="82"/>
        <v>2030/31</v>
      </c>
      <c r="AF269" s="536" t="str">
        <f t="shared" si="82"/>
        <v>2031/32</v>
      </c>
      <c r="AG269" s="536" t="str">
        <f t="shared" si="82"/>
        <v>3032/33</v>
      </c>
      <c r="AH269" s="536" t="str">
        <f t="shared" si="82"/>
        <v>2033/34</v>
      </c>
      <c r="AI269" s="536" t="str">
        <f t="shared" si="82"/>
        <v>2034/35</v>
      </c>
      <c r="AJ269" s="536" t="str">
        <f t="shared" si="82"/>
        <v>2035/36</v>
      </c>
      <c r="AK269" s="536" t="str">
        <f t="shared" si="82"/>
        <v>2036/37</v>
      </c>
    </row>
    <row r="270" spans="5:37" x14ac:dyDescent="0.45">
      <c r="E270" s="803" t="str">
        <f>D111</f>
        <v>Maintenance as % of Expenses</v>
      </c>
      <c r="F270" s="803"/>
      <c r="G270" s="803"/>
      <c r="H270" s="803"/>
      <c r="I270" s="803"/>
      <c r="J270" s="803"/>
      <c r="K270" s="803"/>
      <c r="L270" s="803"/>
      <c r="M270" s="803"/>
      <c r="N270" s="813">
        <f>N111</f>
        <v>0</v>
      </c>
      <c r="O270" s="813">
        <f t="shared" ref="O270:AK270" si="83">O111</f>
        <v>0</v>
      </c>
      <c r="P270" s="813">
        <f t="shared" si="83"/>
        <v>0</v>
      </c>
      <c r="Q270" s="813">
        <f t="shared" si="83"/>
        <v>0</v>
      </c>
      <c r="R270" s="813">
        <f t="shared" si="83"/>
        <v>0</v>
      </c>
      <c r="S270" s="813">
        <f t="shared" si="83"/>
        <v>0</v>
      </c>
      <c r="T270" s="813">
        <f t="shared" si="83"/>
        <v>0</v>
      </c>
      <c r="U270" s="813">
        <f t="shared" si="83"/>
        <v>0</v>
      </c>
      <c r="V270" s="813">
        <f t="shared" si="83"/>
        <v>0</v>
      </c>
      <c r="W270" s="813">
        <f t="shared" si="83"/>
        <v>0</v>
      </c>
      <c r="X270" s="813">
        <f t="shared" si="83"/>
        <v>0</v>
      </c>
      <c r="Y270" s="813">
        <f t="shared" si="83"/>
        <v>0</v>
      </c>
      <c r="Z270" s="813">
        <f t="shared" ref="Z270:AI270" si="84">Z111</f>
        <v>0</v>
      </c>
      <c r="AA270" s="813">
        <f t="shared" si="84"/>
        <v>0</v>
      </c>
      <c r="AB270" s="813">
        <f t="shared" si="84"/>
        <v>0</v>
      </c>
      <c r="AC270" s="813">
        <f t="shared" si="84"/>
        <v>0</v>
      </c>
      <c r="AD270" s="813">
        <f t="shared" si="84"/>
        <v>0</v>
      </c>
      <c r="AE270" s="813">
        <f t="shared" si="84"/>
        <v>0</v>
      </c>
      <c r="AF270" s="813">
        <f t="shared" si="84"/>
        <v>0</v>
      </c>
      <c r="AG270" s="813">
        <f t="shared" si="84"/>
        <v>0</v>
      </c>
      <c r="AH270" s="813">
        <f t="shared" si="84"/>
        <v>0</v>
      </c>
      <c r="AI270" s="813">
        <f t="shared" si="84"/>
        <v>0</v>
      </c>
      <c r="AJ270" s="813">
        <f t="shared" si="83"/>
        <v>0</v>
      </c>
      <c r="AK270" s="813">
        <f t="shared" si="83"/>
        <v>0</v>
      </c>
    </row>
    <row r="293" spans="5:37" x14ac:dyDescent="0.45">
      <c r="N293" s="536" t="str">
        <f>N$170</f>
        <v>2013/14</v>
      </c>
      <c r="O293" s="536" t="str">
        <f t="shared" ref="O293:AK293" si="85">O$170</f>
        <v>2014/15</v>
      </c>
      <c r="P293" s="536" t="str">
        <f t="shared" si="85"/>
        <v>2015/16</v>
      </c>
      <c r="Q293" s="536" t="str">
        <f t="shared" si="85"/>
        <v>2016/17</v>
      </c>
      <c r="R293" s="536" t="str">
        <f t="shared" si="85"/>
        <v>2017/18</v>
      </c>
      <c r="S293" s="536" t="str">
        <f t="shared" si="85"/>
        <v>2018/19</v>
      </c>
      <c r="T293" s="536" t="str">
        <f t="shared" si="85"/>
        <v>2019/20</v>
      </c>
      <c r="U293" s="536" t="str">
        <f t="shared" si="85"/>
        <v>2020/21</v>
      </c>
      <c r="V293" s="536" t="str">
        <f t="shared" si="85"/>
        <v>2021/22</v>
      </c>
      <c r="W293" s="536" t="str">
        <f t="shared" si="85"/>
        <v>2022/23</v>
      </c>
      <c r="X293" s="536" t="str">
        <f t="shared" si="85"/>
        <v>2023/24</v>
      </c>
      <c r="Y293" s="536" t="str">
        <f t="shared" si="85"/>
        <v>2024/25</v>
      </c>
      <c r="Z293" s="536" t="str">
        <f t="shared" si="85"/>
        <v>2025/26</v>
      </c>
      <c r="AA293" s="536" t="str">
        <f t="shared" si="85"/>
        <v>2026/27</v>
      </c>
      <c r="AB293" s="536" t="str">
        <f t="shared" si="85"/>
        <v>2027/28</v>
      </c>
      <c r="AC293" s="536" t="str">
        <f t="shared" si="85"/>
        <v>2028/29</v>
      </c>
      <c r="AD293" s="536" t="str">
        <f t="shared" si="85"/>
        <v>2029/30</v>
      </c>
      <c r="AE293" s="536" t="str">
        <f t="shared" si="85"/>
        <v>2030/31</v>
      </c>
      <c r="AF293" s="536" t="str">
        <f t="shared" si="85"/>
        <v>2031/32</v>
      </c>
      <c r="AG293" s="536" t="str">
        <f t="shared" si="85"/>
        <v>3032/33</v>
      </c>
      <c r="AH293" s="536" t="str">
        <f t="shared" si="85"/>
        <v>2033/34</v>
      </c>
      <c r="AI293" s="536" t="str">
        <f t="shared" si="85"/>
        <v>2034/35</v>
      </c>
      <c r="AJ293" s="536" t="str">
        <f t="shared" si="85"/>
        <v>2035/36</v>
      </c>
      <c r="AK293" s="536" t="str">
        <f t="shared" si="85"/>
        <v>2036/37</v>
      </c>
    </row>
    <row r="294" spans="5:37" x14ac:dyDescent="0.45">
      <c r="E294" s="803" t="str">
        <f>D112</f>
        <v>Maintenance Cost per Unit</v>
      </c>
      <c r="F294" s="803"/>
      <c r="G294" s="803"/>
      <c r="H294" s="803"/>
      <c r="I294" s="803"/>
      <c r="J294" s="803"/>
      <c r="K294" s="803"/>
      <c r="L294" s="803"/>
      <c r="M294" s="803"/>
      <c r="N294" s="818">
        <f>N112</f>
        <v>0</v>
      </c>
      <c r="O294" s="818">
        <f t="shared" ref="O294:AK294" si="86">O112</f>
        <v>0</v>
      </c>
      <c r="P294" s="818">
        <f t="shared" si="86"/>
        <v>0</v>
      </c>
      <c r="Q294" s="818">
        <f t="shared" si="86"/>
        <v>0</v>
      </c>
      <c r="R294" s="818">
        <f t="shared" si="86"/>
        <v>0</v>
      </c>
      <c r="S294" s="818">
        <f t="shared" si="86"/>
        <v>0</v>
      </c>
      <c r="T294" s="818">
        <f t="shared" si="86"/>
        <v>0</v>
      </c>
      <c r="U294" s="818">
        <f t="shared" si="86"/>
        <v>0</v>
      </c>
      <c r="V294" s="818">
        <f t="shared" si="86"/>
        <v>0</v>
      </c>
      <c r="W294" s="818">
        <f t="shared" si="86"/>
        <v>0</v>
      </c>
      <c r="X294" s="818">
        <f t="shared" si="86"/>
        <v>0</v>
      </c>
      <c r="Y294" s="818">
        <f t="shared" si="86"/>
        <v>0</v>
      </c>
      <c r="Z294" s="818">
        <f t="shared" ref="Z294:AI294" si="87">Z112</f>
        <v>0</v>
      </c>
      <c r="AA294" s="818">
        <f t="shared" si="87"/>
        <v>0</v>
      </c>
      <c r="AB294" s="818">
        <f t="shared" si="87"/>
        <v>0</v>
      </c>
      <c r="AC294" s="818">
        <f t="shared" si="87"/>
        <v>0</v>
      </c>
      <c r="AD294" s="818">
        <f t="shared" si="87"/>
        <v>0</v>
      </c>
      <c r="AE294" s="818">
        <f t="shared" si="87"/>
        <v>0</v>
      </c>
      <c r="AF294" s="818">
        <f t="shared" si="87"/>
        <v>0</v>
      </c>
      <c r="AG294" s="818">
        <f t="shared" si="87"/>
        <v>0</v>
      </c>
      <c r="AH294" s="818">
        <f t="shared" si="87"/>
        <v>0</v>
      </c>
      <c r="AI294" s="818">
        <f t="shared" si="87"/>
        <v>0</v>
      </c>
      <c r="AJ294" s="818">
        <f t="shared" si="86"/>
        <v>0</v>
      </c>
      <c r="AK294" s="818">
        <f t="shared" si="86"/>
        <v>0</v>
      </c>
    </row>
    <row r="316" spans="5:37" x14ac:dyDescent="0.45">
      <c r="N316" s="536" t="str">
        <f>N$170</f>
        <v>2013/14</v>
      </c>
      <c r="O316" s="536" t="str">
        <f t="shared" ref="O316:AK316" si="88">O$170</f>
        <v>2014/15</v>
      </c>
      <c r="P316" s="536" t="str">
        <f t="shared" si="88"/>
        <v>2015/16</v>
      </c>
      <c r="Q316" s="536" t="str">
        <f t="shared" si="88"/>
        <v>2016/17</v>
      </c>
      <c r="R316" s="536" t="str">
        <f t="shared" si="88"/>
        <v>2017/18</v>
      </c>
      <c r="S316" s="536" t="str">
        <f t="shared" si="88"/>
        <v>2018/19</v>
      </c>
      <c r="T316" s="536" t="str">
        <f t="shared" si="88"/>
        <v>2019/20</v>
      </c>
      <c r="U316" s="536" t="str">
        <f t="shared" si="88"/>
        <v>2020/21</v>
      </c>
      <c r="V316" s="536" t="str">
        <f t="shared" si="88"/>
        <v>2021/22</v>
      </c>
      <c r="W316" s="536" t="str">
        <f t="shared" si="88"/>
        <v>2022/23</v>
      </c>
      <c r="X316" s="536" t="str">
        <f t="shared" si="88"/>
        <v>2023/24</v>
      </c>
      <c r="Y316" s="536" t="str">
        <f t="shared" si="88"/>
        <v>2024/25</v>
      </c>
      <c r="Z316" s="536" t="str">
        <f t="shared" si="88"/>
        <v>2025/26</v>
      </c>
      <c r="AA316" s="536" t="str">
        <f t="shared" si="88"/>
        <v>2026/27</v>
      </c>
      <c r="AB316" s="536" t="str">
        <f t="shared" si="88"/>
        <v>2027/28</v>
      </c>
      <c r="AC316" s="536" t="str">
        <f t="shared" si="88"/>
        <v>2028/29</v>
      </c>
      <c r="AD316" s="536" t="str">
        <f t="shared" si="88"/>
        <v>2029/30</v>
      </c>
      <c r="AE316" s="536" t="str">
        <f t="shared" si="88"/>
        <v>2030/31</v>
      </c>
      <c r="AF316" s="536" t="str">
        <f t="shared" si="88"/>
        <v>2031/32</v>
      </c>
      <c r="AG316" s="536" t="str">
        <f t="shared" si="88"/>
        <v>3032/33</v>
      </c>
      <c r="AH316" s="536" t="str">
        <f t="shared" si="88"/>
        <v>2033/34</v>
      </c>
      <c r="AI316" s="536" t="str">
        <f t="shared" si="88"/>
        <v>2034/35</v>
      </c>
      <c r="AJ316" s="536" t="str">
        <f t="shared" si="88"/>
        <v>2035/36</v>
      </c>
      <c r="AK316" s="536" t="str">
        <f t="shared" si="88"/>
        <v>2036/37</v>
      </c>
    </row>
    <row r="317" spans="5:37" x14ac:dyDescent="0.45">
      <c r="E317" s="803" t="str">
        <f>D113</f>
        <v>Net Deficit as % of HSDG Grant -  NDoHS Calc  (excl staff costs)</v>
      </c>
      <c r="F317" s="803"/>
      <c r="G317" s="803"/>
      <c r="H317" s="803"/>
      <c r="I317" s="803"/>
      <c r="J317" s="803"/>
      <c r="K317" s="803"/>
      <c r="L317" s="803"/>
      <c r="M317" s="803"/>
      <c r="N317" s="813">
        <f>N113</f>
        <v>3.4563440450780035E-3</v>
      </c>
      <c r="O317" s="813">
        <f t="shared" ref="O317:AK317" si="89">O113</f>
        <v>3.9721327001343244E-3</v>
      </c>
      <c r="P317" s="813">
        <f t="shared" si="89"/>
        <v>0</v>
      </c>
      <c r="Q317" s="813">
        <f t="shared" si="89"/>
        <v>3.6755906435099136E-3</v>
      </c>
      <c r="R317" s="813">
        <f t="shared" si="89"/>
        <v>2.9549833889111364E-3</v>
      </c>
      <c r="S317" s="813">
        <f t="shared" si="89"/>
        <v>2.141227253416444E-3</v>
      </c>
      <c r="T317" s="813">
        <f t="shared" si="89"/>
        <v>2.2588481042169284E-3</v>
      </c>
      <c r="U317" s="813">
        <f t="shared" si="89"/>
        <v>2.2479877929031931E-3</v>
      </c>
      <c r="V317" s="813">
        <f t="shared" si="89"/>
        <v>2.2287147813265843E-3</v>
      </c>
      <c r="W317" s="813">
        <f t="shared" si="89"/>
        <v>2.2001425251848201E-3</v>
      </c>
      <c r="X317" s="813">
        <f t="shared" si="89"/>
        <v>2.1613124087206635E-3</v>
      </c>
      <c r="Y317" s="813">
        <f t="shared" si="89"/>
        <v>2.1111884986583914E-3</v>
      </c>
      <c r="Z317" s="813">
        <f t="shared" ref="Z317:AI317" si="90">Z113</f>
        <v>2.048651939089425E-3</v>
      </c>
      <c r="AA317" s="813">
        <f t="shared" si="90"/>
        <v>1.9724949636808755E-3</v>
      </c>
      <c r="AB317" s="813">
        <f t="shared" si="90"/>
        <v>1.8814145000679982E-3</v>
      </c>
      <c r="AC317" s="813">
        <f t="shared" si="90"/>
        <v>1.7740053396838355E-3</v>
      </c>
      <c r="AD317" s="813">
        <f t="shared" si="90"/>
        <v>1.648752844570887E-3</v>
      </c>
      <c r="AE317" s="813">
        <f t="shared" si="90"/>
        <v>1.5040251609040583E-3</v>
      </c>
      <c r="AF317" s="813">
        <f t="shared" si="90"/>
        <v>1.3380649070250507E-3</v>
      </c>
      <c r="AG317" s="813">
        <f t="shared" si="90"/>
        <v>1.1489803017385256E-3</v>
      </c>
      <c r="AH317" s="813">
        <f t="shared" si="90"/>
        <v>9.3473569644255121E-4</v>
      </c>
      <c r="AI317" s="813">
        <f t="shared" si="90"/>
        <v>6.9314147235199084E-4</v>
      </c>
      <c r="AJ317" s="813">
        <f t="shared" si="89"/>
        <v>-1.1429750258696537E-5</v>
      </c>
      <c r="AK317" s="813">
        <f t="shared" si="89"/>
        <v>0</v>
      </c>
    </row>
    <row r="339" spans="5:37" x14ac:dyDescent="0.45">
      <c r="N339" s="536" t="str">
        <f>N$170</f>
        <v>2013/14</v>
      </c>
      <c r="O339" s="536" t="str">
        <f t="shared" ref="O339:AK339" si="91">O$170</f>
        <v>2014/15</v>
      </c>
      <c r="P339" s="536" t="str">
        <f t="shared" si="91"/>
        <v>2015/16</v>
      </c>
      <c r="Q339" s="536" t="str">
        <f t="shared" si="91"/>
        <v>2016/17</v>
      </c>
      <c r="R339" s="536" t="str">
        <f t="shared" si="91"/>
        <v>2017/18</v>
      </c>
      <c r="S339" s="536" t="str">
        <f t="shared" si="91"/>
        <v>2018/19</v>
      </c>
      <c r="T339" s="536" t="str">
        <f t="shared" si="91"/>
        <v>2019/20</v>
      </c>
      <c r="U339" s="536" t="str">
        <f t="shared" si="91"/>
        <v>2020/21</v>
      </c>
      <c r="V339" s="536" t="str">
        <f t="shared" si="91"/>
        <v>2021/22</v>
      </c>
      <c r="W339" s="536" t="str">
        <f t="shared" si="91"/>
        <v>2022/23</v>
      </c>
      <c r="X339" s="536" t="str">
        <f t="shared" si="91"/>
        <v>2023/24</v>
      </c>
      <c r="Y339" s="536" t="str">
        <f t="shared" si="91"/>
        <v>2024/25</v>
      </c>
      <c r="Z339" s="536" t="str">
        <f t="shared" si="91"/>
        <v>2025/26</v>
      </c>
      <c r="AA339" s="536" t="str">
        <f t="shared" si="91"/>
        <v>2026/27</v>
      </c>
      <c r="AB339" s="536" t="str">
        <f t="shared" si="91"/>
        <v>2027/28</v>
      </c>
      <c r="AC339" s="536" t="str">
        <f t="shared" si="91"/>
        <v>2028/29</v>
      </c>
      <c r="AD339" s="536" t="str">
        <f t="shared" si="91"/>
        <v>2029/30</v>
      </c>
      <c r="AE339" s="536" t="str">
        <f t="shared" si="91"/>
        <v>2030/31</v>
      </c>
      <c r="AF339" s="536" t="str">
        <f t="shared" si="91"/>
        <v>2031/32</v>
      </c>
      <c r="AG339" s="536" t="str">
        <f t="shared" si="91"/>
        <v>3032/33</v>
      </c>
      <c r="AH339" s="536" t="str">
        <f t="shared" si="91"/>
        <v>2033/34</v>
      </c>
      <c r="AI339" s="536" t="str">
        <f t="shared" si="91"/>
        <v>2034/35</v>
      </c>
      <c r="AJ339" s="536" t="str">
        <f t="shared" si="91"/>
        <v>2035/36</v>
      </c>
      <c r="AK339" s="536" t="str">
        <f t="shared" si="91"/>
        <v>2036/37</v>
      </c>
    </row>
    <row r="340" spans="5:37" x14ac:dyDescent="0.45">
      <c r="E340" s="803" t="str">
        <f>D115</f>
        <v>EEDBS as % of HSDG</v>
      </c>
      <c r="F340" s="803"/>
      <c r="G340" s="803"/>
      <c r="H340" s="803"/>
      <c r="I340" s="803"/>
      <c r="J340" s="803"/>
      <c r="K340" s="803"/>
      <c r="L340" s="803"/>
      <c r="M340" s="803"/>
      <c r="N340" s="813">
        <f>N115</f>
        <v>2.2093895601201837E-3</v>
      </c>
      <c r="O340" s="813">
        <f t="shared" ref="O340:AK340" si="92">O115</f>
        <v>5.1987446911838338E-4</v>
      </c>
      <c r="P340" s="813">
        <f t="shared" si="92"/>
        <v>1.2728377353218767E-4</v>
      </c>
      <c r="Q340" s="813">
        <f t="shared" si="92"/>
        <v>8.5450080071950579E-5</v>
      </c>
      <c r="R340" s="813">
        <f t="shared" si="92"/>
        <v>8.5450080071950579E-5</v>
      </c>
      <c r="S340" s="813">
        <f t="shared" si="92"/>
        <v>8.5450080071950579E-5</v>
      </c>
      <c r="T340" s="813">
        <f t="shared" si="92"/>
        <v>9.4944533413278436E-6</v>
      </c>
      <c r="U340" s="813">
        <f t="shared" si="92"/>
        <v>9.4944533413278436E-6</v>
      </c>
      <c r="V340" s="813">
        <f t="shared" si="92"/>
        <v>9.4944533413278436E-6</v>
      </c>
      <c r="W340" s="813">
        <f t="shared" si="92"/>
        <v>9.4944533413278436E-6</v>
      </c>
      <c r="X340" s="813">
        <f t="shared" si="92"/>
        <v>9.4944533413278436E-6</v>
      </c>
      <c r="Y340" s="813">
        <f t="shared" si="92"/>
        <v>9.4944533413278436E-6</v>
      </c>
      <c r="Z340" s="813">
        <f t="shared" ref="Z340:AI340" si="93">Z115</f>
        <v>9.4944533413278436E-6</v>
      </c>
      <c r="AA340" s="813">
        <f t="shared" si="93"/>
        <v>9.4944533413278436E-6</v>
      </c>
      <c r="AB340" s="813">
        <f t="shared" si="93"/>
        <v>9.4944533413278436E-6</v>
      </c>
      <c r="AC340" s="813">
        <f t="shared" si="93"/>
        <v>9.4944533413278436E-6</v>
      </c>
      <c r="AD340" s="813">
        <f t="shared" si="93"/>
        <v>9.4944533413278436E-6</v>
      </c>
      <c r="AE340" s="813">
        <f t="shared" si="93"/>
        <v>9.4944533413278436E-6</v>
      </c>
      <c r="AF340" s="813">
        <f t="shared" si="93"/>
        <v>9.4944533413278436E-6</v>
      </c>
      <c r="AG340" s="813">
        <f t="shared" si="93"/>
        <v>9.4944533413278436E-6</v>
      </c>
      <c r="AH340" s="813">
        <f t="shared" si="93"/>
        <v>9.4944533413278436E-6</v>
      </c>
      <c r="AI340" s="813">
        <f t="shared" si="93"/>
        <v>9.4944533413278436E-6</v>
      </c>
      <c r="AJ340" s="813">
        <f t="shared" si="92"/>
        <v>6.4001665926913618E-3</v>
      </c>
      <c r="AK340" s="813">
        <f t="shared" si="92"/>
        <v>0</v>
      </c>
    </row>
    <row r="363" spans="5:37" x14ac:dyDescent="0.45">
      <c r="N363" s="536" t="str">
        <f>N$170</f>
        <v>2013/14</v>
      </c>
      <c r="O363" s="536" t="str">
        <f t="shared" ref="O363:AK363" si="94">O$170</f>
        <v>2014/15</v>
      </c>
      <c r="P363" s="536" t="str">
        <f t="shared" si="94"/>
        <v>2015/16</v>
      </c>
      <c r="Q363" s="536" t="str">
        <f t="shared" si="94"/>
        <v>2016/17</v>
      </c>
      <c r="R363" s="536" t="str">
        <f t="shared" si="94"/>
        <v>2017/18</v>
      </c>
      <c r="S363" s="536" t="str">
        <f t="shared" si="94"/>
        <v>2018/19</v>
      </c>
      <c r="T363" s="536" t="str">
        <f t="shared" si="94"/>
        <v>2019/20</v>
      </c>
      <c r="U363" s="536" t="str">
        <f t="shared" si="94"/>
        <v>2020/21</v>
      </c>
      <c r="V363" s="536" t="str">
        <f t="shared" si="94"/>
        <v>2021/22</v>
      </c>
      <c r="W363" s="536" t="str">
        <f t="shared" si="94"/>
        <v>2022/23</v>
      </c>
      <c r="X363" s="536" t="str">
        <f t="shared" si="94"/>
        <v>2023/24</v>
      </c>
      <c r="Y363" s="536" t="str">
        <f t="shared" si="94"/>
        <v>2024/25</v>
      </c>
      <c r="Z363" s="536" t="str">
        <f t="shared" si="94"/>
        <v>2025/26</v>
      </c>
      <c r="AA363" s="536" t="str">
        <f t="shared" si="94"/>
        <v>2026/27</v>
      </c>
      <c r="AB363" s="536" t="str">
        <f t="shared" si="94"/>
        <v>2027/28</v>
      </c>
      <c r="AC363" s="536" t="str">
        <f t="shared" si="94"/>
        <v>2028/29</v>
      </c>
      <c r="AD363" s="536" t="str">
        <f t="shared" si="94"/>
        <v>2029/30</v>
      </c>
      <c r="AE363" s="536" t="str">
        <f t="shared" si="94"/>
        <v>2030/31</v>
      </c>
      <c r="AF363" s="536" t="str">
        <f t="shared" si="94"/>
        <v>2031/32</v>
      </c>
      <c r="AG363" s="536" t="str">
        <f t="shared" si="94"/>
        <v>3032/33</v>
      </c>
      <c r="AH363" s="536" t="str">
        <f t="shared" si="94"/>
        <v>2033/34</v>
      </c>
      <c r="AI363" s="536" t="str">
        <f t="shared" si="94"/>
        <v>2034/35</v>
      </c>
      <c r="AJ363" s="536" t="str">
        <f t="shared" si="94"/>
        <v>2035/36</v>
      </c>
      <c r="AK363" s="536" t="str">
        <f t="shared" si="94"/>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95">O117</f>
        <v>0</v>
      </c>
      <c r="P364" s="818">
        <f t="shared" si="95"/>
        <v>10360.684342592593</v>
      </c>
      <c r="Q364" s="818">
        <f t="shared" si="95"/>
        <v>11228.734087135417</v>
      </c>
      <c r="R364" s="818">
        <f t="shared" si="95"/>
        <v>12165.531858895216</v>
      </c>
      <c r="S364" s="818">
        <f t="shared" si="95"/>
        <v>13508.184818735564</v>
      </c>
      <c r="T364" s="818">
        <f t="shared" si="95"/>
        <v>13965.559347477078</v>
      </c>
      <c r="U364" s="818">
        <f t="shared" si="95"/>
        <v>14756.046384700174</v>
      </c>
      <c r="V364" s="818">
        <f t="shared" si="95"/>
        <v>15594.389478076095</v>
      </c>
      <c r="W364" s="818">
        <f t="shared" si="95"/>
        <v>16484.346467415267</v>
      </c>
      <c r="X364" s="818">
        <f t="shared" si="95"/>
        <v>17430.262647300948</v>
      </c>
      <c r="Y364" s="818">
        <f t="shared" si="95"/>
        <v>18437.270686578067</v>
      </c>
      <c r="Z364" s="818">
        <f t="shared" ref="Z364:AI364" si="96">Z117</f>
        <v>19511.596245908986</v>
      </c>
      <c r="AA364" s="818">
        <f t="shared" si="96"/>
        <v>20661.043039640488</v>
      </c>
      <c r="AB364" s="818">
        <f t="shared" si="96"/>
        <v>21895.796623198115</v>
      </c>
      <c r="AC364" s="818">
        <f t="shared" si="96"/>
        <v>23229.825447821699</v>
      </c>
      <c r="AD364" s="818">
        <f t="shared" si="96"/>
        <v>24683.476032916366</v>
      </c>
      <c r="AE364" s="818">
        <f t="shared" si="96"/>
        <v>26288.654875613454</v>
      </c>
      <c r="AF364" s="818">
        <f t="shared" si="96"/>
        <v>28100.217868901851</v>
      </c>
      <c r="AG364" s="818">
        <f t="shared" si="96"/>
        <v>30224.429489834118</v>
      </c>
      <c r="AH364" s="818">
        <f t="shared" si="96"/>
        <v>32904.319975509177</v>
      </c>
      <c r="AI364" s="818">
        <f t="shared" si="96"/>
        <v>36861.081456641332</v>
      </c>
      <c r="AJ364" s="818">
        <f t="shared" si="95"/>
        <v>0</v>
      </c>
      <c r="AK364" s="818">
        <f t="shared" si="95"/>
        <v>0</v>
      </c>
    </row>
    <row r="387" spans="5:37" x14ac:dyDescent="0.45">
      <c r="N387" s="536" t="str">
        <f>N$170</f>
        <v>2013/14</v>
      </c>
      <c r="O387" s="536" t="str">
        <f t="shared" ref="O387:AK387" si="97">O$170</f>
        <v>2014/15</v>
      </c>
      <c r="P387" s="536" t="str">
        <f t="shared" si="97"/>
        <v>2015/16</v>
      </c>
      <c r="Q387" s="536" t="str">
        <f t="shared" si="97"/>
        <v>2016/17</v>
      </c>
      <c r="R387" s="536" t="str">
        <f t="shared" si="97"/>
        <v>2017/18</v>
      </c>
      <c r="S387" s="536" t="str">
        <f t="shared" si="97"/>
        <v>2018/19</v>
      </c>
      <c r="T387" s="536" t="str">
        <f t="shared" si="97"/>
        <v>2019/20</v>
      </c>
      <c r="U387" s="536" t="str">
        <f t="shared" si="97"/>
        <v>2020/21</v>
      </c>
      <c r="V387" s="536" t="str">
        <f t="shared" si="97"/>
        <v>2021/22</v>
      </c>
      <c r="W387" s="536" t="str">
        <f t="shared" si="97"/>
        <v>2022/23</v>
      </c>
      <c r="X387" s="536" t="str">
        <f t="shared" si="97"/>
        <v>2023/24</v>
      </c>
      <c r="Y387" s="536" t="str">
        <f t="shared" si="97"/>
        <v>2024/25</v>
      </c>
      <c r="Z387" s="536" t="str">
        <f t="shared" si="97"/>
        <v>2025/26</v>
      </c>
      <c r="AA387" s="536" t="str">
        <f t="shared" si="97"/>
        <v>2026/27</v>
      </c>
      <c r="AB387" s="536" t="str">
        <f t="shared" si="97"/>
        <v>2027/28</v>
      </c>
      <c r="AC387" s="536" t="str">
        <f t="shared" si="97"/>
        <v>2028/29</v>
      </c>
      <c r="AD387" s="536" t="str">
        <f t="shared" si="97"/>
        <v>2029/30</v>
      </c>
      <c r="AE387" s="536" t="str">
        <f t="shared" si="97"/>
        <v>2030/31</v>
      </c>
      <c r="AF387" s="536" t="str">
        <f t="shared" si="97"/>
        <v>2031/32</v>
      </c>
      <c r="AG387" s="536" t="str">
        <f t="shared" si="97"/>
        <v>3032/33</v>
      </c>
      <c r="AH387" s="536" t="str">
        <f t="shared" si="97"/>
        <v>2033/34</v>
      </c>
      <c r="AI387" s="536" t="str">
        <f t="shared" si="97"/>
        <v>2034/35</v>
      </c>
      <c r="AJ387" s="536" t="str">
        <f t="shared" si="97"/>
        <v>2035/36</v>
      </c>
      <c r="AK387" s="536" t="str">
        <f t="shared" si="97"/>
        <v>2036/37</v>
      </c>
    </row>
    <row r="388" spans="5:37" x14ac:dyDescent="0.45">
      <c r="E388" s="803" t="str">
        <f>D118</f>
        <v>Net Surplus/Deficit p.u.p.m.</v>
      </c>
      <c r="F388" s="803"/>
      <c r="G388" s="803"/>
      <c r="H388" s="803"/>
      <c r="I388" s="803"/>
      <c r="J388" s="803"/>
      <c r="K388" s="803"/>
      <c r="L388" s="803"/>
      <c r="M388" s="803"/>
      <c r="N388" s="818">
        <f>N118</f>
        <v>0</v>
      </c>
      <c r="O388" s="818">
        <f t="shared" ref="O388:AK388" si="98">O118</f>
        <v>0</v>
      </c>
      <c r="P388" s="818">
        <f t="shared" si="98"/>
        <v>-9353.4889722222215</v>
      </c>
      <c r="Q388" s="818">
        <f t="shared" si="98"/>
        <v>-10475.314217639807</v>
      </c>
      <c r="R388" s="818">
        <f t="shared" si="98"/>
        <v>-11228.809193394896</v>
      </c>
      <c r="S388" s="818">
        <f t="shared" si="98"/>
        <v>-12204.856561225824</v>
      </c>
      <c r="T388" s="818">
        <f t="shared" si="98"/>
        <v>-13632.657657051093</v>
      </c>
      <c r="U388" s="818">
        <f t="shared" si="98"/>
        <v>-14415.05780621516</v>
      </c>
      <c r="V388" s="818">
        <f t="shared" si="98"/>
        <v>-15244.235759790843</v>
      </c>
      <c r="W388" s="818">
        <f t="shared" si="98"/>
        <v>-16123.718303644035</v>
      </c>
      <c r="X388" s="818">
        <f t="shared" si="98"/>
        <v>-17057.548584892043</v>
      </c>
      <c r="Y388" s="818">
        <f t="shared" si="98"/>
        <v>-18050.456409091876</v>
      </c>
      <c r="Z388" s="818">
        <f t="shared" ref="Z388:AI388" si="99">Z118</f>
        <v>-19108.118077876916</v>
      </c>
      <c r="AA388" s="818">
        <f t="shared" si="99"/>
        <v>-20237.568202953353</v>
      </c>
      <c r="AB388" s="818">
        <f t="shared" si="99"/>
        <v>-21447.881413710355</v>
      </c>
      <c r="AC388" s="818">
        <f t="shared" si="99"/>
        <v>-22751.359772333151</v>
      </c>
      <c r="AD388" s="818">
        <f t="shared" si="99"/>
        <v>-24165.731186855381</v>
      </c>
      <c r="AE388" s="818">
        <f t="shared" si="99"/>
        <v>-25718.537802122552</v>
      </c>
      <c r="AF388" s="818">
        <f t="shared" si="99"/>
        <v>-27456.779677009064</v>
      </c>
      <c r="AG388" s="818">
        <f t="shared" si="99"/>
        <v>-29471.009620338507</v>
      </c>
      <c r="AH388" s="818">
        <f t="shared" si="99"/>
        <v>-31967.597310008856</v>
      </c>
      <c r="AI388" s="818">
        <f t="shared" si="99"/>
        <v>-35557.753199131592</v>
      </c>
      <c r="AJ388" s="818">
        <f t="shared" si="98"/>
        <v>0</v>
      </c>
      <c r="AK388" s="818">
        <f t="shared" si="98"/>
        <v>0</v>
      </c>
    </row>
  </sheetData>
  <sheetProtection formatCells="0" formatColumns="0" formatRows="0"/>
  <mergeCells count="4">
    <mergeCell ref="N3:P3"/>
    <mergeCell ref="Q3:AL3"/>
    <mergeCell ref="F3:G3"/>
    <mergeCell ref="I3: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disablePrompts="1" xWindow="779" yWindow="486" count="1">
        <x14:dataValidation type="list" allowBlank="1" showInputMessage="1" showErrorMessage="1" promptTitle="Select Province" prompt="Select province from the list, or select Total to see the national view. " xr:uid="{855E0ED9-F5A2-456E-B72F-447F8814AA96}">
          <x14:formula1>
            <xm:f>'14. Permanent Info'!$C$7:$C$12</xm:f>
          </x14:formula1>
          <xm:sqref>E10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8BF5C-1959-4607-9EA4-9DAA391E40B6}">
  <sheetPr codeName="Sheet11">
    <tabColor theme="5" tint="0.59999389629810485"/>
  </sheetPr>
  <dimension ref="A1:BM388"/>
  <sheetViews>
    <sheetView showGridLines="0" view="pageBreakPreview" zoomScale="75" zoomScaleNormal="100" zoomScaleSheetLayoutView="75" workbookViewId="0">
      <selection activeCell="D14" sqref="D14"/>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Total 2013/14</v>
      </c>
      <c r="O1" s="803" t="str">
        <f t="shared" si="0"/>
        <v>Total 2014/15</v>
      </c>
      <c r="P1" s="803" t="str">
        <f t="shared" si="0"/>
        <v>Total 2015/16</v>
      </c>
      <c r="Q1" s="803" t="str">
        <f t="shared" si="0"/>
        <v>Total 2016/17</v>
      </c>
      <c r="R1" s="803" t="str">
        <f t="shared" si="0"/>
        <v>Total 2017/18</v>
      </c>
      <c r="S1" s="803" t="str">
        <f t="shared" si="0"/>
        <v>Total 2018/19</v>
      </c>
      <c r="T1" s="803" t="str">
        <f t="shared" si="0"/>
        <v>Total 2019/20</v>
      </c>
      <c r="U1" s="803" t="str">
        <f t="shared" si="0"/>
        <v>Total 2020/21</v>
      </c>
      <c r="V1" s="803" t="str">
        <f t="shared" si="0"/>
        <v>Total 2021/22</v>
      </c>
      <c r="W1" s="803" t="str">
        <f t="shared" si="0"/>
        <v>Total 2022/23</v>
      </c>
      <c r="X1" s="803" t="str">
        <f t="shared" si="0"/>
        <v>Total 2023/24</v>
      </c>
      <c r="Y1" s="803" t="str">
        <f t="shared" si="0"/>
        <v>Total 2024/25</v>
      </c>
      <c r="Z1" s="803"/>
      <c r="AA1" s="803"/>
      <c r="AB1" s="803"/>
      <c r="AC1" s="803"/>
      <c r="AD1" s="803"/>
      <c r="AE1" s="803"/>
      <c r="AF1" s="803"/>
      <c r="AG1" s="803"/>
      <c r="AH1" s="803"/>
      <c r="AI1" s="803"/>
      <c r="AJ1" s="803" t="str">
        <f>$E$10&amp;" "&amp;AJ5</f>
        <v>Total 2035/36</v>
      </c>
      <c r="AK1" s="803" t="str">
        <f>$E$10&amp;" "&amp;AK5</f>
        <v>Total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Total</v>
      </c>
      <c r="E3" s="60"/>
      <c r="F3" s="1361" t="s">
        <v>1460</v>
      </c>
      <c r="G3" s="1361"/>
      <c r="I3" s="1344" t="s">
        <v>1457</v>
      </c>
      <c r="J3" s="1350"/>
      <c r="K3" s="1350"/>
      <c r="L3" s="134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841" t="s">
        <v>1328</v>
      </c>
      <c r="J4" s="841" t="s">
        <v>1405</v>
      </c>
      <c r="K4" s="841" t="s">
        <v>1453</v>
      </c>
      <c r="L4" s="841"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890" t="str">
        <f>'7. Scenario Detailed'!E12</f>
        <v>BC</v>
      </c>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-ROUND('9a. Forecast Results - Total'!AL127,0)</f>
        <v>-17026220</v>
      </c>
      <c r="M6" s="783"/>
      <c r="N6" s="781">
        <f>-'9a. Forecast Results - Total'!N127</f>
        <v>-17923184</v>
      </c>
      <c r="O6" s="781">
        <f>-'9a. Forecast Results - Total'!O127</f>
        <v>-17604545</v>
      </c>
      <c r="P6" s="781">
        <f>-'9a. Forecast Results - Total'!P127</f>
        <v>-10717984</v>
      </c>
      <c r="Q6" s="781">
        <f>-'9a. Forecast Results - Total'!Q127</f>
        <v>-210409.8845669291</v>
      </c>
      <c r="R6" s="781">
        <f>-'9a. Forecast Results - Total'!R127</f>
        <v>-210409.8845669291</v>
      </c>
      <c r="S6" s="781">
        <f>-'9a. Forecast Results - Total'!S127</f>
        <v>-210409.8845669291</v>
      </c>
      <c r="T6" s="781">
        <f>-'9a. Forecast Results - Total'!T127</f>
        <v>-23378.876062992123</v>
      </c>
      <c r="U6" s="781">
        <f>-'9a. Forecast Results - Total'!U127</f>
        <v>-23378.876062992123</v>
      </c>
      <c r="V6" s="781">
        <f>-'9a. Forecast Results - Total'!V127</f>
        <v>-23378.876062992123</v>
      </c>
      <c r="W6" s="781">
        <f>-'9a. Forecast Results - Total'!W127</f>
        <v>-23378.876062992123</v>
      </c>
      <c r="X6" s="781">
        <f>-'9a. Forecast Results - Total'!X127</f>
        <v>-23378.876062992123</v>
      </c>
      <c r="Y6" s="781">
        <f>-'9a. Forecast Results - Total'!Y127</f>
        <v>-23378.876062992123</v>
      </c>
      <c r="Z6" s="781">
        <f>-'9a. Forecast Results - Total'!Z127</f>
        <v>-23378.876062992123</v>
      </c>
      <c r="AA6" s="781">
        <f>-'9a. Forecast Results - Total'!AA127</f>
        <v>-23378.876062992123</v>
      </c>
      <c r="AB6" s="781">
        <f>-'9a. Forecast Results - Total'!AB127</f>
        <v>-23378.876062992123</v>
      </c>
      <c r="AC6" s="781">
        <f>-'9a. Forecast Results - Total'!AC127</f>
        <v>-23378.876062992123</v>
      </c>
      <c r="AD6" s="781">
        <f>-'9a. Forecast Results - Total'!AD127</f>
        <v>-23378.876062992123</v>
      </c>
      <c r="AE6" s="781">
        <f>-'9a. Forecast Results - Total'!AE127</f>
        <v>-23378.876062992123</v>
      </c>
      <c r="AF6" s="781">
        <f>-'9a. Forecast Results - Total'!AF127</f>
        <v>-23378.876062992123</v>
      </c>
      <c r="AG6" s="781">
        <f>-'9a. Forecast Results - Total'!AG127</f>
        <v>-23378.876062992123</v>
      </c>
      <c r="AH6" s="781">
        <f>-'9a. Forecast Results - Total'!AH127</f>
        <v>-23378.876062992123</v>
      </c>
      <c r="AI6" s="781">
        <f>-'9a. Forecast Results - Total'!AI127</f>
        <v>-23378.876062992123</v>
      </c>
      <c r="AJ6" s="781">
        <f>-'9a. Forecast Results - Total'!AJ127</f>
        <v>-16020928.030877186</v>
      </c>
      <c r="AK6" s="781">
        <f>-'9a. Forecast Results - Total'!AK127</f>
        <v>0</v>
      </c>
      <c r="AL6" s="781">
        <f>-'9a. Forecast Results - Total'!AL127</f>
        <v>-17026219.701585848</v>
      </c>
    </row>
    <row r="7" spans="1:38" outlineLevel="1" x14ac:dyDescent="0.45">
      <c r="D7" s="1102" t="s">
        <v>1324</v>
      </c>
      <c r="E7" s="781">
        <f ca="1">ROUND('9a. Forecast Results - Total'!AL51,0)</f>
        <v>-1922286168</v>
      </c>
      <c r="M7" s="783"/>
      <c r="N7" s="781">
        <f>'9a. Forecast Results - Total'!N51</f>
        <v>-112639142.49333334</v>
      </c>
      <c r="O7" s="781">
        <f>'9a. Forecast Results - Total'!O51</f>
        <v>-120020127.89333332</v>
      </c>
      <c r="P7" s="781">
        <f>'9a. Forecast Results - Total'!P51</f>
        <v>-128289183.36000001</v>
      </c>
      <c r="Q7" s="781">
        <f ca="1">'9a. Forecast Results - Total'!Q51</f>
        <v>-131948176.67010787</v>
      </c>
      <c r="R7" s="781">
        <f ca="1">'9a. Forecast Results - Total'!R51</f>
        <v>-128772071.22519906</v>
      </c>
      <c r="S7" s="781">
        <f ca="1">'9a. Forecast Results - Total'!S51</f>
        <v>-125352126.05131693</v>
      </c>
      <c r="T7" s="781">
        <f ca="1">'9a. Forecast Results - Total'!T51</f>
        <v>-126956932.24841155</v>
      </c>
      <c r="U7" s="781">
        <f ca="1">'9a. Forecast Results - Total'!U51</f>
        <v>-126155549.41692396</v>
      </c>
      <c r="V7" s="781">
        <f ca="1">'9a. Forecast Results - Total'!V51</f>
        <v>-124849979.70312493</v>
      </c>
      <c r="W7" s="781">
        <f ca="1">'9a. Forecast Results - Total'!W51</f>
        <v>-122987708.90222576</v>
      </c>
      <c r="X7" s="781">
        <f ca="1">'9a. Forecast Results - Total'!X51</f>
        <v>-120511971.41223007</v>
      </c>
      <c r="Y7" s="781">
        <f ca="1">'9a. Forecast Results - Total'!Y51</f>
        <v>-117361441.43571034</v>
      </c>
      <c r="Z7" s="781">
        <f ca="1">'9a. Forecast Results - Total'!Z51</f>
        <v>-113469903.07425649</v>
      </c>
      <c r="AA7" s="781">
        <f ca="1">'9a. Forecast Results - Total'!AA51</f>
        <v>-108765897.92790511</v>
      </c>
      <c r="AB7" s="781">
        <f ca="1">'9a. Forecast Results - Total'!AB51</f>
        <v>-103172348.7230612</v>
      </c>
      <c r="AC7" s="781">
        <f ca="1">'9a. Forecast Results - Total'!AC51</f>
        <v>-96606157.398058683</v>
      </c>
      <c r="AD7" s="781">
        <f ca="1">'9a. Forecast Results - Total'!AD51</f>
        <v>-88977775.975225061</v>
      </c>
      <c r="AE7" s="781">
        <f ca="1">'9a. Forecast Results - Total'!AE51</f>
        <v>-80190748.441757485</v>
      </c>
      <c r="AF7" s="781">
        <f ca="1">'9a. Forecast Results - Total'!AF51</f>
        <v>-70141221.748490617</v>
      </c>
      <c r="AG7" s="781">
        <f ca="1">'9a. Forecast Results - Total'!AG51</f>
        <v>-58717423.915335566</v>
      </c>
      <c r="AH7" s="781">
        <f ca="1">'9a. Forecast Results - Total'!AH51</f>
        <v>-45799107.104352199</v>
      </c>
      <c r="AI7" s="781">
        <f ca="1">'9a. Forecast Results - Total'!AI51</f>
        <v>-31256953.38562502</v>
      </c>
      <c r="AJ7" s="781">
        <f ca="1">'9a. Forecast Results - Total'!AJ51</f>
        <v>-292672.82400684012</v>
      </c>
      <c r="AK7" s="781">
        <f ca="1">'9a. Forecast Results - Total'!AK51</f>
        <v>0</v>
      </c>
      <c r="AL7" s="781">
        <f ca="1">'9a. Forecast Results - Total'!AL48</f>
        <v>-1922286167.5833244</v>
      </c>
    </row>
    <row r="8" spans="1:38" outlineLevel="1" x14ac:dyDescent="0.45">
      <c r="D8" s="1102" t="s">
        <v>1311</v>
      </c>
      <c r="E8" s="781">
        <f>'9a. Forecast Results - Total'!$AL$20+'9a. Forecast Results - Total'!$AL$24</f>
        <v>-541784615.03935695</v>
      </c>
      <c r="M8" s="783"/>
      <c r="N8" s="781">
        <f>'9a. Forecast Results - Total'!N20+'9a. Forecast Results - Total'!N24</f>
        <v>-63462443.63000001</v>
      </c>
      <c r="O8" s="781">
        <f>'9a. Forecast Results - Total'!O20+'9a. Forecast Results - Total'!O24</f>
        <v>-46881462.119999997</v>
      </c>
      <c r="P8" s="781">
        <f>'9a. Forecast Results - Total'!P20+'9a. Forecast Results - Total'!P24</f>
        <v>-35522339.870000005</v>
      </c>
      <c r="Q8" s="781">
        <f>'9a. Forecast Results - Total'!Q20+'9a. Forecast Results - Total'!Q24</f>
        <v>-44554886.808945611</v>
      </c>
      <c r="R8" s="781">
        <f>'9a. Forecast Results - Total'!R20+'9a. Forecast Results - Total'!R24</f>
        <v>-43895932.50356546</v>
      </c>
      <c r="S8" s="781">
        <f>'9a. Forecast Results - Total'!S20+'9a. Forecast Results - Total'!S24</f>
        <v>-42458506.13208662</v>
      </c>
      <c r="T8" s="781">
        <f>'9a. Forecast Results - Total'!T20+'9a. Forecast Results - Total'!T24</f>
        <v>-27417863.463207867</v>
      </c>
      <c r="U8" s="781">
        <f>'9a. Forecast Results - Total'!U20+'9a. Forecast Results - Total'!U24</f>
        <v>-27159823.811580811</v>
      </c>
      <c r="V8" s="781">
        <f>'9a. Forecast Results - Total'!V20+'9a. Forecast Results - Total'!V24</f>
        <v>-26901784.159953758</v>
      </c>
      <c r="W8" s="781">
        <f>'9a. Forecast Results - Total'!W20+'9a. Forecast Results - Total'!W24</f>
        <v>-26643744.508326706</v>
      </c>
      <c r="X8" s="781">
        <f>'9a. Forecast Results - Total'!X20+'9a. Forecast Results - Total'!X24</f>
        <v>-26385704.856699653</v>
      </c>
      <c r="Y8" s="781">
        <f>'9a. Forecast Results - Total'!Y20+'9a. Forecast Results - Total'!Y24</f>
        <v>-26127665.2050726</v>
      </c>
      <c r="Z8" s="781">
        <f>'9a. Forecast Results - Total'!Z20+'9a. Forecast Results - Total'!Z24</f>
        <v>-25869625.553445544</v>
      </c>
      <c r="AA8" s="781">
        <f>'9a. Forecast Results - Total'!AA20+'9a. Forecast Results - Total'!AA24</f>
        <v>-25611585.901818492</v>
      </c>
      <c r="AB8" s="781">
        <f>'9a. Forecast Results - Total'!AB20+'9a. Forecast Results - Total'!AB24</f>
        <v>-25353546.250191439</v>
      </c>
      <c r="AC8" s="781">
        <f>'9a. Forecast Results - Total'!AC20+'9a. Forecast Results - Total'!AC24</f>
        <v>-25095506.598564386</v>
      </c>
      <c r="AD8" s="781">
        <f>'9a. Forecast Results - Total'!AD20+'9a. Forecast Results - Total'!AD24</f>
        <v>-24837466.946937334</v>
      </c>
      <c r="AE8" s="781">
        <f>'9a. Forecast Results - Total'!AE20+'9a. Forecast Results - Total'!AE24</f>
        <v>-24579427.295310277</v>
      </c>
      <c r="AF8" s="781">
        <f>'9a. Forecast Results - Total'!AF20+'9a. Forecast Results - Total'!AF24</f>
        <v>-24321387.643683225</v>
      </c>
      <c r="AG8" s="781">
        <f>'9a. Forecast Results - Total'!AG20+'9a. Forecast Results - Total'!AG24</f>
        <v>-24063347.992056172</v>
      </c>
      <c r="AH8" s="781">
        <f>'9a. Forecast Results - Total'!AH20+'9a. Forecast Results - Total'!AH24</f>
        <v>-23805308.34042912</v>
      </c>
      <c r="AI8" s="781">
        <f>'9a. Forecast Results - Total'!AI20+'9a. Forecast Results - Total'!AI24</f>
        <v>-23547268.688802067</v>
      </c>
      <c r="AJ8" s="781">
        <f>'9a. Forecast Results - Total'!AJ20+'9a. Forecast Results - Total'!AJ24</f>
        <v>-3154232.3786798497</v>
      </c>
      <c r="AK8" s="781">
        <f>'9a. Forecast Results - Total'!AK20+'9a. Forecast Results - Total'!AK24</f>
        <v>0</v>
      </c>
      <c r="AL8" s="781">
        <f>'9a. Forecast Results - Total'!AL20+'9a. Forecast Results - Total'!AL24</f>
        <v>-541784615.03935695</v>
      </c>
    </row>
    <row r="9" spans="1:38" outlineLevel="1" x14ac:dyDescent="0.45">
      <c r="D9" s="1102" t="s">
        <v>1322</v>
      </c>
      <c r="E9" s="1110">
        <f>-(SUMIF('10. Inputs &amp; Calcs'!$D$396:$D$400,$E$10,'10. Inputs &amp; Calcs'!AC$396:AC$400)+SUMIF('10. Inputs &amp; Calcs'!$D$628:$D$633,$E$10,'10. Inputs &amp; Calcs'!AC$628:AC$633))</f>
        <v>0</v>
      </c>
      <c r="M9" s="1029"/>
      <c r="N9" s="780"/>
      <c r="O9" s="780"/>
      <c r="P9" s="781">
        <f>-('10. Inputs &amp; Calcs'!H$191+SUMIF('10. Inputs &amp; Calcs'!$D$628:$D$633,$E$10,'10. Inputs &amp; Calcs'!H$628:H$633))</f>
        <v>-105187689.88000001</v>
      </c>
      <c r="Q9" s="781">
        <f>-('10. Inputs &amp; Calcs'!I$191+SUMIF('10. Inputs &amp; Calcs'!$D$628:$D$633,$E$10,'10. Inputs &amp; Calcs'!I$628:I$633))</f>
        <v>-102745526.37029831</v>
      </c>
      <c r="R9" s="781">
        <f>-('10. Inputs &amp; Calcs'!J$191+SUMIF('10. Inputs &amp; Calcs'!$D$628:$D$633,$E$10,'10. Inputs &amp; Calcs'!J$628:J$633))</f>
        <v>-98985454.249836311</v>
      </c>
      <c r="S9" s="781">
        <f>-('10. Inputs &amp; Calcs'!K$191+SUMIF('10. Inputs &amp; Calcs'!$D$628:$D$633,$E$10,'10. Inputs &amp; Calcs'!K$628:K$633))</f>
        <v>-94708883.578012705</v>
      </c>
      <c r="T9" s="781">
        <f>-('10. Inputs &amp; Calcs'!L$191+SUMIF('10. Inputs &amp; Calcs'!$D$628:$D$633,$E$10,'10. Inputs &amp; Calcs'!L$628:L$633))</f>
        <v>-93493862.233054623</v>
      </c>
      <c r="U9" s="781">
        <f>-('10. Inputs &amp; Calcs'!M$191+SUMIF('10. Inputs &amp; Calcs'!$D$628:$D$633,$E$10,'10. Inputs &amp; Calcs'!M$628:M$633))</f>
        <v>-91762761.584842429</v>
      </c>
      <c r="V9" s="781">
        <f>-('10. Inputs &amp; Calcs'!N$191+SUMIF('10. Inputs &amp; Calcs'!$D$628:$D$633,$E$10,'10. Inputs &amp; Calcs'!N$628:N$633))</f>
        <v>-89515581.633376107</v>
      </c>
      <c r="W9" s="781">
        <f>-('10. Inputs &amp; Calcs'!O$191+SUMIF('10. Inputs &amp; Calcs'!$D$628:$D$633,$E$10,'10. Inputs &amp; Calcs'!O$628:O$633))</f>
        <v>-87010362.030282751</v>
      </c>
      <c r="X9" s="781">
        <f>-('10. Inputs &amp; Calcs'!P$191+SUMIF('10. Inputs &amp; Calcs'!$D$628:$D$633,$E$10,'10. Inputs &amp; Calcs'!P$628:P$633))</f>
        <v>-83989063.123935282</v>
      </c>
      <c r="Y9" s="781">
        <f>-('10. Inputs &amp; Calcs'!Q$191+SUMIF('10. Inputs &amp; Calcs'!$D$628:$D$633,$E$10,'10. Inputs &amp; Calcs'!Q$628:Q$633))</f>
        <v>-80451684.914333701</v>
      </c>
      <c r="Z9" s="781">
        <f>-('10. Inputs &amp; Calcs'!R$191+SUMIF('10. Inputs &amp; Calcs'!$D$628:$D$633,$E$10,'10. Inputs &amp; Calcs'!R$628:R$633))</f>
        <v>-76398227.401478022</v>
      </c>
      <c r="AA9" s="781">
        <f>-('10. Inputs &amp; Calcs'!S$191+SUMIF('10. Inputs &amp; Calcs'!$D$628:$D$633,$E$10,'10. Inputs &amp; Calcs'!S$628:S$633))</f>
        <v>-71828690.585368231</v>
      </c>
      <c r="AB9" s="781">
        <f>-('10. Inputs &amp; Calcs'!T$191+SUMIF('10. Inputs &amp; Calcs'!$D$628:$D$633,$E$10,'10. Inputs &amp; Calcs'!T$628:T$633))</f>
        <v>-66743074.466004342</v>
      </c>
      <c r="AC9" s="781">
        <f>-('10. Inputs &amp; Calcs'!U$191+SUMIF('10. Inputs &amp; Calcs'!$D$628:$D$633,$E$10,'10. Inputs &amp; Calcs'!U$628:U$633))</f>
        <v>-61141379.04338634</v>
      </c>
      <c r="AD9" s="781">
        <f>-('10. Inputs &amp; Calcs'!V$191+SUMIF('10. Inputs &amp; Calcs'!$D$628:$D$633,$E$10,'10. Inputs &amp; Calcs'!V$628:V$633))</f>
        <v>-55023604.317514233</v>
      </c>
      <c r="AE9" s="781">
        <f>-('10. Inputs &amp; Calcs'!W$191+SUMIF('10. Inputs &amp; Calcs'!$D$628:$D$633,$E$10,'10. Inputs &amp; Calcs'!W$628:W$633))</f>
        <v>-48389750.288388014</v>
      </c>
      <c r="AF9" s="781">
        <f>-('10. Inputs &amp; Calcs'!X$191+SUMIF('10. Inputs &amp; Calcs'!$D$628:$D$633,$E$10,'10. Inputs &amp; Calcs'!X$628:X$633))</f>
        <v>-41239816.956007697</v>
      </c>
      <c r="AG9" s="781">
        <f>-('10. Inputs &amp; Calcs'!Y$191+SUMIF('10. Inputs &amp; Calcs'!$D$628:$D$633,$E$10,'10. Inputs &amp; Calcs'!Y$628:Y$633))</f>
        <v>-33573804.320373267</v>
      </c>
      <c r="AH9" s="781">
        <f>-('10. Inputs &amp; Calcs'!Z$191+SUMIF('10. Inputs &amp; Calcs'!$D$628:$D$633,$E$10,'10. Inputs &amp; Calcs'!Z$628:Z$633))</f>
        <v>-25391712.381484732</v>
      </c>
      <c r="AI9" s="781">
        <f>-('10. Inputs &amp; Calcs'!AA$191+SUMIF('10. Inputs &amp; Calcs'!$D$628:$D$633,$E$10,'10. Inputs &amp; Calcs'!AA$628:AA$633))</f>
        <v>-17064827.314991739</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
        <v>11</v>
      </c>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99" t="str">
        <f>'5. Dashboard Live'!C13</f>
        <v>BC</v>
      </c>
      <c r="M11" s="542"/>
    </row>
    <row r="12" spans="1:38" x14ac:dyDescent="0.45">
      <c r="D12" t="s">
        <v>1330</v>
      </c>
      <c r="N12" s="578"/>
      <c r="O12" s="578"/>
      <c r="P12" s="784">
        <f>SUMIF('10. Inputs &amp; Calcs'!$D$78:$D$83,$E$10,'10. Inputs &amp; Calcs'!H$78:H$83)</f>
        <v>2239</v>
      </c>
      <c r="Q12" s="784">
        <f>SUMIF('10. Inputs &amp; Calcs'!$D$78:$D$83,$E$10,'10. Inputs &amp; Calcs'!I$78:I$83)</f>
        <v>2753</v>
      </c>
      <c r="R12" s="784">
        <f>SUMIF('10. Inputs &amp; Calcs'!$D$78:$D$83,$E$10,'10. Inputs &amp; Calcs'!J$78:J$83)</f>
        <v>3267</v>
      </c>
      <c r="S12" s="784">
        <f>SUMIF('10. Inputs &amp; Calcs'!$D$78:$D$83,$E$10,'10. Inputs &amp; Calcs'!K$78:K$83)</f>
        <v>3743</v>
      </c>
      <c r="T12" s="784">
        <f>SUMIF('10. Inputs &amp; Calcs'!$D$78:$D$83,$E$10,'10. Inputs &amp; Calcs'!L$78:L$83)</f>
        <v>3969</v>
      </c>
      <c r="U12" s="784">
        <f>SUMIF('10. Inputs &amp; Calcs'!$D$78:$D$83,$E$10,'10. Inputs &amp; Calcs'!M$78:M$83)</f>
        <v>4195</v>
      </c>
      <c r="V12" s="784">
        <f>SUMIF('10. Inputs &amp; Calcs'!$D$78:$D$83,$E$10,'10. Inputs &amp; Calcs'!N$78:N$83)</f>
        <v>4421</v>
      </c>
      <c r="W12" s="784">
        <f>SUMIF('10. Inputs &amp; Calcs'!$D$78:$D$83,$E$10,'10. Inputs &amp; Calcs'!O$78:O$83)</f>
        <v>4647</v>
      </c>
      <c r="X12" s="784">
        <f>SUMIF('10. Inputs &amp; Calcs'!$D$78:$D$83,$E$10,'10. Inputs &amp; Calcs'!P$78:P$83)</f>
        <v>4873</v>
      </c>
      <c r="Y12" s="784">
        <f>SUMIF('10. Inputs &amp; Calcs'!$D$78:$D$83,$E$10,'10. Inputs &amp; Calcs'!Q$78:Q$83)</f>
        <v>5099</v>
      </c>
      <c r="Z12" s="784">
        <f>SUMIF('10. Inputs &amp; Calcs'!$D$78:$D$83,$E$10,'10. Inputs &amp; Calcs'!R$78:R$83)</f>
        <v>5325</v>
      </c>
      <c r="AA12" s="784">
        <f>SUMIF('10. Inputs &amp; Calcs'!$D$78:$D$83,$E$10,'10. Inputs &amp; Calcs'!S$78:S$83)</f>
        <v>5551</v>
      </c>
      <c r="AB12" s="784">
        <f>SUMIF('10. Inputs &amp; Calcs'!$D$78:$D$83,$E$10,'10. Inputs &amp; Calcs'!T$78:T$83)</f>
        <v>5777</v>
      </c>
      <c r="AC12" s="784">
        <f>SUMIF('10. Inputs &amp; Calcs'!$D$78:$D$83,$E$10,'10. Inputs &amp; Calcs'!U$78:U$83)</f>
        <v>6003</v>
      </c>
      <c r="AD12" s="784">
        <f>SUMIF('10. Inputs &amp; Calcs'!$D$78:$D$83,$E$10,'10. Inputs &amp; Calcs'!V$78:V$83)</f>
        <v>6229</v>
      </c>
      <c r="AE12" s="784">
        <f>SUMIF('10. Inputs &amp; Calcs'!$D$78:$D$83,$E$10,'10. Inputs &amp; Calcs'!W$78:W$83)</f>
        <v>6455</v>
      </c>
      <c r="AF12" s="784">
        <f>SUMIF('10. Inputs &amp; Calcs'!$D$78:$D$83,$E$10,'10. Inputs &amp; Calcs'!X$78:X$83)</f>
        <v>6681</v>
      </c>
      <c r="AG12" s="784">
        <f>SUMIF('10. Inputs &amp; Calcs'!$D$78:$D$83,$E$10,'10. Inputs &amp; Calcs'!Y$78:Y$83)</f>
        <v>6907</v>
      </c>
      <c r="AH12" s="784">
        <f>SUMIF('10. Inputs &amp; Calcs'!$D$78:$D$83,$E$10,'10. Inputs &amp; Calcs'!Z$78:Z$83)</f>
        <v>7133</v>
      </c>
      <c r="AI12" s="784">
        <f>SUMIF('10. Inputs &amp; Calcs'!$D$78:$D$83,$E$10,'10. Inputs &amp; Calcs'!AA$78:AA$83)</f>
        <v>7359</v>
      </c>
      <c r="AJ12" s="784">
        <f>SUMIF('10. Inputs &amp; Calcs'!$D$78:$D$83,$E$10,'10. Inputs &amp; Calcs'!AB$78:AB$83)</f>
        <v>7399</v>
      </c>
      <c r="AK12" s="784">
        <f>SUMIF('10. Inputs &amp; Calcs'!$D$78:$D$83,$E$10,'10. Inputs &amp; Calcs'!AC$78:AC$83)</f>
        <v>0</v>
      </c>
      <c r="AL12" s="536"/>
    </row>
    <row r="13" spans="1:38" x14ac:dyDescent="0.45">
      <c r="D13" t="s">
        <v>1329</v>
      </c>
      <c r="N13" s="578"/>
      <c r="O13" s="578"/>
      <c r="P13" s="784">
        <f>SUMIF('10. Inputs &amp; Calcs'!$D$520:$D$525,$E$10,'10. Inputs &amp; Calcs'!H$520:H$525)</f>
        <v>5160</v>
      </c>
      <c r="Q13" s="784">
        <f>SUMIF('10. Inputs &amp; Calcs'!$D$520:$D$525,$E$10,'10. Inputs &amp; Calcs'!I$520:I$525)</f>
        <v>4646</v>
      </c>
      <c r="R13" s="784">
        <f>SUMIF('10. Inputs &amp; Calcs'!$D$520:$D$525,$E$10,'10. Inputs &amp; Calcs'!J$520:J$525)</f>
        <v>4132</v>
      </c>
      <c r="S13" s="784">
        <f>SUMIF('10. Inputs &amp; Calcs'!$D$520:$D$525,$E$10,'10. Inputs &amp; Calcs'!K$520:K$525)</f>
        <v>3656</v>
      </c>
      <c r="T13" s="784">
        <f>SUMIF('10. Inputs &amp; Calcs'!$D$520:$D$525,$E$10,'10. Inputs &amp; Calcs'!L$520:L$525)</f>
        <v>3430</v>
      </c>
      <c r="U13" s="784">
        <f>SUMIF('10. Inputs &amp; Calcs'!$D$520:$D$525,$E$10,'10. Inputs &amp; Calcs'!M$520:M$525)</f>
        <v>3204</v>
      </c>
      <c r="V13" s="784">
        <f>SUMIF('10. Inputs &amp; Calcs'!$D$520:$D$525,$E$10,'10. Inputs &amp; Calcs'!N$520:N$525)</f>
        <v>2978</v>
      </c>
      <c r="W13" s="784">
        <f>SUMIF('10. Inputs &amp; Calcs'!$D$520:$D$525,$E$10,'10. Inputs &amp; Calcs'!O$520:O$525)</f>
        <v>2752</v>
      </c>
      <c r="X13" s="784">
        <f>SUMIF('10. Inputs &amp; Calcs'!$D$520:$D$525,$E$10,'10. Inputs &amp; Calcs'!P$520:P$525)</f>
        <v>2526</v>
      </c>
      <c r="Y13" s="784">
        <f>SUMIF('10. Inputs &amp; Calcs'!$D$520:$D$525,$E$10,'10. Inputs &amp; Calcs'!Q$520:Q$525)</f>
        <v>2300</v>
      </c>
      <c r="Z13" s="784">
        <f>SUMIF('10. Inputs &amp; Calcs'!$D$520:$D$525,$E$10,'10. Inputs &amp; Calcs'!R$520:R$525)</f>
        <v>2074</v>
      </c>
      <c r="AA13" s="784">
        <f>SUMIF('10. Inputs &amp; Calcs'!$D$520:$D$525,$E$10,'10. Inputs &amp; Calcs'!S$520:S$525)</f>
        <v>1848</v>
      </c>
      <c r="AB13" s="784">
        <f>SUMIF('10. Inputs &amp; Calcs'!$D$520:$D$525,$E$10,'10. Inputs &amp; Calcs'!T$520:T$525)</f>
        <v>1622</v>
      </c>
      <c r="AC13" s="784">
        <f>SUMIF('10. Inputs &amp; Calcs'!$D$520:$D$525,$E$10,'10. Inputs &amp; Calcs'!U$520:U$525)</f>
        <v>1396</v>
      </c>
      <c r="AD13" s="784">
        <f>SUMIF('10. Inputs &amp; Calcs'!$D$520:$D$525,$E$10,'10. Inputs &amp; Calcs'!V$520:V$525)</f>
        <v>1170</v>
      </c>
      <c r="AE13" s="784">
        <f>SUMIF('10. Inputs &amp; Calcs'!$D$520:$D$525,$E$10,'10. Inputs &amp; Calcs'!W$520:W$525)</f>
        <v>944</v>
      </c>
      <c r="AF13" s="784">
        <f>SUMIF('10. Inputs &amp; Calcs'!$D$520:$D$525,$E$10,'10. Inputs &amp; Calcs'!X$520:X$525)</f>
        <v>718</v>
      </c>
      <c r="AG13" s="784">
        <f>SUMIF('10. Inputs &amp; Calcs'!$D$520:$D$525,$E$10,'10. Inputs &amp; Calcs'!Y$520:Y$525)</f>
        <v>492</v>
      </c>
      <c r="AH13" s="784">
        <f>SUMIF('10. Inputs &amp; Calcs'!$D$520:$D$525,$E$10,'10. Inputs &amp; Calcs'!Z$520:Z$525)</f>
        <v>266</v>
      </c>
      <c r="AI13" s="784">
        <f>SUMIF('10. Inputs &amp; Calcs'!$D$520:$D$525,$E$10,'10. Inputs &amp; Calcs'!AA$520:AA$525)</f>
        <v>40</v>
      </c>
      <c r="AJ13" s="784">
        <f>SUMIF('10. Inputs &amp; Calcs'!$D$520:$D$525,$E$10,'10. Inputs &amp; Calcs'!AB$520:AB$525)</f>
        <v>0</v>
      </c>
      <c r="AK13" s="784">
        <f>SUMIF('10. Inputs &amp; Calcs'!$D$520:$D$525,$E$10,'10. Inputs &amp; Calcs'!AC$520:AC$525)</f>
        <v>0</v>
      </c>
      <c r="AL13" s="536"/>
    </row>
    <row r="14" spans="1: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M16" s="451"/>
    </row>
    <row r="18" spans="2:65" ht="5.25"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753">
        <f>AL19</f>
        <v>541188154.3171711</v>
      </c>
      <c r="J19" s="899">
        <v>541188154.3171711</v>
      </c>
      <c r="K19" s="753">
        <f t="shared" ref="K19:K28" si="1">I19-J19</f>
        <v>0</v>
      </c>
      <c r="L19" s="885">
        <f t="shared" ref="L19:L28" si="2">IF(J19&lt;&gt;0,K19/J19,0)</f>
        <v>0</v>
      </c>
      <c r="N19" s="763">
        <f>SUMIF('10. Inputs &amp; Calcs'!$D$423:$D$428,$E$10,'10. Inputs &amp; Calcs'!F$423:F$428)</f>
        <v>64493890.520000011</v>
      </c>
      <c r="O19" s="567">
        <f>SUMIF('10. Inputs &amp; Calcs'!$D$423:$D$428,$E$10,'10. Inputs &amp; Calcs'!G$423:G$428)</f>
        <v>51803055.629999995</v>
      </c>
      <c r="P19" s="764">
        <f>SUMIF('10. Inputs &amp; Calcs'!$D$423:$D$428,$E$10,'10. Inputs &amp; Calcs'!H$423:H$428)</f>
        <v>38707569.810000002</v>
      </c>
      <c r="Q19" s="748">
        <f>SUMIF('10. Inputs &amp; Calcs'!$D$423:$D$428,$E$10,'10. Inputs &amp; Calcs'!I$423:I$428)</f>
        <v>45788804.290096059</v>
      </c>
      <c r="R19" s="535">
        <f>SUMIF('10. Inputs &amp; Calcs'!$D$423:$D$428,$E$10,'10. Inputs &amp; Calcs'!J$423:J$428)</f>
        <v>45788804.290096059</v>
      </c>
      <c r="S19" s="535">
        <f>SUMIF('10. Inputs &amp; Calcs'!$D$423:$D$428,$E$10,'10. Inputs &amp; Calcs'!K$423:K$428)</f>
        <v>43815871.559152238</v>
      </c>
      <c r="T19" s="535">
        <f>SUMIF('10. Inputs &amp; Calcs'!$D$423:$D$428,$E$10,'10. Inputs &amp; Calcs'!L$423:L$428)</f>
        <v>25134920.843012903</v>
      </c>
      <c r="U19" s="535">
        <f>SUMIF('10. Inputs &amp; Calcs'!$D$423:$D$428,$E$10,'10. Inputs &amp; Calcs'!M$423:M$428)</f>
        <v>25134920.843012903</v>
      </c>
      <c r="V19" s="535">
        <f>SUMIF('10. Inputs &amp; Calcs'!$D$423:$D$428,$E$10,'10. Inputs &amp; Calcs'!N$423:N$428)</f>
        <v>25134920.843012903</v>
      </c>
      <c r="W19" s="535">
        <f>SUMIF('10. Inputs &amp; Calcs'!$D$423:$D$428,$E$10,'10. Inputs &amp; Calcs'!O$423:O$428)</f>
        <v>25134920.843012903</v>
      </c>
      <c r="X19" s="535">
        <f>SUMIF('10. Inputs &amp; Calcs'!$D$423:$D$428,$E$10,'10. Inputs &amp; Calcs'!P$423:P$428)</f>
        <v>25134920.843012903</v>
      </c>
      <c r="Y19" s="535">
        <f>SUMIF('10. Inputs &amp; Calcs'!$D$423:$D$428,$E$10,'10. Inputs &amp; Calcs'!Q$423:Q$428)</f>
        <v>25134920.843012903</v>
      </c>
      <c r="Z19" s="535">
        <f>SUMIF('10. Inputs &amp; Calcs'!$D$423:$D$428,$E$10,'10. Inputs &amp; Calcs'!R$423:R$428)</f>
        <v>25134920.843012903</v>
      </c>
      <c r="AA19" s="535">
        <f>SUMIF('10. Inputs &amp; Calcs'!$D$423:$D$428,$E$10,'10. Inputs &amp; Calcs'!S$423:S$428)</f>
        <v>25134920.843012903</v>
      </c>
      <c r="AB19" s="535">
        <f>SUMIF('10. Inputs &amp; Calcs'!$D$423:$D$428,$E$10,'10. Inputs &amp; Calcs'!T$423:T$428)</f>
        <v>25134920.843012903</v>
      </c>
      <c r="AC19" s="535">
        <f>SUMIF('10. Inputs &amp; Calcs'!$D$423:$D$428,$E$10,'10. Inputs &amp; Calcs'!U$423:U$428)</f>
        <v>25134920.843012903</v>
      </c>
      <c r="AD19" s="535">
        <f>SUMIF('10. Inputs &amp; Calcs'!$D$423:$D$428,$E$10,'10. Inputs &amp; Calcs'!V$423:V$428)</f>
        <v>25134920.843012903</v>
      </c>
      <c r="AE19" s="535">
        <f>SUMIF('10. Inputs &amp; Calcs'!$D$423:$D$428,$E$10,'10. Inputs &amp; Calcs'!W$423:W$428)</f>
        <v>25134920.843012903</v>
      </c>
      <c r="AF19" s="535">
        <f>SUMIF('10. Inputs &amp; Calcs'!$D$423:$D$428,$E$10,'10. Inputs &amp; Calcs'!X$423:X$428)</f>
        <v>25134920.843012903</v>
      </c>
      <c r="AG19" s="535">
        <f>SUMIF('10. Inputs &amp; Calcs'!$D$423:$D$428,$E$10,'10. Inputs &amp; Calcs'!Y$423:Y$428)</f>
        <v>25134920.843012903</v>
      </c>
      <c r="AH19" s="535">
        <f>SUMIF('10. Inputs &amp; Calcs'!$D$423:$D$428,$E$10,'10. Inputs &amp; Calcs'!Z$423:Z$428)</f>
        <v>25134920.843012903</v>
      </c>
      <c r="AI19" s="535">
        <f>SUMIF('10. Inputs &amp; Calcs'!$D$423:$D$428,$E$10,'10. Inputs &amp; Calcs'!AA$423:AA$428)</f>
        <v>25134920.843012903</v>
      </c>
      <c r="AJ19" s="535">
        <f>SUMIF('10. Inputs &amp; Calcs'!$D$423:$D$428,$E$10,'10. Inputs &amp; Calcs'!AB$423:AB$428)</f>
        <v>3635940.6896200664</v>
      </c>
      <c r="AK19" s="749">
        <f>SUMIF('10. Inputs &amp; Calcs'!$D$423:$D$428,$E$10,'10. Inputs &amp; Calcs'!AC$423:AC$428)</f>
        <v>0</v>
      </c>
      <c r="AL19" s="753">
        <f>SUM(Q19:AK19)</f>
        <v>541188154.3171711</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754">
        <f>AL20</f>
        <v>-495353935.28849757</v>
      </c>
      <c r="J20" s="900">
        <v>-495353935.28849757</v>
      </c>
      <c r="K20" s="754">
        <f t="shared" si="1"/>
        <v>0</v>
      </c>
      <c r="L20" s="886">
        <f t="shared" si="2"/>
        <v>0</v>
      </c>
      <c r="N20" s="765">
        <f t="shared" ref="N20:AK20" si="4">N21-N19</f>
        <v>-56166767.190000013</v>
      </c>
      <c r="O20" s="766">
        <f t="shared" si="4"/>
        <v>-40081977.339999996</v>
      </c>
      <c r="P20" s="767">
        <f t="shared" si="4"/>
        <v>-29417047.090000004</v>
      </c>
      <c r="Q20" s="750">
        <f t="shared" si="4"/>
        <v>-39108548.334325761</v>
      </c>
      <c r="R20" s="751">
        <f t="shared" si="4"/>
        <v>-39108548.334325761</v>
      </c>
      <c r="S20" s="751">
        <f t="shared" si="4"/>
        <v>-38264956.148070209</v>
      </c>
      <c r="T20" s="751">
        <f t="shared" si="4"/>
        <v>-23482353.130818505</v>
      </c>
      <c r="U20" s="751">
        <f t="shared" si="4"/>
        <v>-23482353.130818505</v>
      </c>
      <c r="V20" s="751">
        <f t="shared" si="4"/>
        <v>-23482353.130818505</v>
      </c>
      <c r="W20" s="751">
        <f t="shared" si="4"/>
        <v>-23482353.130818505</v>
      </c>
      <c r="X20" s="751">
        <f t="shared" si="4"/>
        <v>-23482353.130818505</v>
      </c>
      <c r="Y20" s="751">
        <f t="shared" si="4"/>
        <v>-23482353.130818505</v>
      </c>
      <c r="Z20" s="751">
        <f t="shared" si="4"/>
        <v>-23482353.130818505</v>
      </c>
      <c r="AA20" s="751">
        <f t="shared" si="4"/>
        <v>-23482353.130818505</v>
      </c>
      <c r="AB20" s="751">
        <f t="shared" si="4"/>
        <v>-23482353.130818505</v>
      </c>
      <c r="AC20" s="751">
        <f t="shared" si="4"/>
        <v>-23482353.130818505</v>
      </c>
      <c r="AD20" s="751">
        <f t="shared" si="4"/>
        <v>-23482353.130818505</v>
      </c>
      <c r="AE20" s="751">
        <f t="shared" si="4"/>
        <v>-23482353.130818505</v>
      </c>
      <c r="AF20" s="751">
        <f t="shared" si="4"/>
        <v>-23482353.130818505</v>
      </c>
      <c r="AG20" s="751">
        <f t="shared" si="4"/>
        <v>-23482353.130818505</v>
      </c>
      <c r="AH20" s="751">
        <f t="shared" si="4"/>
        <v>-23482353.130818505</v>
      </c>
      <c r="AI20" s="751">
        <f t="shared" si="4"/>
        <v>-23482353.130818505</v>
      </c>
      <c r="AJ20" s="751">
        <f t="shared" si="4"/>
        <v>-3154232.3786798497</v>
      </c>
      <c r="AK20" s="752">
        <f t="shared" si="4"/>
        <v>0</v>
      </c>
      <c r="AL20" s="754">
        <f>SUM(Q20:AK20)</f>
        <v>-495353935.28849757</v>
      </c>
      <c r="AO20" s="803" t="s">
        <v>1538</v>
      </c>
      <c r="AP20" s="533">
        <f>N51</f>
        <v>-112639142.49333334</v>
      </c>
      <c r="AQ20" s="533">
        <f t="shared" ref="AQ20:BM20" si="5">O51</f>
        <v>-120020127.89333332</v>
      </c>
      <c r="AR20" s="533">
        <f t="shared" si="5"/>
        <v>-128289183.36000001</v>
      </c>
      <c r="AS20" s="533">
        <f t="shared" ca="1" si="5"/>
        <v>-131948176.67010787</v>
      </c>
      <c r="AT20" s="533">
        <f t="shared" ca="1" si="5"/>
        <v>-128772071.22519906</v>
      </c>
      <c r="AU20" s="533">
        <f t="shared" ca="1" si="5"/>
        <v>-125352126.05131693</v>
      </c>
      <c r="AV20" s="533">
        <f t="shared" ca="1" si="5"/>
        <v>-126956932.24841155</v>
      </c>
      <c r="AW20" s="533">
        <f t="shared" ca="1" si="5"/>
        <v>-126155549.41692396</v>
      </c>
      <c r="AX20" s="533">
        <f t="shared" ca="1" si="5"/>
        <v>-124849979.70312493</v>
      </c>
      <c r="AY20" s="533">
        <f t="shared" ca="1" si="5"/>
        <v>-122987708.90222576</v>
      </c>
      <c r="AZ20" s="533">
        <f t="shared" ca="1" si="5"/>
        <v>-120511971.41223007</v>
      </c>
      <c r="BA20" s="533">
        <f t="shared" ca="1" si="5"/>
        <v>-117361441.43571034</v>
      </c>
      <c r="BB20" s="533">
        <f t="shared" ca="1" si="5"/>
        <v>-113469903.07425649</v>
      </c>
      <c r="BC20" s="533">
        <f t="shared" ca="1" si="5"/>
        <v>-108765897.92790511</v>
      </c>
      <c r="BD20" s="533">
        <f t="shared" ca="1" si="5"/>
        <v>-103172348.7230612</v>
      </c>
      <c r="BE20" s="533">
        <f t="shared" ca="1" si="5"/>
        <v>-96606157.398058683</v>
      </c>
      <c r="BF20" s="533">
        <f t="shared" ca="1" si="5"/>
        <v>-88977775.975225061</v>
      </c>
      <c r="BG20" s="533">
        <f t="shared" ca="1" si="5"/>
        <v>-80190748.441757485</v>
      </c>
      <c r="BH20" s="533">
        <f t="shared" ca="1" si="5"/>
        <v>-70141221.748490617</v>
      </c>
      <c r="BI20" s="533">
        <f t="shared" ca="1" si="5"/>
        <v>-58717423.915335566</v>
      </c>
      <c r="BJ20" s="533">
        <f t="shared" ca="1" si="5"/>
        <v>-45799107.104352199</v>
      </c>
      <c r="BK20" s="533">
        <f t="shared" ca="1" si="5"/>
        <v>-31256953.38562502</v>
      </c>
      <c r="BL20" s="533">
        <f t="shared" ca="1" si="5"/>
        <v>-292672.82400684012</v>
      </c>
      <c r="BM20" s="533">
        <f t="shared" ca="1" si="5"/>
        <v>0</v>
      </c>
    </row>
    <row r="21" spans="2:65" x14ac:dyDescent="0.45">
      <c r="D21" s="18" t="s">
        <v>1307</v>
      </c>
      <c r="F21" s="852">
        <f>P21/P$28</f>
        <v>0.62245448704219319</v>
      </c>
      <c r="G21" s="852">
        <f ca="1">AL21/AL$28</f>
        <v>0.58380545077436086</v>
      </c>
      <c r="I21" s="533">
        <f>AL21</f>
        <v>45834219.02867353</v>
      </c>
      <c r="J21" s="898">
        <v>45834219.02867353</v>
      </c>
      <c r="K21" s="533">
        <f t="shared" si="1"/>
        <v>0</v>
      </c>
      <c r="L21" s="813">
        <f t="shared" si="2"/>
        <v>0</v>
      </c>
      <c r="N21" s="566">
        <f>SUMIF('10. Inputs &amp; Calcs'!$D$432:$D$437,$E$10,'10. Inputs &amp; Calcs'!F$432:F$437)</f>
        <v>8327123.3300000001</v>
      </c>
      <c r="O21" s="566">
        <f>SUMIF('10. Inputs &amp; Calcs'!$D$432:$D$437,$E$10,'10. Inputs &amp; Calcs'!G$432:G$437)</f>
        <v>11721078.289999999</v>
      </c>
      <c r="P21" s="566">
        <f>SUMIF('10. Inputs &amp; Calcs'!$D$432:$D$437,$E$10,'10. Inputs &amp; Calcs'!H$432:H$437)</f>
        <v>9290522.7200000007</v>
      </c>
      <c r="Q21" s="566">
        <f>SUMIF('10. Inputs &amp; Calcs'!$D$432:$D$437,$E$10,'10. Inputs &amp; Calcs'!I$432:I$437)</f>
        <v>6680255.9557702979</v>
      </c>
      <c r="R21" s="566">
        <f>SUMIF('10. Inputs &amp; Calcs'!$D$432:$D$437,$E$10,'10. Inputs &amp; Calcs'!J$432:J$437)</f>
        <v>6680255.9557702979</v>
      </c>
      <c r="S21" s="566">
        <f>SUMIF('10. Inputs &amp; Calcs'!$D$432:$D$437,$E$10,'10. Inputs &amp; Calcs'!K$432:K$437)</f>
        <v>5550915.4110820312</v>
      </c>
      <c r="T21" s="566">
        <f>SUMIF('10. Inputs &amp; Calcs'!$D$432:$D$437,$E$10,'10. Inputs &amp; Calcs'!L$432:L$437)</f>
        <v>1652567.7121943994</v>
      </c>
      <c r="U21" s="566">
        <f>SUMIF('10. Inputs &amp; Calcs'!$D$432:$D$437,$E$10,'10. Inputs &amp; Calcs'!M$432:M$437)</f>
        <v>1652567.7121943994</v>
      </c>
      <c r="V21" s="566">
        <f>SUMIF('10. Inputs &amp; Calcs'!$D$432:$D$437,$E$10,'10. Inputs &amp; Calcs'!N$432:N$437)</f>
        <v>1652567.7121943994</v>
      </c>
      <c r="W21" s="566">
        <f>SUMIF('10. Inputs &amp; Calcs'!$D$432:$D$437,$E$10,'10. Inputs &amp; Calcs'!O$432:O$437)</f>
        <v>1652567.7121943994</v>
      </c>
      <c r="X21" s="566">
        <f>SUMIF('10. Inputs &amp; Calcs'!$D$432:$D$437,$E$10,'10. Inputs &amp; Calcs'!P$432:P$437)</f>
        <v>1652567.7121943994</v>
      </c>
      <c r="Y21" s="566">
        <f>SUMIF('10. Inputs &amp; Calcs'!$D$432:$D$437,$E$10,'10. Inputs &amp; Calcs'!Q$432:Q$437)</f>
        <v>1652567.7121943994</v>
      </c>
      <c r="Z21" s="566">
        <f>SUMIF('10. Inputs &amp; Calcs'!$D$432:$D$437,$E$10,'10. Inputs &amp; Calcs'!R$432:R$437)</f>
        <v>1652567.7121943994</v>
      </c>
      <c r="AA21" s="566">
        <f>SUMIF('10. Inputs &amp; Calcs'!$D$432:$D$437,$E$10,'10. Inputs &amp; Calcs'!S$432:S$437)</f>
        <v>1652567.7121943994</v>
      </c>
      <c r="AB21" s="566">
        <f>SUMIF('10. Inputs &amp; Calcs'!$D$432:$D$437,$E$10,'10. Inputs &amp; Calcs'!T$432:T$437)</f>
        <v>1652567.7121943994</v>
      </c>
      <c r="AC21" s="566">
        <f>SUMIF('10. Inputs &amp; Calcs'!$D$432:$D$437,$E$10,'10. Inputs &amp; Calcs'!U$432:U$437)</f>
        <v>1652567.7121943994</v>
      </c>
      <c r="AD21" s="566">
        <f>SUMIF('10. Inputs &amp; Calcs'!$D$432:$D$437,$E$10,'10. Inputs &amp; Calcs'!V$432:V$437)</f>
        <v>1652567.7121943994</v>
      </c>
      <c r="AE21" s="566">
        <f>SUMIF('10. Inputs &amp; Calcs'!$D$432:$D$437,$E$10,'10. Inputs &amp; Calcs'!W$432:W$437)</f>
        <v>1652567.7121943994</v>
      </c>
      <c r="AF21" s="566">
        <f>SUMIF('10. Inputs &amp; Calcs'!$D$432:$D$437,$E$10,'10. Inputs &amp; Calcs'!X$432:X$437)</f>
        <v>1652567.7121943994</v>
      </c>
      <c r="AG21" s="566">
        <f>SUMIF('10. Inputs &amp; Calcs'!$D$432:$D$437,$E$10,'10. Inputs &amp; Calcs'!Y$432:Y$437)</f>
        <v>1652567.7121943994</v>
      </c>
      <c r="AH21" s="566">
        <f>SUMIF('10. Inputs &amp; Calcs'!$D$432:$D$437,$E$10,'10. Inputs &amp; Calcs'!Z$432:Z$437)</f>
        <v>1652567.7121943994</v>
      </c>
      <c r="AI21" s="566">
        <f>SUMIF('10. Inputs &amp; Calcs'!$D$432:$D$437,$E$10,'10. Inputs &amp; Calcs'!AA$432:AA$437)</f>
        <v>1652567.7121943994</v>
      </c>
      <c r="AJ21" s="566">
        <f>SUMIF('10. Inputs &amp; Calcs'!$D$432:$D$437,$E$10,'10. Inputs &amp; Calcs'!AB$432:AB$437)</f>
        <v>481708.31094021688</v>
      </c>
      <c r="AK21" s="566">
        <f>SUMIF('10. Inputs &amp; Calcs'!$D$432:$D$437,$E$10,'10. Inputs &amp; Calcs'!AC$432:AC$437)</f>
        <v>0</v>
      </c>
      <c r="AL21" s="533">
        <f>SUM(AL19:AL20)</f>
        <v>45834219.02867353</v>
      </c>
      <c r="AO21" s="803" t="str">
        <f>'10. Inputs &amp; Calcs'!D190</f>
        <v>EEDBS utilised to settle Existing Sales Debtors Balances Owing</v>
      </c>
      <c r="AP21" s="533">
        <f t="shared" ref="AP21:BM21" si="6">N53</f>
        <v>-17923184</v>
      </c>
      <c r="AQ21" s="533">
        <f t="shared" si="6"/>
        <v>-17604545</v>
      </c>
      <c r="AR21" s="533">
        <f t="shared" si="6"/>
        <v>-10717984</v>
      </c>
      <c r="AS21" s="533">
        <f t="shared" ca="1" si="6"/>
        <v>-9628697.8662323505</v>
      </c>
      <c r="AT21" s="533">
        <f t="shared" ca="1" si="6"/>
        <v>-9628697.8662323505</v>
      </c>
      <c r="AU21" s="533">
        <f t="shared" ca="1" si="6"/>
        <v>-8930433.3100576513</v>
      </c>
      <c r="AV21" s="533">
        <f t="shared" ca="1" si="6"/>
        <v>-4248781.8647111077</v>
      </c>
      <c r="AW21" s="533">
        <f t="shared" ca="1" si="6"/>
        <v>-4248781.8647111077</v>
      </c>
      <c r="AX21" s="533">
        <f t="shared" ca="1" si="6"/>
        <v>-4248781.8647111077</v>
      </c>
      <c r="AY21" s="533">
        <f t="shared" ca="1" si="6"/>
        <v>-4248781.8647111077</v>
      </c>
      <c r="AZ21" s="533">
        <f t="shared" ca="1" si="6"/>
        <v>-4248781.8647111077</v>
      </c>
      <c r="BA21" s="533">
        <f t="shared" ca="1" si="6"/>
        <v>-4248781.8647111077</v>
      </c>
      <c r="BB21" s="533">
        <f t="shared" ca="1" si="6"/>
        <v>-4248781.8647111077</v>
      </c>
      <c r="BC21" s="533">
        <f t="shared" ca="1" si="6"/>
        <v>-4248781.8647111077</v>
      </c>
      <c r="BD21" s="533">
        <f t="shared" ca="1" si="6"/>
        <v>-4248781.8647111077</v>
      </c>
      <c r="BE21" s="533">
        <f t="shared" ca="1" si="6"/>
        <v>-4248781.8647111077</v>
      </c>
      <c r="BF21" s="533">
        <f t="shared" ca="1" si="6"/>
        <v>-4248781.8647111077</v>
      </c>
      <c r="BG21" s="533">
        <f t="shared" ca="1" si="6"/>
        <v>-4248781.8647111077</v>
      </c>
      <c r="BH21" s="533">
        <f t="shared" ca="1" si="6"/>
        <v>-4248781.8647111077</v>
      </c>
      <c r="BI21" s="533">
        <f t="shared" ca="1" si="6"/>
        <v>-4248781.8647111077</v>
      </c>
      <c r="BJ21" s="533">
        <f t="shared" ca="1" si="6"/>
        <v>-4248781.8647111077</v>
      </c>
      <c r="BK21" s="533">
        <f t="shared" ca="1" si="6"/>
        <v>-4248781.8647111077</v>
      </c>
      <c r="BL21" s="533">
        <f t="shared" ca="1" si="6"/>
        <v>-737660016.55326807</v>
      </c>
      <c r="BM21" s="533">
        <f t="shared" ca="1" si="6"/>
        <v>0</v>
      </c>
    </row>
    <row r="22" spans="2:65" ht="21.75" customHeight="1" x14ac:dyDescent="0.45">
      <c r="D22" s="18"/>
      <c r="E22" s="18"/>
      <c r="F22" s="852"/>
      <c r="G22" s="852"/>
      <c r="I22" s="533"/>
      <c r="J22" s="898"/>
      <c r="K22" s="533"/>
      <c r="L22" s="813"/>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753">
        <f>AL23</f>
        <v>79105866.497481197</v>
      </c>
      <c r="J23" s="899">
        <v>79105866.497481197</v>
      </c>
      <c r="K23" s="753">
        <f t="shared" si="1"/>
        <v>0</v>
      </c>
      <c r="L23" s="885">
        <f t="shared" si="2"/>
        <v>0</v>
      </c>
      <c r="N23" s="763">
        <f>SUMIF('10. Inputs &amp; Calcs'!$D$538:$D$543,$E$10,'10. Inputs &amp; Calcs'!F$538:F$543)</f>
        <v>12816294.93</v>
      </c>
      <c r="O23" s="567">
        <f>SUMIF('10. Inputs &amp; Calcs'!$D$538:$D$543,$E$10,'10. Inputs &amp; Calcs'!G$538:G$543)</f>
        <v>11674321.920000002</v>
      </c>
      <c r="P23" s="764">
        <f>SUMIF('10. Inputs &amp; Calcs'!$D$538:$D$543,$E$10,'10. Inputs &amp; Calcs'!H$538:H$543)</f>
        <v>11740395.810000002</v>
      </c>
      <c r="Q23" s="748">
        <f>SUMIF('10. Inputs &amp; Calcs'!$D$538:$D$543,$E$10,'10. Inputs &amp; Calcs'!I$538:I$543)</f>
        <v>10071649.56574804</v>
      </c>
      <c r="R23" s="535">
        <f>SUMIF('10. Inputs &amp; Calcs'!$D$538:$D$543,$E$10,'10. Inputs &amp; Calcs'!J$538:J$543)</f>
        <v>8402903.321496075</v>
      </c>
      <c r="S23" s="535">
        <f>SUMIF('10. Inputs &amp; Calcs'!$D$538:$D$543,$E$10,'10. Inputs &amp; Calcs'!K$538:K$543)</f>
        <v>7011808.4122245051</v>
      </c>
      <c r="T23" s="535">
        <f>SUMIF('10. Inputs &amp; Calcs'!$D$538:$D$543,$E$10,'10. Inputs &amp; Calcs'!L$538:L$543)</f>
        <v>6581150.8431246569</v>
      </c>
      <c r="U23" s="535">
        <f>SUMIF('10. Inputs &amp; Calcs'!$D$538:$D$543,$E$10,'10. Inputs &amp; Calcs'!M$538:M$543)</f>
        <v>6150493.2740248069</v>
      </c>
      <c r="V23" s="535">
        <f>SUMIF('10. Inputs &amp; Calcs'!$D$538:$D$543,$E$10,'10. Inputs &amp; Calcs'!N$538:N$543)</f>
        <v>5719835.7049249578</v>
      </c>
      <c r="W23" s="535">
        <f>SUMIF('10. Inputs &amp; Calcs'!$D$538:$D$543,$E$10,'10. Inputs &amp; Calcs'!O$538:O$543)</f>
        <v>5289178.1358251087</v>
      </c>
      <c r="X23" s="535">
        <f>SUMIF('10. Inputs &amp; Calcs'!$D$538:$D$543,$E$10,'10. Inputs &amp; Calcs'!P$538:P$543)</f>
        <v>4858520.5667252587</v>
      </c>
      <c r="Y23" s="535">
        <f>SUMIF('10. Inputs &amp; Calcs'!$D$538:$D$543,$E$10,'10. Inputs &amp; Calcs'!Q$538:Q$543)</f>
        <v>4427862.9976254096</v>
      </c>
      <c r="Z23" s="535">
        <f>SUMIF('10. Inputs &amp; Calcs'!$D$538:$D$543,$E$10,'10. Inputs &amp; Calcs'!R$538:R$543)</f>
        <v>3997205.4285255596</v>
      </c>
      <c r="AA23" s="535">
        <f>SUMIF('10. Inputs &amp; Calcs'!$D$538:$D$543,$E$10,'10. Inputs &amp; Calcs'!S$538:S$543)</f>
        <v>3566547.8594257105</v>
      </c>
      <c r="AB23" s="535">
        <f>SUMIF('10. Inputs &amp; Calcs'!$D$538:$D$543,$E$10,'10. Inputs &amp; Calcs'!T$538:T$543)</f>
        <v>3135890.2903258614</v>
      </c>
      <c r="AC23" s="535">
        <f>SUMIF('10. Inputs &amp; Calcs'!$D$538:$D$543,$E$10,'10. Inputs &amp; Calcs'!U$538:U$543)</f>
        <v>2705232.7212260119</v>
      </c>
      <c r="AD23" s="535">
        <f>SUMIF('10. Inputs &amp; Calcs'!$D$538:$D$543,$E$10,'10. Inputs &amp; Calcs'!V$538:V$543)</f>
        <v>2274575.1521261623</v>
      </c>
      <c r="AE23" s="535">
        <f>SUMIF('10. Inputs &amp; Calcs'!$D$538:$D$543,$E$10,'10. Inputs &amp; Calcs'!W$538:W$543)</f>
        <v>1843917.583026313</v>
      </c>
      <c r="AF23" s="535">
        <f>SUMIF('10. Inputs &amp; Calcs'!$D$538:$D$543,$E$10,'10. Inputs &amp; Calcs'!X$538:X$543)</f>
        <v>1413260.0139264637</v>
      </c>
      <c r="AG23" s="535">
        <f>SUMIF('10. Inputs &amp; Calcs'!$D$538:$D$543,$E$10,'10. Inputs &amp; Calcs'!Y$538:Y$543)</f>
        <v>982602.44482661434</v>
      </c>
      <c r="AH23" s="535">
        <f>SUMIF('10. Inputs &amp; Calcs'!$D$538:$D$543,$E$10,'10. Inputs &amp; Calcs'!Z$538:Z$543)</f>
        <v>551944.87572676491</v>
      </c>
      <c r="AI23" s="535">
        <f>SUMIF('10. Inputs &amp; Calcs'!$D$538:$D$543,$E$10,'10. Inputs &amp; Calcs'!AA$538:AA$543)</f>
        <v>121287.30662691555</v>
      </c>
      <c r="AJ23" s="535">
        <f>SUMIF('10. Inputs &amp; Calcs'!$D$538:$D$543,$E$10,'10. Inputs &amp; Calcs'!AB$538:AB$543)</f>
        <v>0</v>
      </c>
      <c r="AK23" s="749">
        <f>SUMIF('10. Inputs &amp; Calcs'!$D$538:$D$543,$E$10,'10. Inputs &amp; Calcs'!AC$538:AC$543)</f>
        <v>0</v>
      </c>
      <c r="AL23" s="753">
        <f>SUM(Q23:AK23)</f>
        <v>79105866.497481197</v>
      </c>
    </row>
    <row r="24" spans="2:65" x14ac:dyDescent="0.45">
      <c r="B24" t="s">
        <v>59</v>
      </c>
      <c r="D24" s="18" t="s">
        <v>1306</v>
      </c>
      <c r="F24" s="852"/>
      <c r="G24" s="852"/>
      <c r="I24" s="754">
        <f>AL24</f>
        <v>-46430679.750859335</v>
      </c>
      <c r="J24" s="900">
        <v>-46430679.750859335</v>
      </c>
      <c r="K24" s="754">
        <f t="shared" si="1"/>
        <v>0</v>
      </c>
      <c r="L24" s="886">
        <f t="shared" si="2"/>
        <v>0</v>
      </c>
      <c r="N24" s="765">
        <f t="shared" ref="N24:AK24" si="7">N25-N23</f>
        <v>-7295676.4399999995</v>
      </c>
      <c r="O24" s="766">
        <f t="shared" si="7"/>
        <v>-6799484.7800000012</v>
      </c>
      <c r="P24" s="767">
        <f t="shared" si="7"/>
        <v>-6105292.7800000031</v>
      </c>
      <c r="Q24" s="750">
        <f t="shared" si="7"/>
        <v>-5446338.4746198524</v>
      </c>
      <c r="R24" s="751">
        <f t="shared" si="7"/>
        <v>-4787384.1692396998</v>
      </c>
      <c r="S24" s="751">
        <f t="shared" si="7"/>
        <v>-4193549.9840164129</v>
      </c>
      <c r="T24" s="751">
        <f t="shared" si="7"/>
        <v>-3935510.3323893608</v>
      </c>
      <c r="U24" s="751">
        <f t="shared" si="7"/>
        <v>-3677470.6807623068</v>
      </c>
      <c r="V24" s="751">
        <f t="shared" si="7"/>
        <v>-3419431.0291352542</v>
      </c>
      <c r="W24" s="751">
        <f t="shared" si="7"/>
        <v>-3161391.3775082012</v>
      </c>
      <c r="X24" s="751">
        <f t="shared" si="7"/>
        <v>-2903351.7258811472</v>
      </c>
      <c r="Y24" s="751">
        <f t="shared" si="7"/>
        <v>-2645312.0742540942</v>
      </c>
      <c r="Z24" s="751">
        <f t="shared" si="7"/>
        <v>-2387272.4226270402</v>
      </c>
      <c r="AA24" s="751">
        <f t="shared" si="7"/>
        <v>-2129232.7709999876</v>
      </c>
      <c r="AB24" s="751">
        <f t="shared" si="7"/>
        <v>-1871193.1193729343</v>
      </c>
      <c r="AC24" s="751">
        <f t="shared" si="7"/>
        <v>-1613153.4677458811</v>
      </c>
      <c r="AD24" s="751">
        <f t="shared" si="7"/>
        <v>-1355113.8161188276</v>
      </c>
      <c r="AE24" s="751">
        <f t="shared" si="7"/>
        <v>-1097074.1644917743</v>
      </c>
      <c r="AF24" s="751">
        <f t="shared" si="7"/>
        <v>-839034.51286472112</v>
      </c>
      <c r="AG24" s="751">
        <f t="shared" si="7"/>
        <v>-580994.86123766797</v>
      </c>
      <c r="AH24" s="751">
        <f t="shared" si="7"/>
        <v>-322955.20961061463</v>
      </c>
      <c r="AI24" s="751">
        <f t="shared" si="7"/>
        <v>-64915.557983561375</v>
      </c>
      <c r="AJ24" s="751">
        <f t="shared" si="7"/>
        <v>0</v>
      </c>
      <c r="AK24" s="752">
        <f t="shared" si="7"/>
        <v>0</v>
      </c>
      <c r="AL24" s="754">
        <f>SUM(Q24:AK24)</f>
        <v>-46430679.750859335</v>
      </c>
    </row>
    <row r="25" spans="2:65" x14ac:dyDescent="0.45">
      <c r="D25" s="18" t="str">
        <f>'10. Inputs &amp; Calcs'!D573</f>
        <v>Total Rental Collected p.a.</v>
      </c>
      <c r="F25" s="852">
        <f>P25/P$28</f>
        <v>0.37754551295780675</v>
      </c>
      <c r="G25" s="852">
        <f ca="1">AL25/AL$28</f>
        <v>0.41619454922563914</v>
      </c>
      <c r="I25" s="533">
        <f>AL25</f>
        <v>32675186.746621851</v>
      </c>
      <c r="J25" s="898">
        <v>32675186.746621851</v>
      </c>
      <c r="K25" s="533">
        <f t="shared" si="1"/>
        <v>0</v>
      </c>
      <c r="L25" s="813">
        <f t="shared" si="2"/>
        <v>0</v>
      </c>
      <c r="N25" s="566">
        <f>SUMIF('10. Inputs &amp; Calcs'!$D$574:$D$579,$E$10,'10. Inputs &amp; Calcs'!F$574:F$579)</f>
        <v>5520618.4900000002</v>
      </c>
      <c r="O25" s="566">
        <f>SUMIF('10. Inputs &amp; Calcs'!$D$574:$D$579,$E$10,'10. Inputs &amp; Calcs'!G$574:G$579)</f>
        <v>4874837.1400000006</v>
      </c>
      <c r="P25" s="566">
        <f>SUMIF('10. Inputs &amp; Calcs'!$D$574:$D$579,$E$10,'10. Inputs &amp; Calcs'!H$574:H$579)</f>
        <v>5635103.0299999993</v>
      </c>
      <c r="Q25" s="535">
        <f>SUMIF('10. Inputs &amp; Calcs'!$D$574:$D$579,$E$10,'10. Inputs &amp; Calcs'!I$574:I$579)</f>
        <v>4625311.0911281873</v>
      </c>
      <c r="R25" s="535">
        <f>SUMIF('10. Inputs &amp; Calcs'!$D$574:$D$579,$E$10,'10. Inputs &amp; Calcs'!J$574:J$579)</f>
        <v>3615519.1522563747</v>
      </c>
      <c r="S25" s="535">
        <f>SUMIF('10. Inputs &amp; Calcs'!$D$574:$D$579,$E$10,'10. Inputs &amp; Calcs'!K$574:K$579)</f>
        <v>2818258.4282080922</v>
      </c>
      <c r="T25" s="535">
        <f>SUMIF('10. Inputs &amp; Calcs'!$D$574:$D$579,$E$10,'10. Inputs &amp; Calcs'!L$574:L$579)</f>
        <v>2645640.5107352962</v>
      </c>
      <c r="U25" s="535">
        <f>SUMIF('10. Inputs &amp; Calcs'!$D$574:$D$579,$E$10,'10. Inputs &amp; Calcs'!M$574:M$579)</f>
        <v>2473022.5932625001</v>
      </c>
      <c r="V25" s="535">
        <f>SUMIF('10. Inputs &amp; Calcs'!$D$574:$D$579,$E$10,'10. Inputs &amp; Calcs'!N$574:N$579)</f>
        <v>2300404.6757897036</v>
      </c>
      <c r="W25" s="535">
        <f>SUMIF('10. Inputs &amp; Calcs'!$D$574:$D$579,$E$10,'10. Inputs &amp; Calcs'!O$574:O$579)</f>
        <v>2127786.7583169076</v>
      </c>
      <c r="X25" s="535">
        <f>SUMIF('10. Inputs &amp; Calcs'!$D$574:$D$579,$E$10,'10. Inputs &amp; Calcs'!P$574:P$579)</f>
        <v>1955168.8408441113</v>
      </c>
      <c r="Y25" s="535">
        <f>SUMIF('10. Inputs &amp; Calcs'!$D$574:$D$579,$E$10,'10. Inputs &amp; Calcs'!Q$574:Q$579)</f>
        <v>1782550.9233713155</v>
      </c>
      <c r="Z25" s="535">
        <f>SUMIF('10. Inputs &amp; Calcs'!$D$574:$D$579,$E$10,'10. Inputs &amp; Calcs'!R$574:R$579)</f>
        <v>1609933.0058985192</v>
      </c>
      <c r="AA25" s="535">
        <f>SUMIF('10. Inputs &amp; Calcs'!$D$574:$D$579,$E$10,'10. Inputs &amp; Calcs'!S$574:S$579)</f>
        <v>1437315.0884257231</v>
      </c>
      <c r="AB25" s="535">
        <f>SUMIF('10. Inputs &amp; Calcs'!$D$574:$D$579,$E$10,'10. Inputs &amp; Calcs'!T$574:T$579)</f>
        <v>1264697.1709529271</v>
      </c>
      <c r="AC25" s="535">
        <f>SUMIF('10. Inputs &amp; Calcs'!$D$574:$D$579,$E$10,'10. Inputs &amp; Calcs'!U$574:U$579)</f>
        <v>1092079.2534801308</v>
      </c>
      <c r="AD25" s="535">
        <f>SUMIF('10. Inputs &amp; Calcs'!$D$574:$D$579,$E$10,'10. Inputs &amp; Calcs'!V$574:V$579)</f>
        <v>919461.33600733476</v>
      </c>
      <c r="AE25" s="535">
        <f>SUMIF('10. Inputs &amp; Calcs'!$D$574:$D$579,$E$10,'10. Inputs &amp; Calcs'!W$574:W$579)</f>
        <v>746843.41853453871</v>
      </c>
      <c r="AF25" s="535">
        <f>SUMIF('10. Inputs &amp; Calcs'!$D$574:$D$579,$E$10,'10. Inputs &amp; Calcs'!X$574:X$579)</f>
        <v>574225.50106174254</v>
      </c>
      <c r="AG25" s="535">
        <f>SUMIF('10. Inputs &amp; Calcs'!$D$574:$D$579,$E$10,'10. Inputs &amp; Calcs'!Y$574:Y$579)</f>
        <v>401607.58358894638</v>
      </c>
      <c r="AH25" s="535">
        <f>SUMIF('10. Inputs &amp; Calcs'!$D$574:$D$579,$E$10,'10. Inputs &amp; Calcs'!Z$574:Z$579)</f>
        <v>228989.66611615027</v>
      </c>
      <c r="AI25" s="535">
        <f>SUMIF('10. Inputs &amp; Calcs'!$D$574:$D$579,$E$10,'10. Inputs &amp; Calcs'!AA$574:AA$579)</f>
        <v>56371.748643354178</v>
      </c>
      <c r="AJ25" s="535">
        <f>SUMIF('10. Inputs &amp; Calcs'!$D$574:$D$579,$E$10,'10. Inputs &amp; Calcs'!AB$574:AB$579)</f>
        <v>0</v>
      </c>
      <c r="AK25" s="535">
        <f>SUMIF('10. Inputs &amp; Calcs'!$D$574:$D$579,$E$10,'10. Inputs &amp; Calcs'!AC$574:AC$579)</f>
        <v>0</v>
      </c>
      <c r="AL25" s="533">
        <f>SUM(Q25:AK25)</f>
        <v>32675186.746621851</v>
      </c>
    </row>
    <row r="26" spans="2:65" ht="6"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533">
        <f>AL27</f>
        <v>0</v>
      </c>
      <c r="J27" s="898">
        <v>0</v>
      </c>
      <c r="K27" s="533">
        <f t="shared" si="1"/>
        <v>0</v>
      </c>
      <c r="L27" s="813">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 ca="1">AL28/AL$28</f>
        <v>1</v>
      </c>
      <c r="I28" s="535">
        <f ca="1">AL28</f>
        <v>78509405.775295377</v>
      </c>
      <c r="J28" s="901">
        <v>78509405.775295377</v>
      </c>
      <c r="K28" s="535">
        <f t="shared" ca="1" si="1"/>
        <v>0</v>
      </c>
      <c r="L28" s="884">
        <f t="shared" ca="1" si="2"/>
        <v>0</v>
      </c>
      <c r="N28" s="992">
        <f t="shared" ref="N28:AL28" si="8">N25+N67*0+N21+N27</f>
        <v>13847741.82</v>
      </c>
      <c r="O28" s="992">
        <f t="shared" si="8"/>
        <v>16595915.43</v>
      </c>
      <c r="P28" s="992">
        <f t="shared" si="8"/>
        <v>14925625.75</v>
      </c>
      <c r="Q28" s="992">
        <f t="shared" ca="1" si="8"/>
        <v>11305567.046898484</v>
      </c>
      <c r="R28" s="992">
        <f t="shared" ca="1" si="8"/>
        <v>10295775.108026672</v>
      </c>
      <c r="S28" s="992">
        <f t="shared" ca="1" si="8"/>
        <v>8369173.8392901234</v>
      </c>
      <c r="T28" s="992">
        <f t="shared" ca="1" si="8"/>
        <v>4298208.2229296956</v>
      </c>
      <c r="U28" s="992">
        <f t="shared" ca="1" si="8"/>
        <v>4125590.3054568996</v>
      </c>
      <c r="V28" s="992">
        <f t="shared" ca="1" si="8"/>
        <v>3952972.3879841031</v>
      </c>
      <c r="W28" s="992">
        <f t="shared" ca="1" si="8"/>
        <v>3780354.470511307</v>
      </c>
      <c r="X28" s="992">
        <f t="shared" ca="1" si="8"/>
        <v>3607736.5530385105</v>
      </c>
      <c r="Y28" s="992">
        <f t="shared" ca="1" si="8"/>
        <v>3435118.6355657149</v>
      </c>
      <c r="Z28" s="992">
        <f t="shared" ca="1" si="8"/>
        <v>3262500.7180929184</v>
      </c>
      <c r="AA28" s="992">
        <f t="shared" ca="1" si="8"/>
        <v>3089882.8006201228</v>
      </c>
      <c r="AB28" s="992">
        <f t="shared" ca="1" si="8"/>
        <v>2917264.8831473263</v>
      </c>
      <c r="AC28" s="992">
        <f t="shared" ca="1" si="8"/>
        <v>2744646.9656745302</v>
      </c>
      <c r="AD28" s="992">
        <f t="shared" ca="1" si="8"/>
        <v>2572029.0482017342</v>
      </c>
      <c r="AE28" s="992">
        <f t="shared" ca="1" si="8"/>
        <v>2399411.1307289382</v>
      </c>
      <c r="AF28" s="992">
        <f t="shared" ca="1" si="8"/>
        <v>2226793.2132561421</v>
      </c>
      <c r="AG28" s="992">
        <f t="shared" ca="1" si="8"/>
        <v>2054175.2957833458</v>
      </c>
      <c r="AH28" s="992">
        <f t="shared" ca="1" si="8"/>
        <v>1881557.3783105498</v>
      </c>
      <c r="AI28" s="992">
        <f t="shared" ca="1" si="8"/>
        <v>1708939.4608377537</v>
      </c>
      <c r="AJ28" s="992">
        <f t="shared" ca="1" si="8"/>
        <v>481708.31094021688</v>
      </c>
      <c r="AK28" s="992">
        <f t="shared" ca="1" si="8"/>
        <v>0</v>
      </c>
      <c r="AL28" s="992">
        <f t="shared" ca="1" si="8"/>
        <v>78509405.775295377</v>
      </c>
    </row>
    <row r="29" spans="2:65" x14ac:dyDescent="0.45">
      <c r="J29" s="902"/>
      <c r="N29" s="533"/>
      <c r="O29" s="533"/>
      <c r="P29" s="533"/>
      <c r="AL29" s="533"/>
    </row>
    <row r="30" spans="2:65" x14ac:dyDescent="0.45">
      <c r="D30" s="451" t="s">
        <v>934</v>
      </c>
      <c r="E30" s="451"/>
      <c r="J30" s="902"/>
      <c r="M30" s="451"/>
      <c r="N30" s="533"/>
      <c r="O30" s="533"/>
      <c r="P30" s="533"/>
    </row>
    <row r="31" spans="2:65" x14ac:dyDescent="0.45">
      <c r="B31" t="s">
        <v>59</v>
      </c>
      <c r="D31" t="str">
        <f>'11. Table - Expenditure Review'!E177</f>
        <v>Rates &amp; Taxes</v>
      </c>
      <c r="F31" s="885">
        <f t="shared" ref="F31:F47" si="9">P31/P$47</f>
        <v>0.15514848435076056</v>
      </c>
      <c r="G31" s="885">
        <f t="shared" ref="G31:G47" si="10">AL31/AL$47</f>
        <v>0.13434721873330574</v>
      </c>
      <c r="I31" s="753">
        <f t="shared" ref="I31:I48" si="11">AL31</f>
        <v>268801320.53464037</v>
      </c>
      <c r="J31" s="899">
        <v>268801320.53464037</v>
      </c>
      <c r="K31" s="753">
        <f t="shared" ref="K31:K48" si="12">I31-J31</f>
        <v>0</v>
      </c>
      <c r="L31" s="885">
        <f t="shared" ref="L31:L48" si="13">IF(J31&lt;&gt;0,K31/J31,0)</f>
        <v>0</v>
      </c>
      <c r="N31" s="566">
        <f>SUMIF('10. Inputs &amp; Calcs'!$D$650:$D$655,$E$10,'10. Inputs &amp; Calcs'!F$650:F$655)</f>
        <v>22201605.559999999</v>
      </c>
      <c r="O31" s="566">
        <f>SUMIF('10. Inputs &amp; Calcs'!$D$650:$D$655,$E$10,'10. Inputs &amp; Calcs'!G$650:G$655)</f>
        <v>31875055.409999996</v>
      </c>
      <c r="P31" s="566">
        <f>SUMIF('10. Inputs &amp; Calcs'!$D$650:$D$655,$E$10,'10. Inputs &amp; Calcs'!H$650:H$655)</f>
        <v>22219560.57</v>
      </c>
      <c r="Q31" s="533">
        <f>SUMIF('10. Inputs &amp; Calcs'!$D$650:$D$655,$E$10,'10. Inputs &amp; Calcs'!I$650:I$655)</f>
        <v>21546575.562386103</v>
      </c>
      <c r="R31" s="533">
        <f>SUMIF('10. Inputs &amp; Calcs'!$D$650:$D$655,$E$10,'10. Inputs &amp; Calcs'!J$650:J$655)</f>
        <v>20732348.03321043</v>
      </c>
      <c r="S31" s="533">
        <f>SUMIF('10. Inputs &amp; Calcs'!$D$650:$D$655,$E$10,'10. Inputs &amp; Calcs'!K$650:K$655)</f>
        <v>19775038.803618848</v>
      </c>
      <c r="T31" s="533">
        <f>SUMIF('10. Inputs &amp; Calcs'!$D$650:$D$655,$E$10,'10. Inputs &amp; Calcs'!L$650:L$655)</f>
        <v>19566705.932478413</v>
      </c>
      <c r="U31" s="533">
        <f>SUMIF('10. Inputs &amp; Calcs'!$D$650:$D$655,$E$10,'10. Inputs &amp; Calcs'!M$650:M$655)</f>
        <v>19275636.953131586</v>
      </c>
      <c r="V31" s="533">
        <f>SUMIF('10. Inputs &amp; Calcs'!$D$650:$D$655,$E$10,'10. Inputs &amp; Calcs'!N$650:N$655)</f>
        <v>18893361.100610856</v>
      </c>
      <c r="W31" s="533">
        <f>SUMIF('10. Inputs &amp; Calcs'!$D$650:$D$655,$E$10,'10. Inputs &amp; Calcs'!O$650:O$655)</f>
        <v>18410726.102529619</v>
      </c>
      <c r="X31" s="533">
        <f>SUMIF('10. Inputs &amp; Calcs'!$D$650:$D$655,$E$10,'10. Inputs &amp; Calcs'!P$650:P$655)</f>
        <v>17817848.837330107</v>
      </c>
      <c r="Y31" s="533">
        <f>SUMIF('10. Inputs &amp; Calcs'!$D$650:$D$655,$E$10,'10. Inputs &amp; Calcs'!Q$650:Q$655)</f>
        <v>17104062.626498491</v>
      </c>
      <c r="Z31" s="533">
        <f>SUMIF('10. Inputs &amp; Calcs'!$D$650:$D$655,$E$10,'10. Inputs &amp; Calcs'!R$650:R$655)</f>
        <v>16257860.939742474</v>
      </c>
      <c r="AA31" s="533">
        <f>SUMIF('10. Inputs &amp; Calcs'!$D$650:$D$655,$E$10,'10. Inputs &amp; Calcs'!S$650:S$655)</f>
        <v>15266837.27799814</v>
      </c>
      <c r="AB31" s="533">
        <f>SUMIF('10. Inputs &amp; Calcs'!$D$650:$D$655,$E$10,'10. Inputs &amp; Calcs'!T$650:T$655)</f>
        <v>14117620.984119207</v>
      </c>
      <c r="AC31" s="533">
        <f>SUMIF('10. Inputs &amp; Calcs'!$D$650:$D$655,$E$10,'10. Inputs &amp; Calcs'!U$650:U$655)</f>
        <v>12795808.715147646</v>
      </c>
      <c r="AD31" s="533">
        <f>SUMIF('10. Inputs &amp; Calcs'!$D$650:$D$655,$E$10,'10. Inputs &amp; Calcs'!V$650:V$655)</f>
        <v>11285891.293112252</v>
      </c>
      <c r="AE31" s="533">
        <f>SUMIF('10. Inputs &amp; Calcs'!$D$650:$D$655,$E$10,'10. Inputs &amp; Calcs'!W$650:W$655)</f>
        <v>9571175.6332896445</v>
      </c>
      <c r="AF31" s="533">
        <f>SUMIF('10. Inputs &amp; Calcs'!$D$650:$D$655,$E$10,'10. Inputs &amp; Calcs'!X$650:X$655)</f>
        <v>7633701.4297248879</v>
      </c>
      <c r="AG31" s="533">
        <f>SUMIF('10. Inputs &amp; Calcs'!$D$650:$D$655,$E$10,'10. Inputs &amp; Calcs'!Y$650:Y$655)</f>
        <v>5454152.2574773058</v>
      </c>
      <c r="AH31" s="533">
        <f>SUMIF('10. Inputs &amp; Calcs'!$D$650:$D$655,$E$10,'10. Inputs &amp; Calcs'!Z$650:Z$655)</f>
        <v>3011760.7294575721</v>
      </c>
      <c r="AI31" s="533">
        <f>SUMIF('10. Inputs &amp; Calcs'!$D$650:$D$655,$E$10,'10. Inputs &amp; Calcs'!AA$650:AA$655)</f>
        <v>284207.32277679926</v>
      </c>
      <c r="AJ31" s="533">
        <f>SUMIF('10. Inputs &amp; Calcs'!$D$650:$D$655,$E$10,'10. Inputs &amp; Calcs'!AB$650:AB$655)</f>
        <v>0</v>
      </c>
      <c r="AK31" s="533">
        <f>SUMIF('10. Inputs &amp; Calcs'!$D$650:$D$655,$E$10,'10. Inputs &amp; Calcs'!AC$650:AC$655)</f>
        <v>0</v>
      </c>
      <c r="AL31" s="533">
        <f t="shared" ref="AL31:AL46" si="14">SUM(Q31:AK31)</f>
        <v>268801320.53464037</v>
      </c>
    </row>
    <row r="32" spans="2:65" x14ac:dyDescent="0.45">
      <c r="B32" t="s">
        <v>59</v>
      </c>
      <c r="D32" t="str">
        <f>'11. Table - Expenditure Review'!E178</f>
        <v>Municipal Charges</v>
      </c>
      <c r="F32" s="889">
        <f t="shared" si="9"/>
        <v>5.9170471783084155E-2</v>
      </c>
      <c r="G32" s="889">
        <f t="shared" si="10"/>
        <v>4.7513763673432297E-2</v>
      </c>
      <c r="I32" s="888">
        <f t="shared" si="11"/>
        <v>95065328.031410933</v>
      </c>
      <c r="J32" s="903">
        <v>95065328.031410933</v>
      </c>
      <c r="K32" s="888">
        <f t="shared" si="12"/>
        <v>0</v>
      </c>
      <c r="L32" s="889">
        <f t="shared" si="13"/>
        <v>0</v>
      </c>
      <c r="N32" s="566">
        <f>SUMIF('10. Inputs &amp; Calcs'!$D$659:$D$664,$E$10,'10. Inputs &amp; Calcs'!F$659:F$664)</f>
        <v>6109634.9890155438</v>
      </c>
      <c r="O32" s="566">
        <f>SUMIF('10. Inputs &amp; Calcs'!$D$659:$D$664,$E$10,'10. Inputs &amp; Calcs'!G$659:G$664)</f>
        <v>10590648.855097087</v>
      </c>
      <c r="P32" s="566">
        <f>SUMIF('10. Inputs &amp; Calcs'!$D$659:$D$664,$E$10,'10. Inputs &amp; Calcs'!H$659:H$664)</f>
        <v>8474087.8213630393</v>
      </c>
      <c r="Q32" s="533">
        <f>SUMIF('10. Inputs &amp; Calcs'!$D$659:$D$664,$E$10,'10. Inputs &amp; Calcs'!I$659:I$664)</f>
        <v>8023298.8660686668</v>
      </c>
      <c r="R32" s="533">
        <f>SUMIF('10. Inputs &amp; Calcs'!$D$659:$D$664,$E$10,'10. Inputs &amp; Calcs'!J$659:J$664)</f>
        <v>7497289.0100322887</v>
      </c>
      <c r="S32" s="533">
        <f>SUMIF('10. Inputs &amp; Calcs'!$D$659:$D$664,$E$10,'10. Inputs &amp; Calcs'!K$659:K$664)</f>
        <v>6889147.5907620508</v>
      </c>
      <c r="T32" s="533">
        <f>SUMIF('10. Inputs &amp; Calcs'!$D$659:$D$664,$E$10,'10. Inputs &amp; Calcs'!L$659:L$664)</f>
        <v>6819225.1264019199</v>
      </c>
      <c r="U32" s="533">
        <f>SUMIF('10. Inputs &amp; Calcs'!$D$659:$D$664,$E$10,'10. Inputs &amp; Calcs'!M$659:M$664)</f>
        <v>6720771.5195001205</v>
      </c>
      <c r="V32" s="533">
        <f>SUMIF('10. Inputs &amp; Calcs'!$D$659:$D$664,$E$10,'10. Inputs &amp; Calcs'!N$659:N$664)</f>
        <v>6590859.8598317569</v>
      </c>
      <c r="W32" s="533">
        <f>SUMIF('10. Inputs &amp; Calcs'!$D$659:$D$664,$E$10,'10. Inputs &amp; Calcs'!O$659:O$664)</f>
        <v>6426327.5837533865</v>
      </c>
      <c r="X32" s="533">
        <f>SUMIF('10. Inputs &amp; Calcs'!$D$659:$D$664,$E$10,'10. Inputs &amp; Calcs'!P$659:P$664)</f>
        <v>6223759.4062304031</v>
      </c>
      <c r="Y32" s="533">
        <f>SUMIF('10. Inputs &amp; Calcs'!$D$659:$D$664,$E$10,'10. Inputs &amp; Calcs'!Q$659:Q$664)</f>
        <v>5979469.0882390393</v>
      </c>
      <c r="Z32" s="533">
        <f>SUMIF('10. Inputs &amp; Calcs'!$D$659:$D$664,$E$10,'10. Inputs &amp; Calcs'!R$659:R$664)</f>
        <v>5689479.9630647767</v>
      </c>
      <c r="AA32" s="533">
        <f>SUMIF('10. Inputs &amp; Calcs'!$D$659:$D$664,$E$10,'10. Inputs &amp; Calcs'!S$659:S$664)</f>
        <v>5349504.1401294228</v>
      </c>
      <c r="AB32" s="533">
        <f>SUMIF('10. Inputs &amp; Calcs'!$D$659:$D$664,$E$10,'10. Inputs &amp; Calcs'!T$659:T$664)</f>
        <v>4954920.2997829095</v>
      </c>
      <c r="AC32" s="533">
        <f>SUMIF('10. Inputs &amp; Calcs'!$D$659:$D$664,$E$10,'10. Inputs &amp; Calcs'!U$659:U$664)</f>
        <v>4500749.9869743874</v>
      </c>
      <c r="AD32" s="533">
        <f>SUMIF('10. Inputs &amp; Calcs'!$D$659:$D$664,$E$10,'10. Inputs &amp; Calcs'!V$659:V$664)</f>
        <v>3981632.3058500849</v>
      </c>
      <c r="AE32" s="533">
        <f>SUMIF('10. Inputs &amp; Calcs'!$D$659:$D$664,$E$10,'10. Inputs &amp; Calcs'!W$659:W$664)</f>
        <v>3391796.9110915125</v>
      </c>
      <c r="AF32" s="533">
        <f>SUMIF('10. Inputs &amp; Calcs'!$D$659:$D$664,$E$10,'10. Inputs &amp; Calcs'!X$659:X$664)</f>
        <v>2725035.1851842999</v>
      </c>
      <c r="AG32" s="533">
        <f>SUMIF('10. Inputs &amp; Calcs'!$D$659:$D$664,$E$10,'10. Inputs &amp; Calcs'!Y$659:Y$664)</f>
        <v>1974669.4837712429</v>
      </c>
      <c r="AH32" s="533">
        <f>SUMIF('10. Inputs &amp; Calcs'!$D$659:$D$664,$E$10,'10. Inputs &amp; Calcs'!Z$659:Z$664)</f>
        <v>1133520.3237675671</v>
      </c>
      <c r="AI32" s="533">
        <f>SUMIF('10. Inputs &amp; Calcs'!$D$659:$D$664,$E$10,'10. Inputs &amp; Calcs'!AA$659:AA$664)</f>
        <v>193871.38097507902</v>
      </c>
      <c r="AJ32" s="533">
        <f>SUMIF('10. Inputs &amp; Calcs'!$D$659:$D$664,$E$10,'10. Inputs &amp; Calcs'!AB$659:AB$664)</f>
        <v>0</v>
      </c>
      <c r="AK32" s="533">
        <f>SUMIF('10. Inputs &amp; Calcs'!$D$659:$D$664,$E$10,'10. Inputs &amp; Calcs'!AC$659:AC$664)</f>
        <v>0</v>
      </c>
      <c r="AL32" s="533">
        <f t="shared" si="14"/>
        <v>95065328.031410933</v>
      </c>
    </row>
    <row r="33" spans="2:38" x14ac:dyDescent="0.45">
      <c r="B33" t="s">
        <v>59</v>
      </c>
      <c r="D33" t="str">
        <f>'11. Table - Expenditure Review'!E179</f>
        <v>Maintenance</v>
      </c>
      <c r="F33" s="889">
        <f t="shared" si="9"/>
        <v>0.40096302405356743</v>
      </c>
      <c r="G33" s="889">
        <f t="shared" si="10"/>
        <v>0.35204265561108117</v>
      </c>
      <c r="I33" s="888">
        <f t="shared" si="11"/>
        <v>704365386.98006427</v>
      </c>
      <c r="J33" s="903">
        <v>704365386.98006427</v>
      </c>
      <c r="K33" s="888">
        <f t="shared" si="12"/>
        <v>0</v>
      </c>
      <c r="L33" s="889">
        <f t="shared" si="13"/>
        <v>0</v>
      </c>
      <c r="N33" s="566">
        <f>SUMIF('10. Inputs &amp; Calcs'!$D$668:$D$673,$E$10,'10. Inputs &amp; Calcs'!F$668:F$673)</f>
        <v>52103485.890000001</v>
      </c>
      <c r="O33" s="566">
        <f>SUMIF('10. Inputs &amp; Calcs'!$D$668:$D$673,$E$10,'10. Inputs &amp; Calcs'!G$668:G$673)</f>
        <v>44466162.890000001</v>
      </c>
      <c r="P33" s="566">
        <f>SUMIF('10. Inputs &amp; Calcs'!$D$668:$D$673,$E$10,'10. Inputs &amp; Calcs'!H$668:H$673)</f>
        <v>57423842.950000003</v>
      </c>
      <c r="Q33" s="533">
        <f>SUMIF('10. Inputs &amp; Calcs'!$D$668:$D$673,$E$10,'10. Inputs &amp; Calcs'!I$668:I$673)</f>
        <v>55918402.015522011</v>
      </c>
      <c r="R33" s="533">
        <f>SUMIF('10. Inputs &amp; Calcs'!$D$668:$D$673,$E$10,'10. Inputs &amp; Calcs'!J$668:J$673)</f>
        <v>54073655.4533277</v>
      </c>
      <c r="S33" s="533">
        <f>SUMIF('10. Inputs &amp; Calcs'!$D$668:$D$673,$E$10,'10. Inputs &amp; Calcs'!K$668:K$673)</f>
        <v>51874378.762447283</v>
      </c>
      <c r="T33" s="533">
        <f>SUMIF('10. Inputs &amp; Calcs'!$D$668:$D$673,$E$10,'10. Inputs &amp; Calcs'!L$668:L$673)</f>
        <v>51328524.485179819</v>
      </c>
      <c r="U33" s="533">
        <f>SUMIF('10. Inputs &amp; Calcs'!$D$668:$D$673,$E$10,'10. Inputs &amp; Calcs'!M$668:M$673)</f>
        <v>50565706.241656549</v>
      </c>
      <c r="V33" s="533">
        <f>SUMIF('10. Inputs &amp; Calcs'!$D$668:$D$673,$E$10,'10. Inputs &amp; Calcs'!N$668:N$673)</f>
        <v>49563709.204778045</v>
      </c>
      <c r="W33" s="533">
        <f>SUMIF('10. Inputs &amp; Calcs'!$D$668:$D$673,$E$10,'10. Inputs &amp; Calcs'!O$668:O$673)</f>
        <v>48298531.232461877</v>
      </c>
      <c r="X33" s="533">
        <f>SUMIF('10. Inputs &amp; Calcs'!$D$668:$D$673,$E$10,'10. Inputs &amp; Calcs'!P$668:P$673)</f>
        <v>46744253.462846495</v>
      </c>
      <c r="Y33" s="533">
        <f>SUMIF('10. Inputs &amp; Calcs'!$D$668:$D$673,$E$10,'10. Inputs &amp; Calcs'!Q$668:Q$673)</f>
        <v>44872902.08159522</v>
      </c>
      <c r="Z33" s="533">
        <f>SUMIF('10. Inputs &amp; Calcs'!$D$668:$D$673,$E$10,'10. Inputs &amp; Calcs'!R$668:R$673)</f>
        <v>42654300.681681193</v>
      </c>
      <c r="AA33" s="533">
        <f>SUMIF('10. Inputs &amp; Calcs'!$D$668:$D$673,$E$10,'10. Inputs &amp; Calcs'!S$668:S$673)</f>
        <v>40055912.598979801</v>
      </c>
      <c r="AB33" s="533">
        <f>SUMIF('10. Inputs &amp; Calcs'!$D$668:$D$673,$E$10,'10. Inputs &amp; Calcs'!T$668:T$673)</f>
        <v>37042672.567619175</v>
      </c>
      <c r="AC33" s="533">
        <f>SUMIF('10. Inputs &amp; Calcs'!$D$668:$D$673,$E$10,'10. Inputs &amp; Calcs'!U$668:U$673)</f>
        <v>33576806.997196957</v>
      </c>
      <c r="AD33" s="533">
        <f>SUMIF('10. Inputs &amp; Calcs'!$D$668:$D$673,$E$10,'10. Inputs &amp; Calcs'!V$668:V$673)</f>
        <v>29617642.129511256</v>
      </c>
      <c r="AE33" s="533">
        <f>SUMIF('10. Inputs &amp; Calcs'!$D$668:$D$673,$E$10,'10. Inputs &amp; Calcs'!W$668:W$673)</f>
        <v>25121399.285213601</v>
      </c>
      <c r="AF33" s="533">
        <f>SUMIF('10. Inputs &amp; Calcs'!$D$668:$D$673,$E$10,'10. Inputs &amp; Calcs'!X$668:X$673)</f>
        <v>20040976.360601436</v>
      </c>
      <c r="AG33" s="533">
        <f>SUMIF('10. Inputs &amp; Calcs'!$D$668:$D$673,$E$10,'10. Inputs &amp; Calcs'!Y$668:Y$673)</f>
        <v>14325714.681444168</v>
      </c>
      <c r="AH33" s="533">
        <f>SUMIF('10. Inputs &amp; Calcs'!$D$668:$D$673,$E$10,'10. Inputs &amp; Calcs'!Z$668:Z$673)</f>
        <v>7921150.2640887769</v>
      </c>
      <c r="AI33" s="533">
        <f>SUMIF('10. Inputs &amp; Calcs'!$D$668:$D$673,$E$10,'10. Inputs &amp; Calcs'!AA$668:AA$673)</f>
        <v>768748.47391292371</v>
      </c>
      <c r="AJ33" s="533">
        <f>SUMIF('10. Inputs &amp; Calcs'!$D$668:$D$673,$E$10,'10. Inputs &amp; Calcs'!AB$668:AB$673)</f>
        <v>0</v>
      </c>
      <c r="AK33" s="533">
        <f>SUMIF('10. Inputs &amp; Calcs'!$D$668:$D$673,$E$10,'10. Inputs &amp; Calcs'!AC$668:AC$673)</f>
        <v>0</v>
      </c>
      <c r="AL33" s="533">
        <f t="shared" si="14"/>
        <v>704365386.98006427</v>
      </c>
    </row>
    <row r="34" spans="2:38" x14ac:dyDescent="0.45">
      <c r="B34" t="s">
        <v>59</v>
      </c>
      <c r="D34" t="str">
        <f>'11. Table - Expenditure Review'!E180</f>
        <v>Property Payments</v>
      </c>
      <c r="F34" s="889">
        <f t="shared" si="9"/>
        <v>0</v>
      </c>
      <c r="G34" s="889">
        <f t="shared" si="10"/>
        <v>0</v>
      </c>
      <c r="I34" s="888">
        <f t="shared" si="11"/>
        <v>0</v>
      </c>
      <c r="J34" s="903">
        <v>0</v>
      </c>
      <c r="K34" s="888">
        <f t="shared" si="12"/>
        <v>0</v>
      </c>
      <c r="L34" s="889">
        <f t="shared" si="13"/>
        <v>0</v>
      </c>
      <c r="N34" s="566">
        <f>SUMIF('10. Inputs &amp; Calcs'!$D$677:$D$682,$E$10,'10. Inputs &amp; Calcs'!F$677:F$682)</f>
        <v>882482.78</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4"/>
        <v>0</v>
      </c>
    </row>
    <row r="35" spans="2:38" x14ac:dyDescent="0.45">
      <c r="B35" t="s">
        <v>1077</v>
      </c>
      <c r="D35" t="str">
        <f>'11. Table - Expenditure Review'!E181</f>
        <v>Administering Assets</v>
      </c>
      <c r="F35" s="889">
        <f t="shared" si="9"/>
        <v>7.1581284531308893E-3</v>
      </c>
      <c r="G35" s="889">
        <f t="shared" si="10"/>
        <v>3.9265154857760342E-3</v>
      </c>
      <c r="I35" s="888">
        <f t="shared" si="11"/>
        <v>7856154.8026647586</v>
      </c>
      <c r="J35" s="903">
        <v>7856154.8026647586</v>
      </c>
      <c r="K35" s="888">
        <f t="shared" si="12"/>
        <v>0</v>
      </c>
      <c r="L35" s="889">
        <f t="shared" si="13"/>
        <v>0</v>
      </c>
      <c r="N35" s="566">
        <f>SUMIF('10. Inputs &amp; Calcs'!$D$686:$D$691,$E$10,'10. Inputs &amp; Calcs'!F$686:F$691)</f>
        <v>2858990</v>
      </c>
      <c r="O35" s="566">
        <f>SUMIF('10. Inputs &amp; Calcs'!$D$686:$D$691,$E$10,'10. Inputs &amp; Calcs'!G$686:G$691)</f>
        <v>3028121</v>
      </c>
      <c r="P35" s="566">
        <f>SUMIF('10. Inputs &amp; Calcs'!$D$686:$D$691,$E$10,'10. Inputs &amp; Calcs'!H$686:H$691)</f>
        <v>1025150</v>
      </c>
      <c r="Q35" s="533">
        <f>SUMIF('10. Inputs &amp; Calcs'!$D$686:$D$691,$E$10,'10. Inputs &amp; Calcs'!I$686:I$691)</f>
        <v>865226.6</v>
      </c>
      <c r="R35" s="533">
        <f>SUMIF('10. Inputs &amp; Calcs'!$D$686:$D$691,$E$10,'10. Inputs &amp; Calcs'!J$686:J$691)</f>
        <v>684610.54724999995</v>
      </c>
      <c r="S35" s="533">
        <f>SUMIF('10. Inputs &amp; Calcs'!$D$686:$D$691,$E$10,'10. Inputs &amp; Calcs'!K$686:K$691)</f>
        <v>481509.41823249997</v>
      </c>
      <c r="T35" s="533">
        <f>SUMIF('10. Inputs &amp; Calcs'!$D$686:$D$691,$E$10,'10. Inputs &amp; Calcs'!L$686:L$691)</f>
        <v>479770.63422221591</v>
      </c>
      <c r="U35" s="533">
        <f>SUMIF('10. Inputs &amp; Calcs'!$D$686:$D$691,$E$10,'10. Inputs &amp; Calcs'!M$686:M$691)</f>
        <v>476384.01798064727</v>
      </c>
      <c r="V35" s="533">
        <f>SUMIF('10. Inputs &amp; Calcs'!$D$686:$D$691,$E$10,'10. Inputs &amp; Calcs'!N$686:N$691)</f>
        <v>471173.56778398389</v>
      </c>
      <c r="W35" s="533">
        <f>SUMIF('10. Inputs &amp; Calcs'!$D$686:$D$691,$E$10,'10. Inputs &amp; Calcs'!O$686:O$691)</f>
        <v>463948.90641129611</v>
      </c>
      <c r="X35" s="533">
        <f>SUMIF('10. Inputs &amp; Calcs'!$D$686:$D$691,$E$10,'10. Inputs &amp; Calcs'!P$686:P$691)</f>
        <v>454504.23224506614</v>
      </c>
      <c r="Y35" s="533">
        <f>SUMIF('10. Inputs &amp; Calcs'!$D$686:$D$691,$E$10,'10. Inputs &amp; Calcs'!Q$686:Q$691)</f>
        <v>442617.1984786567</v>
      </c>
      <c r="Z35" s="533">
        <f>SUMIF('10. Inputs &amp; Calcs'!$D$686:$D$691,$E$10,'10. Inputs &amp; Calcs'!R$686:R$691)</f>
        <v>428047.7156954009</v>
      </c>
      <c r="AA35" s="533">
        <f>SUMIF('10. Inputs &amp; Calcs'!$D$686:$D$691,$E$10,'10. Inputs &amp; Calcs'!S$686:S$691)</f>
        <v>410536.67278058903</v>
      </c>
      <c r="AB35" s="533">
        <f>SUMIF('10. Inputs &amp; Calcs'!$D$686:$D$691,$E$10,'10. Inputs &amp; Calcs'!T$686:T$691)</f>
        <v>389804.57080516929</v>
      </c>
      <c r="AC35" s="533">
        <f>SUMIF('10. Inputs &amp; Calcs'!$D$686:$D$691,$E$10,'10. Inputs &amp; Calcs'!U$686:U$691)</f>
        <v>365550.06417729205</v>
      </c>
      <c r="AD35" s="533">
        <f>SUMIF('10. Inputs &amp; Calcs'!$D$686:$D$691,$E$10,'10. Inputs &amp; Calcs'!V$686:V$691)</f>
        <v>337448.40299366269</v>
      </c>
      <c r="AE35" s="533">
        <f>SUMIF('10. Inputs &amp; Calcs'!$D$686:$D$691,$E$10,'10. Inputs &amp; Calcs'!W$686:W$691)</f>
        <v>305149.77013569779</v>
      </c>
      <c r="AF35" s="533">
        <f>SUMIF('10. Inputs &amp; Calcs'!$D$686:$D$691,$E$10,'10. Inputs &amp; Calcs'!X$686:X$691)</f>
        <v>268277.50624430098</v>
      </c>
      <c r="AG35" s="533">
        <f>SUMIF('10. Inputs &amp; Calcs'!$D$686:$D$691,$E$10,'10. Inputs &amp; Calcs'!Y$686:Y$691)</f>
        <v>226426.21527019</v>
      </c>
      <c r="AH35" s="533">
        <f>SUMIF('10. Inputs &amp; Calcs'!$D$686:$D$691,$E$10,'10. Inputs &amp; Calcs'!Z$686:Z$691)</f>
        <v>179159.74283253783</v>
      </c>
      <c r="AI35" s="533">
        <f>SUMIF('10. Inputs &amp; Calcs'!$D$686:$D$691,$E$10,'10. Inputs &amp; Calcs'!AA$686:AA$691)</f>
        <v>126009.0191255516</v>
      </c>
      <c r="AJ35" s="533">
        <f>SUMIF('10. Inputs &amp; Calcs'!$D$686:$D$691,$E$10,'10. Inputs &amp; Calcs'!AB$686:AB$691)</f>
        <v>0</v>
      </c>
      <c r="AK35" s="533">
        <f>SUMIF('10. Inputs &amp; Calcs'!$D$686:$D$691,$E$10,'10. Inputs &amp; Calcs'!AC$686:AC$691)</f>
        <v>0</v>
      </c>
      <c r="AL35" s="533">
        <f t="shared" si="14"/>
        <v>7856154.8026647586</v>
      </c>
    </row>
    <row r="36" spans="2:38" x14ac:dyDescent="0.45">
      <c r="B36" t="s">
        <v>1075</v>
      </c>
      <c r="D36" t="str">
        <f>'10. Inputs &amp; Calcs'!D507</f>
        <v>Total Disposal Costs</v>
      </c>
      <c r="F36" s="889">
        <f t="shared" si="9"/>
        <v>0</v>
      </c>
      <c r="G36" s="889">
        <f t="shared" si="10"/>
        <v>2.8814278346835722E-2</v>
      </c>
      <c r="I36" s="888">
        <f t="shared" si="11"/>
        <v>57651480.565872036</v>
      </c>
      <c r="J36" s="903">
        <v>57651480.565872036</v>
      </c>
      <c r="K36" s="888">
        <f t="shared" si="12"/>
        <v>0</v>
      </c>
      <c r="L36" s="889">
        <f t="shared" si="13"/>
        <v>0</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3598000</v>
      </c>
      <c r="R36" s="533">
        <f>SUMIF('10. Inputs &amp; Calcs'!$D$508:$D$513,$E$10,'10. Inputs &amp; Calcs'!J$508:J$513)</f>
        <v>3795890</v>
      </c>
      <c r="S36" s="533">
        <f>SUMIF('10. Inputs &amp; Calcs'!$D$508:$D$513,$E$10,'10. Inputs &amp; Calcs'!K$508:K$513)</f>
        <v>3708599.3</v>
      </c>
      <c r="T36" s="533">
        <f>SUMIF('10. Inputs &amp; Calcs'!$D$508:$D$513,$E$10,'10. Inputs &amp; Calcs'!L$508:L$513)</f>
        <v>1857649.85525</v>
      </c>
      <c r="U36" s="533">
        <f>SUMIF('10. Inputs &amp; Calcs'!$D$508:$D$513,$E$10,'10. Inputs &amp; Calcs'!M$508:M$513)</f>
        <v>1959820.5972887499</v>
      </c>
      <c r="V36" s="533">
        <f>SUMIF('10. Inputs &amp; Calcs'!$D$508:$D$513,$E$10,'10. Inputs &amp; Calcs'!N$508:N$513)</f>
        <v>2067610.7301396311</v>
      </c>
      <c r="W36" s="533">
        <f>SUMIF('10. Inputs &amp; Calcs'!$D$508:$D$513,$E$10,'10. Inputs &amp; Calcs'!O$508:O$513)</f>
        <v>2181329.3202973106</v>
      </c>
      <c r="X36" s="533">
        <f>SUMIF('10. Inputs &amp; Calcs'!$D$508:$D$513,$E$10,'10. Inputs &amp; Calcs'!P$508:P$513)</f>
        <v>2301302.4329136633</v>
      </c>
      <c r="Y36" s="533">
        <f>SUMIF('10. Inputs &amp; Calcs'!$D$508:$D$513,$E$10,'10. Inputs &amp; Calcs'!Q$508:Q$513)</f>
        <v>2427874.0667239139</v>
      </c>
      <c r="Z36" s="533">
        <f>SUMIF('10. Inputs &amp; Calcs'!$D$508:$D$513,$E$10,'10. Inputs &amp; Calcs'!R$508:R$513)</f>
        <v>2561407.1403937289</v>
      </c>
      <c r="AA36" s="533">
        <f>SUMIF('10. Inputs &amp; Calcs'!$D$508:$D$513,$E$10,'10. Inputs &amp; Calcs'!S$508:S$513)</f>
        <v>2702284.5331153837</v>
      </c>
      <c r="AB36" s="533">
        <f>SUMIF('10. Inputs &amp; Calcs'!$D$508:$D$513,$E$10,'10. Inputs &amp; Calcs'!T$508:T$513)</f>
        <v>2850910.1824367298</v>
      </c>
      <c r="AC36" s="533">
        <f>SUMIF('10. Inputs &amp; Calcs'!$D$508:$D$513,$E$10,'10. Inputs &amp; Calcs'!U$508:U$513)</f>
        <v>3007710.2424707501</v>
      </c>
      <c r="AD36" s="533">
        <f>SUMIF('10. Inputs &amp; Calcs'!$D$508:$D$513,$E$10,'10. Inputs &amp; Calcs'!V$508:V$513)</f>
        <v>3173134.305806641</v>
      </c>
      <c r="AE36" s="533">
        <f>SUMIF('10. Inputs &amp; Calcs'!$D$508:$D$513,$E$10,'10. Inputs &amp; Calcs'!W$508:W$513)</f>
        <v>3347656.692626006</v>
      </c>
      <c r="AF36" s="533">
        <f>SUMIF('10. Inputs &amp; Calcs'!$D$508:$D$513,$E$10,'10. Inputs &amp; Calcs'!X$508:X$513)</f>
        <v>3531777.8107204367</v>
      </c>
      <c r="AG36" s="533">
        <f>SUMIF('10. Inputs &amp; Calcs'!$D$508:$D$513,$E$10,'10. Inputs &amp; Calcs'!Y$508:Y$513)</f>
        <v>3726025.5903100595</v>
      </c>
      <c r="AH36" s="533">
        <f>SUMIF('10. Inputs &amp; Calcs'!$D$508:$D$513,$E$10,'10. Inputs &amp; Calcs'!Z$508:Z$513)</f>
        <v>3930956.9977771137</v>
      </c>
      <c r="AI36" s="533">
        <f>SUMIF('10. Inputs &amp; Calcs'!$D$508:$D$513,$E$10,'10. Inputs &amp; Calcs'!AA$508:AA$513)</f>
        <v>4147159.6326548541</v>
      </c>
      <c r="AJ36" s="533">
        <f>SUMIF('10. Inputs &amp; Calcs'!$D$508:$D$513,$E$10,'10. Inputs &amp; Calcs'!AB$508:AB$513)</f>
        <v>774381.134947057</v>
      </c>
      <c r="AK36" s="533">
        <f>SUMIF('10. Inputs &amp; Calcs'!$D$508:$D$513,$E$10,'10. Inputs &amp; Calcs'!AC$508:AC$513)</f>
        <v>0</v>
      </c>
      <c r="AL36" s="533">
        <f t="shared" si="14"/>
        <v>57651480.565872036</v>
      </c>
    </row>
    <row r="37" spans="2:38" x14ac:dyDescent="0.45">
      <c r="B37" t="s">
        <v>59</v>
      </c>
      <c r="C37" t="str">
        <f>'10. Inputs &amp; Calcs'!E15</f>
        <v>Sc1</v>
      </c>
      <c r="D37" t="str">
        <f>'10. Inputs &amp; Calcs'!D703</f>
        <v>Management Costs Paid to Outsourced Rental Property Manager p.a.</v>
      </c>
      <c r="F37" s="889">
        <f t="shared" si="9"/>
        <v>0</v>
      </c>
      <c r="G37" s="889">
        <f t="shared" si="10"/>
        <v>0</v>
      </c>
      <c r="I37" s="888">
        <f t="shared" si="11"/>
        <v>0</v>
      </c>
      <c r="J37" s="903">
        <v>0</v>
      </c>
      <c r="K37" s="888">
        <f t="shared" si="12"/>
        <v>0</v>
      </c>
      <c r="L37" s="889">
        <f t="shared" si="13"/>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4"/>
        <v>0</v>
      </c>
    </row>
    <row r="38" spans="2:38" outlineLevel="1" x14ac:dyDescent="0.45">
      <c r="D38">
        <f>'11. Table - Expenditure Review'!E184</f>
        <v>0</v>
      </c>
      <c r="F38" s="889">
        <f t="shared" si="9"/>
        <v>0</v>
      </c>
      <c r="G38" s="889">
        <f t="shared" si="10"/>
        <v>0</v>
      </c>
      <c r="I38" s="888">
        <f t="shared" si="11"/>
        <v>0</v>
      </c>
      <c r="J38" s="903">
        <v>0</v>
      </c>
      <c r="K38" s="888">
        <f t="shared" si="12"/>
        <v>0</v>
      </c>
      <c r="L38" s="889">
        <f t="shared" si="13"/>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4"/>
        <v>0</v>
      </c>
    </row>
    <row r="39" spans="2:38" outlineLevel="1" x14ac:dyDescent="0.45">
      <c r="D39">
        <f>'11. Table - Expenditure Review'!E185</f>
        <v>0</v>
      </c>
      <c r="F39" s="889">
        <f t="shared" si="9"/>
        <v>0</v>
      </c>
      <c r="G39" s="889">
        <f t="shared" si="10"/>
        <v>0</v>
      </c>
      <c r="I39" s="888">
        <f t="shared" si="11"/>
        <v>0</v>
      </c>
      <c r="J39" s="903">
        <v>0</v>
      </c>
      <c r="K39" s="888">
        <f t="shared" si="12"/>
        <v>0</v>
      </c>
      <c r="L39" s="889">
        <f t="shared" si="13"/>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4"/>
        <v>0</v>
      </c>
    </row>
    <row r="40" spans="2:38" outlineLevel="1" x14ac:dyDescent="0.45">
      <c r="D40">
        <f>'11. Table - Expenditure Review'!E186</f>
        <v>0</v>
      </c>
      <c r="F40" s="889">
        <f t="shared" si="9"/>
        <v>0</v>
      </c>
      <c r="G40" s="889">
        <f t="shared" si="10"/>
        <v>0</v>
      </c>
      <c r="I40" s="888">
        <f t="shared" si="11"/>
        <v>0</v>
      </c>
      <c r="J40" s="903">
        <v>0</v>
      </c>
      <c r="K40" s="888">
        <f t="shared" si="12"/>
        <v>0</v>
      </c>
      <c r="L40" s="889">
        <f t="shared" si="13"/>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4"/>
        <v>0</v>
      </c>
    </row>
    <row r="41" spans="2:38" x14ac:dyDescent="0.45">
      <c r="B41" t="s">
        <v>59</v>
      </c>
      <c r="D41" t="str">
        <f>'11. Table - Expenditure Review'!E187</f>
        <v>Unallocated Expenses</v>
      </c>
      <c r="F41" s="889">
        <f t="shared" si="9"/>
        <v>6.2035700245307954E-2</v>
      </c>
      <c r="G41" s="889">
        <f t="shared" si="10"/>
        <v>3.7485224939267113E-2</v>
      </c>
      <c r="I41" s="888">
        <f t="shared" si="11"/>
        <v>75000272.124837771</v>
      </c>
      <c r="J41" s="903">
        <v>75000272.124837771</v>
      </c>
      <c r="K41" s="888">
        <f t="shared" si="12"/>
        <v>0</v>
      </c>
      <c r="L41" s="889">
        <f t="shared" si="13"/>
        <v>0</v>
      </c>
      <c r="N41" s="566">
        <f>SUMIF('10. Inputs &amp; Calcs'!$D$713:$D$718,$E$10,'10. Inputs &amp; Calcs'!F$713:F$718)</f>
        <v>4419763.7609844562</v>
      </c>
      <c r="O41" s="566">
        <f>SUMIF('10. Inputs &amp; Calcs'!$D$713:$D$718,$E$10,'10. Inputs &amp; Calcs'!G$713:G$718)</f>
        <v>5086874.4349029129</v>
      </c>
      <c r="P41" s="566">
        <f>SUMIF('10. Inputs &amp; Calcs'!$D$713:$D$718,$E$10,'10. Inputs &amp; Calcs'!H$713:H$718)</f>
        <v>8884430.9686369598</v>
      </c>
      <c r="Q41" s="533">
        <f>SUMIF('10. Inputs &amp; Calcs'!$D$713:$D$718,$E$10,'10. Inputs &amp; Calcs'!I$713:I$718)</f>
        <v>7615555.9458629265</v>
      </c>
      <c r="R41" s="533">
        <f>SUMIF('10. Inputs &amp; Calcs'!$D$713:$D$718,$E$10,'10. Inputs &amp; Calcs'!J$713:J$718)</f>
        <v>6180229.2669036239</v>
      </c>
      <c r="S41" s="533">
        <f>SUMIF('10. Inputs &amp; Calcs'!$D$713:$D$718,$E$10,'10. Inputs &amp; Calcs'!K$713:K$718)</f>
        <v>4563979.5965225622</v>
      </c>
      <c r="T41" s="533">
        <f>SUMIF('10. Inputs &amp; Calcs'!$D$713:$D$718,$E$10,'10. Inputs &amp; Calcs'!L$713:L$718)</f>
        <v>4553529.226313509</v>
      </c>
      <c r="U41" s="533">
        <f>SUMIF('10. Inputs &amp; Calcs'!$D$713:$D$718,$E$10,'10. Inputs &amp; Calcs'!M$713:M$718)</f>
        <v>4528123.2771019796</v>
      </c>
      <c r="V41" s="533">
        <f>SUMIF('10. Inputs &amp; Calcs'!$D$713:$D$718,$E$10,'10. Inputs &amp; Calcs'!N$713:N$718)</f>
        <v>4486148.2475675829</v>
      </c>
      <c r="W41" s="533">
        <f>SUMIF('10. Inputs &amp; Calcs'!$D$713:$D$718,$E$10,'10. Inputs &amp; Calcs'!O$713:O$718)</f>
        <v>4425858.3918711701</v>
      </c>
      <c r="X41" s="533">
        <f>SUMIF('10. Inputs &amp; Calcs'!$D$713:$D$718,$E$10,'10. Inputs &amp; Calcs'!P$713:P$718)</f>
        <v>4345366.0535992589</v>
      </c>
      <c r="Y41" s="533">
        <f>SUMIF('10. Inputs &amp; Calcs'!$D$713:$D$718,$E$10,'10. Inputs &amp; Calcs'!Q$713:Q$718)</f>
        <v>4242631.3364820285</v>
      </c>
      <c r="Z41" s="533">
        <f>SUMIF('10. Inputs &amp; Calcs'!$D$713:$D$718,$E$10,'10. Inputs &amp; Calcs'!R$713:R$718)</f>
        <v>4115451.0681697652</v>
      </c>
      <c r="AA41" s="533">
        <f>SUMIF('10. Inputs &amp; Calcs'!$D$713:$D$718,$E$10,'10. Inputs &amp; Calcs'!S$713:S$718)</f>
        <v>3961447.0105502936</v>
      </c>
      <c r="AB41" s="533">
        <f>SUMIF('10. Inputs &amp; Calcs'!$D$713:$D$718,$E$10,'10. Inputs &amp; Calcs'!T$713:T$718)</f>
        <v>3778053.2671114667</v>
      </c>
      <c r="AC41" s="533">
        <f>SUMIF('10. Inputs &amp; Calcs'!$D$713:$D$718,$E$10,'10. Inputs &amp; Calcs'!U$713:U$718)</f>
        <v>3562502.8346874542</v>
      </c>
      <c r="AD41" s="533">
        <f>SUMIF('10. Inputs &amp; Calcs'!$D$713:$D$718,$E$10,'10. Inputs &amp; Calcs'!V$713:V$718)</f>
        <v>3311813.2435637885</v>
      </c>
      <c r="AE41" s="533">
        <f>SUMIF('10. Inputs &amp; Calcs'!$D$713:$D$718,$E$10,'10. Inputs &amp; Calcs'!W$713:W$718)</f>
        <v>3022771.2263415894</v>
      </c>
      <c r="AF41" s="533">
        <f>SUMIF('10. Inputs &amp; Calcs'!$D$713:$D$718,$E$10,'10. Inputs &amp; Calcs'!X$713:X$718)</f>
        <v>2691916.3521631695</v>
      </c>
      <c r="AG41" s="533">
        <f>SUMIF('10. Inputs &amp; Calcs'!$D$713:$D$718,$E$10,'10. Inputs &amp; Calcs'!Y$713:Y$718)</f>
        <v>2315523.5588654391</v>
      </c>
      <c r="AH41" s="533">
        <f>SUMIF('10. Inputs &amp; Calcs'!$D$713:$D$718,$E$10,'10. Inputs &amp; Calcs'!Z$713:Z$718)</f>
        <v>1889584.5113396649</v>
      </c>
      <c r="AI41" s="533">
        <f>SUMIF('10. Inputs &amp; Calcs'!$D$713:$D$718,$E$10,'10. Inputs &amp; Calcs'!AA$713:AA$718)</f>
        <v>1409787.709820488</v>
      </c>
      <c r="AJ41" s="533">
        <f>SUMIF('10. Inputs &amp; Calcs'!$D$713:$D$718,$E$10,'10. Inputs &amp; Calcs'!AB$713:AB$718)</f>
        <v>0</v>
      </c>
      <c r="AK41" s="533">
        <f>SUMIF('10. Inputs &amp; Calcs'!$D$713:$D$718,$E$10,'10. Inputs &amp; Calcs'!AC$713:AC$718)</f>
        <v>0</v>
      </c>
      <c r="AL41" s="533">
        <f t="shared" si="14"/>
        <v>75000272.124837771</v>
      </c>
    </row>
    <row r="42" spans="2:38" x14ac:dyDescent="0.45">
      <c r="D42" t="str">
        <f>'11. Table - Expenditure Review'!E188</f>
        <v>Overheads</v>
      </c>
      <c r="F42" s="889">
        <f t="shared" si="9"/>
        <v>0</v>
      </c>
      <c r="G42" s="889">
        <f t="shared" si="10"/>
        <v>0</v>
      </c>
      <c r="I42" s="888">
        <f t="shared" si="11"/>
        <v>0</v>
      </c>
      <c r="J42" s="903">
        <v>0</v>
      </c>
      <c r="K42" s="888">
        <f t="shared" si="12"/>
        <v>0</v>
      </c>
      <c r="L42" s="889">
        <f t="shared" si="13"/>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4"/>
        <v>0</v>
      </c>
    </row>
    <row r="43" spans="2:38" x14ac:dyDescent="0.45">
      <c r="B43" t="s">
        <v>1077</v>
      </c>
      <c r="D43" t="str">
        <f>'11. Table - Expenditure Review'!E189</f>
        <v>Staff</v>
      </c>
      <c r="F43" s="889">
        <f t="shared" si="9"/>
        <v>0.31552419111414892</v>
      </c>
      <c r="G43" s="889">
        <f t="shared" si="10"/>
        <v>0.39587034321030196</v>
      </c>
      <c r="I43" s="888">
        <f t="shared" si="11"/>
        <v>792055630.31912971</v>
      </c>
      <c r="J43" s="903">
        <v>792055630.31912971</v>
      </c>
      <c r="K43" s="888">
        <f t="shared" si="12"/>
        <v>0</v>
      </c>
      <c r="L43" s="889">
        <f t="shared" si="13"/>
        <v>0</v>
      </c>
      <c r="N43" s="566">
        <f>SUMIF('10. Inputs &amp; Calcs'!$D$733:$D$738,$E$10,'10. Inputs &amp; Calcs'!F$733:F$738)</f>
        <v>37910921.333333336</v>
      </c>
      <c r="O43" s="566">
        <f>SUMIF('10. Inputs &amp; Calcs'!$D$733:$D$738,$E$10,'10. Inputs &amp; Calcs'!G$733:G$738)</f>
        <v>41569180.733333334</v>
      </c>
      <c r="P43" s="566">
        <f>SUMIF('10. Inputs &amp; Calcs'!$D$733:$D$738,$E$10,'10. Inputs &amp; Calcs'!H$733:H$738)</f>
        <v>45187736.799999997</v>
      </c>
      <c r="Q43" s="533">
        <f>SUMIF('10. Inputs &amp; Calcs'!$D$733:$D$738,$E$10,'10. Inputs &amp; Calcs'!I$733:I$738)</f>
        <v>45686684.72716666</v>
      </c>
      <c r="R43" s="533">
        <f>SUMIF('10. Inputs &amp; Calcs'!$D$733:$D$738,$E$10,'10. Inputs &amp; Calcs'!J$733:J$738)</f>
        <v>46103824.022501662</v>
      </c>
      <c r="S43" s="533">
        <f>SUMIF('10. Inputs &amp; Calcs'!$D$733:$D$738,$E$10,'10. Inputs &amp; Calcs'!K$733:K$738)</f>
        <v>46428646.419023827</v>
      </c>
      <c r="T43" s="533">
        <f>SUMIF('10. Inputs &amp; Calcs'!$D$733:$D$738,$E$10,'10. Inputs &amp; Calcs'!L$733:L$738)</f>
        <v>46649735.211495362</v>
      </c>
      <c r="U43" s="533">
        <f>SUMIF('10. Inputs &amp; Calcs'!$D$733:$D$738,$E$10,'10. Inputs &amp; Calcs'!M$733:M$738)</f>
        <v>46754697.115721226</v>
      </c>
      <c r="V43" s="533">
        <f>SUMIF('10. Inputs &amp; Calcs'!$D$733:$D$738,$E$10,'10. Inputs &amp; Calcs'!N$733:N$738)</f>
        <v>46730089.380397163</v>
      </c>
      <c r="W43" s="533">
        <f>SUMIF('10. Inputs &amp; Calcs'!$D$733:$D$738,$E$10,'10. Inputs &amp; Calcs'!O$733:O$738)</f>
        <v>46561341.835412391</v>
      </c>
      <c r="X43" s="533">
        <f>SUMIF('10. Inputs &amp; Calcs'!$D$733:$D$738,$E$10,'10. Inputs &amp; Calcs'!P$733:P$738)</f>
        <v>46232673.540103585</v>
      </c>
      <c r="Y43" s="533">
        <f>SUMIF('10. Inputs &amp; Calcs'!$D$733:$D$738,$E$10,'10. Inputs &amp; Calcs'!Q$733:Q$738)</f>
        <v>45727003.673258707</v>
      </c>
      <c r="Z43" s="533">
        <f>SUMIF('10. Inputs &amp; Calcs'!$D$733:$D$738,$E$10,'10. Inputs &amp; Calcs'!R$733:R$738)</f>
        <v>45025856.283602074</v>
      </c>
      <c r="AA43" s="533">
        <f>SUMIF('10. Inputs &amp; Calcs'!$D$733:$D$738,$E$10,'10. Inputs &amp; Calcs'!S$733:S$738)</f>
        <v>44109258.494971603</v>
      </c>
      <c r="AB43" s="533">
        <f>SUMIF('10. Inputs &amp; Calcs'!$D$733:$D$738,$E$10,'10. Inputs &amp; Calcs'!T$733:T$738)</f>
        <v>42955631.734333873</v>
      </c>
      <c r="AC43" s="533">
        <f>SUMIF('10. Inputs &amp; Calcs'!$D$733:$D$738,$E$10,'10. Inputs &amp; Calcs'!U$733:U$738)</f>
        <v>41541675.523078717</v>
      </c>
      <c r="AD43" s="533">
        <f>SUMIF('10. Inputs &amp; Calcs'!$D$733:$D$738,$E$10,'10. Inputs &amp; Calcs'!V$733:V$738)</f>
        <v>39842243.342589125</v>
      </c>
      <c r="AE43" s="533">
        <f>SUMIF('10. Inputs &amp; Calcs'!$D$733:$D$738,$E$10,'10. Inputs &amp; Calcs'!W$733:W$738)</f>
        <v>37830210.053788371</v>
      </c>
      <c r="AF43" s="533">
        <f>SUMIF('10. Inputs &amp; Calcs'!$D$733:$D$738,$E$10,'10. Inputs &amp; Calcs'!X$733:X$738)</f>
        <v>35476330.317108206</v>
      </c>
      <c r="AG43" s="533">
        <f>SUMIF('10. Inputs &amp; Calcs'!$D$733:$D$738,$E$10,'10. Inputs &amp; Calcs'!Y$733:Y$738)</f>
        <v>32749087.423980512</v>
      </c>
      <c r="AH43" s="533">
        <f>SUMIF('10. Inputs &amp; Calcs'!$D$733:$D$738,$E$10,'10. Inputs &amp; Calcs'!Z$733:Z$738)</f>
        <v>29614531.913399518</v>
      </c>
      <c r="AI43" s="533">
        <f>SUMIF('10. Inputs &amp; Calcs'!$D$733:$D$738,$E$10,'10. Inputs &amp; Calcs'!AA$733:AA$738)</f>
        <v>26036109.307197079</v>
      </c>
      <c r="AJ43" s="533">
        <f>SUMIF('10. Inputs &amp; Calcs'!$D$733:$D$738,$E$10,'10. Inputs &amp; Calcs'!AB$733:AB$738)</f>
        <v>0</v>
      </c>
      <c r="AK43" s="533">
        <f>SUMIF('10. Inputs &amp; Calcs'!$D$733:$D$738,$E$10,'10. Inputs &amp; Calcs'!AC$733:AC$738)</f>
        <v>0</v>
      </c>
      <c r="AL43" s="533">
        <f t="shared" si="14"/>
        <v>792055630.31912971</v>
      </c>
    </row>
    <row r="44" spans="2:38" x14ac:dyDescent="0.45">
      <c r="D44" t="str">
        <f>'11. Table - Expenditure Review'!E190</f>
        <v>Office</v>
      </c>
      <c r="F44" s="889">
        <f t="shared" si="9"/>
        <v>0</v>
      </c>
      <c r="G44" s="889">
        <f t="shared" si="10"/>
        <v>0</v>
      </c>
      <c r="I44" s="888">
        <f t="shared" si="11"/>
        <v>0</v>
      </c>
      <c r="J44" s="903">
        <v>0</v>
      </c>
      <c r="K44" s="888">
        <f t="shared" si="12"/>
        <v>0</v>
      </c>
      <c r="L44" s="889">
        <f t="shared" si="13"/>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4"/>
        <v>0</v>
      </c>
    </row>
    <row r="45" spans="2:38" x14ac:dyDescent="0.45">
      <c r="D45">
        <f>'11. Table - Expenditure Review'!E191</f>
        <v>0</v>
      </c>
      <c r="F45" s="889">
        <f t="shared" si="9"/>
        <v>0</v>
      </c>
      <c r="G45" s="889">
        <f t="shared" si="10"/>
        <v>0</v>
      </c>
      <c r="I45" s="888">
        <f t="shared" si="11"/>
        <v>0</v>
      </c>
      <c r="J45" s="903">
        <v>0</v>
      </c>
      <c r="K45" s="888">
        <f t="shared" si="12"/>
        <v>0</v>
      </c>
      <c r="L45" s="889">
        <f t="shared" si="13"/>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4"/>
        <v>0</v>
      </c>
    </row>
    <row r="46" spans="2:38" x14ac:dyDescent="0.45">
      <c r="D46" s="794" t="str">
        <f>D133</f>
        <v>Total Expenditure for Rental Operations</v>
      </c>
      <c r="F46" s="886">
        <f t="shared" si="9"/>
        <v>1</v>
      </c>
      <c r="G46" s="886">
        <f t="shared" si="10"/>
        <v>0.9711857216531643</v>
      </c>
      <c r="I46" s="754">
        <f t="shared" si="11"/>
        <v>1943144092.7927477</v>
      </c>
      <c r="J46" s="900">
        <v>1943144092.7927477</v>
      </c>
      <c r="K46" s="754">
        <f t="shared" si="12"/>
        <v>0</v>
      </c>
      <c r="L46" s="886">
        <f t="shared" si="13"/>
        <v>0</v>
      </c>
      <c r="N46" s="793">
        <f>SUMIF('10. Inputs &amp; Calcs'!$D$742:$D$747,$E$10,'10. Inputs &amp; Calcs'!F$742:F$747)</f>
        <v>126486884.31333333</v>
      </c>
      <c r="O46" s="793">
        <f>SUMIF('10. Inputs &amp; Calcs'!$D$742:$D$747,$E$10,'10. Inputs &amp; Calcs'!G$742:G$747)</f>
        <v>136616043.32333332</v>
      </c>
      <c r="P46" s="793">
        <f>SUMIF('10. Inputs &amp; Calcs'!$D$742:$D$747,$E$10,'10. Inputs &amp; Calcs'!H$742:H$747)</f>
        <v>143214809.11000001</v>
      </c>
      <c r="Q46" s="793">
        <f>SUMIF('10. Inputs &amp; Calcs'!$D$742:$D$747,$E$10,'10. Inputs &amp; Calcs'!I$742:I$747)</f>
        <v>139655743.71700636</v>
      </c>
      <c r="R46" s="793">
        <f>SUMIF('10. Inputs &amp; Calcs'!$D$742:$D$747,$E$10,'10. Inputs &amp; Calcs'!J$742:J$747)</f>
        <v>135271956.33322573</v>
      </c>
      <c r="S46" s="793">
        <f>SUMIF('10. Inputs &amp; Calcs'!$D$742:$D$747,$E$10,'10. Inputs &amp; Calcs'!K$742:K$747)</f>
        <v>130012700.59060706</v>
      </c>
      <c r="T46" s="793">
        <f>SUMIF('10. Inputs &amp; Calcs'!$D$742:$D$747,$E$10,'10. Inputs &amp; Calcs'!L$742:L$747)</f>
        <v>129397490.61609125</v>
      </c>
      <c r="U46" s="793">
        <f>SUMIF('10. Inputs &amp; Calcs'!$D$742:$D$747,$E$10,'10. Inputs &amp; Calcs'!M$742:M$747)</f>
        <v>128321319.12509212</v>
      </c>
      <c r="V46" s="793">
        <f>SUMIF('10. Inputs &amp; Calcs'!$D$742:$D$747,$E$10,'10. Inputs &amp; Calcs'!N$742:N$747)</f>
        <v>126735341.36096939</v>
      </c>
      <c r="W46" s="793">
        <f>SUMIF('10. Inputs &amp; Calcs'!$D$742:$D$747,$E$10,'10. Inputs &amp; Calcs'!O$742:O$747)</f>
        <v>124586734.05243975</v>
      </c>
      <c r="X46" s="793">
        <f>SUMIF('10. Inputs &amp; Calcs'!$D$742:$D$747,$E$10,'10. Inputs &amp; Calcs'!P$742:P$747)</f>
        <v>121818405.53235492</v>
      </c>
      <c r="Y46" s="793">
        <f>SUMIF('10. Inputs &amp; Calcs'!$D$742:$D$747,$E$10,'10. Inputs &amp; Calcs'!Q$742:Q$747)</f>
        <v>118368686.00455214</v>
      </c>
      <c r="Z46" s="793">
        <f>SUMIF('10. Inputs &amp; Calcs'!$D$742:$D$747,$E$10,'10. Inputs &amp; Calcs'!R$742:R$747)</f>
        <v>114170996.65195568</v>
      </c>
      <c r="AA46" s="793">
        <f>SUMIF('10. Inputs &amp; Calcs'!$D$742:$D$747,$E$10,'10. Inputs &amp; Calcs'!S$742:S$747)</f>
        <v>109153496.19540985</v>
      </c>
      <c r="AB46" s="793">
        <f>SUMIF('10. Inputs &amp; Calcs'!$D$742:$D$747,$E$10,'10. Inputs &amp; Calcs'!T$742:T$747)</f>
        <v>103238703.4237718</v>
      </c>
      <c r="AC46" s="793">
        <f>SUMIF('10. Inputs &amp; Calcs'!$D$742:$D$747,$E$10,'10. Inputs &amp; Calcs'!U$742:U$747)</f>
        <v>96343094.121262461</v>
      </c>
      <c r="AD46" s="793">
        <f>SUMIF('10. Inputs &amp; Calcs'!$D$742:$D$747,$E$10,'10. Inputs &amp; Calcs'!V$742:V$747)</f>
        <v>88376670.717620164</v>
      </c>
      <c r="AE46" s="793">
        <f>SUMIF('10. Inputs &amp; Calcs'!$D$742:$D$747,$E$10,'10. Inputs &amp; Calcs'!W$742:W$747)</f>
        <v>79242502.879860431</v>
      </c>
      <c r="AF46" s="793">
        <f>SUMIF('10. Inputs &amp; Calcs'!$D$742:$D$747,$E$10,'10. Inputs &amp; Calcs'!X$742:X$747)</f>
        <v>68836237.151026309</v>
      </c>
      <c r="AG46" s="793">
        <f>SUMIF('10. Inputs &amp; Calcs'!$D$742:$D$747,$E$10,'10. Inputs &amp; Calcs'!Y$742:Y$747)</f>
        <v>57045573.620808855</v>
      </c>
      <c r="AH46" s="793">
        <f>SUMIF('10. Inputs &amp; Calcs'!$D$742:$D$747,$E$10,'10. Inputs &amp; Calcs'!Z$742:Z$747)</f>
        <v>43749707.484885633</v>
      </c>
      <c r="AI46" s="793">
        <f>SUMIF('10. Inputs &amp; Calcs'!$D$742:$D$747,$E$10,'10. Inputs &amp; Calcs'!AA$742:AA$747)</f>
        <v>28818733.213807922</v>
      </c>
      <c r="AJ46" s="793">
        <f>SUMIF('10. Inputs &amp; Calcs'!$D$742:$D$747,$E$10,'10. Inputs &amp; Calcs'!AB$742:AB$747)</f>
        <v>0</v>
      </c>
      <c r="AK46" s="793">
        <f>SUMIF('10. Inputs &amp; Calcs'!$D$742:$D$747,$E$10,'10. Inputs &amp; Calcs'!AC$742:AC$747)</f>
        <v>0</v>
      </c>
      <c r="AL46" s="793">
        <f t="shared" si="14"/>
        <v>1943144092.7927477</v>
      </c>
    </row>
    <row r="47" spans="2:38" x14ac:dyDescent="0.45">
      <c r="D47" t="str">
        <f>'11. Table - Expenditure Review'!E193</f>
        <v>Total Expenditure</v>
      </c>
      <c r="F47" s="884">
        <f t="shared" si="9"/>
        <v>1</v>
      </c>
      <c r="G47" s="884">
        <f t="shared" si="10"/>
        <v>1</v>
      </c>
      <c r="I47" s="535">
        <f t="shared" si="11"/>
        <v>2000795573.3586197</v>
      </c>
      <c r="J47" s="901">
        <v>2000795573.3586197</v>
      </c>
      <c r="K47" s="535">
        <f t="shared" si="12"/>
        <v>0</v>
      </c>
      <c r="L47" s="884">
        <f t="shared" si="13"/>
        <v>0</v>
      </c>
      <c r="N47" s="567">
        <f>N46+N36</f>
        <v>126486884.31333333</v>
      </c>
      <c r="O47" s="567">
        <f t="shared" ref="O47:AL47" si="15">O46+O36</f>
        <v>136616043.32333332</v>
      </c>
      <c r="P47" s="567">
        <f t="shared" si="15"/>
        <v>143214809.11000001</v>
      </c>
      <c r="Q47" s="535">
        <f t="shared" si="15"/>
        <v>143253743.71700636</v>
      </c>
      <c r="R47" s="535">
        <f>R46+R36</f>
        <v>139067846.33322573</v>
      </c>
      <c r="S47" s="535">
        <f t="shared" si="15"/>
        <v>133721299.89060706</v>
      </c>
      <c r="T47" s="535">
        <f t="shared" si="15"/>
        <v>131255140.47134125</v>
      </c>
      <c r="U47" s="535">
        <f t="shared" si="15"/>
        <v>130281139.72238086</v>
      </c>
      <c r="V47" s="535">
        <f t="shared" si="15"/>
        <v>128802952.09110902</v>
      </c>
      <c r="W47" s="535">
        <f t="shared" si="15"/>
        <v>126768063.37273706</v>
      </c>
      <c r="X47" s="535">
        <f t="shared" si="15"/>
        <v>124119707.96526858</v>
      </c>
      <c r="Y47" s="535">
        <f t="shared" si="15"/>
        <v>120796560.07127605</v>
      </c>
      <c r="Z47" s="535">
        <f t="shared" si="15"/>
        <v>116732403.79234941</v>
      </c>
      <c r="AA47" s="535">
        <f t="shared" si="15"/>
        <v>111855780.72852524</v>
      </c>
      <c r="AB47" s="535">
        <f t="shared" si="15"/>
        <v>106089613.60620853</v>
      </c>
      <c r="AC47" s="535">
        <f t="shared" si="15"/>
        <v>99350804.363733217</v>
      </c>
      <c r="AD47" s="535">
        <f t="shared" si="15"/>
        <v>91549805.023426801</v>
      </c>
      <c r="AE47" s="535">
        <f t="shared" si="15"/>
        <v>82590159.57248643</v>
      </c>
      <c r="AF47" s="535">
        <f t="shared" si="15"/>
        <v>72368014.961746752</v>
      </c>
      <c r="AG47" s="535">
        <f t="shared" si="15"/>
        <v>60771599.211118914</v>
      </c>
      <c r="AH47" s="535">
        <f t="shared" si="15"/>
        <v>47680664.482662745</v>
      </c>
      <c r="AI47" s="535">
        <f t="shared" si="15"/>
        <v>32965892.846462775</v>
      </c>
      <c r="AJ47" s="535">
        <f t="shared" si="15"/>
        <v>774381.134947057</v>
      </c>
      <c r="AK47" s="535">
        <f t="shared" si="15"/>
        <v>0</v>
      </c>
      <c r="AL47" s="535">
        <f t="shared" si="15"/>
        <v>2000795573.3586197</v>
      </c>
    </row>
    <row r="48" spans="2:38" ht="14.65" thickBot="1" x14ac:dyDescent="0.5">
      <c r="D48" t="str">
        <f>'11. Table - Expenditure Review'!E194</f>
        <v>Net Surplus / (Deficit)</v>
      </c>
      <c r="I48" s="554">
        <f t="shared" ca="1" si="11"/>
        <v>-1922286167.5833244</v>
      </c>
      <c r="J48" s="904">
        <v>-1922286167.5833244</v>
      </c>
      <c r="K48" s="554">
        <f t="shared" ca="1" si="12"/>
        <v>0</v>
      </c>
      <c r="L48" s="887">
        <f t="shared" ca="1" si="13"/>
        <v>0</v>
      </c>
      <c r="N48" s="568">
        <f t="shared" ref="N48:AL48" si="16">N28-N47</f>
        <v>-112639142.49333334</v>
      </c>
      <c r="O48" s="568">
        <f t="shared" si="16"/>
        <v>-120020127.89333332</v>
      </c>
      <c r="P48" s="568">
        <f t="shared" si="16"/>
        <v>-128289183.36000001</v>
      </c>
      <c r="Q48" s="554">
        <f t="shared" ca="1" si="16"/>
        <v>-131948176.67010787</v>
      </c>
      <c r="R48" s="554">
        <f t="shared" ca="1" si="16"/>
        <v>-128772071.22519906</v>
      </c>
      <c r="S48" s="554">
        <f t="shared" ca="1" si="16"/>
        <v>-125352126.05131693</v>
      </c>
      <c r="T48" s="554">
        <f t="shared" ca="1" si="16"/>
        <v>-126956932.24841155</v>
      </c>
      <c r="U48" s="554">
        <f t="shared" ca="1" si="16"/>
        <v>-126155549.41692396</v>
      </c>
      <c r="V48" s="554">
        <f t="shared" ca="1" si="16"/>
        <v>-124849979.70312493</v>
      </c>
      <c r="W48" s="554">
        <f t="shared" ca="1" si="16"/>
        <v>-122987708.90222576</v>
      </c>
      <c r="X48" s="554">
        <f t="shared" ca="1" si="16"/>
        <v>-120511971.41223007</v>
      </c>
      <c r="Y48" s="554">
        <f t="shared" ca="1" si="16"/>
        <v>-117361441.43571034</v>
      </c>
      <c r="Z48" s="554">
        <f t="shared" ca="1" si="16"/>
        <v>-113469903.07425649</v>
      </c>
      <c r="AA48" s="554">
        <f t="shared" ca="1" si="16"/>
        <v>-108765897.92790511</v>
      </c>
      <c r="AB48" s="554">
        <f t="shared" ca="1" si="16"/>
        <v>-103172348.7230612</v>
      </c>
      <c r="AC48" s="554">
        <f t="shared" ca="1" si="16"/>
        <v>-96606157.398058683</v>
      </c>
      <c r="AD48" s="554">
        <f t="shared" ca="1" si="16"/>
        <v>-88977775.975225061</v>
      </c>
      <c r="AE48" s="554">
        <f t="shared" ca="1" si="16"/>
        <v>-80190748.441757485</v>
      </c>
      <c r="AF48" s="554">
        <f t="shared" ca="1" si="16"/>
        <v>-70141221.748490617</v>
      </c>
      <c r="AG48" s="554">
        <f t="shared" ca="1" si="16"/>
        <v>-58717423.915335566</v>
      </c>
      <c r="AH48" s="554">
        <f t="shared" ca="1" si="16"/>
        <v>-45799107.104352199</v>
      </c>
      <c r="AI48" s="554">
        <f t="shared" ca="1" si="16"/>
        <v>-31256953.38562502</v>
      </c>
      <c r="AJ48" s="554">
        <f t="shared" ca="1" si="16"/>
        <v>-292672.82400684012</v>
      </c>
      <c r="AK48" s="554">
        <f t="shared" ca="1" si="16"/>
        <v>0</v>
      </c>
      <c r="AL48" s="768">
        <f t="shared" ca="1" si="16"/>
        <v>-1922286167.5833244</v>
      </c>
    </row>
    <row r="49" spans="4:38" ht="14.65" thickTop="1" x14ac:dyDescent="0.45"/>
    <row r="50" spans="4:38" x14ac:dyDescent="0.45">
      <c r="D50" s="451" t="s">
        <v>1327</v>
      </c>
    </row>
    <row r="51" spans="4:38" x14ac:dyDescent="0.45">
      <c r="D51" t="s">
        <v>1326</v>
      </c>
      <c r="I51" s="753">
        <f ca="1">AL51</f>
        <v>-1922286167.5833244</v>
      </c>
      <c r="J51" s="899">
        <v>-1922286167.5833244</v>
      </c>
      <c r="K51" s="753">
        <f ca="1">I51-J51</f>
        <v>0</v>
      </c>
      <c r="L51" s="885">
        <f ca="1">IF(J51&lt;&gt;0,K51/J51,0)</f>
        <v>0</v>
      </c>
      <c r="N51" s="566">
        <f>IF(N48&gt;0,0,N48)</f>
        <v>-112639142.49333334</v>
      </c>
      <c r="O51" s="566">
        <f t="shared" ref="O51:AK51" si="17">IF(O48&gt;0,0,O48)</f>
        <v>-120020127.89333332</v>
      </c>
      <c r="P51" s="566">
        <f t="shared" si="17"/>
        <v>-128289183.36000001</v>
      </c>
      <c r="Q51" s="566">
        <f t="shared" ca="1" si="17"/>
        <v>-131948176.67010787</v>
      </c>
      <c r="R51" s="566">
        <f t="shared" ca="1" si="17"/>
        <v>-128772071.22519906</v>
      </c>
      <c r="S51" s="566">
        <f t="shared" ca="1" si="17"/>
        <v>-125352126.05131693</v>
      </c>
      <c r="T51" s="566">
        <f t="shared" ca="1" si="17"/>
        <v>-126956932.24841155</v>
      </c>
      <c r="U51" s="566">
        <f t="shared" ca="1" si="17"/>
        <v>-126155549.41692396</v>
      </c>
      <c r="V51" s="566">
        <f t="shared" ca="1" si="17"/>
        <v>-124849979.70312493</v>
      </c>
      <c r="W51" s="566">
        <f t="shared" ca="1" si="17"/>
        <v>-122987708.90222576</v>
      </c>
      <c r="X51" s="566">
        <f t="shared" ca="1" si="17"/>
        <v>-120511971.41223007</v>
      </c>
      <c r="Y51" s="566">
        <f t="shared" ca="1" si="17"/>
        <v>-117361441.43571034</v>
      </c>
      <c r="Z51" s="566">
        <f t="shared" ca="1" si="17"/>
        <v>-113469903.07425649</v>
      </c>
      <c r="AA51" s="566">
        <f t="shared" ca="1" si="17"/>
        <v>-108765897.92790511</v>
      </c>
      <c r="AB51" s="566">
        <f t="shared" ca="1" si="17"/>
        <v>-103172348.7230612</v>
      </c>
      <c r="AC51" s="566">
        <f t="shared" ca="1" si="17"/>
        <v>-96606157.398058683</v>
      </c>
      <c r="AD51" s="566">
        <f t="shared" ca="1" si="17"/>
        <v>-88977775.975225061</v>
      </c>
      <c r="AE51" s="566">
        <f t="shared" ca="1" si="17"/>
        <v>-80190748.441757485</v>
      </c>
      <c r="AF51" s="566">
        <f t="shared" ca="1" si="17"/>
        <v>-70141221.748490617</v>
      </c>
      <c r="AG51" s="566">
        <f t="shared" ca="1" si="17"/>
        <v>-58717423.915335566</v>
      </c>
      <c r="AH51" s="566">
        <f t="shared" ca="1" si="17"/>
        <v>-45799107.104352199</v>
      </c>
      <c r="AI51" s="566">
        <f t="shared" ca="1" si="17"/>
        <v>-31256953.38562502</v>
      </c>
      <c r="AJ51" s="566">
        <f t="shared" ca="1" si="17"/>
        <v>-292672.82400684012</v>
      </c>
      <c r="AK51" s="566">
        <f t="shared" ca="1" si="17"/>
        <v>0</v>
      </c>
      <c r="AL51" s="566">
        <f ca="1">SUM(Q51:AK51)</f>
        <v>-1922286167.5833244</v>
      </c>
    </row>
    <row r="52" spans="4:38" x14ac:dyDescent="0.45">
      <c r="D52" t="s">
        <v>1562</v>
      </c>
      <c r="I52" s="888">
        <f>AL52</f>
        <v>0</v>
      </c>
      <c r="J52" s="903">
        <v>0</v>
      </c>
      <c r="K52" s="888">
        <f>I52-J52</f>
        <v>0</v>
      </c>
      <c r="L52" s="889">
        <f>IF(J52&lt;&gt;0,K52/J52,0)</f>
        <v>0</v>
      </c>
      <c r="N52" s="533">
        <f t="shared" ref="N52:AK53" si="18">-N66</f>
        <v>0</v>
      </c>
      <c r="O52" s="533">
        <f t="shared" si="18"/>
        <v>0</v>
      </c>
      <c r="P52" s="533">
        <f t="shared" si="18"/>
        <v>0</v>
      </c>
      <c r="Q52" s="533">
        <f t="shared" si="18"/>
        <v>0</v>
      </c>
      <c r="R52" s="533">
        <f t="shared" si="18"/>
        <v>0</v>
      </c>
      <c r="S52" s="533">
        <f t="shared" si="18"/>
        <v>0</v>
      </c>
      <c r="T52" s="533">
        <f t="shared" si="18"/>
        <v>0</v>
      </c>
      <c r="U52" s="533">
        <f t="shared" si="18"/>
        <v>0</v>
      </c>
      <c r="V52" s="533">
        <f t="shared" si="18"/>
        <v>0</v>
      </c>
      <c r="W52" s="533">
        <f t="shared" si="18"/>
        <v>0</v>
      </c>
      <c r="X52" s="533">
        <f t="shared" si="18"/>
        <v>0</v>
      </c>
      <c r="Y52" s="533">
        <f t="shared" si="18"/>
        <v>0</v>
      </c>
      <c r="Z52" s="533">
        <f t="shared" si="18"/>
        <v>0</v>
      </c>
      <c r="AA52" s="533">
        <f t="shared" si="18"/>
        <v>0</v>
      </c>
      <c r="AB52" s="533">
        <f t="shared" si="18"/>
        <v>0</v>
      </c>
      <c r="AC52" s="533">
        <f t="shared" si="18"/>
        <v>0</v>
      </c>
      <c r="AD52" s="533">
        <f t="shared" si="18"/>
        <v>0</v>
      </c>
      <c r="AE52" s="533">
        <f t="shared" si="18"/>
        <v>0</v>
      </c>
      <c r="AF52" s="533">
        <f t="shared" si="18"/>
        <v>0</v>
      </c>
      <c r="AG52" s="533">
        <f t="shared" si="18"/>
        <v>0</v>
      </c>
      <c r="AH52" s="533">
        <f t="shared" si="18"/>
        <v>0</v>
      </c>
      <c r="AI52" s="533">
        <f t="shared" si="18"/>
        <v>0</v>
      </c>
      <c r="AJ52" s="533">
        <f t="shared" si="18"/>
        <v>0</v>
      </c>
      <c r="AK52" s="533">
        <f t="shared" si="18"/>
        <v>0</v>
      </c>
      <c r="AL52" s="533">
        <f>SUM(Q52:AK52)</f>
        <v>0</v>
      </c>
    </row>
    <row r="53" spans="4:38" x14ac:dyDescent="0.45">
      <c r="D53" t="s">
        <v>1537</v>
      </c>
      <c r="I53" s="754">
        <f ca="1">AL53</f>
        <v>-833828355.43116808</v>
      </c>
      <c r="J53" s="1097">
        <f>SUMIF('10. Inputs &amp; Calcs'!$D$288:$D$293,$E$10,'10. Inputs &amp; Calcs'!$AD$288:$AD$293)</f>
        <v>-833828355.4311682</v>
      </c>
      <c r="K53" s="754">
        <f ca="1">I53-J53</f>
        <v>0</v>
      </c>
      <c r="L53" s="886">
        <f ca="1">IF(J53&lt;&gt;0,K53/J53,0)</f>
        <v>0</v>
      </c>
      <c r="N53" s="533">
        <f t="shared" si="18"/>
        <v>-17923184</v>
      </c>
      <c r="O53" s="533">
        <f t="shared" si="18"/>
        <v>-17604545</v>
      </c>
      <c r="P53" s="533">
        <f t="shared" si="18"/>
        <v>-10717984</v>
      </c>
      <c r="Q53" s="533">
        <f t="shared" ca="1" si="18"/>
        <v>-9628697.8662323505</v>
      </c>
      <c r="R53" s="533">
        <f t="shared" ca="1" si="18"/>
        <v>-9628697.8662323505</v>
      </c>
      <c r="S53" s="533">
        <f t="shared" ca="1" si="18"/>
        <v>-8930433.3100576513</v>
      </c>
      <c r="T53" s="533">
        <f t="shared" ca="1" si="18"/>
        <v>-4248781.8647111077</v>
      </c>
      <c r="U53" s="533">
        <f t="shared" ca="1" si="18"/>
        <v>-4248781.8647111077</v>
      </c>
      <c r="V53" s="533">
        <f t="shared" ca="1" si="18"/>
        <v>-4248781.8647111077</v>
      </c>
      <c r="W53" s="533">
        <f t="shared" ca="1" si="18"/>
        <v>-4248781.8647111077</v>
      </c>
      <c r="X53" s="533">
        <f t="shared" ca="1" si="18"/>
        <v>-4248781.8647111077</v>
      </c>
      <c r="Y53" s="533">
        <f t="shared" ca="1" si="18"/>
        <v>-4248781.8647111077</v>
      </c>
      <c r="Z53" s="533">
        <f t="shared" ca="1" si="18"/>
        <v>-4248781.8647111077</v>
      </c>
      <c r="AA53" s="533">
        <f t="shared" ca="1" si="18"/>
        <v>-4248781.8647111077</v>
      </c>
      <c r="AB53" s="533">
        <f t="shared" ca="1" si="18"/>
        <v>-4248781.8647111077</v>
      </c>
      <c r="AC53" s="533">
        <f t="shared" ca="1" si="18"/>
        <v>-4248781.8647111077</v>
      </c>
      <c r="AD53" s="533">
        <f t="shared" ca="1" si="18"/>
        <v>-4248781.8647111077</v>
      </c>
      <c r="AE53" s="533">
        <f t="shared" ca="1" si="18"/>
        <v>-4248781.8647111077</v>
      </c>
      <c r="AF53" s="533">
        <f t="shared" ca="1" si="18"/>
        <v>-4248781.8647111077</v>
      </c>
      <c r="AG53" s="533">
        <f t="shared" ca="1" si="18"/>
        <v>-4248781.8647111077</v>
      </c>
      <c r="AH53" s="533">
        <f t="shared" ca="1" si="18"/>
        <v>-4248781.8647111077</v>
      </c>
      <c r="AI53" s="533">
        <f t="shared" ca="1" si="18"/>
        <v>-4248781.8647111077</v>
      </c>
      <c r="AJ53" s="533">
        <f t="shared" ca="1" si="18"/>
        <v>-737660016.55326807</v>
      </c>
      <c r="AK53" s="533">
        <f t="shared" ca="1" si="18"/>
        <v>0</v>
      </c>
      <c r="AL53" s="533">
        <f ca="1">SUM(Q53:AK53)</f>
        <v>-833828355.43116808</v>
      </c>
    </row>
    <row r="54" spans="4:38" ht="14.65" thickBot="1" x14ac:dyDescent="0.5">
      <c r="D54" t="s">
        <v>1331</v>
      </c>
      <c r="I54" s="554">
        <f ca="1">AL54</f>
        <v>-2756114523.0144925</v>
      </c>
      <c r="J54" s="904">
        <f>SUM(J51:J53)</f>
        <v>-2756114523.0144925</v>
      </c>
      <c r="K54" s="554">
        <f ca="1">I54-J54</f>
        <v>0</v>
      </c>
      <c r="L54" s="887">
        <f ca="1">IF(J54&lt;&gt;0,K54/J54,0)</f>
        <v>0</v>
      </c>
      <c r="N54" s="535">
        <f>SUM(N51:N53)</f>
        <v>-130562326.49333334</v>
      </c>
      <c r="O54" s="535">
        <f t="shared" ref="O54:AL54" si="19">SUM(O51:O53)</f>
        <v>-137624672.89333332</v>
      </c>
      <c r="P54" s="535">
        <f t="shared" si="19"/>
        <v>-139007167.36000001</v>
      </c>
      <c r="Q54" s="535">
        <f t="shared" ca="1" si="19"/>
        <v>-141576874.53634024</v>
      </c>
      <c r="R54" s="535">
        <f t="shared" ca="1" si="19"/>
        <v>-138400769.09143141</v>
      </c>
      <c r="S54" s="535">
        <f t="shared" ca="1" si="19"/>
        <v>-134282559.36137459</v>
      </c>
      <c r="T54" s="535">
        <f t="shared" ca="1" si="19"/>
        <v>-131205714.11312266</v>
      </c>
      <c r="U54" s="535">
        <f t="shared" ca="1" si="19"/>
        <v>-130404331.28163506</v>
      </c>
      <c r="V54" s="535">
        <f t="shared" ca="1" si="19"/>
        <v>-129098761.56783603</v>
      </c>
      <c r="W54" s="535">
        <f t="shared" ca="1" si="19"/>
        <v>-127236490.76693687</v>
      </c>
      <c r="X54" s="535">
        <f t="shared" ca="1" si="19"/>
        <v>-124760753.27694118</v>
      </c>
      <c r="Y54" s="535">
        <f t="shared" ca="1" si="19"/>
        <v>-121610223.30042145</v>
      </c>
      <c r="Z54" s="535">
        <f t="shared" ca="1" si="19"/>
        <v>-117718684.9389676</v>
      </c>
      <c r="AA54" s="535">
        <f t="shared" ca="1" si="19"/>
        <v>-113014679.79261622</v>
      </c>
      <c r="AB54" s="535">
        <f t="shared" ca="1" si="19"/>
        <v>-107421130.58777231</v>
      </c>
      <c r="AC54" s="535">
        <f t="shared" ca="1" si="19"/>
        <v>-100854939.26276979</v>
      </c>
      <c r="AD54" s="535">
        <f t="shared" ca="1" si="19"/>
        <v>-93226557.839936167</v>
      </c>
      <c r="AE54" s="535">
        <f t="shared" ca="1" si="19"/>
        <v>-84439530.306468591</v>
      </c>
      <c r="AF54" s="535">
        <f t="shared" ca="1" si="19"/>
        <v>-74390003.613201723</v>
      </c>
      <c r="AG54" s="535">
        <f t="shared" ca="1" si="19"/>
        <v>-62966205.780046672</v>
      </c>
      <c r="AH54" s="535">
        <f t="shared" ca="1" si="19"/>
        <v>-50047888.969063304</v>
      </c>
      <c r="AI54" s="535">
        <f t="shared" ca="1" si="19"/>
        <v>-35505735.250336125</v>
      </c>
      <c r="AJ54" s="535">
        <f t="shared" ca="1" si="19"/>
        <v>-737952689.37727487</v>
      </c>
      <c r="AK54" s="535">
        <f t="shared" ca="1" si="19"/>
        <v>0</v>
      </c>
      <c r="AL54" s="535">
        <f t="shared" ca="1" si="19"/>
        <v>-2756114523.0144925</v>
      </c>
    </row>
    <row r="55" spans="4:38"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38"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38" x14ac:dyDescent="0.45">
      <c r="D57" t="s">
        <v>1038</v>
      </c>
      <c r="I57" s="748">
        <f ca="1">AL57</f>
        <v>-626302296.32200313</v>
      </c>
      <c r="J57" s="899">
        <v>-626302296.32200313</v>
      </c>
      <c r="K57" s="753">
        <f ca="1">I57-J57</f>
        <v>0</v>
      </c>
      <c r="N57" s="552"/>
      <c r="O57" s="552"/>
      <c r="P57" s="552"/>
      <c r="Q57" s="552"/>
      <c r="R57" s="552"/>
      <c r="S57" s="552">
        <f ca="1">S51</f>
        <v>-125352126.05131693</v>
      </c>
      <c r="T57" s="552">
        <f ca="1">T51</f>
        <v>-126956932.24841155</v>
      </c>
      <c r="U57" s="552">
        <f ca="1">U51</f>
        <v>-126155549.41692396</v>
      </c>
      <c r="V57" s="552">
        <f ca="1">V51</f>
        <v>-124849979.70312493</v>
      </c>
      <c r="W57" s="552">
        <f ca="1">W51</f>
        <v>-122987708.90222576</v>
      </c>
      <c r="X57" s="552"/>
      <c r="Y57" s="552"/>
      <c r="Z57" s="552"/>
      <c r="AA57" s="552"/>
      <c r="AB57" s="552"/>
      <c r="AC57" s="552"/>
      <c r="AD57" s="552"/>
      <c r="AE57" s="552"/>
      <c r="AF57" s="552"/>
      <c r="AG57" s="552"/>
      <c r="AH57" s="552"/>
      <c r="AI57" s="552"/>
      <c r="AJ57" s="552"/>
      <c r="AK57" s="552"/>
      <c r="AL57" s="533">
        <f ca="1">SUM(Q57:AK57)</f>
        <v>-626302296.32200313</v>
      </c>
    </row>
    <row r="58" spans="4:38" x14ac:dyDescent="0.45">
      <c r="D58" t="s">
        <v>233</v>
      </c>
      <c r="I58" s="750">
        <f ca="1">AL58</f>
        <v>-25925560.768902078</v>
      </c>
      <c r="J58" s="1097">
        <f>SUMIF('10. Inputs &amp; Calcs'!$D$297:$D$302,$E$10,'10. Inputs &amp; Calcs'!$AD$297:$AD$302)</f>
        <v>-25925560.768902078</v>
      </c>
      <c r="K58" s="754">
        <f ca="1">I58-J58</f>
        <v>0</v>
      </c>
      <c r="N58" s="552"/>
      <c r="O58" s="552"/>
      <c r="P58" s="552"/>
      <c r="Q58" s="552"/>
      <c r="R58" s="552"/>
      <c r="S58" s="552">
        <f ca="1">S53</f>
        <v>-8930433.3100576513</v>
      </c>
      <c r="T58" s="552">
        <f ca="1">T53</f>
        <v>-4248781.8647111077</v>
      </c>
      <c r="U58" s="552">
        <f ca="1">U53</f>
        <v>-4248781.8647111077</v>
      </c>
      <c r="V58" s="552">
        <f ca="1">V53</f>
        <v>-4248781.8647111077</v>
      </c>
      <c r="W58" s="552">
        <f ca="1">W53</f>
        <v>-4248781.8647111077</v>
      </c>
      <c r="X58" s="552"/>
      <c r="Y58" s="552"/>
      <c r="Z58" s="552"/>
      <c r="AA58" s="552"/>
      <c r="AB58" s="552"/>
      <c r="AC58" s="552"/>
      <c r="AD58" s="552"/>
      <c r="AE58" s="552"/>
      <c r="AF58" s="552"/>
      <c r="AG58" s="552"/>
      <c r="AH58" s="552"/>
      <c r="AI58" s="552"/>
      <c r="AJ58" s="552"/>
      <c r="AK58" s="552"/>
      <c r="AL58" s="533">
        <f ca="1">SUM(Q58:AK58)</f>
        <v>-25925560.768902078</v>
      </c>
    </row>
    <row r="59" spans="4:38" ht="14.65" thickBot="1" x14ac:dyDescent="0.5">
      <c r="I59" s="554">
        <f ca="1">SUM(S59:W59)</f>
        <v>-652227857.09090519</v>
      </c>
      <c r="J59" s="904">
        <f>SUM(J57:J58)</f>
        <v>-652227857.09090519</v>
      </c>
      <c r="K59" s="554">
        <f ca="1">I59-J59</f>
        <v>0</v>
      </c>
      <c r="N59" s="552"/>
      <c r="O59" s="552"/>
      <c r="P59" s="552"/>
      <c r="Q59" s="552"/>
      <c r="R59" s="552"/>
      <c r="S59" s="535">
        <f ca="1">SUM(S57:S58)</f>
        <v>-134282559.36137459</v>
      </c>
      <c r="T59" s="535">
        <f ca="1">SUM(T57:T58)</f>
        <v>-131205714.11312266</v>
      </c>
      <c r="U59" s="535">
        <f ca="1">SUM(U57:U58)</f>
        <v>-130404331.28163506</v>
      </c>
      <c r="V59" s="535">
        <f ca="1">SUM(V57:V58)</f>
        <v>-129098761.56783603</v>
      </c>
      <c r="W59" s="535">
        <f ca="1">SUM(W57:W58)</f>
        <v>-127236490.76693687</v>
      </c>
      <c r="X59" s="552"/>
      <c r="Y59" s="552"/>
      <c r="Z59" s="552"/>
      <c r="AA59" s="552"/>
      <c r="AB59" s="552"/>
      <c r="AC59" s="552"/>
      <c r="AD59" s="552"/>
      <c r="AE59" s="552"/>
      <c r="AF59" s="552"/>
      <c r="AG59" s="552"/>
      <c r="AH59" s="552"/>
      <c r="AI59" s="552"/>
      <c r="AJ59" s="552"/>
      <c r="AK59" s="552"/>
      <c r="AL59" s="535">
        <f ca="1">SUM(Q59:AK59)</f>
        <v>-652227857.09090519</v>
      </c>
    </row>
    <row r="60" spans="4:38"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38"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38" x14ac:dyDescent="0.45">
      <c r="D62" t="s">
        <v>1319</v>
      </c>
      <c r="N62" s="533">
        <f t="shared" ref="N62:AK62" si="20">-N20</f>
        <v>56166767.190000013</v>
      </c>
      <c r="O62" s="533">
        <f t="shared" si="20"/>
        <v>40081977.339999996</v>
      </c>
      <c r="P62" s="533">
        <f t="shared" si="20"/>
        <v>29417047.090000004</v>
      </c>
      <c r="Q62" s="533">
        <f t="shared" si="20"/>
        <v>39108548.334325761</v>
      </c>
      <c r="R62" s="533">
        <f t="shared" si="20"/>
        <v>39108548.334325761</v>
      </c>
      <c r="S62" s="533">
        <f t="shared" si="20"/>
        <v>38264956.148070209</v>
      </c>
      <c r="T62" s="533">
        <f t="shared" si="20"/>
        <v>23482353.130818505</v>
      </c>
      <c r="U62" s="533">
        <f t="shared" si="20"/>
        <v>23482353.130818505</v>
      </c>
      <c r="V62" s="533">
        <f t="shared" si="20"/>
        <v>23482353.130818505</v>
      </c>
      <c r="W62" s="533">
        <f t="shared" si="20"/>
        <v>23482353.130818505</v>
      </c>
      <c r="X62" s="533">
        <f t="shared" si="20"/>
        <v>23482353.130818505</v>
      </c>
      <c r="Y62" s="533">
        <f t="shared" si="20"/>
        <v>23482353.130818505</v>
      </c>
      <c r="Z62" s="533">
        <f t="shared" si="20"/>
        <v>23482353.130818505</v>
      </c>
      <c r="AA62" s="533">
        <f t="shared" si="20"/>
        <v>23482353.130818505</v>
      </c>
      <c r="AB62" s="533">
        <f t="shared" si="20"/>
        <v>23482353.130818505</v>
      </c>
      <c r="AC62" s="533">
        <f t="shared" si="20"/>
        <v>23482353.130818505</v>
      </c>
      <c r="AD62" s="533">
        <f t="shared" si="20"/>
        <v>23482353.130818505</v>
      </c>
      <c r="AE62" s="533">
        <f t="shared" si="20"/>
        <v>23482353.130818505</v>
      </c>
      <c r="AF62" s="533">
        <f t="shared" si="20"/>
        <v>23482353.130818505</v>
      </c>
      <c r="AG62" s="533">
        <f t="shared" si="20"/>
        <v>23482353.130818505</v>
      </c>
      <c r="AH62" s="533">
        <f t="shared" si="20"/>
        <v>23482353.130818505</v>
      </c>
      <c r="AI62" s="533">
        <f t="shared" si="20"/>
        <v>23482353.130818505</v>
      </c>
      <c r="AJ62" s="533">
        <f t="shared" si="20"/>
        <v>3154232.3786798497</v>
      </c>
      <c r="AK62" s="533">
        <f t="shared" si="20"/>
        <v>0</v>
      </c>
      <c r="AL62" s="533">
        <f>SUM(Q62:AK62)</f>
        <v>495353935.28849757</v>
      </c>
    </row>
    <row r="63" spans="4:38" x14ac:dyDescent="0.45">
      <c r="D63" t="s">
        <v>1320</v>
      </c>
      <c r="N63" s="533">
        <f t="shared" ref="N63:AK63" si="21">-N24</f>
        <v>7295676.4399999995</v>
      </c>
      <c r="O63" s="533">
        <f t="shared" si="21"/>
        <v>6799484.7800000012</v>
      </c>
      <c r="P63" s="533">
        <f t="shared" si="21"/>
        <v>6105292.7800000031</v>
      </c>
      <c r="Q63" s="533">
        <f t="shared" si="21"/>
        <v>5446338.4746198524</v>
      </c>
      <c r="R63" s="533">
        <f t="shared" si="21"/>
        <v>4787384.1692396998</v>
      </c>
      <c r="S63" s="533">
        <f t="shared" si="21"/>
        <v>4193549.9840164129</v>
      </c>
      <c r="T63" s="533">
        <f t="shared" si="21"/>
        <v>3935510.3323893608</v>
      </c>
      <c r="U63" s="533">
        <f t="shared" si="21"/>
        <v>3677470.6807623068</v>
      </c>
      <c r="V63" s="533">
        <f t="shared" si="21"/>
        <v>3419431.0291352542</v>
      </c>
      <c r="W63" s="533">
        <f t="shared" si="21"/>
        <v>3161391.3775082012</v>
      </c>
      <c r="X63" s="533">
        <f t="shared" si="21"/>
        <v>2903351.7258811472</v>
      </c>
      <c r="Y63" s="533">
        <f t="shared" si="21"/>
        <v>2645312.0742540942</v>
      </c>
      <c r="Z63" s="533">
        <f t="shared" si="21"/>
        <v>2387272.4226270402</v>
      </c>
      <c r="AA63" s="533">
        <f t="shared" si="21"/>
        <v>2129232.7709999876</v>
      </c>
      <c r="AB63" s="533">
        <f t="shared" si="21"/>
        <v>1871193.1193729343</v>
      </c>
      <c r="AC63" s="533">
        <f t="shared" si="21"/>
        <v>1613153.4677458811</v>
      </c>
      <c r="AD63" s="533">
        <f t="shared" si="21"/>
        <v>1355113.8161188276</v>
      </c>
      <c r="AE63" s="533">
        <f t="shared" si="21"/>
        <v>1097074.1644917743</v>
      </c>
      <c r="AF63" s="533">
        <f t="shared" si="21"/>
        <v>839034.51286472112</v>
      </c>
      <c r="AG63" s="533">
        <f t="shared" si="21"/>
        <v>580994.86123766797</v>
      </c>
      <c r="AH63" s="533">
        <f t="shared" si="21"/>
        <v>322955.20961061463</v>
      </c>
      <c r="AI63" s="533">
        <f t="shared" si="21"/>
        <v>64915.557983561375</v>
      </c>
      <c r="AJ63" s="533">
        <f t="shared" si="21"/>
        <v>0</v>
      </c>
      <c r="AK63" s="533">
        <f t="shared" si="21"/>
        <v>0</v>
      </c>
      <c r="AL63" s="533">
        <f>SUM(Q63:AK63)</f>
        <v>46430679.750859335</v>
      </c>
    </row>
    <row r="64" spans="4:38" x14ac:dyDescent="0.45">
      <c r="N64" s="535">
        <f>SUM(N62:N63)</f>
        <v>63462443.63000001</v>
      </c>
      <c r="O64" s="535">
        <f t="shared" ref="O64:AL64" si="22">SUM(O62:O63)</f>
        <v>46881462.119999997</v>
      </c>
      <c r="P64" s="535">
        <f t="shared" si="22"/>
        <v>35522339.870000005</v>
      </c>
      <c r="Q64" s="535">
        <f t="shared" si="22"/>
        <v>44554886.808945611</v>
      </c>
      <c r="R64" s="535">
        <f t="shared" si="22"/>
        <v>43895932.50356546</v>
      </c>
      <c r="S64" s="535">
        <f t="shared" si="22"/>
        <v>42458506.13208662</v>
      </c>
      <c r="T64" s="535">
        <f t="shared" si="22"/>
        <v>27417863.463207867</v>
      </c>
      <c r="U64" s="535">
        <f t="shared" si="22"/>
        <v>27159823.811580811</v>
      </c>
      <c r="V64" s="535">
        <f t="shared" si="22"/>
        <v>26901784.159953758</v>
      </c>
      <c r="W64" s="535">
        <f t="shared" si="22"/>
        <v>26643744.508326706</v>
      </c>
      <c r="X64" s="535">
        <f t="shared" si="22"/>
        <v>26385704.856699653</v>
      </c>
      <c r="Y64" s="535">
        <f t="shared" si="22"/>
        <v>26127665.2050726</v>
      </c>
      <c r="Z64" s="535">
        <f t="shared" si="22"/>
        <v>25869625.553445544</v>
      </c>
      <c r="AA64" s="535">
        <f t="shared" si="22"/>
        <v>25611585.901818492</v>
      </c>
      <c r="AB64" s="535">
        <f t="shared" si="22"/>
        <v>25353546.250191439</v>
      </c>
      <c r="AC64" s="535">
        <f t="shared" si="22"/>
        <v>25095506.598564386</v>
      </c>
      <c r="AD64" s="535">
        <f t="shared" si="22"/>
        <v>24837466.946937334</v>
      </c>
      <c r="AE64" s="535">
        <f t="shared" si="22"/>
        <v>24579427.295310277</v>
      </c>
      <c r="AF64" s="535">
        <f t="shared" si="22"/>
        <v>24321387.643683225</v>
      </c>
      <c r="AG64" s="535">
        <f t="shared" si="22"/>
        <v>24063347.992056172</v>
      </c>
      <c r="AH64" s="535">
        <f t="shared" si="22"/>
        <v>23805308.34042912</v>
      </c>
      <c r="AI64" s="535">
        <f t="shared" si="22"/>
        <v>23547268.688802067</v>
      </c>
      <c r="AJ64" s="535">
        <f t="shared" si="22"/>
        <v>3154232.3786798497</v>
      </c>
      <c r="AK64" s="535">
        <f t="shared" si="22"/>
        <v>0</v>
      </c>
      <c r="AL64" s="535">
        <f t="shared" si="22"/>
        <v>541784615.03935695</v>
      </c>
    </row>
    <row r="65" spans="2:46" x14ac:dyDescent="0.45">
      <c r="N65" s="533"/>
    </row>
    <row r="66" spans="2:46" x14ac:dyDescent="0.45">
      <c r="I66" s="533"/>
      <c r="J66" s="801"/>
      <c r="K66" s="533"/>
      <c r="L66" s="813"/>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0.89851345904274094</v>
      </c>
      <c r="G67" s="852">
        <f ca="1">AL67/AL$28</f>
        <v>10.620744701822078</v>
      </c>
      <c r="I67" s="533">
        <f ca="1">AL67</f>
        <v>833828355.43116808</v>
      </c>
      <c r="J67" s="898">
        <f>-J53</f>
        <v>833828355.4311682</v>
      </c>
      <c r="K67" s="533">
        <f ca="1">I67-J67</f>
        <v>0</v>
      </c>
      <c r="L67" s="813">
        <f ca="1">IF(J67&lt;&gt;0,K67/J67,0)</f>
        <v>0</v>
      </c>
      <c r="N67" s="566">
        <f>SUMIF('10. Inputs &amp; Calcs'!$D$143:$D$148,$E$10,'10. Inputs &amp; Calcs'!F$143:F$148)</f>
        <v>17923184</v>
      </c>
      <c r="O67" s="566">
        <f>SUMIF('10. Inputs &amp; Calcs'!$D$143:$D$148,$E$10,'10. Inputs &amp; Calcs'!G$143:G$148)</f>
        <v>17604545</v>
      </c>
      <c r="P67" s="566">
        <f>SUMIF('10. Inputs &amp; Calcs'!$D$143:$D$148,$E$10,'10. Inputs &amp; Calcs'!H$143:H$148)</f>
        <v>10717984</v>
      </c>
      <c r="Q67" s="997">
        <f ca="1">-SUMIF('10. Inputs &amp; Calcs'!$D$279:$D$284,$E$10,'10. Inputs &amp; Calcs'!I$279:I$284)</f>
        <v>9628697.8662323505</v>
      </c>
      <c r="R67" s="997">
        <f ca="1">-SUMIF('10. Inputs &amp; Calcs'!$D$279:$D$284,$E$10,'10. Inputs &amp; Calcs'!J$279:J$284)</f>
        <v>9628697.8662323505</v>
      </c>
      <c r="S67" s="997">
        <f ca="1">-SUMIF('10. Inputs &amp; Calcs'!$D$279:$D$284,$E$10,'10. Inputs &amp; Calcs'!K$279:K$284)</f>
        <v>8930433.3100576513</v>
      </c>
      <c r="T67" s="533">
        <f ca="1">-SUMIF('10. Inputs &amp; Calcs'!$D$279:$D$284,$E$10,'10. Inputs &amp; Calcs'!L$279:L$284)</f>
        <v>4248781.8647111077</v>
      </c>
      <c r="U67" s="533">
        <f ca="1">-SUMIF('10. Inputs &amp; Calcs'!$D$279:$D$284,$E$10,'10. Inputs &amp; Calcs'!M$279:M$284)</f>
        <v>4248781.8647111077</v>
      </c>
      <c r="V67" s="533">
        <f ca="1">-SUMIF('10. Inputs &amp; Calcs'!$D$279:$D$284,$E$10,'10. Inputs &amp; Calcs'!N$279:N$284)</f>
        <v>4248781.8647111077</v>
      </c>
      <c r="W67" s="533">
        <f ca="1">-SUMIF('10. Inputs &amp; Calcs'!$D$279:$D$284,$E$10,'10. Inputs &amp; Calcs'!O$279:O$284)</f>
        <v>4248781.8647111077</v>
      </c>
      <c r="X67" s="533">
        <f ca="1">-SUMIF('10. Inputs &amp; Calcs'!$D$279:$D$284,$E$10,'10. Inputs &amp; Calcs'!P$279:P$284)</f>
        <v>4248781.8647111077</v>
      </c>
      <c r="Y67" s="533">
        <f ca="1">-SUMIF('10. Inputs &amp; Calcs'!$D$279:$D$284,$E$10,'10. Inputs &amp; Calcs'!Q$279:Q$284)</f>
        <v>4248781.8647111077</v>
      </c>
      <c r="Z67" s="533">
        <f ca="1">-SUMIF('10. Inputs &amp; Calcs'!$D$279:$D$284,$E$10,'10. Inputs &amp; Calcs'!R$279:R$284)</f>
        <v>4248781.8647111077</v>
      </c>
      <c r="AA67" s="533">
        <f ca="1">-SUMIF('10. Inputs &amp; Calcs'!$D$279:$D$284,$E$10,'10. Inputs &amp; Calcs'!S$279:S$284)</f>
        <v>4248781.8647111077</v>
      </c>
      <c r="AB67" s="533">
        <f ca="1">-SUMIF('10. Inputs &amp; Calcs'!$D$279:$D$284,$E$10,'10. Inputs &amp; Calcs'!T$279:T$284)</f>
        <v>4248781.8647111077</v>
      </c>
      <c r="AC67" s="533">
        <f ca="1">-SUMIF('10. Inputs &amp; Calcs'!$D$279:$D$284,$E$10,'10. Inputs &amp; Calcs'!U$279:U$284)</f>
        <v>4248781.8647111077</v>
      </c>
      <c r="AD67" s="533">
        <f ca="1">-SUMIF('10. Inputs &amp; Calcs'!$D$279:$D$284,$E$10,'10. Inputs &amp; Calcs'!V$279:V$284)</f>
        <v>4248781.8647111077</v>
      </c>
      <c r="AE67" s="533">
        <f ca="1">-SUMIF('10. Inputs &amp; Calcs'!$D$279:$D$284,$E$10,'10. Inputs &amp; Calcs'!W$279:W$284)</f>
        <v>4248781.8647111077</v>
      </c>
      <c r="AF67" s="533">
        <f ca="1">-SUMIF('10. Inputs &amp; Calcs'!$D$279:$D$284,$E$10,'10. Inputs &amp; Calcs'!X$279:X$284)</f>
        <v>4248781.8647111077</v>
      </c>
      <c r="AG67" s="533">
        <f ca="1">-SUMIF('10. Inputs &amp; Calcs'!$D$279:$D$284,$E$10,'10. Inputs &amp; Calcs'!Y$279:Y$284)</f>
        <v>4248781.8647111077</v>
      </c>
      <c r="AH67" s="533">
        <f ca="1">-SUMIF('10. Inputs &amp; Calcs'!$D$279:$D$284,$E$10,'10. Inputs &amp; Calcs'!Z$279:Z$284)</f>
        <v>4248781.8647111077</v>
      </c>
      <c r="AI67" s="533">
        <f ca="1">-SUMIF('10. Inputs &amp; Calcs'!$D$279:$D$284,$E$10,'10. Inputs &amp; Calcs'!AA$279:AA$284)</f>
        <v>4248781.8647111077</v>
      </c>
      <c r="AJ67" s="533">
        <f ca="1">-SUMIF('10. Inputs &amp; Calcs'!$D$279:$D$284,$E$10,'10. Inputs &amp; Calcs'!AB$279:AB$284)</f>
        <v>737660016.55326807</v>
      </c>
      <c r="AK67" s="533">
        <f ca="1">-SUMIF('10. Inputs &amp; Calcs'!$D$279:$D$284,$E$10,'10. Inputs &amp; Calcs'!AC$279:AC$284)</f>
        <v>0</v>
      </c>
      <c r="AL67" s="533">
        <f ca="1">SUM(Q67:AK67)</f>
        <v>833828355.43116808</v>
      </c>
    </row>
    <row r="68" spans="2:46" x14ac:dyDescent="0.45">
      <c r="N68" s="533"/>
    </row>
    <row r="69" spans="2:46" x14ac:dyDescent="0.45">
      <c r="N69" s="533"/>
    </row>
    <row r="71" spans="2:46" x14ac:dyDescent="0.45">
      <c r="D71" t="s">
        <v>1038</v>
      </c>
      <c r="N71" s="533">
        <f>SUMIF('10. Inputs &amp; Calcs'!$D$763:$D$768,$E$10,'10. Inputs &amp; Calcs'!F$763:F$768)</f>
        <v>13274959000</v>
      </c>
      <c r="O71" s="533">
        <f>SUMIF('10. Inputs &amp; Calcs'!$D$763:$D$768,$E$10,'10. Inputs &amp; Calcs'!G$763:G$768)</f>
        <v>13316096000</v>
      </c>
      <c r="P71" s="533">
        <f>SUMIF('10. Inputs &amp; Calcs'!$D$763:$D$768,$E$10,'10. Inputs &amp; Calcs'!H$763:H$768)</f>
        <v>13110097000</v>
      </c>
      <c r="Q71" s="801">
        <f>SUMIF('10. Inputs &amp; Calcs'!$D$763:$D$768,$E$10,'10. Inputs &amp; Calcs'!I$763:I$768)</f>
        <v>13110097000</v>
      </c>
      <c r="R71" s="801">
        <f>SUMIF('10. Inputs &amp; Calcs'!$D$763:$D$768,$E$10,'10. Inputs &amp; Calcs'!J$763:J$768)</f>
        <v>13110097000</v>
      </c>
      <c r="S71" s="801">
        <f>SUMIF('10. Inputs &amp; Calcs'!$D$763:$D$768,$E$10,'10. Inputs &amp; Calcs'!K$763:K$768)</f>
        <v>13110097000</v>
      </c>
      <c r="T71" s="801">
        <f>SUMIF('10. Inputs &amp; Calcs'!$D$763:$D$768,$E$10,'10. Inputs &amp; Calcs'!L$763:L$768)</f>
        <v>13110097000</v>
      </c>
      <c r="U71" s="801">
        <f>SUMIF('10. Inputs &amp; Calcs'!$D$763:$D$768,$E$10,'10. Inputs &amp; Calcs'!M$763:M$768)</f>
        <v>13110097000</v>
      </c>
      <c r="V71" s="801">
        <f>SUMIF('10. Inputs &amp; Calcs'!$D$763:$D$768,$E$10,'10. Inputs &amp; Calcs'!N$763:N$768)</f>
        <v>13110097000</v>
      </c>
      <c r="W71" s="801">
        <f>SUMIF('10. Inputs &amp; Calcs'!$D$763:$D$768,$E$10,'10. Inputs &amp; Calcs'!O$763:O$768)</f>
        <v>13110097000</v>
      </c>
      <c r="X71" s="801">
        <f>SUMIF('10. Inputs &amp; Calcs'!$D$763:$D$768,$E$10,'10. Inputs &amp; Calcs'!P$763:P$768)</f>
        <v>13110097000</v>
      </c>
      <c r="Y71" s="801">
        <f>SUMIF('10. Inputs &amp; Calcs'!$D$763:$D$768,$E$10,'10. Inputs &amp; Calcs'!Q$763:Q$768)</f>
        <v>13110097000</v>
      </c>
      <c r="Z71" s="801">
        <f>SUMIF('10. Inputs &amp; Calcs'!$D$763:$D$768,$E$10,'10. Inputs &amp; Calcs'!R$763:R$768)</f>
        <v>13110097000</v>
      </c>
      <c r="AA71" s="801">
        <f>SUMIF('10. Inputs &amp; Calcs'!$D$763:$D$768,$E$10,'10. Inputs &amp; Calcs'!S$763:S$768)</f>
        <v>13110097000</v>
      </c>
      <c r="AB71" s="801">
        <f>SUMIF('10. Inputs &amp; Calcs'!$D$763:$D$768,$E$10,'10. Inputs &amp; Calcs'!T$763:T$768)</f>
        <v>13110097000</v>
      </c>
      <c r="AC71" s="801">
        <f>SUMIF('10. Inputs &amp; Calcs'!$D$763:$D$768,$E$10,'10. Inputs &amp; Calcs'!U$763:U$768)</f>
        <v>13110097000</v>
      </c>
      <c r="AD71" s="801">
        <f>SUMIF('10. Inputs &amp; Calcs'!$D$763:$D$768,$E$10,'10. Inputs &amp; Calcs'!V$763:V$768)</f>
        <v>13110097000</v>
      </c>
      <c r="AE71" s="801">
        <f>SUMIF('10. Inputs &amp; Calcs'!$D$763:$D$768,$E$10,'10. Inputs &amp; Calcs'!W$763:W$768)</f>
        <v>13110097000</v>
      </c>
      <c r="AF71" s="533">
        <f>SUMIF('10. Inputs &amp; Calcs'!$D$763:$D$768,$E$10,'10. Inputs &amp; Calcs'!X$763:X$768)</f>
        <v>13110097000</v>
      </c>
      <c r="AG71" s="533">
        <f>SUMIF('10. Inputs &amp; Calcs'!$D$763:$D$768,$E$10,'10. Inputs &amp; Calcs'!Y$763:Y$768)</f>
        <v>13110097000</v>
      </c>
      <c r="AH71" s="533">
        <f>SUMIF('10. Inputs &amp; Calcs'!$D$763:$D$768,$E$10,'10. Inputs &amp; Calcs'!Z$763:Z$768)</f>
        <v>13110097000</v>
      </c>
      <c r="AI71" s="533">
        <f>SUMIF('10. Inputs &amp; Calcs'!$D$763:$D$768,$E$10,'10. Inputs &amp; Calcs'!AA$763:AA$768)</f>
        <v>13110097000</v>
      </c>
      <c r="AJ71" s="533">
        <f>SUMIF('10. Inputs &amp; Calcs'!$D$763:$D$768,$E$10,'10. Inputs &amp; Calcs'!AB$763:AB$768)</f>
        <v>13110097000</v>
      </c>
      <c r="AK71" s="533">
        <f>SUMIF('10. Inputs &amp; Calcs'!$D$763:$D$768,$E$10,'10. Inputs &amp; Calcs'!AC$763:AC$768)</f>
        <v>13110097000</v>
      </c>
      <c r="AL71" s="533">
        <f>SUM(Q71:AK71)</f>
        <v>275312037000</v>
      </c>
    </row>
    <row r="72" spans="2:46" x14ac:dyDescent="0.45">
      <c r="D72" t="s">
        <v>233</v>
      </c>
      <c r="N72" s="533">
        <f t="shared" ref="N72:AL72" si="23">N67</f>
        <v>17923184</v>
      </c>
      <c r="O72" s="533">
        <f t="shared" si="23"/>
        <v>17604545</v>
      </c>
      <c r="P72" s="533">
        <f t="shared" si="23"/>
        <v>10717984</v>
      </c>
      <c r="Q72" s="801">
        <f t="shared" ca="1" si="23"/>
        <v>9628697.8662323505</v>
      </c>
      <c r="R72" s="801">
        <f t="shared" ca="1" si="23"/>
        <v>9628697.8662323505</v>
      </c>
      <c r="S72" s="801">
        <f t="shared" ca="1" si="23"/>
        <v>8930433.3100576513</v>
      </c>
      <c r="T72" s="801">
        <f t="shared" ca="1" si="23"/>
        <v>4248781.8647111077</v>
      </c>
      <c r="U72" s="801">
        <f t="shared" ca="1" si="23"/>
        <v>4248781.8647111077</v>
      </c>
      <c r="V72" s="801">
        <f t="shared" ca="1" si="23"/>
        <v>4248781.8647111077</v>
      </c>
      <c r="W72" s="801">
        <f t="shared" ca="1" si="23"/>
        <v>4248781.8647111077</v>
      </c>
      <c r="X72" s="801">
        <f t="shared" ca="1" si="23"/>
        <v>4248781.8647111077</v>
      </c>
      <c r="Y72" s="801">
        <f t="shared" ca="1" si="23"/>
        <v>4248781.8647111077</v>
      </c>
      <c r="Z72" s="801">
        <f t="shared" ca="1" si="23"/>
        <v>4248781.8647111077</v>
      </c>
      <c r="AA72" s="801">
        <f t="shared" ca="1" si="23"/>
        <v>4248781.8647111077</v>
      </c>
      <c r="AB72" s="801">
        <f t="shared" ca="1" si="23"/>
        <v>4248781.8647111077</v>
      </c>
      <c r="AC72" s="801">
        <f t="shared" ca="1" si="23"/>
        <v>4248781.8647111077</v>
      </c>
      <c r="AD72" s="801">
        <f t="shared" ca="1" si="23"/>
        <v>4248781.8647111077</v>
      </c>
      <c r="AE72" s="801">
        <f t="shared" ca="1" si="23"/>
        <v>4248781.8647111077</v>
      </c>
      <c r="AF72" s="533">
        <f t="shared" ca="1" si="23"/>
        <v>4248781.8647111077</v>
      </c>
      <c r="AG72" s="533">
        <f t="shared" ca="1" si="23"/>
        <v>4248781.8647111077</v>
      </c>
      <c r="AH72" s="533">
        <f t="shared" ca="1" si="23"/>
        <v>4248781.8647111077</v>
      </c>
      <c r="AI72" s="533">
        <f t="shared" ca="1" si="23"/>
        <v>4248781.8647111077</v>
      </c>
      <c r="AJ72" s="533">
        <f t="shared" ca="1" si="23"/>
        <v>737660016.55326807</v>
      </c>
      <c r="AK72" s="533">
        <f t="shared" ca="1" si="23"/>
        <v>0</v>
      </c>
      <c r="AL72" s="533">
        <f t="shared" ca="1" si="23"/>
        <v>833828355.43116808</v>
      </c>
    </row>
    <row r="73" spans="2:46" x14ac:dyDescent="0.45">
      <c r="D73" t="s">
        <v>1037</v>
      </c>
      <c r="N73" s="559">
        <f>N48/N71</f>
        <v>-8.4850840212262312E-3</v>
      </c>
      <c r="O73" s="559">
        <f t="shared" ref="O73:AL73" si="24">O48/O71</f>
        <v>-9.0131618075848449E-3</v>
      </c>
      <c r="P73" s="559">
        <f t="shared" si="24"/>
        <v>-9.7855251078615216E-3</v>
      </c>
      <c r="Q73" s="581">
        <f ca="1">Q48/Q71</f>
        <v>-1.0064622456272281E-2</v>
      </c>
      <c r="R73" s="581">
        <f t="shared" ca="1" si="24"/>
        <v>-9.822358387218573E-3</v>
      </c>
      <c r="S73" s="581">
        <f t="shared" ca="1" si="24"/>
        <v>-9.5614949341196274E-3</v>
      </c>
      <c r="T73" s="581">
        <f t="shared" ca="1" si="24"/>
        <v>-9.6839048748770928E-3</v>
      </c>
      <c r="U73" s="581">
        <f t="shared" ca="1" si="24"/>
        <v>-9.622777727496902E-3</v>
      </c>
      <c r="V73" s="581">
        <f t="shared" ca="1" si="24"/>
        <v>-9.5231926737937116E-3</v>
      </c>
      <c r="W73" s="581">
        <f t="shared" ca="1" si="24"/>
        <v>-9.3811440832379626E-3</v>
      </c>
      <c r="X73" s="581">
        <f t="shared" ca="1" si="24"/>
        <v>-9.1923020411084737E-3</v>
      </c>
      <c r="Y73" s="581">
        <f t="shared" ca="1" si="24"/>
        <v>-8.9519887942637148E-3</v>
      </c>
      <c r="Z73" s="581">
        <f t="shared" ca="1" si="24"/>
        <v>-8.6551535869075942E-3</v>
      </c>
      <c r="AA73" s="581">
        <f t="shared" ca="1" si="24"/>
        <v>-8.296345780500718E-3</v>
      </c>
      <c r="AB73" s="581">
        <f t="shared" ca="1" si="24"/>
        <v>-7.8696861451948985E-3</v>
      </c>
      <c r="AC73" s="581">
        <f t="shared" ca="1" si="24"/>
        <v>-7.3688362029707853E-3</v>
      </c>
      <c r="AD73" s="581">
        <f t="shared" ca="1" si="24"/>
        <v>-6.7869654950093094E-3</v>
      </c>
      <c r="AE73" s="581">
        <f t="shared" ca="1" si="24"/>
        <v>-6.1167166376997432E-3</v>
      </c>
      <c r="AF73" s="559">
        <f t="shared" ca="1" si="24"/>
        <v>-5.3501680230505248E-3</v>
      </c>
      <c r="AG73" s="559">
        <f t="shared" ca="1" si="24"/>
        <v>-4.4787940100927985E-3</v>
      </c>
      <c r="AH73" s="559">
        <f t="shared" ca="1" si="24"/>
        <v>-3.4934224441170955E-3</v>
      </c>
      <c r="AI73" s="559">
        <f t="shared" ca="1" si="24"/>
        <v>-2.3841893302257808E-3</v>
      </c>
      <c r="AJ73" s="559">
        <f t="shared" ca="1" si="24"/>
        <v>-2.232423024839863E-5</v>
      </c>
      <c r="AK73" s="559">
        <f t="shared" ca="1" si="24"/>
        <v>0</v>
      </c>
      <c r="AL73" s="559">
        <f t="shared" ca="1" si="24"/>
        <v>-6.9822089456383794E-3</v>
      </c>
    </row>
    <row r="74" spans="2:46" x14ac:dyDescent="0.45">
      <c r="Q74" s="581"/>
      <c r="R74" s="581"/>
      <c r="S74" s="581"/>
      <c r="T74" s="581"/>
      <c r="U74" s="581"/>
      <c r="V74" s="581"/>
      <c r="W74" s="582"/>
      <c r="X74" s="18"/>
      <c r="Y74" s="18"/>
      <c r="Z74" s="18"/>
      <c r="AA74" s="18"/>
      <c r="AB74" s="18"/>
      <c r="AC74" s="18"/>
      <c r="AD74" s="18"/>
      <c r="AE74" s="18"/>
    </row>
    <row r="75" spans="2:46" hidden="1"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hidden="1" outlineLevel="1" x14ac:dyDescent="0.45">
      <c r="D76" t="s">
        <v>1539</v>
      </c>
      <c r="F76" s="18"/>
      <c r="G76" s="18"/>
      <c r="I76" s="18"/>
      <c r="J76" s="18"/>
      <c r="K76" s="18"/>
      <c r="L76" s="18"/>
      <c r="O76" s="533"/>
      <c r="P76" s="533">
        <f>SUMIF('10. Inputs &amp; Calcs'!$D$628:$D$633,$E$10,'10. Inputs &amp; Calcs'!$H$628:$H$633)</f>
        <v>96406988.940000013</v>
      </c>
      <c r="Q76" s="801">
        <f t="shared" ref="Q76:AK76" si="25">P83</f>
        <v>96406988.939999998</v>
      </c>
      <c r="R76" s="801">
        <f t="shared" ca="1" si="25"/>
        <v>92578398.966087803</v>
      </c>
      <c r="S76" s="801">
        <f t="shared" ca="1" si="25"/>
        <v>87431900.381415263</v>
      </c>
      <c r="T76" s="801">
        <f t="shared" ca="1" si="25"/>
        <v>81768903.245381117</v>
      </c>
      <c r="U76" s="801">
        <f t="shared" ca="1" si="25"/>
        <v>80399834.515510768</v>
      </c>
      <c r="V76" s="801">
        <f t="shared" ca="1" si="25"/>
        <v>78514686.482386291</v>
      </c>
      <c r="W76" s="801">
        <f t="shared" ca="1" si="25"/>
        <v>76113459.146007687</v>
      </c>
      <c r="X76" s="801">
        <f t="shared" ca="1" si="25"/>
        <v>73454192.158002049</v>
      </c>
      <c r="Y76" s="801">
        <f t="shared" ca="1" si="25"/>
        <v>70278845.866742298</v>
      </c>
      <c r="Z76" s="801">
        <f t="shared" ca="1" si="25"/>
        <v>66587420.27222845</v>
      </c>
      <c r="AA76" s="801">
        <f t="shared" ca="1" si="25"/>
        <v>62379915.374460489</v>
      </c>
      <c r="AB76" s="801">
        <f t="shared" ca="1" si="25"/>
        <v>57656331.173438415</v>
      </c>
      <c r="AC76" s="801">
        <f t="shared" ca="1" si="25"/>
        <v>52416667.669162244</v>
      </c>
      <c r="AD76" s="801">
        <f t="shared" ca="1" si="25"/>
        <v>46660924.86163196</v>
      </c>
      <c r="AE76" s="801">
        <f t="shared" ca="1" si="25"/>
        <v>40389102.750847578</v>
      </c>
      <c r="AF76" s="533">
        <f t="shared" ca="1" si="25"/>
        <v>33601201.336809084</v>
      </c>
      <c r="AG76" s="533">
        <f t="shared" ca="1" si="25"/>
        <v>26297220.619516473</v>
      </c>
      <c r="AH76" s="533">
        <f t="shared" ca="1" si="25"/>
        <v>18477160.598969769</v>
      </c>
      <c r="AI76" s="533">
        <f t="shared" ca="1" si="25"/>
        <v>10141021.275168952</v>
      </c>
      <c r="AJ76" s="533">
        <f t="shared" ca="1" si="25"/>
        <v>1660088.823763676</v>
      </c>
      <c r="AK76" s="533">
        <f t="shared" ca="1" si="25"/>
        <v>0</v>
      </c>
      <c r="AL76" s="533">
        <f>P76</f>
        <v>96406988.940000013</v>
      </c>
      <c r="AM76" s="18"/>
      <c r="AN76" s="18"/>
      <c r="AO76" s="18"/>
      <c r="AP76" s="18"/>
      <c r="AQ76" s="18"/>
      <c r="AR76" s="18"/>
      <c r="AS76" s="18"/>
      <c r="AT76" s="18"/>
    </row>
    <row r="77" spans="2:46" hidden="1" outlineLevel="1" x14ac:dyDescent="0.45">
      <c r="D77" t="s">
        <v>1546</v>
      </c>
      <c r="F77" s="18"/>
      <c r="G77" s="18"/>
      <c r="I77" s="18"/>
      <c r="J77" s="18"/>
      <c r="K77" s="18"/>
      <c r="L77" s="18"/>
      <c r="N77" s="533"/>
      <c r="O77" s="533"/>
      <c r="P77" s="533">
        <f>IF(P84&gt;P76,P84-P76,0)</f>
        <v>0</v>
      </c>
      <c r="Q77" s="801">
        <f>IF(Q84&gt;Q76,Q84-Q76,0)</f>
        <v>0</v>
      </c>
      <c r="R77" s="801">
        <f ca="1">IF(R84&gt;R76,R84-R76,0)</f>
        <v>0</v>
      </c>
      <c r="S77" s="801">
        <f t="shared" ref="S77:AK77" ca="1" si="26">IF(S84&gt;S76,S84-S76,0)</f>
        <v>0</v>
      </c>
      <c r="T77" s="801">
        <f t="shared" ca="1" si="26"/>
        <v>0</v>
      </c>
      <c r="U77" s="801">
        <f t="shared" ca="1" si="26"/>
        <v>0</v>
      </c>
      <c r="V77" s="801">
        <f t="shared" ca="1" si="26"/>
        <v>0</v>
      </c>
      <c r="W77" s="801">
        <f t="shared" ca="1" si="26"/>
        <v>0</v>
      </c>
      <c r="X77" s="801">
        <f t="shared" ca="1" si="26"/>
        <v>0</v>
      </c>
      <c r="Y77" s="801">
        <f t="shared" ca="1" si="26"/>
        <v>0</v>
      </c>
      <c r="Z77" s="801">
        <f t="shared" ca="1" si="26"/>
        <v>0</v>
      </c>
      <c r="AA77" s="801">
        <f t="shared" ca="1" si="26"/>
        <v>0</v>
      </c>
      <c r="AB77" s="801">
        <f t="shared" ca="1" si="26"/>
        <v>0</v>
      </c>
      <c r="AC77" s="801">
        <f t="shared" ca="1" si="26"/>
        <v>0</v>
      </c>
      <c r="AD77" s="801">
        <f t="shared" ca="1" si="26"/>
        <v>0</v>
      </c>
      <c r="AE77" s="801">
        <f t="shared" ca="1" si="26"/>
        <v>0</v>
      </c>
      <c r="AF77" s="533">
        <f t="shared" ca="1" si="26"/>
        <v>0</v>
      </c>
      <c r="AG77" s="533">
        <f t="shared" ca="1" si="26"/>
        <v>0</v>
      </c>
      <c r="AH77" s="533">
        <f t="shared" ca="1" si="26"/>
        <v>0</v>
      </c>
      <c r="AI77" s="533">
        <f t="shared" ca="1" si="26"/>
        <v>0</v>
      </c>
      <c r="AJ77" s="533">
        <f t="shared" ca="1" si="26"/>
        <v>0</v>
      </c>
      <c r="AK77" s="533">
        <f t="shared" ca="1" si="26"/>
        <v>0</v>
      </c>
      <c r="AL77" s="533">
        <f ca="1">SUM(P77:AK77)</f>
        <v>0</v>
      </c>
      <c r="AM77" s="18"/>
      <c r="AN77" s="18"/>
      <c r="AO77" s="18"/>
      <c r="AP77" s="18"/>
      <c r="AQ77" s="18"/>
      <c r="AR77" s="18"/>
      <c r="AS77" s="18"/>
      <c r="AT77" s="18"/>
    </row>
    <row r="78" spans="2:46" hidden="1" outlineLevel="1" x14ac:dyDescent="0.45">
      <c r="D78" t="s">
        <v>1547</v>
      </c>
      <c r="F78" s="18"/>
      <c r="G78" s="18"/>
      <c r="I78" s="18"/>
      <c r="J78" s="18"/>
      <c r="K78" s="18"/>
      <c r="L78" s="18"/>
      <c r="N78" s="533"/>
      <c r="O78" s="533"/>
      <c r="P78" s="533">
        <f>IF(P84&lt;P76,P84-P76,0)</f>
        <v>0</v>
      </c>
      <c r="Q78" s="801">
        <f>IF(Q84&lt;Q76,Q84-Q76,0)</f>
        <v>-3828589.9739122093</v>
      </c>
      <c r="R78" s="801">
        <f ca="1">IF(R84&lt;R76,R84-R76,0)</f>
        <v>-5146498.5846725404</v>
      </c>
      <c r="S78" s="801">
        <f t="shared" ref="S78:AK78" ca="1" si="27">IF(S84&lt;S76,S84-S76,0)</f>
        <v>-5662997.1360341311</v>
      </c>
      <c r="T78" s="801">
        <f t="shared" ca="1" si="27"/>
        <v>-1369068.7298703492</v>
      </c>
      <c r="U78" s="801">
        <f t="shared" ca="1" si="27"/>
        <v>-1885148.0331244767</v>
      </c>
      <c r="V78" s="801">
        <f t="shared" ca="1" si="27"/>
        <v>-2401227.3363786042</v>
      </c>
      <c r="W78" s="801">
        <f t="shared" ca="1" si="27"/>
        <v>-2659266.9880056381</v>
      </c>
      <c r="X78" s="801">
        <f t="shared" ca="1" si="27"/>
        <v>-3175346.2912597507</v>
      </c>
      <c r="Y78" s="801">
        <f t="shared" ca="1" si="27"/>
        <v>-3691425.5945138559</v>
      </c>
      <c r="Z78" s="801">
        <f t="shared" ca="1" si="27"/>
        <v>-4207504.8977679685</v>
      </c>
      <c r="AA78" s="801">
        <f t="shared" ca="1" si="27"/>
        <v>-4723584.2010220736</v>
      </c>
      <c r="AB78" s="801">
        <f t="shared" ca="1" si="27"/>
        <v>-5239663.5042761713</v>
      </c>
      <c r="AC78" s="801">
        <f t="shared" ca="1" si="27"/>
        <v>-5755742.8075302839</v>
      </c>
      <c r="AD78" s="801">
        <f t="shared" ca="1" si="27"/>
        <v>-6271822.1107843891</v>
      </c>
      <c r="AE78" s="801">
        <f t="shared" ca="1" si="27"/>
        <v>-6787901.4140385017</v>
      </c>
      <c r="AF78" s="533">
        <f t="shared" ca="1" si="27"/>
        <v>-7303980.7172926068</v>
      </c>
      <c r="AG78" s="533">
        <f t="shared" ca="1" si="27"/>
        <v>-7820060.0205467083</v>
      </c>
      <c r="AH78" s="533">
        <f t="shared" ca="1" si="27"/>
        <v>-8336139.323800819</v>
      </c>
      <c r="AI78" s="533">
        <f t="shared" ca="1" si="27"/>
        <v>-8480932.4514052756</v>
      </c>
      <c r="AJ78" s="533">
        <f t="shared" ca="1" si="27"/>
        <v>-1660088.823763676</v>
      </c>
      <c r="AK78" s="533">
        <f t="shared" ca="1" si="27"/>
        <v>0</v>
      </c>
      <c r="AL78" s="533">
        <f ca="1">SUM(P78:AK78)</f>
        <v>-96406988.940000027</v>
      </c>
      <c r="AM78" s="18"/>
      <c r="AN78" s="18"/>
      <c r="AO78" s="18"/>
      <c r="AP78" s="18"/>
      <c r="AQ78" s="18"/>
      <c r="AR78" s="18"/>
      <c r="AS78" s="18"/>
      <c r="AT78" s="18"/>
    </row>
    <row r="79" spans="2:46" hidden="1" outlineLevel="1" x14ac:dyDescent="0.45">
      <c r="D79" t="s">
        <v>1537</v>
      </c>
      <c r="F79" s="18"/>
      <c r="G79" s="18"/>
      <c r="I79" s="18"/>
      <c r="J79" s="18"/>
      <c r="K79" s="18"/>
      <c r="L79" s="18"/>
      <c r="N79" s="533"/>
      <c r="O79" s="533"/>
      <c r="P79" s="533"/>
      <c r="Q79" s="801">
        <f ca="1">'10. Inputs &amp; Calcs'!I148*0</f>
        <v>0</v>
      </c>
      <c r="R79" s="801">
        <f ca="1">'10. Inputs &amp; Calcs'!J148*0</f>
        <v>0</v>
      </c>
      <c r="S79" s="801">
        <f ca="1">'10. Inputs &amp; Calcs'!K148*0</f>
        <v>0</v>
      </c>
      <c r="T79" s="801"/>
      <c r="U79" s="801"/>
      <c r="V79" s="801"/>
      <c r="W79" s="801"/>
      <c r="X79" s="801"/>
      <c r="Y79" s="801"/>
      <c r="Z79" s="801"/>
      <c r="AA79" s="801"/>
      <c r="AB79" s="801"/>
      <c r="AC79" s="801"/>
      <c r="AD79" s="801"/>
      <c r="AE79" s="801"/>
      <c r="AF79" s="533"/>
      <c r="AG79" s="533"/>
      <c r="AH79" s="533"/>
      <c r="AI79" s="533"/>
      <c r="AJ79" s="533"/>
      <c r="AK79" s="533"/>
      <c r="AL79" s="533">
        <f ca="1">SUM(P79:AK79)</f>
        <v>0</v>
      </c>
      <c r="AM79" s="18"/>
      <c r="AN79" s="18"/>
      <c r="AO79" s="18"/>
      <c r="AP79" s="18"/>
      <c r="AQ79" s="18"/>
      <c r="AR79" s="18"/>
      <c r="AS79" s="18"/>
      <c r="AT79" s="18"/>
    </row>
    <row r="80" spans="2:46" hidden="1" outlineLevel="1" x14ac:dyDescent="0.45">
      <c r="D80" t="s">
        <v>1540</v>
      </c>
      <c r="F80" s="18"/>
      <c r="G80" s="18"/>
      <c r="I80" s="18"/>
      <c r="J80" s="18"/>
      <c r="K80" s="18"/>
      <c r="L80" s="18"/>
      <c r="N80" s="533"/>
      <c r="O80" s="533"/>
      <c r="P80" s="533">
        <f t="shared" ref="P80:AL80" si="28">P19</f>
        <v>38707569.810000002</v>
      </c>
      <c r="Q80" s="801">
        <f t="shared" si="28"/>
        <v>45788804.290096059</v>
      </c>
      <c r="R80" s="801">
        <f t="shared" si="28"/>
        <v>45788804.290096059</v>
      </c>
      <c r="S80" s="801">
        <f t="shared" si="28"/>
        <v>43815871.559152238</v>
      </c>
      <c r="T80" s="801">
        <f t="shared" si="28"/>
        <v>25134920.843012903</v>
      </c>
      <c r="U80" s="801">
        <f t="shared" si="28"/>
        <v>25134920.843012903</v>
      </c>
      <c r="V80" s="801">
        <f t="shared" si="28"/>
        <v>25134920.843012903</v>
      </c>
      <c r="W80" s="801">
        <f t="shared" si="28"/>
        <v>25134920.843012903</v>
      </c>
      <c r="X80" s="801">
        <f t="shared" si="28"/>
        <v>25134920.843012903</v>
      </c>
      <c r="Y80" s="801">
        <f t="shared" si="28"/>
        <v>25134920.843012903</v>
      </c>
      <c r="Z80" s="801">
        <f t="shared" si="28"/>
        <v>25134920.843012903</v>
      </c>
      <c r="AA80" s="801">
        <f t="shared" si="28"/>
        <v>25134920.843012903</v>
      </c>
      <c r="AB80" s="801">
        <f t="shared" si="28"/>
        <v>25134920.843012903</v>
      </c>
      <c r="AC80" s="801">
        <f t="shared" si="28"/>
        <v>25134920.843012903</v>
      </c>
      <c r="AD80" s="801">
        <f t="shared" si="28"/>
        <v>25134920.843012903</v>
      </c>
      <c r="AE80" s="801">
        <f t="shared" si="28"/>
        <v>25134920.843012903</v>
      </c>
      <c r="AF80" s="533">
        <f t="shared" si="28"/>
        <v>25134920.843012903</v>
      </c>
      <c r="AG80" s="533">
        <f t="shared" si="28"/>
        <v>25134920.843012903</v>
      </c>
      <c r="AH80" s="533">
        <f t="shared" si="28"/>
        <v>25134920.843012903</v>
      </c>
      <c r="AI80" s="533">
        <f t="shared" si="28"/>
        <v>25134920.843012903</v>
      </c>
      <c r="AJ80" s="533">
        <f t="shared" si="28"/>
        <v>3635940.6896200664</v>
      </c>
      <c r="AK80" s="533">
        <f t="shared" si="28"/>
        <v>0</v>
      </c>
      <c r="AL80" s="533">
        <f t="shared" si="28"/>
        <v>541188154.3171711</v>
      </c>
      <c r="AM80" s="18"/>
      <c r="AN80" s="18"/>
      <c r="AO80" s="18"/>
      <c r="AP80" s="18"/>
      <c r="AQ80" s="18"/>
      <c r="AR80" s="18"/>
      <c r="AS80" s="18"/>
      <c r="AT80" s="18"/>
    </row>
    <row r="81" spans="1:46" hidden="1" outlineLevel="1" x14ac:dyDescent="0.45">
      <c r="D81" t="s">
        <v>379</v>
      </c>
      <c r="F81" s="18"/>
      <c r="G81" s="18"/>
      <c r="I81" s="18"/>
      <c r="J81" s="18"/>
      <c r="K81" s="18"/>
      <c r="L81" s="18"/>
      <c r="N81" s="533"/>
      <c r="O81" s="533"/>
      <c r="P81" s="533">
        <f t="shared" ref="P81:AL81" si="29">-P21</f>
        <v>-9290522.7200000007</v>
      </c>
      <c r="Q81" s="801">
        <f t="shared" si="29"/>
        <v>-6680255.9557702979</v>
      </c>
      <c r="R81" s="801">
        <f t="shared" si="29"/>
        <v>-6680255.9557702979</v>
      </c>
      <c r="S81" s="801">
        <f t="shared" si="29"/>
        <v>-5550915.4110820312</v>
      </c>
      <c r="T81" s="801">
        <f t="shared" si="29"/>
        <v>-1652567.7121943994</v>
      </c>
      <c r="U81" s="801">
        <f t="shared" si="29"/>
        <v>-1652567.7121943994</v>
      </c>
      <c r="V81" s="801">
        <f t="shared" si="29"/>
        <v>-1652567.7121943994</v>
      </c>
      <c r="W81" s="801">
        <f t="shared" si="29"/>
        <v>-1652567.7121943994</v>
      </c>
      <c r="X81" s="801">
        <f t="shared" si="29"/>
        <v>-1652567.7121943994</v>
      </c>
      <c r="Y81" s="801">
        <f t="shared" si="29"/>
        <v>-1652567.7121943994</v>
      </c>
      <c r="Z81" s="801">
        <f t="shared" si="29"/>
        <v>-1652567.7121943994</v>
      </c>
      <c r="AA81" s="801">
        <f t="shared" si="29"/>
        <v>-1652567.7121943994</v>
      </c>
      <c r="AB81" s="801">
        <f t="shared" si="29"/>
        <v>-1652567.7121943994</v>
      </c>
      <c r="AC81" s="801">
        <f t="shared" si="29"/>
        <v>-1652567.7121943994</v>
      </c>
      <c r="AD81" s="801">
        <f t="shared" si="29"/>
        <v>-1652567.7121943994</v>
      </c>
      <c r="AE81" s="801">
        <f t="shared" si="29"/>
        <v>-1652567.7121943994</v>
      </c>
      <c r="AF81" s="533">
        <f t="shared" si="29"/>
        <v>-1652567.7121943994</v>
      </c>
      <c r="AG81" s="533">
        <f t="shared" si="29"/>
        <v>-1652567.7121943994</v>
      </c>
      <c r="AH81" s="533">
        <f t="shared" si="29"/>
        <v>-1652567.7121943994</v>
      </c>
      <c r="AI81" s="533">
        <f t="shared" si="29"/>
        <v>-1652567.7121943994</v>
      </c>
      <c r="AJ81" s="533">
        <f t="shared" si="29"/>
        <v>-481708.31094021688</v>
      </c>
      <c r="AK81" s="533">
        <f t="shared" si="29"/>
        <v>0</v>
      </c>
      <c r="AL81" s="533">
        <f t="shared" si="29"/>
        <v>-45834219.02867353</v>
      </c>
      <c r="AM81" s="18"/>
      <c r="AN81" s="18"/>
      <c r="AO81" s="18"/>
      <c r="AP81" s="18"/>
      <c r="AQ81" s="18"/>
      <c r="AR81" s="18"/>
      <c r="AS81" s="18"/>
      <c r="AT81" s="18"/>
    </row>
    <row r="82" spans="1:46" hidden="1" outlineLevel="1" x14ac:dyDescent="0.45">
      <c r="D82" t="s">
        <v>1545</v>
      </c>
      <c r="F82" s="18"/>
      <c r="G82" s="18"/>
      <c r="I82" s="18"/>
      <c r="J82" s="18"/>
      <c r="K82" s="18"/>
      <c r="L82" s="18"/>
      <c r="N82" s="533"/>
      <c r="O82" s="533"/>
      <c r="P82" s="533">
        <f t="shared" ref="P82:AL82" si="30">-P80-P81</f>
        <v>-29417047.090000004</v>
      </c>
      <c r="Q82" s="801">
        <f t="shared" si="30"/>
        <v>-39108548.334325761</v>
      </c>
      <c r="R82" s="801">
        <f t="shared" si="30"/>
        <v>-39108548.334325761</v>
      </c>
      <c r="S82" s="801">
        <f t="shared" si="30"/>
        <v>-38264956.148070209</v>
      </c>
      <c r="T82" s="801">
        <f t="shared" si="30"/>
        <v>-23482353.130818505</v>
      </c>
      <c r="U82" s="801">
        <f t="shared" si="30"/>
        <v>-23482353.130818505</v>
      </c>
      <c r="V82" s="801">
        <f t="shared" si="30"/>
        <v>-23482353.130818505</v>
      </c>
      <c r="W82" s="801">
        <f t="shared" si="30"/>
        <v>-23482353.130818505</v>
      </c>
      <c r="X82" s="801">
        <f t="shared" si="30"/>
        <v>-23482353.130818505</v>
      </c>
      <c r="Y82" s="801">
        <f t="shared" si="30"/>
        <v>-23482353.130818505</v>
      </c>
      <c r="Z82" s="801">
        <f t="shared" si="30"/>
        <v>-23482353.130818505</v>
      </c>
      <c r="AA82" s="801">
        <f t="shared" si="30"/>
        <v>-23482353.130818505</v>
      </c>
      <c r="AB82" s="801">
        <f t="shared" si="30"/>
        <v>-23482353.130818505</v>
      </c>
      <c r="AC82" s="801">
        <f t="shared" si="30"/>
        <v>-23482353.130818505</v>
      </c>
      <c r="AD82" s="801">
        <f t="shared" si="30"/>
        <v>-23482353.130818505</v>
      </c>
      <c r="AE82" s="801">
        <f t="shared" si="30"/>
        <v>-23482353.130818505</v>
      </c>
      <c r="AF82" s="533">
        <f t="shared" si="30"/>
        <v>-23482353.130818505</v>
      </c>
      <c r="AG82" s="533">
        <f t="shared" si="30"/>
        <v>-23482353.130818505</v>
      </c>
      <c r="AH82" s="533">
        <f t="shared" si="30"/>
        <v>-23482353.130818505</v>
      </c>
      <c r="AI82" s="533">
        <f t="shared" si="30"/>
        <v>-23482353.130818505</v>
      </c>
      <c r="AJ82" s="533">
        <f t="shared" si="30"/>
        <v>-3154232.3786798497</v>
      </c>
      <c r="AK82" s="533">
        <f t="shared" si="30"/>
        <v>0</v>
      </c>
      <c r="AL82" s="533">
        <f t="shared" si="30"/>
        <v>-495353935.28849757</v>
      </c>
      <c r="AM82" s="18"/>
      <c r="AN82" s="18"/>
      <c r="AO82" s="18"/>
      <c r="AP82" s="18"/>
      <c r="AQ82" s="18"/>
      <c r="AR82" s="18"/>
      <c r="AS82" s="18"/>
      <c r="AT82" s="18"/>
    </row>
    <row r="83" spans="1:46" hidden="1" outlineLevel="1" x14ac:dyDescent="0.45">
      <c r="D83" t="s">
        <v>1544</v>
      </c>
      <c r="F83" s="18"/>
      <c r="G83" s="18"/>
      <c r="I83" s="18"/>
      <c r="J83" s="18"/>
      <c r="K83" s="18"/>
      <c r="L83" s="18"/>
      <c r="N83" s="535"/>
      <c r="O83" s="535"/>
      <c r="P83" s="535">
        <f>SUM(P76:P82)</f>
        <v>96406988.939999998</v>
      </c>
      <c r="Q83" s="1135">
        <f t="shared" ref="Q83:AL83" ca="1" si="31">SUM(Q76:Q82)</f>
        <v>92578398.966087803</v>
      </c>
      <c r="R83" s="1135">
        <f ca="1">SUM(R76:R82)</f>
        <v>87431900.381415263</v>
      </c>
      <c r="S83" s="1135">
        <f t="shared" ca="1" si="31"/>
        <v>81768903.245381117</v>
      </c>
      <c r="T83" s="1135">
        <f t="shared" ca="1" si="31"/>
        <v>80399834.515510768</v>
      </c>
      <c r="U83" s="1135">
        <f t="shared" ca="1" si="31"/>
        <v>78514686.482386291</v>
      </c>
      <c r="V83" s="1135">
        <f t="shared" ca="1" si="31"/>
        <v>76113459.146007687</v>
      </c>
      <c r="W83" s="1135">
        <f t="shared" ca="1" si="31"/>
        <v>73454192.158002049</v>
      </c>
      <c r="X83" s="1135">
        <f t="shared" ca="1" si="31"/>
        <v>70278845.866742298</v>
      </c>
      <c r="Y83" s="1135">
        <f t="shared" ca="1" si="31"/>
        <v>66587420.27222845</v>
      </c>
      <c r="Z83" s="1135">
        <f t="shared" ca="1" si="31"/>
        <v>62379915.374460489</v>
      </c>
      <c r="AA83" s="1135">
        <f t="shared" ca="1" si="31"/>
        <v>57656331.173438415</v>
      </c>
      <c r="AB83" s="1135">
        <f t="shared" ca="1" si="31"/>
        <v>52416667.669162244</v>
      </c>
      <c r="AC83" s="1135">
        <f t="shared" ca="1" si="31"/>
        <v>46660924.86163196</v>
      </c>
      <c r="AD83" s="1135">
        <f t="shared" ca="1" si="31"/>
        <v>40389102.750847578</v>
      </c>
      <c r="AE83" s="1135">
        <f t="shared" ca="1" si="31"/>
        <v>33601201.336809084</v>
      </c>
      <c r="AF83" s="535">
        <f t="shared" ca="1" si="31"/>
        <v>26297220.619516473</v>
      </c>
      <c r="AG83" s="535">
        <f t="shared" ca="1" si="31"/>
        <v>18477160.598969769</v>
      </c>
      <c r="AH83" s="535">
        <f t="shared" ca="1" si="31"/>
        <v>10141021.275168952</v>
      </c>
      <c r="AI83" s="535">
        <f t="shared" ca="1" si="31"/>
        <v>1660088.823763676</v>
      </c>
      <c r="AJ83" s="535">
        <f t="shared" ca="1" si="31"/>
        <v>0</v>
      </c>
      <c r="AK83" s="535">
        <f t="shared" ca="1" si="31"/>
        <v>0</v>
      </c>
      <c r="AL83" s="535">
        <f t="shared" ca="1" si="31"/>
        <v>0</v>
      </c>
      <c r="AM83" s="18"/>
      <c r="AN83" s="18"/>
      <c r="AO83" s="18"/>
      <c r="AP83" s="18"/>
      <c r="AQ83" s="18"/>
      <c r="AR83" s="18"/>
      <c r="AS83" s="18"/>
      <c r="AT83" s="18"/>
    </row>
    <row r="84" spans="1:46" hidden="1" outlineLevel="1" x14ac:dyDescent="0.45">
      <c r="F84" s="18"/>
      <c r="G84" s="18"/>
      <c r="I84" s="18"/>
      <c r="J84" s="18"/>
      <c r="K84" s="18"/>
      <c r="L84" s="18"/>
      <c r="P84" s="533">
        <f>SUMIF('10. Inputs &amp; Calcs'!$D$628:$D$633,$E$10,'10. Inputs &amp; Calcs'!H$628:H$633)</f>
        <v>96406988.940000013</v>
      </c>
      <c r="Q84" s="801">
        <f>SUMIF('10. Inputs &amp; Calcs'!$D$628:$D$633,$E$10,'10. Inputs &amp; Calcs'!I$628:I$633)</f>
        <v>92578398.966087788</v>
      </c>
      <c r="R84" s="801">
        <f>SUMIF('10. Inputs &amp; Calcs'!$D$628:$D$633,$E$10,'10. Inputs &amp; Calcs'!J$628:J$633)</f>
        <v>87431900.381415263</v>
      </c>
      <c r="S84" s="801">
        <f>SUMIF('10. Inputs &amp; Calcs'!$D$628:$D$633,$E$10,'10. Inputs &amp; Calcs'!K$628:K$633)</f>
        <v>81768903.245381132</v>
      </c>
      <c r="T84" s="801">
        <f>SUMIF('10. Inputs &amp; Calcs'!$D$628:$D$633,$E$10,'10. Inputs &amp; Calcs'!L$628:L$633)</f>
        <v>80399834.515510768</v>
      </c>
      <c r="U84" s="801">
        <f>SUMIF('10. Inputs &amp; Calcs'!$D$628:$D$633,$E$10,'10. Inputs &amp; Calcs'!M$628:M$633)</f>
        <v>78514686.482386291</v>
      </c>
      <c r="V84" s="801">
        <f>SUMIF('10. Inputs &amp; Calcs'!$D$628:$D$633,$E$10,'10. Inputs &amp; Calcs'!N$628:N$633)</f>
        <v>76113459.146007687</v>
      </c>
      <c r="W84" s="801">
        <f>SUMIF('10. Inputs &amp; Calcs'!$D$628:$D$633,$E$10,'10. Inputs &amp; Calcs'!O$628:O$633)</f>
        <v>73454192.158002049</v>
      </c>
      <c r="X84" s="801">
        <f>SUMIF('10. Inputs &amp; Calcs'!$D$628:$D$633,$E$10,'10. Inputs &amp; Calcs'!P$628:P$633)</f>
        <v>70278845.866742298</v>
      </c>
      <c r="Y84" s="801">
        <f>SUMIF('10. Inputs &amp; Calcs'!$D$628:$D$633,$E$10,'10. Inputs &amp; Calcs'!Q$628:Q$633)</f>
        <v>66587420.272228442</v>
      </c>
      <c r="Z84" s="801">
        <f>SUMIF('10. Inputs &amp; Calcs'!$D$628:$D$633,$E$10,'10. Inputs &amp; Calcs'!R$628:R$633)</f>
        <v>62379915.374460481</v>
      </c>
      <c r="AA84" s="801">
        <f>SUMIF('10. Inputs &amp; Calcs'!$D$628:$D$633,$E$10,'10. Inputs &amp; Calcs'!S$628:S$633)</f>
        <v>57656331.173438415</v>
      </c>
      <c r="AB84" s="801">
        <f>SUMIF('10. Inputs &amp; Calcs'!$D$628:$D$633,$E$10,'10. Inputs &amp; Calcs'!T$628:T$633)</f>
        <v>52416667.669162244</v>
      </c>
      <c r="AC84" s="801">
        <f>SUMIF('10. Inputs &amp; Calcs'!$D$628:$D$633,$E$10,'10. Inputs &amp; Calcs'!U$628:U$633)</f>
        <v>46660924.86163196</v>
      </c>
      <c r="AD84" s="801">
        <f>SUMIF('10. Inputs &amp; Calcs'!$D$628:$D$633,$E$10,'10. Inputs &amp; Calcs'!V$628:V$633)</f>
        <v>40389102.750847571</v>
      </c>
      <c r="AE84" s="801">
        <f>SUMIF('10. Inputs &amp; Calcs'!$D$628:$D$633,$E$10,'10. Inputs &amp; Calcs'!W$628:W$633)</f>
        <v>33601201.336809076</v>
      </c>
      <c r="AF84" s="533">
        <f>SUMIF('10. Inputs &amp; Calcs'!$D$628:$D$633,$E$10,'10. Inputs &amp; Calcs'!X$628:X$633)</f>
        <v>26297220.619516477</v>
      </c>
      <c r="AG84" s="533">
        <f>SUMIF('10. Inputs &amp; Calcs'!$D$628:$D$633,$E$10,'10. Inputs &amp; Calcs'!Y$628:Y$633)</f>
        <v>18477160.598969765</v>
      </c>
      <c r="AH84" s="533">
        <f>SUMIF('10. Inputs &amp; Calcs'!$D$628:$D$633,$E$10,'10. Inputs &amp; Calcs'!Z$628:Z$633)</f>
        <v>10141021.27516895</v>
      </c>
      <c r="AI84" s="533">
        <f>SUMIF('10. Inputs &amp; Calcs'!$D$628:$D$633,$E$10,'10. Inputs &amp; Calcs'!AA$628:AA$633)</f>
        <v>1660088.823763676</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hidden="1"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hidden="1" outlineLevel="1" x14ac:dyDescent="0.45">
      <c r="D86" t="s">
        <v>1539</v>
      </c>
      <c r="F86" s="18"/>
      <c r="G86" s="18"/>
      <c r="I86" s="18"/>
      <c r="J86" s="18"/>
      <c r="K86" s="18"/>
      <c r="L86" s="18"/>
      <c r="O86" s="533"/>
      <c r="P86" s="533">
        <f>SUMIF('10. Inputs &amp; Calcs'!$D$396:$D$400,$E$10,'10. Inputs &amp; Calcs'!$H$396:$H$400)</f>
        <v>0</v>
      </c>
      <c r="Q86" s="801">
        <f t="shared" ref="Q86:AK86" si="32">P93</f>
        <v>10717983.999999998</v>
      </c>
      <c r="R86" s="801">
        <f t="shared" si="32"/>
        <v>10717983.999999996</v>
      </c>
      <c r="S86" s="801">
        <f t="shared" si="32"/>
        <v>10717983.999999994</v>
      </c>
      <c r="T86" s="801">
        <f t="shared" si="32"/>
        <v>10717983.999999996</v>
      </c>
      <c r="U86" s="801">
        <f t="shared" si="32"/>
        <v>10717983.999999998</v>
      </c>
      <c r="V86" s="801">
        <f t="shared" si="32"/>
        <v>10717984</v>
      </c>
      <c r="W86" s="801">
        <f t="shared" si="32"/>
        <v>10717984</v>
      </c>
      <c r="X86" s="801">
        <f t="shared" si="32"/>
        <v>10717984</v>
      </c>
      <c r="Y86" s="801">
        <f t="shared" si="32"/>
        <v>10717984</v>
      </c>
      <c r="Z86" s="801">
        <f t="shared" si="32"/>
        <v>10717984.000000002</v>
      </c>
      <c r="AA86" s="801">
        <f t="shared" si="32"/>
        <v>10717984.000000004</v>
      </c>
      <c r="AB86" s="801">
        <f t="shared" si="32"/>
        <v>10717984.000000004</v>
      </c>
      <c r="AC86" s="801">
        <f t="shared" si="32"/>
        <v>10717984.000000004</v>
      </c>
      <c r="AD86" s="801">
        <f t="shared" si="32"/>
        <v>10717984.000000004</v>
      </c>
      <c r="AE86" s="801">
        <f t="shared" si="32"/>
        <v>10717984.000000006</v>
      </c>
      <c r="AF86" s="533">
        <f t="shared" si="32"/>
        <v>10717984.000000006</v>
      </c>
      <c r="AG86" s="533">
        <f t="shared" si="32"/>
        <v>10717984.000000004</v>
      </c>
      <c r="AH86" s="533">
        <f t="shared" si="32"/>
        <v>10717984.000000004</v>
      </c>
      <c r="AI86" s="533">
        <f t="shared" si="32"/>
        <v>10717984.000000004</v>
      </c>
      <c r="AJ86" s="533">
        <f t="shared" si="32"/>
        <v>10717984.000000006</v>
      </c>
      <c r="AK86" s="533">
        <f t="shared" si="32"/>
        <v>-4994849.2610526197</v>
      </c>
      <c r="AL86" s="533">
        <f>P86</f>
        <v>0</v>
      </c>
      <c r="AM86" s="18"/>
      <c r="AN86" s="18"/>
      <c r="AO86" s="18"/>
      <c r="AP86" s="18"/>
      <c r="AQ86" s="18"/>
      <c r="AR86" s="18"/>
      <c r="AS86" s="18"/>
      <c r="AT86" s="18"/>
    </row>
    <row r="87" spans="1:46" hidden="1" outlineLevel="1" x14ac:dyDescent="0.45">
      <c r="D87" t="s">
        <v>1546</v>
      </c>
      <c r="F87" s="18"/>
      <c r="G87" s="18"/>
      <c r="I87" s="18"/>
      <c r="J87" s="18"/>
      <c r="K87" s="18"/>
      <c r="L87" s="18"/>
      <c r="N87" s="533"/>
      <c r="O87" s="533"/>
      <c r="P87" s="533">
        <f t="shared" ref="P87:AK87" si="33">IF(P94&gt;P86,P94-P86-P89,0)</f>
        <v>0</v>
      </c>
      <c r="Q87" s="801">
        <f>IF(Q94&gt;Q86,Q94-Q86-Q89,0)</f>
        <v>0</v>
      </c>
      <c r="R87" s="801">
        <f t="shared" si="33"/>
        <v>0</v>
      </c>
      <c r="S87" s="801">
        <f t="shared" si="33"/>
        <v>0</v>
      </c>
      <c r="T87" s="801">
        <f t="shared" si="33"/>
        <v>0</v>
      </c>
      <c r="U87" s="801">
        <f t="shared" si="33"/>
        <v>0</v>
      </c>
      <c r="V87" s="801">
        <f t="shared" si="33"/>
        <v>0</v>
      </c>
      <c r="W87" s="801">
        <f t="shared" si="33"/>
        <v>0</v>
      </c>
      <c r="X87" s="801">
        <f t="shared" si="33"/>
        <v>0</v>
      </c>
      <c r="Y87" s="801">
        <f t="shared" si="33"/>
        <v>0</v>
      </c>
      <c r="Z87" s="801">
        <f t="shared" si="33"/>
        <v>0</v>
      </c>
      <c r="AA87" s="801">
        <f t="shared" si="33"/>
        <v>0</v>
      </c>
      <c r="AB87" s="801">
        <f t="shared" si="33"/>
        <v>0</v>
      </c>
      <c r="AC87" s="801">
        <f t="shared" si="33"/>
        <v>0</v>
      </c>
      <c r="AD87" s="801">
        <f t="shared" si="33"/>
        <v>0</v>
      </c>
      <c r="AE87" s="801">
        <f t="shared" si="33"/>
        <v>0</v>
      </c>
      <c r="AF87" s="533">
        <f t="shared" si="33"/>
        <v>0</v>
      </c>
      <c r="AG87" s="533">
        <f t="shared" si="33"/>
        <v>0</v>
      </c>
      <c r="AH87" s="533">
        <f t="shared" si="33"/>
        <v>0</v>
      </c>
      <c r="AI87" s="533">
        <f t="shared" si="33"/>
        <v>0</v>
      </c>
      <c r="AJ87" s="533">
        <f t="shared" si="33"/>
        <v>0</v>
      </c>
      <c r="AK87" s="533">
        <f t="shared" si="33"/>
        <v>4994849.2610526197</v>
      </c>
      <c r="AL87" s="533">
        <f>SUM(P87:AK87)</f>
        <v>4994849.2610526197</v>
      </c>
      <c r="AM87" s="18"/>
      <c r="AN87" s="18"/>
      <c r="AO87" s="18"/>
      <c r="AP87" s="18"/>
      <c r="AQ87" s="18"/>
      <c r="AR87" s="18"/>
      <c r="AS87" s="18"/>
      <c r="AT87" s="18"/>
    </row>
    <row r="88" spans="1:46" hidden="1"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hidden="1" outlineLevel="1" x14ac:dyDescent="0.45">
      <c r="A89">
        <v>0</v>
      </c>
      <c r="D89" t="s">
        <v>1537</v>
      </c>
      <c r="F89" s="18"/>
      <c r="G89" s="18"/>
      <c r="I89" s="18"/>
      <c r="J89" s="18"/>
      <c r="K89" s="18"/>
      <c r="L89" s="18"/>
      <c r="N89" s="533"/>
      <c r="O89" s="533"/>
      <c r="P89" s="533">
        <f>SUMIF('10. Inputs &amp; Calcs'!$D$143:$D$148,$E$10,'10. Inputs &amp; Calcs'!$H$143:$H$148)</f>
        <v>10717984</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-4994849.2610526253</v>
      </c>
      <c r="AM89" s="18"/>
      <c r="AN89" s="18"/>
      <c r="AO89" s="18"/>
      <c r="AP89" s="18"/>
      <c r="AQ89" s="18"/>
      <c r="AR89" s="18"/>
      <c r="AS89" s="18"/>
      <c r="AT89" s="18"/>
    </row>
    <row r="90" spans="1:46" hidden="1" outlineLevel="1" x14ac:dyDescent="0.45">
      <c r="D90" t="s">
        <v>1542</v>
      </c>
      <c r="F90" s="18"/>
      <c r="G90" s="18"/>
      <c r="I90" s="18"/>
      <c r="J90" s="18"/>
      <c r="K90" s="18"/>
      <c r="L90" s="18"/>
      <c r="N90" s="533"/>
      <c r="O90" s="533"/>
      <c r="P90" s="533">
        <f t="shared" ref="P90:AL90" si="34">P23</f>
        <v>11740395.810000002</v>
      </c>
      <c r="Q90" s="801">
        <f t="shared" si="34"/>
        <v>10071649.56574804</v>
      </c>
      <c r="R90" s="801">
        <f t="shared" si="34"/>
        <v>8402903.321496075</v>
      </c>
      <c r="S90" s="801">
        <f t="shared" si="34"/>
        <v>7011808.4122245051</v>
      </c>
      <c r="T90" s="801">
        <f t="shared" si="34"/>
        <v>6581150.8431246569</v>
      </c>
      <c r="U90" s="801">
        <f t="shared" si="34"/>
        <v>6150493.2740248069</v>
      </c>
      <c r="V90" s="801">
        <f t="shared" si="34"/>
        <v>5719835.7049249578</v>
      </c>
      <c r="W90" s="801">
        <f t="shared" si="34"/>
        <v>5289178.1358251087</v>
      </c>
      <c r="X90" s="801">
        <f t="shared" si="34"/>
        <v>4858520.5667252587</v>
      </c>
      <c r="Y90" s="801">
        <f t="shared" si="34"/>
        <v>4427862.9976254096</v>
      </c>
      <c r="Z90" s="801">
        <f t="shared" si="34"/>
        <v>3997205.4285255596</v>
      </c>
      <c r="AA90" s="801">
        <f t="shared" si="34"/>
        <v>3566547.8594257105</v>
      </c>
      <c r="AB90" s="801">
        <f t="shared" si="34"/>
        <v>3135890.2903258614</v>
      </c>
      <c r="AC90" s="801">
        <f t="shared" si="34"/>
        <v>2705232.7212260119</v>
      </c>
      <c r="AD90" s="801">
        <f t="shared" si="34"/>
        <v>2274575.1521261623</v>
      </c>
      <c r="AE90" s="801">
        <f t="shared" si="34"/>
        <v>1843917.583026313</v>
      </c>
      <c r="AF90" s="533">
        <f t="shared" si="34"/>
        <v>1413260.0139264637</v>
      </c>
      <c r="AG90" s="533">
        <f t="shared" si="34"/>
        <v>982602.44482661434</v>
      </c>
      <c r="AH90" s="533">
        <f t="shared" si="34"/>
        <v>551944.87572676491</v>
      </c>
      <c r="AI90" s="533">
        <f t="shared" si="34"/>
        <v>121287.30662691555</v>
      </c>
      <c r="AJ90" s="533">
        <f t="shared" si="34"/>
        <v>0</v>
      </c>
      <c r="AK90" s="533">
        <f t="shared" si="34"/>
        <v>0</v>
      </c>
      <c r="AL90" s="533">
        <f t="shared" si="34"/>
        <v>79105866.497481197</v>
      </c>
      <c r="AM90" s="18"/>
      <c r="AN90" s="18"/>
      <c r="AO90" s="18"/>
      <c r="AP90" s="18"/>
      <c r="AQ90" s="18"/>
      <c r="AR90" s="18"/>
      <c r="AS90" s="18"/>
      <c r="AT90" s="18"/>
    </row>
    <row r="91" spans="1:46" hidden="1" outlineLevel="1" x14ac:dyDescent="0.45">
      <c r="D91" t="s">
        <v>1543</v>
      </c>
      <c r="F91" s="18"/>
      <c r="G91" s="18"/>
      <c r="I91" s="18"/>
      <c r="J91" s="18"/>
      <c r="K91" s="18"/>
      <c r="L91" s="18"/>
      <c r="N91" s="533"/>
      <c r="O91" s="533"/>
      <c r="P91" s="533">
        <f t="shared" ref="P91:AL91" si="35">-P25</f>
        <v>-5635103.0299999993</v>
      </c>
      <c r="Q91" s="801">
        <f t="shared" si="35"/>
        <v>-4625311.0911281873</v>
      </c>
      <c r="R91" s="801">
        <f t="shared" si="35"/>
        <v>-3615519.1522563747</v>
      </c>
      <c r="S91" s="801">
        <f t="shared" si="35"/>
        <v>-2818258.4282080922</v>
      </c>
      <c r="T91" s="801">
        <f t="shared" si="35"/>
        <v>-2645640.5107352962</v>
      </c>
      <c r="U91" s="801">
        <f t="shared" si="35"/>
        <v>-2473022.5932625001</v>
      </c>
      <c r="V91" s="801">
        <f t="shared" si="35"/>
        <v>-2300404.6757897036</v>
      </c>
      <c r="W91" s="801">
        <f t="shared" si="35"/>
        <v>-2127786.7583169076</v>
      </c>
      <c r="X91" s="801">
        <f t="shared" si="35"/>
        <v>-1955168.8408441113</v>
      </c>
      <c r="Y91" s="801">
        <f t="shared" si="35"/>
        <v>-1782550.9233713155</v>
      </c>
      <c r="Z91" s="801">
        <f t="shared" si="35"/>
        <v>-1609933.0058985192</v>
      </c>
      <c r="AA91" s="801">
        <f t="shared" si="35"/>
        <v>-1437315.0884257231</v>
      </c>
      <c r="AB91" s="801">
        <f t="shared" si="35"/>
        <v>-1264697.1709529271</v>
      </c>
      <c r="AC91" s="801">
        <f t="shared" si="35"/>
        <v>-1092079.2534801308</v>
      </c>
      <c r="AD91" s="801">
        <f t="shared" si="35"/>
        <v>-919461.33600733476</v>
      </c>
      <c r="AE91" s="801">
        <f t="shared" si="35"/>
        <v>-746843.41853453871</v>
      </c>
      <c r="AF91" s="533">
        <f t="shared" si="35"/>
        <v>-574225.50106174254</v>
      </c>
      <c r="AG91" s="533">
        <f t="shared" si="35"/>
        <v>-401607.58358894638</v>
      </c>
      <c r="AH91" s="533">
        <f t="shared" si="35"/>
        <v>-228989.66611615027</v>
      </c>
      <c r="AI91" s="533">
        <f t="shared" si="35"/>
        <v>-56371.748643354178</v>
      </c>
      <c r="AJ91" s="533">
        <f t="shared" si="35"/>
        <v>0</v>
      </c>
      <c r="AK91" s="533">
        <f t="shared" si="35"/>
        <v>0</v>
      </c>
      <c r="AL91" s="533">
        <f t="shared" si="35"/>
        <v>-32675186.746621851</v>
      </c>
      <c r="AM91" s="18"/>
      <c r="AN91" s="18"/>
      <c r="AO91" s="18"/>
      <c r="AP91" s="18"/>
      <c r="AQ91" s="18"/>
      <c r="AR91" s="18"/>
      <c r="AS91" s="18"/>
      <c r="AT91" s="18"/>
    </row>
    <row r="92" spans="1:46" hidden="1" outlineLevel="1" x14ac:dyDescent="0.45">
      <c r="D92" t="s">
        <v>1545</v>
      </c>
      <c r="F92" s="18"/>
      <c r="G92" s="18"/>
      <c r="I92" s="18"/>
      <c r="J92" s="18"/>
      <c r="K92" s="18"/>
      <c r="L92" s="18"/>
      <c r="N92" s="533"/>
      <c r="O92" s="533"/>
      <c r="P92" s="533">
        <f t="shared" ref="P92:AL92" si="36">-P90-P91</f>
        <v>-6105292.7800000031</v>
      </c>
      <c r="Q92" s="801">
        <f t="shared" si="36"/>
        <v>-5446338.4746198524</v>
      </c>
      <c r="R92" s="801">
        <f t="shared" si="36"/>
        <v>-4787384.1692396998</v>
      </c>
      <c r="S92" s="801">
        <f t="shared" si="36"/>
        <v>-4193549.9840164129</v>
      </c>
      <c r="T92" s="801">
        <f t="shared" si="36"/>
        <v>-3935510.3323893608</v>
      </c>
      <c r="U92" s="801">
        <f t="shared" si="36"/>
        <v>-3677470.6807623068</v>
      </c>
      <c r="V92" s="801">
        <f t="shared" si="36"/>
        <v>-3419431.0291352542</v>
      </c>
      <c r="W92" s="801">
        <f t="shared" si="36"/>
        <v>-3161391.3775082012</v>
      </c>
      <c r="X92" s="801">
        <f t="shared" si="36"/>
        <v>-2903351.7258811472</v>
      </c>
      <c r="Y92" s="801">
        <f t="shared" si="36"/>
        <v>-2645312.0742540942</v>
      </c>
      <c r="Z92" s="801">
        <f t="shared" si="36"/>
        <v>-2387272.4226270402</v>
      </c>
      <c r="AA92" s="801">
        <f t="shared" si="36"/>
        <v>-2129232.7709999876</v>
      </c>
      <c r="AB92" s="801">
        <f t="shared" si="36"/>
        <v>-1871193.1193729343</v>
      </c>
      <c r="AC92" s="801">
        <f t="shared" si="36"/>
        <v>-1613153.4677458811</v>
      </c>
      <c r="AD92" s="801">
        <f t="shared" si="36"/>
        <v>-1355113.8161188276</v>
      </c>
      <c r="AE92" s="801">
        <f t="shared" si="36"/>
        <v>-1097074.1644917743</v>
      </c>
      <c r="AF92" s="533">
        <f t="shared" si="36"/>
        <v>-839034.51286472112</v>
      </c>
      <c r="AG92" s="533">
        <f t="shared" si="36"/>
        <v>-580994.86123766797</v>
      </c>
      <c r="AH92" s="533">
        <f t="shared" si="36"/>
        <v>-322955.20961061463</v>
      </c>
      <c r="AI92" s="533">
        <f t="shared" si="36"/>
        <v>-64915.557983561375</v>
      </c>
      <c r="AJ92" s="533">
        <f t="shared" si="36"/>
        <v>0</v>
      </c>
      <c r="AK92" s="533">
        <f t="shared" si="36"/>
        <v>0</v>
      </c>
      <c r="AL92" s="533">
        <f t="shared" si="36"/>
        <v>-46430679.75085935</v>
      </c>
      <c r="AM92" s="18"/>
      <c r="AN92" s="18"/>
      <c r="AO92" s="18"/>
      <c r="AP92" s="18"/>
      <c r="AQ92" s="18"/>
      <c r="AR92" s="18"/>
      <c r="AS92" s="18"/>
      <c r="AT92" s="18"/>
    </row>
    <row r="93" spans="1:46" hidden="1" outlineLevel="1" x14ac:dyDescent="0.45">
      <c r="D93" t="s">
        <v>1544</v>
      </c>
      <c r="F93" s="18"/>
      <c r="G93" s="18"/>
      <c r="I93" s="18"/>
      <c r="J93" s="18"/>
      <c r="K93" s="18"/>
      <c r="L93" s="18"/>
      <c r="N93" s="535"/>
      <c r="O93" s="535"/>
      <c r="P93" s="535">
        <f>SUM(P86:P92)</f>
        <v>10717983.999999998</v>
      </c>
      <c r="Q93" s="1135">
        <f t="shared" ref="Q93:AL93" si="37">SUM(Q86:Q92)</f>
        <v>10717983.999999996</v>
      </c>
      <c r="R93" s="1135">
        <f t="shared" si="37"/>
        <v>10717983.999999994</v>
      </c>
      <c r="S93" s="1135">
        <f t="shared" si="37"/>
        <v>10717983.999999996</v>
      </c>
      <c r="T93" s="1135">
        <f>SUM(T86:T92)</f>
        <v>10717983.999999998</v>
      </c>
      <c r="U93" s="1135">
        <f t="shared" si="37"/>
        <v>10717984</v>
      </c>
      <c r="V93" s="1135">
        <f t="shared" si="37"/>
        <v>10717984</v>
      </c>
      <c r="W93" s="1135">
        <f t="shared" si="37"/>
        <v>10717984</v>
      </c>
      <c r="X93" s="1135">
        <f t="shared" si="37"/>
        <v>10717984</v>
      </c>
      <c r="Y93" s="1135">
        <f t="shared" si="37"/>
        <v>10717984.000000002</v>
      </c>
      <c r="Z93" s="1135">
        <f t="shared" si="37"/>
        <v>10717984.000000004</v>
      </c>
      <c r="AA93" s="1135">
        <f t="shared" si="37"/>
        <v>10717984.000000004</v>
      </c>
      <c r="AB93" s="1135">
        <f t="shared" si="37"/>
        <v>10717984.000000004</v>
      </c>
      <c r="AC93" s="1135">
        <f t="shared" si="37"/>
        <v>10717984.000000004</v>
      </c>
      <c r="AD93" s="1135">
        <f t="shared" si="37"/>
        <v>10717984.000000006</v>
      </c>
      <c r="AE93" s="1135">
        <f t="shared" si="37"/>
        <v>10717984.000000006</v>
      </c>
      <c r="AF93" s="535">
        <f t="shared" si="37"/>
        <v>10717984.000000004</v>
      </c>
      <c r="AG93" s="535">
        <f t="shared" si="37"/>
        <v>10717984.000000004</v>
      </c>
      <c r="AH93" s="535">
        <f t="shared" si="37"/>
        <v>10717984.000000004</v>
      </c>
      <c r="AI93" s="535">
        <f t="shared" si="37"/>
        <v>10717984.000000006</v>
      </c>
      <c r="AJ93" s="535">
        <f t="shared" si="37"/>
        <v>-4994849.2610526197</v>
      </c>
      <c r="AK93" s="535">
        <f t="shared" si="37"/>
        <v>0</v>
      </c>
      <c r="AL93" s="535">
        <f t="shared" si="37"/>
        <v>0</v>
      </c>
      <c r="AM93" s="18"/>
      <c r="AN93" s="18"/>
      <c r="AO93" s="18"/>
      <c r="AP93" s="18"/>
      <c r="AQ93" s="18"/>
      <c r="AR93" s="18"/>
      <c r="AS93" s="18"/>
      <c r="AT93" s="18"/>
    </row>
    <row r="94" spans="1:46" hidden="1" outlineLevel="1" x14ac:dyDescent="0.45">
      <c r="F94" s="18"/>
      <c r="G94" s="18"/>
      <c r="I94" s="18"/>
      <c r="J94" s="18"/>
      <c r="K94" s="18"/>
      <c r="L94" s="18"/>
      <c r="P94" s="533">
        <f>SUMIF('10. Inputs &amp; Calcs'!$D$396:$D$400,$E$10,'10. Inputs &amp; Calcs'!H$396:H$400)</f>
        <v>0</v>
      </c>
      <c r="Q94" s="801">
        <f>SUMIF('10. Inputs &amp; Calcs'!$D$396:$D$400,$E$10,'10. Inputs &amp; Calcs'!I$396:I$400)</f>
        <v>0</v>
      </c>
      <c r="R94" s="801">
        <f>SUMIF('10. Inputs &amp; Calcs'!$D$396:$D$400,$E$10,'10. Inputs &amp; Calcs'!J$396:J$400)</f>
        <v>0</v>
      </c>
      <c r="S94" s="801">
        <f>SUMIF('10. Inputs &amp; Calcs'!$D$396:$D$400,$E$10,'10. Inputs &amp; Calcs'!K$396:K$400)</f>
        <v>0</v>
      </c>
      <c r="T94" s="801">
        <f>SUMIF('10. Inputs &amp; Calcs'!$D$396:$D$400,$E$10,'10. Inputs &amp; Calcs'!L$396:L$400)</f>
        <v>0</v>
      </c>
      <c r="U94" s="801">
        <f>SUMIF('10. Inputs &amp; Calcs'!$D$396:$D$400,$E$10,'10. Inputs &amp; Calcs'!M$396:M$400)</f>
        <v>0</v>
      </c>
      <c r="V94" s="801">
        <f>SUMIF('10. Inputs &amp; Calcs'!$D$396:$D$400,$E$10,'10. Inputs &amp; Calcs'!N$396:N$400)</f>
        <v>0</v>
      </c>
      <c r="W94" s="801">
        <f>SUMIF('10. Inputs &amp; Calcs'!$D$396:$D$400,$E$10,'10. Inputs &amp; Calcs'!O$396:O$400)</f>
        <v>0</v>
      </c>
      <c r="X94" s="801">
        <f>SUMIF('10. Inputs &amp; Calcs'!$D$396:$D$400,$E$10,'10. Inputs &amp; Calcs'!P$396:P$400)</f>
        <v>0</v>
      </c>
      <c r="Y94" s="801">
        <f>SUMIF('10. Inputs &amp; Calcs'!$D$396:$D$400,$E$10,'10. Inputs &amp; Calcs'!Q$396:Q$400)</f>
        <v>0</v>
      </c>
      <c r="Z94" s="801">
        <f>SUMIF('10. Inputs &amp; Calcs'!$D$396:$D$400,$E$10,'10. Inputs &amp; Calcs'!R$396:R$400)</f>
        <v>0</v>
      </c>
      <c r="AA94" s="801">
        <f>SUMIF('10. Inputs &amp; Calcs'!$D$396:$D$400,$E$10,'10. Inputs &amp; Calcs'!S$396:S$400)</f>
        <v>0</v>
      </c>
      <c r="AB94" s="801">
        <f>SUMIF('10. Inputs &amp; Calcs'!$D$396:$D$400,$E$10,'10. Inputs &amp; Calcs'!T$396:T$400)</f>
        <v>0</v>
      </c>
      <c r="AC94" s="801">
        <f>SUMIF('10. Inputs &amp; Calcs'!$D$396:$D$400,$E$10,'10. Inputs &amp; Calcs'!U$396:U$400)</f>
        <v>0</v>
      </c>
      <c r="AD94" s="801">
        <f>SUMIF('10. Inputs &amp; Calcs'!$D$396:$D$400,$E$10,'10. Inputs &amp; Calcs'!V$396:V$400)</f>
        <v>0</v>
      </c>
      <c r="AE94" s="801">
        <f>SUMIF('10. Inputs &amp; Calcs'!$D$396:$D$400,$E$10,'10. Inputs &amp; Calcs'!W$396:W$400)</f>
        <v>0</v>
      </c>
      <c r="AF94" s="533">
        <f>SUMIF('10. Inputs &amp; Calcs'!$D$396:$D$400,$E$10,'10. Inputs &amp; Calcs'!X$396:X$400)</f>
        <v>0</v>
      </c>
      <c r="AG94" s="533">
        <f>SUMIF('10. Inputs &amp; Calcs'!$D$396:$D$400,$E$10,'10. Inputs &amp; Calcs'!Y$396:Y$400)</f>
        <v>0</v>
      </c>
      <c r="AH94" s="533">
        <f>SUMIF('10. Inputs &amp; Calcs'!$D$396:$D$400,$E$10,'10. Inputs &amp; Calcs'!Z$396:Z$400)</f>
        <v>0</v>
      </c>
      <c r="AI94" s="533">
        <f>SUMIF('10. Inputs &amp; Calcs'!$D$396:$D$400,$E$10,'10. Inputs &amp; Calcs'!AA$396:AA$400)</f>
        <v>0</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hidden="1"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hidden="1" outlineLevel="1" x14ac:dyDescent="0.45">
      <c r="F96" s="18"/>
      <c r="G96" s="18"/>
      <c r="I96" s="18"/>
      <c r="J96" s="18"/>
      <c r="K96" s="18"/>
      <c r="L96" s="18"/>
      <c r="P96" s="533">
        <f>P94-P95</f>
        <v>-8780700.9399999995</v>
      </c>
      <c r="Q96" s="801">
        <f t="shared" ref="Q96:AL96" si="38">Q94-Q95</f>
        <v>-10167127.404210526</v>
      </c>
      <c r="R96" s="801">
        <f t="shared" si="38"/>
        <v>-11553553.868421052</v>
      </c>
      <c r="S96" s="801">
        <f t="shared" si="38"/>
        <v>-12939980.332631577</v>
      </c>
      <c r="T96" s="801">
        <f t="shared" si="38"/>
        <v>-13094027.717543857</v>
      </c>
      <c r="U96" s="801">
        <f t="shared" si="38"/>
        <v>-13248075.102456138</v>
      </c>
      <c r="V96" s="801">
        <f t="shared" si="38"/>
        <v>-13402122.487368418</v>
      </c>
      <c r="W96" s="801">
        <f t="shared" si="38"/>
        <v>-13556169.872280698</v>
      </c>
      <c r="X96" s="801">
        <f t="shared" si="38"/>
        <v>-13710217.257192979</v>
      </c>
      <c r="Y96" s="801">
        <f t="shared" si="38"/>
        <v>-13864264.642105259</v>
      </c>
      <c r="Z96" s="801">
        <f t="shared" si="38"/>
        <v>-14018312.027017539</v>
      </c>
      <c r="AA96" s="801">
        <f t="shared" si="38"/>
        <v>-14172359.41192982</v>
      </c>
      <c r="AB96" s="801">
        <f t="shared" si="38"/>
        <v>-14326406.7968421</v>
      </c>
      <c r="AC96" s="801">
        <f t="shared" si="38"/>
        <v>-14480454.18175438</v>
      </c>
      <c r="AD96" s="801">
        <f t="shared" si="38"/>
        <v>-14634501.566666661</v>
      </c>
      <c r="AE96" s="801">
        <f t="shared" si="38"/>
        <v>-14788548.951578941</v>
      </c>
      <c r="AF96" s="533">
        <f t="shared" si="38"/>
        <v>-14942596.336491222</v>
      </c>
      <c r="AG96" s="533">
        <f t="shared" si="38"/>
        <v>-15096643.721403502</v>
      </c>
      <c r="AH96" s="533">
        <f t="shared" si="38"/>
        <v>-15250691.106315782</v>
      </c>
      <c r="AI96" s="533">
        <f t="shared" si="38"/>
        <v>-15404738.491228063</v>
      </c>
      <c r="AJ96" s="533">
        <f t="shared" si="38"/>
        <v>0</v>
      </c>
      <c r="AK96" s="533">
        <f t="shared" si="38"/>
        <v>0</v>
      </c>
      <c r="AL96" s="533">
        <f t="shared" si="38"/>
        <v>0</v>
      </c>
      <c r="AM96" s="18"/>
      <c r="AN96" s="18"/>
      <c r="AO96" s="18"/>
      <c r="AP96" s="18"/>
      <c r="AQ96" s="18"/>
      <c r="AR96" s="18"/>
      <c r="AS96" s="18"/>
      <c r="AT96" s="18"/>
    </row>
    <row r="97" spans="3:46" hidden="1"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hidden="1"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hidden="1"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hidden="1"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hidden="1" outlineLevel="1" x14ac:dyDescent="0.45">
      <c r="P101" s="896">
        <f>SUM(P99:P100)</f>
        <v>7399</v>
      </c>
      <c r="Q101" s="1137">
        <f t="shared" ref="Q101:AK101" si="39">SUM(Q99:Q100)</f>
        <v>7399</v>
      </c>
      <c r="R101" s="1137">
        <f t="shared" si="39"/>
        <v>7399</v>
      </c>
      <c r="S101" s="1137">
        <f t="shared" si="39"/>
        <v>7399</v>
      </c>
      <c r="T101" s="1137">
        <f t="shared" si="39"/>
        <v>7399</v>
      </c>
      <c r="U101" s="1137">
        <f t="shared" si="39"/>
        <v>7399</v>
      </c>
      <c r="V101" s="1137">
        <f t="shared" si="39"/>
        <v>7399</v>
      </c>
      <c r="W101" s="1137">
        <f t="shared" si="39"/>
        <v>7399</v>
      </c>
      <c r="X101" s="1137">
        <f t="shared" si="39"/>
        <v>7399</v>
      </c>
      <c r="Y101" s="1137">
        <f t="shared" si="39"/>
        <v>7399</v>
      </c>
      <c r="Z101" s="1137">
        <f t="shared" si="39"/>
        <v>7399</v>
      </c>
      <c r="AA101" s="1137">
        <f t="shared" si="39"/>
        <v>7399</v>
      </c>
      <c r="AB101" s="1137">
        <f t="shared" si="39"/>
        <v>7399</v>
      </c>
      <c r="AC101" s="1137">
        <f t="shared" si="39"/>
        <v>7399</v>
      </c>
      <c r="AD101" s="1137">
        <f t="shared" si="39"/>
        <v>7399</v>
      </c>
      <c r="AE101" s="1137">
        <f t="shared" si="39"/>
        <v>7399</v>
      </c>
      <c r="AF101" s="896">
        <f t="shared" si="39"/>
        <v>7399</v>
      </c>
      <c r="AG101" s="896">
        <f t="shared" si="39"/>
        <v>7399</v>
      </c>
      <c r="AH101" s="896">
        <f t="shared" si="39"/>
        <v>7399</v>
      </c>
      <c r="AI101" s="896">
        <f t="shared" si="39"/>
        <v>7399</v>
      </c>
      <c r="AJ101" s="896">
        <f t="shared" si="39"/>
        <v>7399</v>
      </c>
      <c r="AK101" s="896">
        <f t="shared" si="39"/>
        <v>0</v>
      </c>
      <c r="AL101" s="18"/>
      <c r="AM101" s="18"/>
      <c r="AN101" s="18"/>
      <c r="AO101" s="18"/>
      <c r="AP101" s="18"/>
      <c r="AQ101" s="18"/>
      <c r="AR101" s="18"/>
      <c r="AS101" s="18"/>
      <c r="AT101" s="18"/>
    </row>
    <row r="102" spans="3:46" collapsed="1"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Review'!$F$3:$W$3,'9a. Forecast Results - Total'!N$1,'11. Table - Expenditure Review'!$F210:$W210)</f>
        <v>0.12911491713184367</v>
      </c>
      <c r="O104" s="800">
        <f>SUMIF('11. Table - Expenditure Review'!$F$3:$W$3,'9a. Forecast Results - Total'!O$1,'11. Table - Expenditure Review'!$F210:$W210)</f>
        <v>0.2262622956784065</v>
      </c>
      <c r="P104" s="800">
        <f>SUMIF('11. Table - Expenditure Review'!$F$3:$W$3,'9a. Forecast Results - Total'!P$1,'11. Table - Expenditure Review'!$F210:$W210)</f>
        <v>0.24001823843768713</v>
      </c>
      <c r="Q104" s="916">
        <f t="shared" ref="Q104:AL104" si="40">IF(Q19&lt;&gt;0,Q21/Q19,0)</f>
        <v>0.14589278010946469</v>
      </c>
      <c r="R104" s="916">
        <f t="shared" si="40"/>
        <v>0.14589278010946469</v>
      </c>
      <c r="S104" s="916">
        <f t="shared" si="40"/>
        <v>0.12668732159277471</v>
      </c>
      <c r="T104" s="916">
        <f t="shared" si="40"/>
        <v>6.5747878122074388E-2</v>
      </c>
      <c r="U104" s="916">
        <f t="shared" si="40"/>
        <v>6.5747878122074388E-2</v>
      </c>
      <c r="V104" s="916">
        <f t="shared" si="40"/>
        <v>6.5747878122074388E-2</v>
      </c>
      <c r="W104" s="916">
        <f t="shared" si="40"/>
        <v>6.5747878122074388E-2</v>
      </c>
      <c r="X104" s="916">
        <f t="shared" si="40"/>
        <v>6.5747878122074388E-2</v>
      </c>
      <c r="Y104" s="916">
        <f t="shared" si="40"/>
        <v>6.5747878122074388E-2</v>
      </c>
      <c r="Z104" s="916">
        <f t="shared" si="40"/>
        <v>6.5747878122074388E-2</v>
      </c>
      <c r="AA104" s="916">
        <f t="shared" si="40"/>
        <v>6.5747878122074388E-2</v>
      </c>
      <c r="AB104" s="916">
        <f t="shared" si="40"/>
        <v>6.5747878122074388E-2</v>
      </c>
      <c r="AC104" s="916">
        <f t="shared" si="40"/>
        <v>6.5747878122074388E-2</v>
      </c>
      <c r="AD104" s="916">
        <f t="shared" si="40"/>
        <v>6.5747878122074388E-2</v>
      </c>
      <c r="AE104" s="916">
        <f t="shared" si="40"/>
        <v>6.5747878122074388E-2</v>
      </c>
      <c r="AF104" s="916">
        <f t="shared" si="40"/>
        <v>6.5747878122074388E-2</v>
      </c>
      <c r="AG104" s="916">
        <f t="shared" si="40"/>
        <v>6.5747878122074388E-2</v>
      </c>
      <c r="AH104" s="916">
        <f t="shared" si="40"/>
        <v>6.5747878122074388E-2</v>
      </c>
      <c r="AI104" s="916">
        <f t="shared" si="40"/>
        <v>6.5747878122074388E-2</v>
      </c>
      <c r="AJ104" s="916">
        <f t="shared" si="40"/>
        <v>0.13248519490854305</v>
      </c>
      <c r="AK104" s="916">
        <f t="shared" si="40"/>
        <v>0</v>
      </c>
      <c r="AL104" s="916">
        <f t="shared" si="40"/>
        <v>8.4691837142118462E-2</v>
      </c>
    </row>
    <row r="105" spans="3:46" x14ac:dyDescent="0.45">
      <c r="C105" t="str">
        <f>'11. Table - Expenditure Review'!C211</f>
        <v>E1.44</v>
      </c>
      <c r="D105" t="str">
        <f>'11. Table - Expenditure Review'!E211</f>
        <v>Rental Collections/Rentals Raised</v>
      </c>
      <c r="N105" s="800">
        <f>SUMIF('11. Table - Expenditure Review'!$F$3:$W$3,'9a. Forecast Results - Total'!N$1,'11. Table - Expenditure Review'!$F211:$W211)</f>
        <v>0.43074995700024832</v>
      </c>
      <c r="O105" s="800">
        <f>SUMIF('11. Table - Expenditure Review'!$F$3:$W$3,'9a. Forecast Results - Total'!O$1,'11. Table - Expenditure Review'!$F211:$W211)</f>
        <v>0.4175691893204192</v>
      </c>
      <c r="P105" s="800">
        <f>SUMIF('11. Table - Expenditure Review'!$F$3:$W$3,'9a. Forecast Results - Total'!P$1,'11. Table - Expenditure Review'!$F211:$W211)</f>
        <v>0.4799755579961148</v>
      </c>
      <c r="Q105" s="916">
        <f t="shared" ref="Q105:AL105" si="41">IF(Q23&lt;&gt;0,Q25/Q23,0)</f>
        <v>0.45924066965734001</v>
      </c>
      <c r="R105" s="916">
        <f t="shared" si="41"/>
        <v>0.43027023088641919</v>
      </c>
      <c r="S105" s="916">
        <f t="shared" si="41"/>
        <v>0.40193032417923641</v>
      </c>
      <c r="T105" s="916">
        <f t="shared" si="41"/>
        <v>0.40200271560394374</v>
      </c>
      <c r="U105" s="916">
        <f t="shared" si="41"/>
        <v>0.40208524472447471</v>
      </c>
      <c r="V105" s="916">
        <f t="shared" si="41"/>
        <v>0.40218020140141142</v>
      </c>
      <c r="W105" s="916">
        <f t="shared" si="41"/>
        <v>0.40229062127909859</v>
      </c>
      <c r="X105" s="916">
        <f t="shared" si="41"/>
        <v>0.40242061631570591</v>
      </c>
      <c r="Y105" s="916">
        <f t="shared" si="41"/>
        <v>0.40257589819903378</v>
      </c>
      <c r="Z105" s="916">
        <f t="shared" si="41"/>
        <v>0.4027646401181767</v>
      </c>
      <c r="AA105" s="916">
        <f t="shared" si="41"/>
        <v>0.40299896288428361</v>
      </c>
      <c r="AB105" s="916">
        <f t="shared" si="41"/>
        <v>0.40329764560146902</v>
      </c>
      <c r="AC105" s="916">
        <f t="shared" si="41"/>
        <v>0.40369142547750952</v>
      </c>
      <c r="AD105" s="916">
        <f t="shared" si="41"/>
        <v>0.40423431828483092</v>
      </c>
      <c r="AE105" s="916">
        <f t="shared" si="41"/>
        <v>0.40503080257458618</v>
      </c>
      <c r="AF105" s="916">
        <f t="shared" si="41"/>
        <v>0.40631270636913475</v>
      </c>
      <c r="AG105" s="916">
        <f t="shared" si="41"/>
        <v>0.40871828245838759</v>
      </c>
      <c r="AH105" s="916">
        <f t="shared" si="41"/>
        <v>0.41487778252245144</v>
      </c>
      <c r="AI105" s="916">
        <f t="shared" si="41"/>
        <v>0.46477863356926424</v>
      </c>
      <c r="AJ105" s="916">
        <f t="shared" si="41"/>
        <v>0</v>
      </c>
      <c r="AK105" s="916">
        <f t="shared" si="41"/>
        <v>0</v>
      </c>
      <c r="AL105" s="916">
        <f t="shared" si="41"/>
        <v>0.41305642923034358</v>
      </c>
    </row>
    <row r="106" spans="3:46" x14ac:dyDescent="0.45">
      <c r="C106" t="str">
        <f>'11. Table - Expenditure Review'!C212</f>
        <v>E1.45</v>
      </c>
      <c r="D106" t="str">
        <f>'11. Table - Expenditure Review'!E212</f>
        <v>No. of Sales Accounts Where Any Collections Were Made/Sales Accounts Raised</v>
      </c>
      <c r="N106" s="800">
        <f>SUMIF('11. Table - Expenditure Review'!$F$3:$W$3,'9a. Forecast Results - Total'!N$1,'11. Table - Expenditure Review'!$F212:$W212)</f>
        <v>3.7890504175688212E-2</v>
      </c>
      <c r="O106" s="800">
        <f>SUMIF('11. Table - Expenditure Review'!$F$3:$W$3,'9a. Forecast Results - Total'!O$1,'11. Table - Expenditure Review'!$F212:$W212)</f>
        <v>3.5734020998342234E-2</v>
      </c>
      <c r="P106" s="800">
        <f>SUMIF('11. Table - Expenditure Review'!$F$3:$W$3,'9a. Forecast Results - Total'!P$1,'11. Table - Expenditure Review'!$F212:$W212)</f>
        <v>3.8430744595676539E-2</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Review'!$F$3:$W$3,'9a. Forecast Results - Total'!N$1,'11. Table - Expenditure Review'!$F213:$W213)</f>
        <v>0.30743887636552802</v>
      </c>
      <c r="O107" s="800">
        <f>SUMIF('11. Table - Expenditure Review'!$F$3:$W$3,'9a. Forecast Results - Total'!O$1,'11. Table - Expenditure Review'!$F213:$W213)</f>
        <v>0.28598200899550225</v>
      </c>
      <c r="P107" s="800">
        <f>SUMIF('11. Table - Expenditure Review'!$F$3:$W$3,'9a. Forecast Results - Total'!P$1,'11. Table - Expenditure Review'!$F213:$W213)</f>
        <v>0.3328814872192099</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Review'!$F$3:$W$3,'9a. Forecast Results - Total'!N$1,'11. Table - Expenditure Review'!$F214:$W214)</f>
        <v>0</v>
      </c>
      <c r="O108" s="800">
        <f>SUMIF('11. Table - Expenditure Review'!$F$3:$W$3,'9a. Forecast Results - Total'!O$1,'11. Table - Expenditure Review'!$F214:$W214)</f>
        <v>0.73369537590465173</v>
      </c>
      <c r="P108" s="800">
        <f>SUMIF('11. Table - Expenditure Review'!$F$3:$W$3,'9a. Forecast Results - Total'!P$1,'11. Table - Expenditure Review'!$F214:$W214)</f>
        <v>58.305580012254282</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Review'!$F$3:$W$3,'9a. Forecast Results - Total'!N$1,'11. Table - Expenditure Review'!$F215:$W215)</f>
        <v>0</v>
      </c>
      <c r="O109" s="800">
        <f>SUMIF('11. Table - Expenditure Review'!$F$3:$W$3,'9a. Forecast Results - Total'!O$1,'11. Table - Expenditure Review'!$F215:$W215)</f>
        <v>0</v>
      </c>
      <c r="P109" s="800">
        <f>SUMIF('11. Table - Expenditure Review'!$F$3:$W$3,'9a. Forecast Results - Total'!P$1,'11.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Review'!$F$3:$W$3,'9a. Forecast Results - Total'!N$1,'11. Table - Expenditure Review'!$F216:$W216)</f>
        <v>3.9797793944828515</v>
      </c>
      <c r="O110" s="800">
        <f>SUMIF('11. Table - Expenditure Review'!$F$3:$W$3,'9a. Forecast Results - Total'!O$1,'11. Table - Expenditure Review'!$F216:$W216)</f>
        <v>3.9774448403588876</v>
      </c>
      <c r="P110" s="800">
        <f>SUMIF('11. Table - Expenditure Review'!$F$3:$W$3,'9a. Forecast Results - Total'!P$1,'11. Table - Expenditure Review'!$F216:$W216)</f>
        <v>5.5783167506580043</v>
      </c>
      <c r="Q110" s="914">
        <f t="shared" ref="Q110:AL110" ca="1" si="42">IF(Q28&lt;&gt;0,Q47/Q28,0)</f>
        <v>12.671079931042106</v>
      </c>
      <c r="R110" s="914">
        <f t="shared" ca="1" si="42"/>
        <v>13.507273116795963</v>
      </c>
      <c r="S110" s="914">
        <f t="shared" ca="1" si="42"/>
        <v>15.977837533118961</v>
      </c>
      <c r="T110" s="914">
        <f t="shared" ca="1" si="42"/>
        <v>30.537175879738236</v>
      </c>
      <c r="U110" s="914">
        <f t="shared" ca="1" si="42"/>
        <v>31.578787537400064</v>
      </c>
      <c r="V110" s="914">
        <f t="shared" ca="1" si="42"/>
        <v>32.583822867731854</v>
      </c>
      <c r="W110" s="914">
        <f t="shared" ca="1" si="42"/>
        <v>33.533380100091833</v>
      </c>
      <c r="X110" s="914">
        <f t="shared" ca="1" si="42"/>
        <v>34.403761511004006</v>
      </c>
      <c r="Y110" s="914">
        <f t="shared" ca="1" si="42"/>
        <v>35.165178524142178</v>
      </c>
      <c r="Z110" s="914">
        <f t="shared" ca="1" si="42"/>
        <v>35.780039264048</v>
      </c>
      <c r="AA110" s="914">
        <f t="shared" ca="1" si="42"/>
        <v>36.200654829392356</v>
      </c>
      <c r="AB110" s="914">
        <f t="shared" ca="1" si="42"/>
        <v>36.366123014428666</v>
      </c>
      <c r="AC110" s="914">
        <f t="shared" ca="1" si="42"/>
        <v>36.19802677949022</v>
      </c>
      <c r="AD110" s="914">
        <f t="shared" ca="1" si="42"/>
        <v>35.594389996269669</v>
      </c>
      <c r="AE110" s="914">
        <f t="shared" ca="1" si="42"/>
        <v>34.421012103663806</v>
      </c>
      <c r="AF110" s="914">
        <f t="shared" ca="1" si="42"/>
        <v>32.498758542525906</v>
      </c>
      <c r="AG110" s="914">
        <f t="shared" ca="1" si="42"/>
        <v>29.584427062221131</v>
      </c>
      <c r="AH110" s="914">
        <f t="shared" ca="1" si="42"/>
        <v>25.341063223634034</v>
      </c>
      <c r="AI110" s="914">
        <f t="shared" ca="1" si="42"/>
        <v>19.29026369974644</v>
      </c>
      <c r="AJ110" s="914">
        <f t="shared" ca="1" si="42"/>
        <v>1.6075727102062864</v>
      </c>
      <c r="AK110" s="914">
        <f t="shared" ca="1" si="42"/>
        <v>0</v>
      </c>
      <c r="AL110" s="914">
        <f t="shared" ca="1" si="42"/>
        <v>25.484788142266282</v>
      </c>
    </row>
    <row r="111" spans="3:46" x14ac:dyDescent="0.45">
      <c r="C111" t="str">
        <f>'11. Table - Expenditure Review'!C217</f>
        <v>E1.50</v>
      </c>
      <c r="D111" t="str">
        <f>'11. Table - Expenditure Review'!E217</f>
        <v>Maintenance as % of Expenses</v>
      </c>
      <c r="N111" s="800">
        <f>SUMIF('11. Table - Expenditure Review'!$F$3:$W$3,'9a. Forecast Results - Total'!N$1,'11. Table - Expenditure Review'!$F217:$W217)</f>
        <v>0.41192797318755381</v>
      </c>
      <c r="O111" s="800">
        <f>SUMIF('11. Table - Expenditure Review'!$F$3:$W$3,'9a. Forecast Results - Total'!O$1,'11. Table - Expenditure Review'!$F217:$W217)</f>
        <v>0.32548273107837405</v>
      </c>
      <c r="P111" s="800">
        <f>SUMIF('11. Table - Expenditure Review'!$F$3:$W$3,'9a. Forecast Results - Total'!P$1,'11. Table - Expenditure Review'!$F217:$W217)</f>
        <v>0.40096302405356743</v>
      </c>
      <c r="Q111" s="914">
        <f t="shared" ref="Q111:AL111" si="43">IF(Q47&lt;&gt;0,Q33/Q47,0)</f>
        <v>0.39034513559371409</v>
      </c>
      <c r="R111" s="914">
        <f t="shared" si="43"/>
        <v>0.38882931518015867</v>
      </c>
      <c r="S111" s="914">
        <f t="shared" si="43"/>
        <v>0.3879290644413716</v>
      </c>
      <c r="T111" s="914">
        <f t="shared" si="43"/>
        <v>0.39105915624224319</v>
      </c>
      <c r="U111" s="914">
        <f t="shared" si="43"/>
        <v>0.38812760119698214</v>
      </c>
      <c r="V111" s="914">
        <f t="shared" si="43"/>
        <v>0.38480258720870819</v>
      </c>
      <c r="W111" s="914">
        <f t="shared" si="43"/>
        <v>0.38099920395919712</v>
      </c>
      <c r="X111" s="914">
        <f t="shared" si="43"/>
        <v>0.37660621531535154</v>
      </c>
      <c r="Y111" s="914">
        <f t="shared" si="43"/>
        <v>0.37147499941321133</v>
      </c>
      <c r="Z111" s="914">
        <f t="shared" si="43"/>
        <v>0.36540240152646231</v>
      </c>
      <c r="AA111" s="914">
        <f t="shared" si="43"/>
        <v>0.35810319625943859</v>
      </c>
      <c r="AB111" s="914">
        <f t="shared" si="43"/>
        <v>0.34916398795754855</v>
      </c>
      <c r="AC111" s="914">
        <f t="shared" si="43"/>
        <v>0.33796210521123626</v>
      </c>
      <c r="AD111" s="914">
        <f t="shared" si="43"/>
        <v>0.32351398369371032</v>
      </c>
      <c r="AE111" s="914">
        <f t="shared" si="43"/>
        <v>0.30416940002598553</v>
      </c>
      <c r="AF111" s="914">
        <f t="shared" si="43"/>
        <v>0.27693140914801878</v>
      </c>
      <c r="AG111" s="914">
        <f t="shared" si="43"/>
        <v>0.23573042123964877</v>
      </c>
      <c r="AH111" s="914">
        <f t="shared" si="43"/>
        <v>0.16612919199079118</v>
      </c>
      <c r="AI111" s="914">
        <f t="shared" si="43"/>
        <v>2.3319510182640481E-2</v>
      </c>
      <c r="AJ111" s="914">
        <f t="shared" si="43"/>
        <v>0</v>
      </c>
      <c r="AK111" s="914">
        <f t="shared" si="43"/>
        <v>0</v>
      </c>
      <c r="AL111" s="914">
        <f t="shared" si="43"/>
        <v>0.35204265561108117</v>
      </c>
    </row>
    <row r="112" spans="3:46" x14ac:dyDescent="0.45">
      <c r="C112" t="str">
        <f>'11. Table - Expenditure Review'!C218</f>
        <v>E1.51</v>
      </c>
      <c r="D112" t="str">
        <f>'11. Table - Expenditure Review'!E218</f>
        <v>Maintenance Cost per Unit</v>
      </c>
      <c r="N112" s="801">
        <f>SUMIF('11. Table - Expenditure Review'!$F$3:$W$3,'9a. Forecast Results - Total'!N$1,'11. Table - Expenditure Review'!$F218:$W218)</f>
        <v>221716.96123404257</v>
      </c>
      <c r="O112" s="801">
        <f>SUMIF('11. Table - Expenditure Review'!$F$3:$W$3,'9a. Forecast Results - Total'!O$1,'11. Table - Expenditure Review'!$F218:$W218)</f>
        <v>342047.40684615384</v>
      </c>
      <c r="P112" s="801">
        <f>SUMIF('11. Table - Expenditure Review'!$F$3:$W$3,'9a. Forecast Results - Total'!P$1,'11. Table - Expenditure Review'!$F218:$W218)</f>
        <v>11128.651734496125</v>
      </c>
      <c r="Q112" s="566">
        <f t="shared" ref="Q112:AL112" si="44">IF(Q13&lt;&gt;0,Q33/Q13,0)</f>
        <v>12035.816189307363</v>
      </c>
      <c r="R112" s="566">
        <f t="shared" si="44"/>
        <v>13086.557466923452</v>
      </c>
      <c r="S112" s="566">
        <f t="shared" si="44"/>
        <v>14188.834453623436</v>
      </c>
      <c r="T112" s="566">
        <f t="shared" si="44"/>
        <v>14964.58439801161</v>
      </c>
      <c r="U112" s="566">
        <f t="shared" si="44"/>
        <v>15782.055630978948</v>
      </c>
      <c r="V112" s="566">
        <f t="shared" si="44"/>
        <v>16643.287174203506</v>
      </c>
      <c r="W112" s="566">
        <f t="shared" si="44"/>
        <v>17550.338383888764</v>
      </c>
      <c r="X112" s="566">
        <f t="shared" si="44"/>
        <v>18505.246818229018</v>
      </c>
      <c r="Y112" s="566">
        <f t="shared" si="44"/>
        <v>19509.957426780529</v>
      </c>
      <c r="Z112" s="566">
        <f t="shared" si="44"/>
        <v>20566.200907271548</v>
      </c>
      <c r="AA112" s="566">
        <f t="shared" si="44"/>
        <v>21675.277380400326</v>
      </c>
      <c r="AB112" s="566">
        <f t="shared" si="44"/>
        <v>22837.652631084573</v>
      </c>
      <c r="AC112" s="566">
        <f t="shared" si="44"/>
        <v>24052.154009453407</v>
      </c>
      <c r="AD112" s="566">
        <f t="shared" si="44"/>
        <v>25314.224042317313</v>
      </c>
      <c r="AE112" s="566">
        <f t="shared" si="44"/>
        <v>26611.651785183898</v>
      </c>
      <c r="AF112" s="566">
        <f t="shared" si="44"/>
        <v>27912.22334345604</v>
      </c>
      <c r="AG112" s="566">
        <f t="shared" si="44"/>
        <v>29117.306263097904</v>
      </c>
      <c r="AH112" s="566">
        <f t="shared" si="44"/>
        <v>29778.760391311193</v>
      </c>
      <c r="AI112" s="566">
        <f t="shared" si="44"/>
        <v>19218.711847823091</v>
      </c>
      <c r="AJ112" s="566">
        <f t="shared" si="44"/>
        <v>0</v>
      </c>
      <c r="AK112" s="566">
        <f t="shared" si="44"/>
        <v>0</v>
      </c>
      <c r="AL112" s="566">
        <f t="shared" si="44"/>
        <v>0</v>
      </c>
    </row>
    <row r="113" spans="1:38" x14ac:dyDescent="0.45">
      <c r="C113" t="str">
        <f>'11. Table - Expenditure Review'!C219</f>
        <v>E1.52</v>
      </c>
      <c r="D113" t="str">
        <f>'11. Table - Expenditure Review'!E219</f>
        <v>Net Deficit as % of HSDG Grant -  NDoHS Calc  (excl staff costs)</v>
      </c>
      <c r="N113" s="802">
        <f>SUMIF('11. Table - Expenditure Review'!$F$3:$W$3,'9a. Forecast Results - Total'!N$1,'11. Table - Expenditure Review'!$F219:$W219)</f>
        <v>5.6283986361087817E-3</v>
      </c>
      <c r="O113" s="802">
        <f>SUMIF('11. Table - Expenditure Review'!$F$3:$W$3,'9a. Forecast Results - Total'!O$1,'11. Table - Expenditure Review'!$F219:$W219)</f>
        <v>5.8277379008081645E-3</v>
      </c>
      <c r="P113" s="802">
        <f>SUMIF('11. Table - Expenditure Review'!$F$3:$W$3,'9a. Forecast Results - Total'!P$1,'11. Table - Expenditure Review'!$F219:$W219)</f>
        <v>8.965710025639017E-3</v>
      </c>
      <c r="Q113" s="915">
        <f t="shared" ref="Q113:AL113" ca="1" si="45">IF(Q71&lt;&gt;0,-Q48/Q71,0)</f>
        <v>1.0064622456272281E-2</v>
      </c>
      <c r="R113" s="915">
        <f t="shared" ca="1" si="45"/>
        <v>9.822358387218573E-3</v>
      </c>
      <c r="S113" s="915">
        <f t="shared" ca="1" si="45"/>
        <v>9.5614949341196274E-3</v>
      </c>
      <c r="T113" s="915">
        <f t="shared" ca="1" si="45"/>
        <v>9.6839048748770928E-3</v>
      </c>
      <c r="U113" s="915">
        <f t="shared" ca="1" si="45"/>
        <v>9.622777727496902E-3</v>
      </c>
      <c r="V113" s="915">
        <f t="shared" ca="1" si="45"/>
        <v>9.5231926737937116E-3</v>
      </c>
      <c r="W113" s="915">
        <f t="shared" ca="1" si="45"/>
        <v>9.3811440832379626E-3</v>
      </c>
      <c r="X113" s="915">
        <f t="shared" ca="1" si="45"/>
        <v>9.1923020411084737E-3</v>
      </c>
      <c r="Y113" s="915">
        <f t="shared" ca="1" si="45"/>
        <v>8.9519887942637148E-3</v>
      </c>
      <c r="Z113" s="915">
        <f t="shared" ca="1" si="45"/>
        <v>8.6551535869075942E-3</v>
      </c>
      <c r="AA113" s="915">
        <f t="shared" ca="1" si="45"/>
        <v>8.296345780500718E-3</v>
      </c>
      <c r="AB113" s="915">
        <f t="shared" ca="1" si="45"/>
        <v>7.8696861451948985E-3</v>
      </c>
      <c r="AC113" s="915">
        <f t="shared" ca="1" si="45"/>
        <v>7.3688362029707853E-3</v>
      </c>
      <c r="AD113" s="915">
        <f t="shared" ca="1" si="45"/>
        <v>6.7869654950093094E-3</v>
      </c>
      <c r="AE113" s="915">
        <f t="shared" ca="1" si="45"/>
        <v>6.1167166376997432E-3</v>
      </c>
      <c r="AF113" s="915">
        <f t="shared" ca="1" si="45"/>
        <v>5.3501680230505248E-3</v>
      </c>
      <c r="AG113" s="915">
        <f t="shared" ca="1" si="45"/>
        <v>4.4787940100927985E-3</v>
      </c>
      <c r="AH113" s="915">
        <f t="shared" ca="1" si="45"/>
        <v>3.4934224441170955E-3</v>
      </c>
      <c r="AI113" s="915">
        <f t="shared" ca="1" si="45"/>
        <v>2.3841893302257808E-3</v>
      </c>
      <c r="AJ113" s="915">
        <f t="shared" ca="1" si="45"/>
        <v>2.232423024839863E-5</v>
      </c>
      <c r="AK113" s="915">
        <f t="shared" ca="1" si="45"/>
        <v>0</v>
      </c>
      <c r="AL113" s="915">
        <f t="shared" ca="1" si="45"/>
        <v>6.9822089456383794E-3</v>
      </c>
    </row>
    <row r="114" spans="1:38" x14ac:dyDescent="0.45">
      <c r="C114" t="str">
        <f>'11. Table - Expenditure Review'!C220</f>
        <v>E1.53</v>
      </c>
      <c r="D114" t="str">
        <f>'11. Table - Expenditure Review'!E220</f>
        <v>Net Deficit (Surplus) as % of HSDG Grant - Calculated Above</v>
      </c>
      <c r="N114" s="802">
        <f>SUMIF('11. Table - Expenditure Review'!$F$3:$W$3,'9a. Forecast Results - Total'!N$1,'11. Table - Expenditure Review'!$F220:$W220)</f>
        <v>7.1340708821272698E-3</v>
      </c>
      <c r="O114" s="802">
        <f>SUMIF('11. Table - Expenditure Review'!$F$3:$W$3,'9a. Forecast Results - Total'!O$1,'11. Table - Expenditure Review'!$F220:$W220)</f>
        <v>7.6800552566858417E-3</v>
      </c>
      <c r="P114" s="802">
        <f>SUMIF('11. Table - Expenditure Review'!$F$3:$W$3,'9a. Forecast Results - Total'!P$1,'11. Table - Expenditure Review'!$F220:$W220)</f>
        <v>8.965710025639017E-3</v>
      </c>
      <c r="Q114" s="915">
        <f t="shared" ref="Q114:AL114" ca="1" si="46">IF(Q71&lt;&gt;0,-Q48/Q71,0)</f>
        <v>1.0064622456272281E-2</v>
      </c>
      <c r="R114" s="915">
        <f t="shared" ca="1" si="46"/>
        <v>9.822358387218573E-3</v>
      </c>
      <c r="S114" s="915">
        <f t="shared" ca="1" si="46"/>
        <v>9.5614949341196274E-3</v>
      </c>
      <c r="T114" s="915">
        <f t="shared" ca="1" si="46"/>
        <v>9.6839048748770928E-3</v>
      </c>
      <c r="U114" s="915">
        <f t="shared" ca="1" si="46"/>
        <v>9.622777727496902E-3</v>
      </c>
      <c r="V114" s="915">
        <f t="shared" ca="1" si="46"/>
        <v>9.5231926737937116E-3</v>
      </c>
      <c r="W114" s="915">
        <f t="shared" ca="1" si="46"/>
        <v>9.3811440832379626E-3</v>
      </c>
      <c r="X114" s="915">
        <f t="shared" ca="1" si="46"/>
        <v>9.1923020411084737E-3</v>
      </c>
      <c r="Y114" s="915">
        <f t="shared" ca="1" si="46"/>
        <v>8.9519887942637148E-3</v>
      </c>
      <c r="Z114" s="915">
        <f t="shared" ca="1" si="46"/>
        <v>8.6551535869075942E-3</v>
      </c>
      <c r="AA114" s="915">
        <f t="shared" ca="1" si="46"/>
        <v>8.296345780500718E-3</v>
      </c>
      <c r="AB114" s="915">
        <f t="shared" ca="1" si="46"/>
        <v>7.8696861451948985E-3</v>
      </c>
      <c r="AC114" s="915">
        <f t="shared" ca="1" si="46"/>
        <v>7.3688362029707853E-3</v>
      </c>
      <c r="AD114" s="915">
        <f t="shared" ca="1" si="46"/>
        <v>6.7869654950093094E-3</v>
      </c>
      <c r="AE114" s="915">
        <f t="shared" ca="1" si="46"/>
        <v>6.1167166376997432E-3</v>
      </c>
      <c r="AF114" s="915">
        <f t="shared" ca="1" si="46"/>
        <v>5.3501680230505248E-3</v>
      </c>
      <c r="AG114" s="915">
        <f t="shared" ca="1" si="46"/>
        <v>4.4787940100927985E-3</v>
      </c>
      <c r="AH114" s="915">
        <f t="shared" ca="1" si="46"/>
        <v>3.4934224441170955E-3</v>
      </c>
      <c r="AI114" s="915">
        <f t="shared" ca="1" si="46"/>
        <v>2.3841893302257808E-3</v>
      </c>
      <c r="AJ114" s="915">
        <f t="shared" ca="1" si="46"/>
        <v>2.232423024839863E-5</v>
      </c>
      <c r="AK114" s="915">
        <f t="shared" ca="1" si="46"/>
        <v>0</v>
      </c>
      <c r="AL114" s="915">
        <f t="shared" ca="1" si="46"/>
        <v>6.9822089456383794E-3</v>
      </c>
    </row>
    <row r="115" spans="1:38" x14ac:dyDescent="0.45">
      <c r="C115" t="str">
        <f>'11. Table - Expenditure Review'!C221</f>
        <v>E1.54</v>
      </c>
      <c r="D115" t="str">
        <f>'11. Table - Expenditure Review'!E221</f>
        <v>EEDBS as % of HSDG</v>
      </c>
      <c r="N115" s="802">
        <f>SUMIF('11. Table - Expenditure Review'!$F$3:$W$3,'9a. Forecast Results - Total'!N$1,'11. Table - Expenditure Review'!$F221:$W221)</f>
        <v>1.3501498573366593E-3</v>
      </c>
      <c r="O115" s="802">
        <f>SUMIF('11. Table - Expenditure Review'!$F$3:$W$3,'9a. Forecast Results - Total'!O$1,'11. Table - Expenditure Review'!$F221:$W221)</f>
        <v>1.3220500212674947E-3</v>
      </c>
      <c r="P115" s="802">
        <f>SUMIF('11. Table - Expenditure Review'!$F$3:$W$3,'9a. Forecast Results - Total'!P$1,'11. Table - Expenditure Review'!$F221:$W221)</f>
        <v>8.1753659030898095E-4</v>
      </c>
      <c r="Q115" s="580">
        <f t="shared" ref="Q115:AL115" ca="1" si="47">IF(Q71&lt;&gt;0,Q67/Q71,0)</f>
        <v>7.3444901790065706E-4</v>
      </c>
      <c r="R115" s="580">
        <f t="shared" ca="1" si="47"/>
        <v>7.3444901790065706E-4</v>
      </c>
      <c r="S115" s="580">
        <f t="shared" ca="1" si="47"/>
        <v>6.8118743210348871E-4</v>
      </c>
      <c r="T115" s="580">
        <f t="shared" ca="1" si="47"/>
        <v>3.2408470087682097E-4</v>
      </c>
      <c r="U115" s="580">
        <f t="shared" ca="1" si="47"/>
        <v>3.2408470087682097E-4</v>
      </c>
      <c r="V115" s="580">
        <f t="shared" ca="1" si="47"/>
        <v>3.2408470087682097E-4</v>
      </c>
      <c r="W115" s="580">
        <f t="shared" ca="1" si="47"/>
        <v>3.2408470087682097E-4</v>
      </c>
      <c r="X115" s="580">
        <f t="shared" ca="1" si="47"/>
        <v>3.2408470087682097E-4</v>
      </c>
      <c r="Y115" s="580">
        <f t="shared" ca="1" si="47"/>
        <v>3.2408470087682097E-4</v>
      </c>
      <c r="Z115" s="580">
        <f t="shared" ca="1" si="47"/>
        <v>3.2408470087682097E-4</v>
      </c>
      <c r="AA115" s="580">
        <f t="shared" ca="1" si="47"/>
        <v>3.2408470087682097E-4</v>
      </c>
      <c r="AB115" s="580">
        <f t="shared" ca="1" si="47"/>
        <v>3.2408470087682097E-4</v>
      </c>
      <c r="AC115" s="580">
        <f t="shared" ca="1" si="47"/>
        <v>3.2408470087682097E-4</v>
      </c>
      <c r="AD115" s="580">
        <f t="shared" ca="1" si="47"/>
        <v>3.2408470087682097E-4</v>
      </c>
      <c r="AE115" s="580">
        <f t="shared" ca="1" si="47"/>
        <v>3.2408470087682097E-4</v>
      </c>
      <c r="AF115" s="580">
        <f t="shared" ca="1" si="47"/>
        <v>3.2408470087682097E-4</v>
      </c>
      <c r="AG115" s="580">
        <f t="shared" ca="1" si="47"/>
        <v>3.2408470087682097E-4</v>
      </c>
      <c r="AH115" s="580">
        <f t="shared" ca="1" si="47"/>
        <v>3.2408470087682097E-4</v>
      </c>
      <c r="AI115" s="580">
        <f t="shared" ca="1" si="47"/>
        <v>3.2408470087682097E-4</v>
      </c>
      <c r="AJ115" s="580">
        <f t="shared" ca="1" si="47"/>
        <v>5.6266556727480203E-2</v>
      </c>
      <c r="AK115" s="580">
        <f t="shared" ca="1" si="47"/>
        <v>0</v>
      </c>
      <c r="AL115" s="580">
        <f t="shared" ca="1" si="47"/>
        <v>3.0286665433054351E-3</v>
      </c>
    </row>
    <row r="116" spans="1:38" x14ac:dyDescent="0.45">
      <c r="C116" t="str">
        <f>'11. Table - Expenditure Review'!C222</f>
        <v>E1.55</v>
      </c>
      <c r="D116" t="str">
        <f>'11. Table - Expenditure Review'!E222</f>
        <v>Debtors Balance as % of Rental Raised</v>
      </c>
      <c r="N116" s="802">
        <f>SUMIF('11. Table - Expenditure Review'!$F$3:$W$3,'9a. Forecast Results - Total'!N$1,'11. Table - Expenditure Review'!$F222:$W222)</f>
        <v>0</v>
      </c>
      <c r="O116" s="802">
        <f>SUMIF('11. Table - Expenditure Review'!$F$3:$W$3,'9a. Forecast Results - Total'!O$1,'11. Table - Expenditure Review'!$F222:$W222)</f>
        <v>0</v>
      </c>
      <c r="P116" s="802">
        <f>SUMIF('11. Table - Expenditure Review'!$F$3:$W$3,'9a. Forecast Results - Total'!P$1,'11. Table - Expenditure Review'!$F222:$W222)</f>
        <v>8.2115620410245764</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Review'!$F$3:$W$3,'9a. Forecast Results - Total'!N$1,'11. Table - Expenditure Review'!$F223:$W223)</f>
        <v>0</v>
      </c>
      <c r="O117" s="801">
        <f>SUMIF('11. Table - Expenditure Review'!$F$3:$W$3,'9a. Forecast Results - Total'!O$1,'11. Table - Expenditure Review'!$F223:$W223)</f>
        <v>0</v>
      </c>
      <c r="P117" s="801">
        <f>SUMIF('11. Table - Expenditure Review'!$F$3:$W$3,'9a. Forecast Results - Total'!P$1,'11. Table - Expenditure Review'!$F223:$W223)</f>
        <v>2312.9006639211889</v>
      </c>
      <c r="Q117" s="566">
        <f t="shared" ref="Q117:AL117" si="48">IF(Q13&lt;&gt;0,Q47/Q13/12,0)</f>
        <v>2569.4816996162713</v>
      </c>
      <c r="R117" s="566">
        <f t="shared" si="48"/>
        <v>2804.6919638033582</v>
      </c>
      <c r="S117" s="566">
        <f t="shared" si="48"/>
        <v>3047.9873242753251</v>
      </c>
      <c r="T117" s="566">
        <f t="shared" si="48"/>
        <v>3188.9004001783592</v>
      </c>
      <c r="U117" s="566">
        <f t="shared" si="48"/>
        <v>3388.5023856216412</v>
      </c>
      <c r="V117" s="566">
        <f t="shared" si="48"/>
        <v>3604.2912494713742</v>
      </c>
      <c r="W117" s="566">
        <f t="shared" si="48"/>
        <v>3838.664709688017</v>
      </c>
      <c r="X117" s="566">
        <f t="shared" si="48"/>
        <v>4094.7383203110512</v>
      </c>
      <c r="Y117" s="566">
        <f t="shared" si="48"/>
        <v>4376.686959104205</v>
      </c>
      <c r="Z117" s="566">
        <f t="shared" si="48"/>
        <v>4690.3087348259969</v>
      </c>
      <c r="AA117" s="566">
        <f t="shared" si="48"/>
        <v>5044.0016562285909</v>
      </c>
      <c r="AB117" s="566">
        <f t="shared" si="48"/>
        <v>5450.5555695750381</v>
      </c>
      <c r="AC117" s="566">
        <f t="shared" si="48"/>
        <v>5930.6831640241899</v>
      </c>
      <c r="AD117" s="566">
        <f t="shared" si="48"/>
        <v>6520.6413834349578</v>
      </c>
      <c r="AE117" s="566">
        <f t="shared" si="48"/>
        <v>7290.797984859325</v>
      </c>
      <c r="AF117" s="566">
        <f t="shared" si="48"/>
        <v>8399.2589324218607</v>
      </c>
      <c r="AG117" s="566">
        <f t="shared" si="48"/>
        <v>10293.292549308759</v>
      </c>
      <c r="AH117" s="566">
        <f t="shared" si="48"/>
        <v>14937.55152965625</v>
      </c>
      <c r="AI117" s="566">
        <f t="shared" si="48"/>
        <v>68678.943430130777</v>
      </c>
      <c r="AJ117" s="566">
        <f t="shared" si="48"/>
        <v>0</v>
      </c>
      <c r="AK117" s="566">
        <f t="shared" si="48"/>
        <v>0</v>
      </c>
      <c r="AL117" s="566">
        <f t="shared" si="48"/>
        <v>0</v>
      </c>
    </row>
    <row r="118" spans="1:38" x14ac:dyDescent="0.45">
      <c r="C118" t="str">
        <f>'11. Table - Expenditure Review'!C224</f>
        <v>E1.57</v>
      </c>
      <c r="D118" t="str">
        <f>'11. Table - Expenditure Review'!E224</f>
        <v>Net Surplus/Deficit p.u.p.m.</v>
      </c>
      <c r="N118" s="801">
        <f>SUMIF('11. Table - Expenditure Review'!$F$3:$W$3,'9a. Forecast Results - Total'!N$1,'11. Table - Expenditure Review'!$F224:$W224)</f>
        <v>0</v>
      </c>
      <c r="O118" s="801">
        <f>SUMIF('11. Table - Expenditure Review'!$F$3:$W$3,'9a. Forecast Results - Total'!O$1,'11. Table - Expenditure Review'!$F224:$W224)</f>
        <v>0</v>
      </c>
      <c r="P118" s="801">
        <f>SUMIF('11. Table - Expenditure Review'!$F$3:$W$3,'9a. Forecast Results - Total'!P$1,'11. Table - Expenditure Review'!$F224:$W224)</f>
        <v>-1898.2772627583979</v>
      </c>
      <c r="Q118" s="566">
        <f t="shared" ref="Q118:AL118" ca="1" si="49">IF(Q13&lt;&gt;0,Q48/Q13/12,0)</f>
        <v>-2366.6985340455567</v>
      </c>
      <c r="R118" s="566">
        <f t="shared" ca="1" si="49"/>
        <v>-2597.04887111163</v>
      </c>
      <c r="S118" s="566">
        <f t="shared" ca="1" si="49"/>
        <v>-2857.2238797254954</v>
      </c>
      <c r="T118" s="566">
        <f t="shared" ca="1" si="49"/>
        <v>-3084.4735726047511</v>
      </c>
      <c r="U118" s="566">
        <f t="shared" ca="1" si="49"/>
        <v>-3281.1992669820006</v>
      </c>
      <c r="V118" s="566">
        <f t="shared" ca="1" si="49"/>
        <v>-3493.6752771190095</v>
      </c>
      <c r="W118" s="566">
        <f t="shared" ca="1" si="49"/>
        <v>-3724.1917666613904</v>
      </c>
      <c r="X118" s="566">
        <f t="shared" ca="1" si="49"/>
        <v>-3975.7182440033671</v>
      </c>
      <c r="Y118" s="566">
        <f t="shared" ca="1" si="49"/>
        <v>-4252.226138975012</v>
      </c>
      <c r="Z118" s="566">
        <f t="shared" ca="1" si="49"/>
        <v>-4559.2214349990554</v>
      </c>
      <c r="AA118" s="566">
        <f t="shared" ca="1" si="49"/>
        <v>-4904.667114353585</v>
      </c>
      <c r="AB118" s="566">
        <f t="shared" ca="1" si="49"/>
        <v>-5300.6755406422735</v>
      </c>
      <c r="AC118" s="566">
        <f t="shared" ca="1" si="49"/>
        <v>-5766.8432066653941</v>
      </c>
      <c r="AD118" s="566">
        <f t="shared" ca="1" si="49"/>
        <v>-6337.4484312838358</v>
      </c>
      <c r="AE118" s="566">
        <f t="shared" ca="1" si="49"/>
        <v>-7078.9855615958231</v>
      </c>
      <c r="AF118" s="566">
        <f t="shared" ca="1" si="49"/>
        <v>-8140.8103236409725</v>
      </c>
      <c r="AG118" s="566">
        <f t="shared" ca="1" si="49"/>
        <v>-9945.3631292912542</v>
      </c>
      <c r="AH118" s="566">
        <f t="shared" ca="1" si="49"/>
        <v>-14348.091198105327</v>
      </c>
      <c r="AI118" s="566">
        <f t="shared" ca="1" si="49"/>
        <v>-65118.652886718795</v>
      </c>
      <c r="AJ118" s="566">
        <f t="shared" si="49"/>
        <v>0</v>
      </c>
      <c r="AK118" s="566">
        <f t="shared" si="49"/>
        <v>0</v>
      </c>
      <c r="AL118" s="566">
        <f t="shared" si="49"/>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17923184</v>
      </c>
      <c r="O127" s="615">
        <f>SUMIF('10. Inputs &amp; Calcs'!$D$143:$D$148,$E$10,'10. Inputs &amp; Calcs'!G$143:G$148)</f>
        <v>17604545</v>
      </c>
      <c r="P127" s="615">
        <f>SUMIF('10. Inputs &amp; Calcs'!$D$143:$D$148,$E$10,'10. Inputs &amp; Calcs'!H$143:H$148)</f>
        <v>10717984</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8327123.3300000001</v>
      </c>
      <c r="O128" s="615">
        <f>SUMIF('10. Inputs &amp; Calcs'!$D$432:$D$437,$E$10,'10. Inputs &amp; Calcs'!G$432:G$437)</f>
        <v>11721078.289999999</v>
      </c>
      <c r="P128" s="615">
        <f>SUMIF('10. Inputs &amp; Calcs'!$D$432:$D$437,$E$10,'10. Inputs &amp; Calcs'!H$432:H$437)</f>
        <v>9290522.7200000007</v>
      </c>
      <c r="Q128" s="615">
        <f>SUMIF('10. Inputs &amp; Calcs'!$D$432:$D$437,$E$10,'10. Inputs &amp; Calcs'!I$432:I$437)</f>
        <v>6680255.9557702979</v>
      </c>
      <c r="R128" s="615">
        <f>SUMIF('10. Inputs &amp; Calcs'!$D$432:$D$437,$E$10,'10. Inputs &amp; Calcs'!J$432:J$437)</f>
        <v>6680255.9557702979</v>
      </c>
      <c r="S128" s="615">
        <f>SUMIF('10. Inputs &amp; Calcs'!$D$432:$D$437,$E$10,'10. Inputs &amp; Calcs'!K$432:K$437)</f>
        <v>5550915.4110820312</v>
      </c>
      <c r="T128" s="615">
        <f>SUMIF('10. Inputs &amp; Calcs'!$D$432:$D$437,$E$10,'10. Inputs &amp; Calcs'!L$432:L$437)</f>
        <v>1652567.7121943994</v>
      </c>
      <c r="U128" s="615">
        <f>SUMIF('10. Inputs &amp; Calcs'!$D$432:$D$437,$E$10,'10. Inputs &amp; Calcs'!M$432:M$437)</f>
        <v>1652567.7121943994</v>
      </c>
      <c r="V128" s="615">
        <f>SUMIF('10. Inputs &amp; Calcs'!$D$432:$D$437,$E$10,'10. Inputs &amp; Calcs'!N$432:N$437)</f>
        <v>1652567.7121943994</v>
      </c>
      <c r="W128" s="615">
        <f>SUMIF('10. Inputs &amp; Calcs'!$D$432:$D$437,$E$10,'10. Inputs &amp; Calcs'!O$432:O$437)</f>
        <v>1652567.7121943994</v>
      </c>
      <c r="X128" s="615">
        <f>SUMIF('10. Inputs &amp; Calcs'!$D$432:$D$437,$E$10,'10. Inputs &amp; Calcs'!P$432:P$437)</f>
        <v>1652567.7121943994</v>
      </c>
      <c r="Y128" s="615">
        <f>SUMIF('10. Inputs &amp; Calcs'!$D$432:$D$437,$E$10,'10. Inputs &amp; Calcs'!Q$432:Q$437)</f>
        <v>1652567.7121943994</v>
      </c>
      <c r="Z128" s="615">
        <f>SUMIF('10. Inputs &amp; Calcs'!$D$432:$D$437,$E$10,'10. Inputs &amp; Calcs'!R$432:R$437)</f>
        <v>1652567.7121943994</v>
      </c>
      <c r="AA128" s="615">
        <f>SUMIF('10. Inputs &amp; Calcs'!$D$432:$D$437,$E$10,'10. Inputs &amp; Calcs'!S$432:S$437)</f>
        <v>1652567.7121943994</v>
      </c>
      <c r="AB128" s="615">
        <f>SUMIF('10. Inputs &amp; Calcs'!$D$432:$D$437,$E$10,'10. Inputs &amp; Calcs'!T$432:T$437)</f>
        <v>1652567.7121943994</v>
      </c>
      <c r="AC128" s="615">
        <f>SUMIF('10. Inputs &amp; Calcs'!$D$432:$D$437,$E$10,'10. Inputs &amp; Calcs'!U$432:U$437)</f>
        <v>1652567.7121943994</v>
      </c>
      <c r="AD128" s="615">
        <f>SUMIF('10. Inputs &amp; Calcs'!$D$432:$D$437,$E$10,'10. Inputs &amp; Calcs'!V$432:V$437)</f>
        <v>1652567.7121943994</v>
      </c>
      <c r="AE128" s="615">
        <f>SUMIF('10. Inputs &amp; Calcs'!$D$432:$D$437,$E$10,'10. Inputs &amp; Calcs'!W$432:W$437)</f>
        <v>1652567.7121943994</v>
      </c>
      <c r="AF128" s="615">
        <f>SUMIF('10. Inputs &amp; Calcs'!$D$432:$D$437,$E$10,'10. Inputs &amp; Calcs'!X$432:X$437)</f>
        <v>1652567.7121943994</v>
      </c>
      <c r="AG128" s="615">
        <f>SUMIF('10. Inputs &amp; Calcs'!$D$432:$D$437,$E$10,'10. Inputs &amp; Calcs'!Y$432:Y$437)</f>
        <v>1652567.7121943994</v>
      </c>
      <c r="AH128" s="615">
        <f>SUMIF('10. Inputs &amp; Calcs'!$D$432:$D$437,$E$10,'10. Inputs &amp; Calcs'!Z$432:Z$437)</f>
        <v>1652567.7121943994</v>
      </c>
      <c r="AI128" s="615">
        <f>SUMIF('10. Inputs &amp; Calcs'!$D$432:$D$437,$E$10,'10. Inputs &amp; Calcs'!AA$432:AA$437)</f>
        <v>1652567.7121943994</v>
      </c>
      <c r="AJ128" s="615">
        <f>SUMIF('10. Inputs &amp; Calcs'!$D$432:$D$437,$E$10,'10. Inputs &amp; Calcs'!AB$432:AB$437)</f>
        <v>481708.31094021688</v>
      </c>
      <c r="AK128" s="615">
        <f>SUMIF('10. Inputs &amp; Calcs'!$D$432:$D$437,$E$10,'10. Inputs &amp; Calcs'!AC$432:AC$437)</f>
        <v>0</v>
      </c>
      <c r="AL128" s="615">
        <f>SUMIF('10. Inputs &amp; Calcs'!$D$432:$D$437,$E$10,'10. Inputs &amp; Calcs'!AD$432:AD$437)</f>
        <v>45834219.028673217</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5520618.4900000002</v>
      </c>
      <c r="O129" s="615">
        <f>SUMIF('10. Inputs &amp; Calcs'!$D$574:$D$579,$E$10,'10. Inputs &amp; Calcs'!G$574:G$579)</f>
        <v>4874837.1400000006</v>
      </c>
      <c r="P129" s="615">
        <f>SUMIF('10. Inputs &amp; Calcs'!$D$574:$D$579,$E$10,'10. Inputs &amp; Calcs'!H$574:H$579)</f>
        <v>5635103.0299999993</v>
      </c>
      <c r="Q129" s="615">
        <f>SUMIF('10. Inputs &amp; Calcs'!$D$574:$D$579,$E$10,'10. Inputs &amp; Calcs'!I$574:I$579)</f>
        <v>4625311.0911281873</v>
      </c>
      <c r="R129" s="615">
        <f>SUMIF('10. Inputs &amp; Calcs'!$D$574:$D$579,$E$10,'10. Inputs &amp; Calcs'!J$574:J$579)</f>
        <v>3615519.1522563747</v>
      </c>
      <c r="S129" s="615">
        <f>SUMIF('10. Inputs &amp; Calcs'!$D$574:$D$579,$E$10,'10. Inputs &amp; Calcs'!K$574:K$579)</f>
        <v>2818258.4282080922</v>
      </c>
      <c r="T129" s="615">
        <f>SUMIF('10. Inputs &amp; Calcs'!$D$574:$D$579,$E$10,'10. Inputs &amp; Calcs'!L$574:L$579)</f>
        <v>2645640.5107352962</v>
      </c>
      <c r="U129" s="615">
        <f>SUMIF('10. Inputs &amp; Calcs'!$D$574:$D$579,$E$10,'10. Inputs &amp; Calcs'!M$574:M$579)</f>
        <v>2473022.5932625001</v>
      </c>
      <c r="V129" s="615">
        <f>SUMIF('10. Inputs &amp; Calcs'!$D$574:$D$579,$E$10,'10. Inputs &amp; Calcs'!N$574:N$579)</f>
        <v>2300404.6757897036</v>
      </c>
      <c r="W129" s="615">
        <f>SUMIF('10. Inputs &amp; Calcs'!$D$574:$D$579,$E$10,'10. Inputs &amp; Calcs'!O$574:O$579)</f>
        <v>2127786.7583169076</v>
      </c>
      <c r="X129" s="615">
        <f>SUMIF('10. Inputs &amp; Calcs'!$D$574:$D$579,$E$10,'10. Inputs &amp; Calcs'!P$574:P$579)</f>
        <v>1955168.8408441113</v>
      </c>
      <c r="Y129" s="615">
        <f>SUMIF('10. Inputs &amp; Calcs'!$D$574:$D$579,$E$10,'10. Inputs &amp; Calcs'!Q$574:Q$579)</f>
        <v>1782550.9233713155</v>
      </c>
      <c r="Z129" s="615">
        <f>SUMIF('10. Inputs &amp; Calcs'!$D$574:$D$579,$E$10,'10. Inputs &amp; Calcs'!R$574:R$579)</f>
        <v>1609933.0058985192</v>
      </c>
      <c r="AA129" s="615">
        <f>SUMIF('10. Inputs &amp; Calcs'!$D$574:$D$579,$E$10,'10. Inputs &amp; Calcs'!S$574:S$579)</f>
        <v>1437315.0884257231</v>
      </c>
      <c r="AB129" s="615">
        <f>SUMIF('10. Inputs &amp; Calcs'!$D$574:$D$579,$E$10,'10. Inputs &amp; Calcs'!T$574:T$579)</f>
        <v>1264697.1709529271</v>
      </c>
      <c r="AC129" s="615">
        <f>SUMIF('10. Inputs &amp; Calcs'!$D$574:$D$579,$E$10,'10. Inputs &amp; Calcs'!U$574:U$579)</f>
        <v>1092079.2534801308</v>
      </c>
      <c r="AD129" s="615">
        <f>SUMIF('10. Inputs &amp; Calcs'!$D$574:$D$579,$E$10,'10. Inputs &amp; Calcs'!V$574:V$579)</f>
        <v>919461.33600733476</v>
      </c>
      <c r="AE129" s="615">
        <f>SUMIF('10. Inputs &amp; Calcs'!$D$574:$D$579,$E$10,'10. Inputs &amp; Calcs'!W$574:W$579)</f>
        <v>746843.41853453871</v>
      </c>
      <c r="AF129" s="615">
        <f>SUMIF('10. Inputs &amp; Calcs'!$D$574:$D$579,$E$10,'10. Inputs &amp; Calcs'!X$574:X$579)</f>
        <v>574225.50106174254</v>
      </c>
      <c r="AG129" s="615">
        <f>SUMIF('10. Inputs &amp; Calcs'!$D$574:$D$579,$E$10,'10. Inputs &amp; Calcs'!Y$574:Y$579)</f>
        <v>401607.58358894638</v>
      </c>
      <c r="AH129" s="615">
        <f>SUMIF('10. Inputs &amp; Calcs'!$D$574:$D$579,$E$10,'10. Inputs &amp; Calcs'!Z$574:Z$579)</f>
        <v>228989.66611615027</v>
      </c>
      <c r="AI129" s="615">
        <f>SUMIF('10. Inputs &amp; Calcs'!$D$574:$D$579,$E$10,'10. Inputs &amp; Calcs'!AA$574:AA$579)</f>
        <v>56371.748643354178</v>
      </c>
      <c r="AJ129" s="615">
        <f>SUMIF('10. Inputs &amp; Calcs'!$D$574:$D$579,$E$10,'10. Inputs &amp; Calcs'!AB$574:AB$579)</f>
        <v>0</v>
      </c>
      <c r="AK129" s="615">
        <f>SUMIF('10. Inputs &amp; Calcs'!$D$574:$D$579,$E$10,'10. Inputs &amp; Calcs'!AC$574:AC$579)</f>
        <v>0</v>
      </c>
      <c r="AL129" s="615">
        <f>SUMIF('10. Inputs &amp; Calcs'!$D$574:$D$579,$E$10,'10. Inputs &amp; Calcs'!AD$574:AD$579)</f>
        <v>32675186.746621862</v>
      </c>
    </row>
    <row r="130" spans="1:38" x14ac:dyDescent="0.45">
      <c r="A130" s="583"/>
      <c r="B130" s="583"/>
      <c r="C130" s="583"/>
      <c r="D130" s="747" t="s">
        <v>330</v>
      </c>
      <c r="E130" s="583"/>
      <c r="M130" s="583"/>
      <c r="N130" s="613">
        <f t="shared" ref="N130:AL130" si="50">SUM(N127:N129)</f>
        <v>31770925.82</v>
      </c>
      <c r="O130" s="613">
        <f t="shared" si="50"/>
        <v>34200460.43</v>
      </c>
      <c r="P130" s="613">
        <f t="shared" si="50"/>
        <v>25643609.75</v>
      </c>
      <c r="Q130" s="613">
        <f t="shared" si="50"/>
        <v>11515976.931465413</v>
      </c>
      <c r="R130" s="613">
        <f t="shared" si="50"/>
        <v>10506184.992593601</v>
      </c>
      <c r="S130" s="613">
        <f t="shared" si="50"/>
        <v>8579583.7238570526</v>
      </c>
      <c r="T130" s="613">
        <f t="shared" si="50"/>
        <v>4321587.0989926877</v>
      </c>
      <c r="U130" s="613">
        <f t="shared" si="50"/>
        <v>4148969.1815198916</v>
      </c>
      <c r="V130" s="613">
        <f t="shared" si="50"/>
        <v>3976351.2640470951</v>
      </c>
      <c r="W130" s="613">
        <f t="shared" si="50"/>
        <v>3803733.346574299</v>
      </c>
      <c r="X130" s="613">
        <f t="shared" si="50"/>
        <v>3631115.4291015025</v>
      </c>
      <c r="Y130" s="613">
        <f t="shared" si="50"/>
        <v>3458497.5116287069</v>
      </c>
      <c r="Z130" s="613">
        <f t="shared" ref="Z130:AJ130" si="51">SUM(Z127:Z129)</f>
        <v>3285879.5941559104</v>
      </c>
      <c r="AA130" s="613">
        <f t="shared" si="51"/>
        <v>3113261.6766831148</v>
      </c>
      <c r="AB130" s="613">
        <f t="shared" si="51"/>
        <v>2940643.7592103183</v>
      </c>
      <c r="AC130" s="613">
        <f t="shared" si="51"/>
        <v>2768025.8417375223</v>
      </c>
      <c r="AD130" s="613">
        <f t="shared" si="51"/>
        <v>2595407.9242647262</v>
      </c>
      <c r="AE130" s="613">
        <f t="shared" si="51"/>
        <v>2422790.0067919302</v>
      </c>
      <c r="AF130" s="613">
        <f t="shared" si="51"/>
        <v>2250172.0893191341</v>
      </c>
      <c r="AG130" s="613">
        <f t="shared" si="51"/>
        <v>2077554.1718463378</v>
      </c>
      <c r="AH130" s="613">
        <f t="shared" si="51"/>
        <v>1904936.2543735418</v>
      </c>
      <c r="AI130" s="613">
        <f t="shared" si="51"/>
        <v>1732318.3369007458</v>
      </c>
      <c r="AJ130" s="613">
        <f t="shared" si="51"/>
        <v>16502636.341817403</v>
      </c>
      <c r="AK130" s="613">
        <f t="shared" si="50"/>
        <v>0</v>
      </c>
      <c r="AL130" s="613">
        <f t="shared" si="50"/>
        <v>95535625.476880923</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3598000</v>
      </c>
      <c r="R132" s="615">
        <f>SUMIF('10. Inputs &amp; Calcs'!$D$508:$D$513,$E$10,'10. Inputs &amp; Calcs'!J$508:J$513)</f>
        <v>3795890</v>
      </c>
      <c r="S132" s="615">
        <f>SUMIF('10. Inputs &amp; Calcs'!$D$508:$D$513,$E$10,'10. Inputs &amp; Calcs'!K$508:K$513)</f>
        <v>3708599.3</v>
      </c>
      <c r="T132" s="615">
        <f>SUMIF('10. Inputs &amp; Calcs'!$D$508:$D$513,$E$10,'10. Inputs &amp; Calcs'!L$508:L$513)</f>
        <v>1857649.85525</v>
      </c>
      <c r="U132" s="615">
        <f>SUMIF('10. Inputs &amp; Calcs'!$D$508:$D$513,$E$10,'10. Inputs &amp; Calcs'!M$508:M$513)</f>
        <v>1959820.5972887499</v>
      </c>
      <c r="V132" s="615">
        <f>SUMIF('10. Inputs &amp; Calcs'!$D$508:$D$513,$E$10,'10. Inputs &amp; Calcs'!N$508:N$513)</f>
        <v>2067610.7301396311</v>
      </c>
      <c r="W132" s="615">
        <f>SUMIF('10. Inputs &amp; Calcs'!$D$508:$D$513,$E$10,'10. Inputs &amp; Calcs'!O$508:O$513)</f>
        <v>2181329.3202973106</v>
      </c>
      <c r="X132" s="615">
        <f>SUMIF('10. Inputs &amp; Calcs'!$D$508:$D$513,$E$10,'10. Inputs &amp; Calcs'!P$508:P$513)</f>
        <v>2301302.4329136633</v>
      </c>
      <c r="Y132" s="615">
        <f>SUMIF('10. Inputs &amp; Calcs'!$D$508:$D$513,$E$10,'10. Inputs &amp; Calcs'!Q$508:Q$513)</f>
        <v>2427874.0667239139</v>
      </c>
      <c r="Z132" s="615">
        <f>SUMIF('10. Inputs &amp; Calcs'!$D$508:$D$513,$E$10,'10. Inputs &amp; Calcs'!R$508:R$513)</f>
        <v>2561407.1403937289</v>
      </c>
      <c r="AA132" s="615">
        <f>SUMIF('10. Inputs &amp; Calcs'!$D$508:$D$513,$E$10,'10. Inputs &amp; Calcs'!S$508:S$513)</f>
        <v>2702284.5331153837</v>
      </c>
      <c r="AB132" s="615">
        <f>SUMIF('10. Inputs &amp; Calcs'!$D$508:$D$513,$E$10,'10. Inputs &amp; Calcs'!T$508:T$513)</f>
        <v>2850910.1824367298</v>
      </c>
      <c r="AC132" s="615">
        <f>SUMIF('10. Inputs &amp; Calcs'!$D$508:$D$513,$E$10,'10. Inputs &amp; Calcs'!U$508:U$513)</f>
        <v>3007710.2424707501</v>
      </c>
      <c r="AD132" s="615">
        <f>SUMIF('10. Inputs &amp; Calcs'!$D$508:$D$513,$E$10,'10. Inputs &amp; Calcs'!V$508:V$513)</f>
        <v>3173134.305806641</v>
      </c>
      <c r="AE132" s="615">
        <f>SUMIF('10. Inputs &amp; Calcs'!$D$508:$D$513,$E$10,'10. Inputs &amp; Calcs'!W$508:W$513)</f>
        <v>3347656.692626006</v>
      </c>
      <c r="AF132" s="615">
        <f>SUMIF('10. Inputs &amp; Calcs'!$D$508:$D$513,$E$10,'10. Inputs &amp; Calcs'!X$508:X$513)</f>
        <v>3531777.8107204367</v>
      </c>
      <c r="AG132" s="615">
        <f>SUMIF('10. Inputs &amp; Calcs'!$D$508:$D$513,$E$10,'10. Inputs &amp; Calcs'!Y$508:Y$513)</f>
        <v>3726025.5903100595</v>
      </c>
      <c r="AH132" s="615">
        <f>SUMIF('10. Inputs &amp; Calcs'!$D$508:$D$513,$E$10,'10. Inputs &amp; Calcs'!Z$508:Z$513)</f>
        <v>3930956.9977771137</v>
      </c>
      <c r="AI132" s="615">
        <f>SUMIF('10. Inputs &amp; Calcs'!$D$508:$D$513,$E$10,'10. Inputs &amp; Calcs'!AA$508:AA$513)</f>
        <v>4147159.6326548541</v>
      </c>
      <c r="AJ132" s="615">
        <f>SUMIF('10. Inputs &amp; Calcs'!$D$508:$D$513,$E$10,'10. Inputs &amp; Calcs'!AB$508:AB$513)</f>
        <v>774381.134947057</v>
      </c>
      <c r="AK132" s="615">
        <f>SUMIF('10. Inputs &amp; Calcs'!$D$508:$D$513,$E$10,'10. Inputs &amp; Calcs'!AC$508:AC$513)</f>
        <v>0</v>
      </c>
      <c r="AL132" s="615">
        <f>SUMIF('10. Inputs &amp; Calcs'!$D$508:$D$513,$E$10,'10. Inputs &amp; Calcs'!AD$508:AD$513)</f>
        <v>57651480.565872036</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126486884.31333333</v>
      </c>
      <c r="O133" s="615">
        <f>SUMIF('10. Inputs &amp; Calcs'!$D$742:$D$747,$E$10,'10. Inputs &amp; Calcs'!G$742:G$747)</f>
        <v>136616043.32333332</v>
      </c>
      <c r="P133" s="615">
        <f>SUMIF('10. Inputs &amp; Calcs'!$D$742:$D$747,$E$10,'10. Inputs &amp; Calcs'!H$742:H$747)</f>
        <v>143214809.11000001</v>
      </c>
      <c r="Q133" s="615">
        <f>SUMIF('10. Inputs &amp; Calcs'!$D$742:$D$747,$E$10,'10. Inputs &amp; Calcs'!I$742:I$747)</f>
        <v>139655743.71700636</v>
      </c>
      <c r="R133" s="615">
        <f>SUMIF('10. Inputs &amp; Calcs'!$D$742:$D$747,$E$10,'10. Inputs &amp; Calcs'!J$742:J$747)</f>
        <v>135271956.33322573</v>
      </c>
      <c r="S133" s="615">
        <f>SUMIF('10. Inputs &amp; Calcs'!$D$742:$D$747,$E$10,'10. Inputs &amp; Calcs'!K$742:K$747)</f>
        <v>130012700.59060706</v>
      </c>
      <c r="T133" s="615">
        <f>SUMIF('10. Inputs &amp; Calcs'!$D$742:$D$747,$E$10,'10. Inputs &amp; Calcs'!L$742:L$747)</f>
        <v>129397490.61609125</v>
      </c>
      <c r="U133" s="615">
        <f>SUMIF('10. Inputs &amp; Calcs'!$D$742:$D$747,$E$10,'10. Inputs &amp; Calcs'!M$742:M$747)</f>
        <v>128321319.12509212</v>
      </c>
      <c r="V133" s="615">
        <f>SUMIF('10. Inputs &amp; Calcs'!$D$742:$D$747,$E$10,'10. Inputs &amp; Calcs'!N$742:N$747)</f>
        <v>126735341.36096939</v>
      </c>
      <c r="W133" s="615">
        <f>SUMIF('10. Inputs &amp; Calcs'!$D$742:$D$747,$E$10,'10. Inputs &amp; Calcs'!O$742:O$747)</f>
        <v>124586734.05243975</v>
      </c>
      <c r="X133" s="615">
        <f>SUMIF('10. Inputs &amp; Calcs'!$D$742:$D$747,$E$10,'10. Inputs &amp; Calcs'!P$742:P$747)</f>
        <v>121818405.53235492</v>
      </c>
      <c r="Y133" s="615">
        <f>SUMIF('10. Inputs &amp; Calcs'!$D$742:$D$747,$E$10,'10. Inputs &amp; Calcs'!Q$742:Q$747)</f>
        <v>118368686.00455214</v>
      </c>
      <c r="Z133" s="615">
        <f>SUMIF('10. Inputs &amp; Calcs'!$D$742:$D$747,$E$10,'10. Inputs &amp; Calcs'!R$742:R$747)</f>
        <v>114170996.65195568</v>
      </c>
      <c r="AA133" s="615">
        <f>SUMIF('10. Inputs &amp; Calcs'!$D$742:$D$747,$E$10,'10. Inputs &amp; Calcs'!S$742:S$747)</f>
        <v>109153496.19540985</v>
      </c>
      <c r="AB133" s="615">
        <f>SUMIF('10. Inputs &amp; Calcs'!$D$742:$D$747,$E$10,'10. Inputs &amp; Calcs'!T$742:T$747)</f>
        <v>103238703.4237718</v>
      </c>
      <c r="AC133" s="615">
        <f>SUMIF('10. Inputs &amp; Calcs'!$D$742:$D$747,$E$10,'10. Inputs &amp; Calcs'!U$742:U$747)</f>
        <v>96343094.121262461</v>
      </c>
      <c r="AD133" s="615">
        <f>SUMIF('10. Inputs &amp; Calcs'!$D$742:$D$747,$E$10,'10. Inputs &amp; Calcs'!V$742:V$747)</f>
        <v>88376670.717620164</v>
      </c>
      <c r="AE133" s="615">
        <f>SUMIF('10. Inputs &amp; Calcs'!$D$742:$D$747,$E$10,'10. Inputs &amp; Calcs'!W$742:W$747)</f>
        <v>79242502.879860431</v>
      </c>
      <c r="AF133" s="615">
        <f>SUMIF('10. Inputs &amp; Calcs'!$D$742:$D$747,$E$10,'10. Inputs &amp; Calcs'!X$742:X$747)</f>
        <v>68836237.151026309</v>
      </c>
      <c r="AG133" s="615">
        <f>SUMIF('10. Inputs &amp; Calcs'!$D$742:$D$747,$E$10,'10. Inputs &amp; Calcs'!Y$742:Y$747)</f>
        <v>57045573.620808855</v>
      </c>
      <c r="AH133" s="615">
        <f>SUMIF('10. Inputs &amp; Calcs'!$D$742:$D$747,$E$10,'10. Inputs &amp; Calcs'!Z$742:Z$747)</f>
        <v>43749707.484885633</v>
      </c>
      <c r="AI133" s="615">
        <f>SUMIF('10. Inputs &amp; Calcs'!$D$742:$D$747,$E$10,'10. Inputs &amp; Calcs'!AA$742:AA$747)</f>
        <v>28818733.213807922</v>
      </c>
      <c r="AJ133" s="615">
        <f>SUMIF('10. Inputs &amp; Calcs'!$D$742:$D$747,$E$10,'10. Inputs &amp; Calcs'!AB$742:AB$747)</f>
        <v>0</v>
      </c>
      <c r="AK133" s="615">
        <f>SUMIF('10. Inputs &amp; Calcs'!$D$742:$D$747,$E$10,'10. Inputs &amp; Calcs'!AC$742:AC$747)</f>
        <v>0</v>
      </c>
      <c r="AL133" s="615">
        <f>SUMIF('10. Inputs &amp; Calcs'!$D$742:$D$747,$E$10,'10. Inputs &amp; Calcs'!AD$742:AD$747)</f>
        <v>1943144092.792748</v>
      </c>
    </row>
    <row r="134" spans="1:38" x14ac:dyDescent="0.45">
      <c r="A134" s="583"/>
      <c r="B134" s="583"/>
      <c r="C134" s="583"/>
      <c r="D134" s="747" t="s">
        <v>369</v>
      </c>
      <c r="E134" s="583"/>
      <c r="M134" s="583"/>
      <c r="N134" s="613">
        <f t="shared" ref="N134:AL134" si="52">SUM(N132:N133)</f>
        <v>126486884.31333333</v>
      </c>
      <c r="O134" s="613">
        <f t="shared" si="52"/>
        <v>136616043.32333332</v>
      </c>
      <c r="P134" s="613">
        <f t="shared" si="52"/>
        <v>143214809.11000001</v>
      </c>
      <c r="Q134" s="613">
        <f t="shared" si="52"/>
        <v>143253743.71700636</v>
      </c>
      <c r="R134" s="613">
        <f t="shared" si="52"/>
        <v>139067846.33322573</v>
      </c>
      <c r="S134" s="613">
        <f t="shared" si="52"/>
        <v>133721299.89060706</v>
      </c>
      <c r="T134" s="613">
        <f t="shared" si="52"/>
        <v>131255140.47134125</v>
      </c>
      <c r="U134" s="613">
        <f t="shared" si="52"/>
        <v>130281139.72238086</v>
      </c>
      <c r="V134" s="613">
        <f t="shared" si="52"/>
        <v>128802952.09110902</v>
      </c>
      <c r="W134" s="613">
        <f t="shared" si="52"/>
        <v>126768063.37273706</v>
      </c>
      <c r="X134" s="613">
        <f t="shared" si="52"/>
        <v>124119707.96526858</v>
      </c>
      <c r="Y134" s="613">
        <f t="shared" si="52"/>
        <v>120796560.07127605</v>
      </c>
      <c r="Z134" s="613">
        <f t="shared" ref="Z134:AJ134" si="53">SUM(Z132:Z133)</f>
        <v>116732403.79234941</v>
      </c>
      <c r="AA134" s="613">
        <f t="shared" si="53"/>
        <v>111855780.72852524</v>
      </c>
      <c r="AB134" s="613">
        <f t="shared" si="53"/>
        <v>106089613.60620853</v>
      </c>
      <c r="AC134" s="613">
        <f t="shared" si="53"/>
        <v>99350804.363733217</v>
      </c>
      <c r="AD134" s="613">
        <f t="shared" si="53"/>
        <v>91549805.023426801</v>
      </c>
      <c r="AE134" s="613">
        <f t="shared" si="53"/>
        <v>82590159.57248643</v>
      </c>
      <c r="AF134" s="613">
        <f t="shared" si="53"/>
        <v>72368014.961746752</v>
      </c>
      <c r="AG134" s="613">
        <f t="shared" si="53"/>
        <v>60771599.211118914</v>
      </c>
      <c r="AH134" s="613">
        <f t="shared" si="53"/>
        <v>47680664.482662745</v>
      </c>
      <c r="AI134" s="613">
        <f t="shared" si="53"/>
        <v>32965892.846462775</v>
      </c>
      <c r="AJ134" s="613">
        <f t="shared" si="53"/>
        <v>774381.134947057</v>
      </c>
      <c r="AK134" s="613">
        <f t="shared" si="52"/>
        <v>0</v>
      </c>
      <c r="AL134" s="613">
        <f t="shared" si="52"/>
        <v>2000795573.3586199</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54">N130-N134</f>
        <v>-94715958.49333334</v>
      </c>
      <c r="O136" s="613">
        <f t="shared" si="54"/>
        <v>-102415582.89333332</v>
      </c>
      <c r="P136" s="613">
        <f t="shared" si="54"/>
        <v>-117571199.36000001</v>
      </c>
      <c r="Q136" s="613">
        <f t="shared" si="54"/>
        <v>-131737766.78554094</v>
      </c>
      <c r="R136" s="613">
        <f t="shared" si="54"/>
        <v>-128561661.34063213</v>
      </c>
      <c r="S136" s="613">
        <f t="shared" si="54"/>
        <v>-125141716.16675001</v>
      </c>
      <c r="T136" s="613">
        <f t="shared" si="54"/>
        <v>-126933553.37234856</v>
      </c>
      <c r="U136" s="613">
        <f t="shared" si="54"/>
        <v>-126132170.54086097</v>
      </c>
      <c r="V136" s="613">
        <f t="shared" si="54"/>
        <v>-124826600.82706192</v>
      </c>
      <c r="W136" s="613">
        <f t="shared" si="54"/>
        <v>-122964330.02616277</v>
      </c>
      <c r="X136" s="613">
        <f t="shared" si="54"/>
        <v>-120488592.53616709</v>
      </c>
      <c r="Y136" s="613">
        <f t="shared" si="54"/>
        <v>-117338062.55964735</v>
      </c>
      <c r="Z136" s="613">
        <f t="shared" si="54"/>
        <v>-113446524.19819351</v>
      </c>
      <c r="AA136" s="613">
        <f t="shared" si="54"/>
        <v>-108742519.05184212</v>
      </c>
      <c r="AB136" s="613">
        <f t="shared" si="54"/>
        <v>-103148969.84699821</v>
      </c>
      <c r="AC136" s="613">
        <f t="shared" si="54"/>
        <v>-96582778.521995693</v>
      </c>
      <c r="AD136" s="613">
        <f t="shared" si="54"/>
        <v>-88954397.099162072</v>
      </c>
      <c r="AE136" s="613">
        <f t="shared" si="54"/>
        <v>-80167369.565694496</v>
      </c>
      <c r="AF136" s="613">
        <f t="shared" si="54"/>
        <v>-70117842.872427613</v>
      </c>
      <c r="AG136" s="613">
        <f t="shared" si="54"/>
        <v>-58694045.039272577</v>
      </c>
      <c r="AH136" s="613">
        <f t="shared" si="54"/>
        <v>-45775728.228289202</v>
      </c>
      <c r="AI136" s="613">
        <f t="shared" si="54"/>
        <v>-31233574.50956203</v>
      </c>
      <c r="AJ136" s="613">
        <f t="shared" si="54"/>
        <v>15728255.206870345</v>
      </c>
      <c r="AK136" s="613">
        <f t="shared" si="54"/>
        <v>0</v>
      </c>
      <c r="AL136" s="613">
        <f t="shared" si="54"/>
        <v>-1905259947.8817389</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13274959000</v>
      </c>
      <c r="O138" s="615">
        <f>SUMIF('10. Inputs &amp; Calcs'!$D$763:$D$768,$E$10,'10. Inputs &amp; Calcs'!G$763:G$768)</f>
        <v>13316096000</v>
      </c>
      <c r="P138" s="615">
        <f>SUMIF('10. Inputs &amp; Calcs'!$D$763:$D$768,$E$10,'10. Inputs &amp; Calcs'!H$763:H$768)</f>
        <v>13110097000</v>
      </c>
      <c r="Q138" s="615">
        <f>SUMIF('10. Inputs &amp; Calcs'!$D$763:$D$768,$E$10,'10. Inputs &amp; Calcs'!I$763:I$768)</f>
        <v>13110097000</v>
      </c>
      <c r="R138" s="615">
        <f>SUMIF('10. Inputs &amp; Calcs'!$D$763:$D$768,$E$10,'10. Inputs &amp; Calcs'!J$763:J$768)</f>
        <v>13110097000</v>
      </c>
      <c r="S138" s="615">
        <f>SUMIF('10. Inputs &amp; Calcs'!$D$763:$D$768,$E$10,'10. Inputs &amp; Calcs'!K$763:K$768)</f>
        <v>13110097000</v>
      </c>
      <c r="T138" s="615">
        <f>SUMIF('10. Inputs &amp; Calcs'!$D$763:$D$768,$E$10,'10. Inputs &amp; Calcs'!L$763:L$768)</f>
        <v>13110097000</v>
      </c>
      <c r="U138" s="615">
        <f>SUMIF('10. Inputs &amp; Calcs'!$D$763:$D$768,$E$10,'10. Inputs &amp; Calcs'!M$763:M$768)</f>
        <v>13110097000</v>
      </c>
      <c r="V138" s="615">
        <f>SUMIF('10. Inputs &amp; Calcs'!$D$763:$D$768,$E$10,'10. Inputs &amp; Calcs'!N$763:N$768)</f>
        <v>13110097000</v>
      </c>
      <c r="W138" s="615">
        <f>SUMIF('10. Inputs &amp; Calcs'!$D$763:$D$768,$E$10,'10. Inputs &amp; Calcs'!O$763:O$768)</f>
        <v>13110097000</v>
      </c>
      <c r="X138" s="615">
        <f>SUMIF('10. Inputs &amp; Calcs'!$D$763:$D$768,$E$10,'10. Inputs &amp; Calcs'!P$763:P$768)</f>
        <v>13110097000</v>
      </c>
      <c r="Y138" s="615">
        <f>SUMIF('10. Inputs &amp; Calcs'!$D$763:$D$768,$E$10,'10. Inputs &amp; Calcs'!Q$763:Q$768)</f>
        <v>13110097000</v>
      </c>
      <c r="Z138" s="615">
        <f>SUMIF('10. Inputs &amp; Calcs'!$D$763:$D$768,$E$10,'10. Inputs &amp; Calcs'!R$763:R$768)</f>
        <v>13110097000</v>
      </c>
      <c r="AA138" s="615">
        <f>SUMIF('10. Inputs &amp; Calcs'!$D$763:$D$768,$E$10,'10. Inputs &amp; Calcs'!S$763:S$768)</f>
        <v>13110097000</v>
      </c>
      <c r="AB138" s="615">
        <f>SUMIF('10. Inputs &amp; Calcs'!$D$763:$D$768,$E$10,'10. Inputs &amp; Calcs'!T$763:T$768)</f>
        <v>13110097000</v>
      </c>
      <c r="AC138" s="615">
        <f>SUMIF('10. Inputs &amp; Calcs'!$D$763:$D$768,$E$10,'10. Inputs &amp; Calcs'!U$763:U$768)</f>
        <v>13110097000</v>
      </c>
      <c r="AD138" s="615">
        <f>SUMIF('10. Inputs &amp; Calcs'!$D$763:$D$768,$E$10,'10. Inputs &amp; Calcs'!V$763:V$768)</f>
        <v>13110097000</v>
      </c>
      <c r="AE138" s="615">
        <f>SUMIF('10. Inputs &amp; Calcs'!$D$763:$D$768,$E$10,'10. Inputs &amp; Calcs'!W$763:W$768)</f>
        <v>13110097000</v>
      </c>
      <c r="AF138" s="615">
        <f>SUMIF('10. Inputs &amp; Calcs'!$D$763:$D$768,$E$10,'10. Inputs &amp; Calcs'!X$763:X$768)</f>
        <v>13110097000</v>
      </c>
      <c r="AG138" s="615">
        <f>SUMIF('10. Inputs &amp; Calcs'!$D$763:$D$768,$E$10,'10. Inputs &amp; Calcs'!Y$763:Y$768)</f>
        <v>13110097000</v>
      </c>
      <c r="AH138" s="615">
        <f>SUMIF('10. Inputs &amp; Calcs'!$D$763:$D$768,$E$10,'10. Inputs &amp; Calcs'!Z$763:Z$768)</f>
        <v>13110097000</v>
      </c>
      <c r="AI138" s="615">
        <f>SUMIF('10. Inputs &amp; Calcs'!$D$763:$D$768,$E$10,'10. Inputs &amp; Calcs'!AA$763:AA$768)</f>
        <v>13110097000</v>
      </c>
      <c r="AJ138" s="615">
        <f>SUMIF('10. Inputs &amp; Calcs'!$D$763:$D$768,$E$10,'10. Inputs &amp; Calcs'!AB$763:AB$768)</f>
        <v>13110097000</v>
      </c>
      <c r="AK138" s="615">
        <f>SUMIF('10. Inputs &amp; Calcs'!$D$763:$D$768,$E$10,'10. Inputs &amp; Calcs'!AC$763:AC$768)</f>
        <v>13110097000</v>
      </c>
      <c r="AL138" s="615">
        <f>SUMIF('10. Inputs &amp; Calcs'!$D$763:$D$768,$E$10,'10. Inputs &amp; Calcs'!AD$763:AD$768)</f>
        <v>315013189000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55">N136/N138</f>
        <v>-7.1349341638895711E-3</v>
      </c>
      <c r="O140" s="789">
        <f t="shared" si="55"/>
        <v>-7.6911117863173494E-3</v>
      </c>
      <c r="P140" s="789">
        <f t="shared" si="55"/>
        <v>-8.9679885175525404E-3</v>
      </c>
      <c r="Q140" s="789">
        <f t="shared" si="55"/>
        <v>-1.0048573003353135E-2</v>
      </c>
      <c r="R140" s="789">
        <f t="shared" si="55"/>
        <v>-9.8063089342994274E-3</v>
      </c>
      <c r="S140" s="789">
        <f t="shared" si="55"/>
        <v>-9.5454454812004836E-3</v>
      </c>
      <c r="T140" s="789">
        <f t="shared" si="55"/>
        <v>-9.6821216023305207E-3</v>
      </c>
      <c r="U140" s="789">
        <f t="shared" si="55"/>
        <v>-9.6209944549503299E-3</v>
      </c>
      <c r="V140" s="789">
        <f t="shared" si="55"/>
        <v>-9.5214094012471395E-3</v>
      </c>
      <c r="W140" s="789">
        <f t="shared" si="55"/>
        <v>-9.3793608106913905E-3</v>
      </c>
      <c r="X140" s="789">
        <f t="shared" si="55"/>
        <v>-9.1905187685619016E-3</v>
      </c>
      <c r="Y140" s="789">
        <f t="shared" si="55"/>
        <v>-8.9502055217171427E-3</v>
      </c>
      <c r="Z140" s="789">
        <f t="shared" si="55"/>
        <v>-8.6533703143610238E-3</v>
      </c>
      <c r="AA140" s="789">
        <f t="shared" si="55"/>
        <v>-8.2945625079541459E-3</v>
      </c>
      <c r="AB140" s="789">
        <f t="shared" si="55"/>
        <v>-7.8679028726483264E-3</v>
      </c>
      <c r="AC140" s="789">
        <f t="shared" si="55"/>
        <v>-7.367052930424214E-3</v>
      </c>
      <c r="AD140" s="789">
        <f t="shared" si="55"/>
        <v>-6.7851822224627382E-3</v>
      </c>
      <c r="AE140" s="789">
        <f t="shared" si="55"/>
        <v>-6.1149333651531711E-3</v>
      </c>
      <c r="AF140" s="789">
        <f t="shared" si="55"/>
        <v>-5.3483847505039518E-3</v>
      </c>
      <c r="AG140" s="789">
        <f t="shared" si="55"/>
        <v>-4.4770107375462272E-3</v>
      </c>
      <c r="AH140" s="789">
        <f t="shared" si="55"/>
        <v>-3.4916391715705234E-3</v>
      </c>
      <c r="AI140" s="789">
        <f t="shared" si="55"/>
        <v>-2.3824060576792096E-3</v>
      </c>
      <c r="AJ140" s="789">
        <f t="shared" si="55"/>
        <v>1.1997054794385079E-3</v>
      </c>
      <c r="AK140" s="789">
        <f t="shared" si="55"/>
        <v>0</v>
      </c>
      <c r="AL140" s="789">
        <f t="shared" si="55"/>
        <v>-6.048191042190741E-3</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56">O$12</f>
        <v>0</v>
      </c>
      <c r="P145" s="785">
        <f t="shared" si="56"/>
        <v>2239</v>
      </c>
      <c r="Q145" s="785">
        <f t="shared" si="56"/>
        <v>2753</v>
      </c>
      <c r="R145" s="785">
        <f t="shared" si="56"/>
        <v>3267</v>
      </c>
      <c r="S145" s="785">
        <f t="shared" si="56"/>
        <v>3743</v>
      </c>
      <c r="T145" s="785">
        <f t="shared" si="56"/>
        <v>3969</v>
      </c>
      <c r="U145" s="785">
        <f t="shared" si="56"/>
        <v>4195</v>
      </c>
      <c r="V145" s="785">
        <f t="shared" si="56"/>
        <v>4421</v>
      </c>
      <c r="W145" s="785">
        <f t="shared" si="56"/>
        <v>4647</v>
      </c>
      <c r="X145" s="785">
        <f t="shared" si="56"/>
        <v>4873</v>
      </c>
      <c r="Y145" s="785">
        <f t="shared" si="56"/>
        <v>5099</v>
      </c>
      <c r="Z145" s="785">
        <f t="shared" si="56"/>
        <v>5325</v>
      </c>
      <c r="AA145" s="785">
        <f t="shared" si="56"/>
        <v>5551</v>
      </c>
      <c r="AB145" s="785">
        <f t="shared" si="56"/>
        <v>5777</v>
      </c>
      <c r="AC145" s="785">
        <f t="shared" si="56"/>
        <v>6003</v>
      </c>
      <c r="AD145" s="785">
        <f t="shared" si="56"/>
        <v>6229</v>
      </c>
      <c r="AE145" s="785">
        <f t="shared" si="56"/>
        <v>6455</v>
      </c>
      <c r="AF145" s="785">
        <f t="shared" si="56"/>
        <v>6681</v>
      </c>
      <c r="AG145" s="785">
        <f t="shared" si="56"/>
        <v>6907</v>
      </c>
      <c r="AH145" s="785">
        <f t="shared" si="56"/>
        <v>7133</v>
      </c>
      <c r="AI145" s="785">
        <f t="shared" si="56"/>
        <v>7359</v>
      </c>
      <c r="AJ145" s="785">
        <f t="shared" si="56"/>
        <v>7399</v>
      </c>
      <c r="AK145" s="785">
        <f t="shared" si="56"/>
        <v>0</v>
      </c>
    </row>
    <row r="146" spans="4:37" x14ac:dyDescent="0.45">
      <c r="D146" s="451"/>
      <c r="N146" s="536" t="str">
        <f>N$5</f>
        <v>2013/14</v>
      </c>
      <c r="O146" s="536" t="str">
        <f t="shared" ref="O146:AK146" si="57">O$5</f>
        <v>2014/15</v>
      </c>
      <c r="P146" s="536" t="str">
        <f t="shared" si="57"/>
        <v>2015/16</v>
      </c>
      <c r="Q146" s="536" t="str">
        <f t="shared" si="57"/>
        <v>2016/17</v>
      </c>
      <c r="R146" s="536" t="str">
        <f t="shared" si="57"/>
        <v>2017/18</v>
      </c>
      <c r="S146" s="536" t="str">
        <f t="shared" si="57"/>
        <v>2018/19</v>
      </c>
      <c r="T146" s="536" t="str">
        <f t="shared" si="57"/>
        <v>2019/20</v>
      </c>
      <c r="U146" s="536" t="str">
        <f t="shared" si="57"/>
        <v>2020/21</v>
      </c>
      <c r="V146" s="536" t="str">
        <f t="shared" si="57"/>
        <v>2021/22</v>
      </c>
      <c r="W146" s="536" t="str">
        <f t="shared" si="57"/>
        <v>2022/23</v>
      </c>
      <c r="X146" s="536" t="str">
        <f t="shared" si="57"/>
        <v>2023/24</v>
      </c>
      <c r="Y146" s="536" t="str">
        <f t="shared" si="57"/>
        <v>2024/25</v>
      </c>
      <c r="Z146" s="536" t="str">
        <f t="shared" si="57"/>
        <v>2025/26</v>
      </c>
      <c r="AA146" s="536" t="str">
        <f t="shared" si="57"/>
        <v>2026/27</v>
      </c>
      <c r="AB146" s="536" t="str">
        <f t="shared" si="57"/>
        <v>2027/28</v>
      </c>
      <c r="AC146" s="536" t="str">
        <f t="shared" si="57"/>
        <v>2028/29</v>
      </c>
      <c r="AD146" s="536" t="str">
        <f t="shared" si="57"/>
        <v>2029/30</v>
      </c>
      <c r="AE146" s="536" t="str">
        <f t="shared" si="57"/>
        <v>2030/31</v>
      </c>
      <c r="AF146" s="536" t="str">
        <f t="shared" si="57"/>
        <v>2031/32</v>
      </c>
      <c r="AG146" s="536" t="str">
        <f t="shared" si="57"/>
        <v>3032/33</v>
      </c>
      <c r="AH146" s="536" t="str">
        <f t="shared" si="57"/>
        <v>2033/34</v>
      </c>
      <c r="AI146" s="536" t="str">
        <f t="shared" si="57"/>
        <v>2034/35</v>
      </c>
      <c r="AJ146" s="536" t="str">
        <f t="shared" si="57"/>
        <v>2035/36</v>
      </c>
      <c r="AK146" s="536" t="str">
        <f t="shared" si="5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58">O$13</f>
        <v>0</v>
      </c>
      <c r="P147" s="785">
        <f t="shared" si="58"/>
        <v>5160</v>
      </c>
      <c r="Q147" s="785">
        <f t="shared" si="58"/>
        <v>4646</v>
      </c>
      <c r="R147" s="785">
        <f t="shared" si="58"/>
        <v>4132</v>
      </c>
      <c r="S147" s="785">
        <f t="shared" si="58"/>
        <v>3656</v>
      </c>
      <c r="T147" s="785">
        <f t="shared" si="58"/>
        <v>3430</v>
      </c>
      <c r="U147" s="785">
        <f t="shared" si="58"/>
        <v>3204</v>
      </c>
      <c r="V147" s="785">
        <f t="shared" si="58"/>
        <v>2978</v>
      </c>
      <c r="W147" s="785">
        <f t="shared" si="58"/>
        <v>2752</v>
      </c>
      <c r="X147" s="785">
        <f t="shared" si="58"/>
        <v>2526</v>
      </c>
      <c r="Y147" s="785">
        <f t="shared" si="58"/>
        <v>2300</v>
      </c>
      <c r="Z147" s="785">
        <f t="shared" si="58"/>
        <v>2074</v>
      </c>
      <c r="AA147" s="785">
        <f t="shared" si="58"/>
        <v>1848</v>
      </c>
      <c r="AB147" s="785">
        <f t="shared" si="58"/>
        <v>1622</v>
      </c>
      <c r="AC147" s="785">
        <f t="shared" si="58"/>
        <v>1396</v>
      </c>
      <c r="AD147" s="785">
        <f t="shared" si="58"/>
        <v>1170</v>
      </c>
      <c r="AE147" s="785">
        <f t="shared" si="58"/>
        <v>944</v>
      </c>
      <c r="AF147" s="785">
        <f t="shared" si="58"/>
        <v>718</v>
      </c>
      <c r="AG147" s="785">
        <f t="shared" si="58"/>
        <v>492</v>
      </c>
      <c r="AH147" s="785">
        <f t="shared" si="58"/>
        <v>266</v>
      </c>
      <c r="AI147" s="785">
        <f t="shared" si="58"/>
        <v>40</v>
      </c>
      <c r="AJ147" s="785">
        <f t="shared" si="58"/>
        <v>0</v>
      </c>
      <c r="AK147" s="785">
        <f t="shared" si="58"/>
        <v>0</v>
      </c>
    </row>
    <row r="148" spans="4:37" x14ac:dyDescent="0.45">
      <c r="D148" s="451"/>
      <c r="E148" s="803" t="str">
        <f>D$12</f>
        <v>No. of Sales Accounts</v>
      </c>
      <c r="F148" s="803"/>
      <c r="G148" s="803"/>
      <c r="H148" s="803"/>
      <c r="I148" s="803"/>
      <c r="J148" s="803"/>
      <c r="K148" s="803"/>
      <c r="L148" s="803"/>
      <c r="M148" s="803"/>
      <c r="N148" s="785">
        <f>N$12</f>
        <v>0</v>
      </c>
      <c r="O148" s="785">
        <f t="shared" si="56"/>
        <v>0</v>
      </c>
      <c r="P148" s="785">
        <f t="shared" si="56"/>
        <v>2239</v>
      </c>
      <c r="Q148" s="785">
        <f t="shared" si="56"/>
        <v>2753</v>
      </c>
      <c r="R148" s="785">
        <f t="shared" si="56"/>
        <v>3267</v>
      </c>
      <c r="S148" s="785">
        <f t="shared" si="56"/>
        <v>3743</v>
      </c>
      <c r="T148" s="785">
        <f t="shared" si="56"/>
        <v>3969</v>
      </c>
      <c r="U148" s="785">
        <f t="shared" si="56"/>
        <v>4195</v>
      </c>
      <c r="V148" s="785">
        <f t="shared" si="56"/>
        <v>4421</v>
      </c>
      <c r="W148" s="785">
        <f t="shared" si="56"/>
        <v>4647</v>
      </c>
      <c r="X148" s="785">
        <f t="shared" si="56"/>
        <v>4873</v>
      </c>
      <c r="Y148" s="785">
        <f t="shared" si="56"/>
        <v>5099</v>
      </c>
      <c r="Z148" s="785">
        <f t="shared" si="56"/>
        <v>5325</v>
      </c>
      <c r="AA148" s="785">
        <f t="shared" si="56"/>
        <v>5551</v>
      </c>
      <c r="AB148" s="785">
        <f t="shared" si="56"/>
        <v>5777</v>
      </c>
      <c r="AC148" s="785">
        <f t="shared" si="56"/>
        <v>6003</v>
      </c>
      <c r="AD148" s="785">
        <f t="shared" si="56"/>
        <v>6229</v>
      </c>
      <c r="AE148" s="785">
        <f t="shared" si="56"/>
        <v>6455</v>
      </c>
      <c r="AF148" s="785">
        <f t="shared" si="56"/>
        <v>6681</v>
      </c>
      <c r="AG148" s="785">
        <f t="shared" si="56"/>
        <v>6907</v>
      </c>
      <c r="AH148" s="785">
        <f t="shared" si="56"/>
        <v>7133</v>
      </c>
      <c r="AI148" s="785">
        <f t="shared" si="56"/>
        <v>7359</v>
      </c>
      <c r="AJ148" s="785">
        <f t="shared" si="56"/>
        <v>7399</v>
      </c>
      <c r="AK148" s="785">
        <f t="shared" si="5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9">O$5</f>
        <v>2014/15</v>
      </c>
      <c r="P170" s="536" t="str">
        <f t="shared" si="59"/>
        <v>2015/16</v>
      </c>
      <c r="Q170" s="536" t="str">
        <f t="shared" si="59"/>
        <v>2016/17</v>
      </c>
      <c r="R170" s="536" t="str">
        <f t="shared" si="59"/>
        <v>2017/18</v>
      </c>
      <c r="S170" s="536" t="str">
        <f t="shared" si="59"/>
        <v>2018/19</v>
      </c>
      <c r="T170" s="536" t="str">
        <f t="shared" si="59"/>
        <v>2019/20</v>
      </c>
      <c r="U170" s="536" t="str">
        <f t="shared" si="59"/>
        <v>2020/21</v>
      </c>
      <c r="V170" s="536" t="str">
        <f t="shared" si="59"/>
        <v>2021/22</v>
      </c>
      <c r="W170" s="536" t="str">
        <f t="shared" si="59"/>
        <v>2022/23</v>
      </c>
      <c r="X170" s="536" t="str">
        <f t="shared" si="59"/>
        <v>2023/24</v>
      </c>
      <c r="Y170" s="536" t="str">
        <f t="shared" si="59"/>
        <v>2024/25</v>
      </c>
      <c r="Z170" s="536" t="str">
        <f t="shared" si="59"/>
        <v>2025/26</v>
      </c>
      <c r="AA170" s="536" t="str">
        <f t="shared" si="59"/>
        <v>2026/27</v>
      </c>
      <c r="AB170" s="536" t="str">
        <f t="shared" si="59"/>
        <v>2027/28</v>
      </c>
      <c r="AC170" s="536" t="str">
        <f t="shared" si="59"/>
        <v>2028/29</v>
      </c>
      <c r="AD170" s="536" t="str">
        <f t="shared" si="59"/>
        <v>2029/30</v>
      </c>
      <c r="AE170" s="536" t="str">
        <f t="shared" si="59"/>
        <v>2030/31</v>
      </c>
      <c r="AF170" s="536" t="str">
        <f t="shared" si="59"/>
        <v>2031/32</v>
      </c>
      <c r="AG170" s="536" t="str">
        <f t="shared" si="59"/>
        <v>3032/33</v>
      </c>
      <c r="AH170" s="536" t="str">
        <f t="shared" si="59"/>
        <v>2033/34</v>
      </c>
      <c r="AI170" s="536" t="str">
        <f t="shared" si="59"/>
        <v>2034/35</v>
      </c>
      <c r="AJ170" s="536" t="str">
        <f t="shared" si="59"/>
        <v>2035/36</v>
      </c>
      <c r="AK170" s="536" t="str">
        <f t="shared" si="59"/>
        <v>2036/37</v>
      </c>
    </row>
    <row r="171" spans="4:37" x14ac:dyDescent="0.45">
      <c r="E171" s="803" t="str">
        <f>D48</f>
        <v>Net Surplus / (Deficit)</v>
      </c>
      <c r="F171" s="803"/>
      <c r="G171" s="803"/>
      <c r="H171" s="803"/>
      <c r="I171" s="803"/>
      <c r="J171" s="803"/>
      <c r="K171" s="803"/>
      <c r="L171" s="803"/>
      <c r="M171" s="803"/>
      <c r="N171" s="533">
        <f t="shared" ref="N171:AK171" si="60">N48</f>
        <v>-112639142.49333334</v>
      </c>
      <c r="O171" s="533">
        <f t="shared" si="60"/>
        <v>-120020127.89333332</v>
      </c>
      <c r="P171" s="533">
        <f t="shared" si="60"/>
        <v>-128289183.36000001</v>
      </c>
      <c r="Q171" s="579">
        <f t="shared" ca="1" si="60"/>
        <v>-131948176.67010787</v>
      </c>
      <c r="R171" s="579">
        <f t="shared" ca="1" si="60"/>
        <v>-128772071.22519906</v>
      </c>
      <c r="S171" s="579">
        <f t="shared" ca="1" si="60"/>
        <v>-125352126.05131693</v>
      </c>
      <c r="T171" s="533">
        <f t="shared" ca="1" si="60"/>
        <v>-126956932.24841155</v>
      </c>
      <c r="U171" s="533">
        <f t="shared" ca="1" si="60"/>
        <v>-126155549.41692396</v>
      </c>
      <c r="V171" s="533">
        <f t="shared" ca="1" si="60"/>
        <v>-124849979.70312493</v>
      </c>
      <c r="W171" s="533">
        <f t="shared" ca="1" si="60"/>
        <v>-122987708.90222576</v>
      </c>
      <c r="X171" s="533">
        <f t="shared" ca="1" si="60"/>
        <v>-120511971.41223007</v>
      </c>
      <c r="Y171" s="533">
        <f t="shared" ca="1" si="60"/>
        <v>-117361441.43571034</v>
      </c>
      <c r="Z171" s="533">
        <f t="shared" ca="1" si="60"/>
        <v>-113469903.07425649</v>
      </c>
      <c r="AA171" s="533">
        <f t="shared" ca="1" si="60"/>
        <v>-108765897.92790511</v>
      </c>
      <c r="AB171" s="533">
        <f t="shared" ca="1" si="60"/>
        <v>-103172348.7230612</v>
      </c>
      <c r="AC171" s="533">
        <f t="shared" ca="1" si="60"/>
        <v>-96606157.398058683</v>
      </c>
      <c r="AD171" s="533">
        <f t="shared" ca="1" si="60"/>
        <v>-88977775.975225061</v>
      </c>
      <c r="AE171" s="533">
        <f t="shared" ca="1" si="60"/>
        <v>-80190748.441757485</v>
      </c>
      <c r="AF171" s="533">
        <f t="shared" ca="1" si="60"/>
        <v>-70141221.748490617</v>
      </c>
      <c r="AG171" s="533">
        <f t="shared" ca="1" si="60"/>
        <v>-58717423.915335566</v>
      </c>
      <c r="AH171" s="533">
        <f t="shared" ca="1" si="60"/>
        <v>-45799107.104352199</v>
      </c>
      <c r="AI171" s="533">
        <f t="shared" ca="1" si="60"/>
        <v>-31256953.38562502</v>
      </c>
      <c r="AJ171" s="533">
        <f t="shared" ca="1" si="60"/>
        <v>-292672.82400684012</v>
      </c>
      <c r="AK171" s="533">
        <f t="shared" ca="1" si="60"/>
        <v>0</v>
      </c>
    </row>
    <row r="172" spans="4:37" x14ac:dyDescent="0.45">
      <c r="E172" s="803" t="str">
        <f>D47</f>
        <v>Total Expenditure</v>
      </c>
      <c r="F172" s="803"/>
      <c r="G172" s="803"/>
      <c r="H172" s="803"/>
      <c r="I172" s="803"/>
      <c r="J172" s="803"/>
      <c r="K172" s="803"/>
      <c r="L172" s="803"/>
      <c r="M172" s="803"/>
      <c r="N172" s="533">
        <f t="shared" ref="N172:AK172" si="61">N47</f>
        <v>126486884.31333333</v>
      </c>
      <c r="O172" s="533">
        <f t="shared" si="61"/>
        <v>136616043.32333332</v>
      </c>
      <c r="P172" s="533">
        <f t="shared" si="61"/>
        <v>143214809.11000001</v>
      </c>
      <c r="Q172" s="579">
        <f t="shared" si="61"/>
        <v>143253743.71700636</v>
      </c>
      <c r="R172" s="579">
        <f t="shared" si="61"/>
        <v>139067846.33322573</v>
      </c>
      <c r="S172" s="579">
        <f t="shared" si="61"/>
        <v>133721299.89060706</v>
      </c>
      <c r="T172" s="533">
        <f t="shared" si="61"/>
        <v>131255140.47134125</v>
      </c>
      <c r="U172" s="533">
        <f t="shared" si="61"/>
        <v>130281139.72238086</v>
      </c>
      <c r="V172" s="533">
        <f t="shared" si="61"/>
        <v>128802952.09110902</v>
      </c>
      <c r="W172" s="533">
        <f t="shared" si="61"/>
        <v>126768063.37273706</v>
      </c>
      <c r="X172" s="533">
        <f t="shared" si="61"/>
        <v>124119707.96526858</v>
      </c>
      <c r="Y172" s="533">
        <f t="shared" si="61"/>
        <v>120796560.07127605</v>
      </c>
      <c r="Z172" s="533">
        <f t="shared" si="61"/>
        <v>116732403.79234941</v>
      </c>
      <c r="AA172" s="533">
        <f t="shared" si="61"/>
        <v>111855780.72852524</v>
      </c>
      <c r="AB172" s="533">
        <f t="shared" si="61"/>
        <v>106089613.60620853</v>
      </c>
      <c r="AC172" s="533">
        <f t="shared" si="61"/>
        <v>99350804.363733217</v>
      </c>
      <c r="AD172" s="533">
        <f t="shared" si="61"/>
        <v>91549805.023426801</v>
      </c>
      <c r="AE172" s="533">
        <f t="shared" si="61"/>
        <v>82590159.57248643</v>
      </c>
      <c r="AF172" s="533">
        <f t="shared" si="61"/>
        <v>72368014.961746752</v>
      </c>
      <c r="AG172" s="533">
        <f t="shared" si="61"/>
        <v>60771599.211118914</v>
      </c>
      <c r="AH172" s="533">
        <f t="shared" si="61"/>
        <v>47680664.482662745</v>
      </c>
      <c r="AI172" s="533">
        <f t="shared" si="61"/>
        <v>32965892.846462775</v>
      </c>
      <c r="AJ172" s="533">
        <f t="shared" si="61"/>
        <v>774381.134947057</v>
      </c>
      <c r="AK172" s="533">
        <f t="shared" si="61"/>
        <v>0</v>
      </c>
    </row>
    <row r="173" spans="4:37" x14ac:dyDescent="0.45">
      <c r="E173" s="803" t="str">
        <f>D28</f>
        <v>Total Income</v>
      </c>
      <c r="F173" s="803"/>
      <c r="G173" s="803"/>
      <c r="H173" s="803"/>
      <c r="I173" s="803"/>
      <c r="J173" s="803"/>
      <c r="K173" s="803"/>
      <c r="L173" s="803"/>
      <c r="M173" s="803"/>
      <c r="N173" s="533">
        <f t="shared" ref="N173:AK173" si="62">N28</f>
        <v>13847741.82</v>
      </c>
      <c r="O173" s="533">
        <f t="shared" si="62"/>
        <v>16595915.43</v>
      </c>
      <c r="P173" s="533">
        <f t="shared" si="62"/>
        <v>14925625.75</v>
      </c>
      <c r="Q173" s="579">
        <f t="shared" ca="1" si="62"/>
        <v>11305567.046898484</v>
      </c>
      <c r="R173" s="579">
        <f t="shared" ca="1" si="62"/>
        <v>10295775.108026672</v>
      </c>
      <c r="S173" s="579">
        <f t="shared" ca="1" si="62"/>
        <v>8369173.8392901234</v>
      </c>
      <c r="T173" s="533">
        <f t="shared" ca="1" si="62"/>
        <v>4298208.2229296956</v>
      </c>
      <c r="U173" s="533">
        <f t="shared" ca="1" si="62"/>
        <v>4125590.3054568996</v>
      </c>
      <c r="V173" s="533">
        <f t="shared" ca="1" si="62"/>
        <v>3952972.3879841031</v>
      </c>
      <c r="W173" s="533">
        <f t="shared" ca="1" si="62"/>
        <v>3780354.470511307</v>
      </c>
      <c r="X173" s="533">
        <f t="shared" ca="1" si="62"/>
        <v>3607736.5530385105</v>
      </c>
      <c r="Y173" s="533">
        <f t="shared" ca="1" si="62"/>
        <v>3435118.6355657149</v>
      </c>
      <c r="Z173" s="533">
        <f t="shared" ca="1" si="62"/>
        <v>3262500.7180929184</v>
      </c>
      <c r="AA173" s="533">
        <f t="shared" ca="1" si="62"/>
        <v>3089882.8006201228</v>
      </c>
      <c r="AB173" s="533">
        <f t="shared" ca="1" si="62"/>
        <v>2917264.8831473263</v>
      </c>
      <c r="AC173" s="533">
        <f t="shared" ca="1" si="62"/>
        <v>2744646.9656745302</v>
      </c>
      <c r="AD173" s="533">
        <f t="shared" ca="1" si="62"/>
        <v>2572029.0482017342</v>
      </c>
      <c r="AE173" s="533">
        <f t="shared" ca="1" si="62"/>
        <v>2399411.1307289382</v>
      </c>
      <c r="AF173" s="533">
        <f t="shared" ca="1" si="62"/>
        <v>2226793.2132561421</v>
      </c>
      <c r="AG173" s="533">
        <f t="shared" ca="1" si="62"/>
        <v>2054175.2957833458</v>
      </c>
      <c r="AH173" s="533">
        <f t="shared" ca="1" si="62"/>
        <v>1881557.3783105498</v>
      </c>
      <c r="AI173" s="533">
        <f t="shared" ca="1" si="62"/>
        <v>1708939.4608377537</v>
      </c>
      <c r="AJ173" s="533">
        <f t="shared" ca="1" si="62"/>
        <v>481708.31094021688</v>
      </c>
      <c r="AK173" s="533">
        <f t="shared" ca="1" si="62"/>
        <v>0</v>
      </c>
    </row>
    <row r="195" spans="5:37" x14ac:dyDescent="0.45">
      <c r="N195" s="536" t="str">
        <f>N$170</f>
        <v>2013/14</v>
      </c>
      <c r="O195" s="536" t="str">
        <f t="shared" ref="O195:AK195" si="63">O$170</f>
        <v>2014/15</v>
      </c>
      <c r="P195" s="536" t="str">
        <f t="shared" si="63"/>
        <v>2015/16</v>
      </c>
      <c r="Q195" s="536" t="str">
        <f t="shared" si="63"/>
        <v>2016/17</v>
      </c>
      <c r="R195" s="536" t="str">
        <f t="shared" si="63"/>
        <v>2017/18</v>
      </c>
      <c r="S195" s="536" t="str">
        <f t="shared" si="63"/>
        <v>2018/19</v>
      </c>
      <c r="T195" s="536" t="str">
        <f t="shared" si="63"/>
        <v>2019/20</v>
      </c>
      <c r="U195" s="536" t="str">
        <f t="shared" si="63"/>
        <v>2020/21</v>
      </c>
      <c r="V195" s="536" t="str">
        <f t="shared" si="63"/>
        <v>2021/22</v>
      </c>
      <c r="W195" s="536" t="str">
        <f t="shared" si="63"/>
        <v>2022/23</v>
      </c>
      <c r="X195" s="536" t="str">
        <f t="shared" si="63"/>
        <v>2023/24</v>
      </c>
      <c r="Y195" s="536" t="str">
        <f t="shared" si="63"/>
        <v>2024/25</v>
      </c>
      <c r="Z195" s="536" t="str">
        <f t="shared" si="63"/>
        <v>2025/26</v>
      </c>
      <c r="AA195" s="536" t="str">
        <f t="shared" si="63"/>
        <v>2026/27</v>
      </c>
      <c r="AB195" s="536" t="str">
        <f t="shared" si="63"/>
        <v>2027/28</v>
      </c>
      <c r="AC195" s="536" t="str">
        <f t="shared" si="63"/>
        <v>2028/29</v>
      </c>
      <c r="AD195" s="536" t="str">
        <f t="shared" si="63"/>
        <v>2029/30</v>
      </c>
      <c r="AE195" s="536" t="str">
        <f t="shared" si="63"/>
        <v>2030/31</v>
      </c>
      <c r="AF195" s="536" t="str">
        <f t="shared" si="63"/>
        <v>2031/32</v>
      </c>
      <c r="AG195" s="536" t="str">
        <f t="shared" si="63"/>
        <v>3032/33</v>
      </c>
      <c r="AH195" s="536" t="str">
        <f t="shared" si="63"/>
        <v>2033/34</v>
      </c>
      <c r="AI195" s="536" t="str">
        <f t="shared" si="63"/>
        <v>2034/35</v>
      </c>
      <c r="AJ195" s="536" t="str">
        <f t="shared" si="63"/>
        <v>2035/36</v>
      </c>
      <c r="AK195" s="536" t="str">
        <f t="shared" si="63"/>
        <v>2036/37</v>
      </c>
    </row>
    <row r="196" spans="5:37" x14ac:dyDescent="0.45">
      <c r="E196" s="803" t="str">
        <f>D104</f>
        <v>Sales &amp; Loans Collections/Sales &amp; Loans Raised</v>
      </c>
      <c r="F196" s="803"/>
      <c r="G196" s="803"/>
      <c r="H196" s="803"/>
      <c r="I196" s="803"/>
      <c r="J196" s="803"/>
      <c r="K196" s="803"/>
      <c r="L196" s="803"/>
      <c r="M196" s="803"/>
      <c r="N196" s="813">
        <f t="shared" ref="N196:AK196" si="64">N104</f>
        <v>0.12911491713184367</v>
      </c>
      <c r="O196" s="813">
        <f t="shared" si="64"/>
        <v>0.2262622956784065</v>
      </c>
      <c r="P196" s="813">
        <f t="shared" si="64"/>
        <v>0.24001823843768713</v>
      </c>
      <c r="Q196" s="813">
        <f t="shared" si="64"/>
        <v>0.14589278010946469</v>
      </c>
      <c r="R196" s="813">
        <f t="shared" si="64"/>
        <v>0.14589278010946469</v>
      </c>
      <c r="S196" s="813">
        <f t="shared" si="64"/>
        <v>0.12668732159277471</v>
      </c>
      <c r="T196" s="813">
        <f t="shared" si="64"/>
        <v>6.5747878122074388E-2</v>
      </c>
      <c r="U196" s="813">
        <f t="shared" si="64"/>
        <v>6.5747878122074388E-2</v>
      </c>
      <c r="V196" s="813">
        <f t="shared" si="64"/>
        <v>6.5747878122074388E-2</v>
      </c>
      <c r="W196" s="813">
        <f t="shared" si="64"/>
        <v>6.5747878122074388E-2</v>
      </c>
      <c r="X196" s="813">
        <f t="shared" si="64"/>
        <v>6.5747878122074388E-2</v>
      </c>
      <c r="Y196" s="813">
        <f t="shared" si="64"/>
        <v>6.5747878122074388E-2</v>
      </c>
      <c r="Z196" s="813">
        <f t="shared" si="64"/>
        <v>6.5747878122074388E-2</v>
      </c>
      <c r="AA196" s="813">
        <f t="shared" si="64"/>
        <v>6.5747878122074388E-2</v>
      </c>
      <c r="AB196" s="813">
        <f t="shared" si="64"/>
        <v>6.5747878122074388E-2</v>
      </c>
      <c r="AC196" s="813">
        <f t="shared" si="64"/>
        <v>6.5747878122074388E-2</v>
      </c>
      <c r="AD196" s="813">
        <f t="shared" si="64"/>
        <v>6.5747878122074388E-2</v>
      </c>
      <c r="AE196" s="813">
        <f t="shared" si="64"/>
        <v>6.5747878122074388E-2</v>
      </c>
      <c r="AF196" s="813">
        <f t="shared" si="64"/>
        <v>6.5747878122074388E-2</v>
      </c>
      <c r="AG196" s="813">
        <f t="shared" si="64"/>
        <v>6.5747878122074388E-2</v>
      </c>
      <c r="AH196" s="813">
        <f t="shared" si="64"/>
        <v>6.5747878122074388E-2</v>
      </c>
      <c r="AI196" s="813">
        <f t="shared" si="64"/>
        <v>6.5747878122074388E-2</v>
      </c>
      <c r="AJ196" s="813">
        <f t="shared" si="64"/>
        <v>0.13248519490854305</v>
      </c>
      <c r="AK196" s="813">
        <f t="shared" si="64"/>
        <v>0</v>
      </c>
    </row>
    <row r="219" spans="5:37" x14ac:dyDescent="0.45">
      <c r="N219" s="536" t="str">
        <f>N$170</f>
        <v>2013/14</v>
      </c>
      <c r="O219" s="536" t="str">
        <f t="shared" ref="O219:AK219" si="65">O$170</f>
        <v>2014/15</v>
      </c>
      <c r="P219" s="536" t="str">
        <f t="shared" si="65"/>
        <v>2015/16</v>
      </c>
      <c r="Q219" s="536" t="str">
        <f t="shared" si="65"/>
        <v>2016/17</v>
      </c>
      <c r="R219" s="536" t="str">
        <f t="shared" si="65"/>
        <v>2017/18</v>
      </c>
      <c r="S219" s="536" t="str">
        <f t="shared" si="65"/>
        <v>2018/19</v>
      </c>
      <c r="T219" s="536" t="str">
        <f t="shared" si="65"/>
        <v>2019/20</v>
      </c>
      <c r="U219" s="536" t="str">
        <f t="shared" si="65"/>
        <v>2020/21</v>
      </c>
      <c r="V219" s="536" t="str">
        <f t="shared" si="65"/>
        <v>2021/22</v>
      </c>
      <c r="W219" s="536" t="str">
        <f t="shared" si="65"/>
        <v>2022/23</v>
      </c>
      <c r="X219" s="536" t="str">
        <f t="shared" si="65"/>
        <v>2023/24</v>
      </c>
      <c r="Y219" s="536" t="str">
        <f t="shared" si="65"/>
        <v>2024/25</v>
      </c>
      <c r="Z219" s="536" t="str">
        <f t="shared" si="65"/>
        <v>2025/26</v>
      </c>
      <c r="AA219" s="536" t="str">
        <f t="shared" si="65"/>
        <v>2026/27</v>
      </c>
      <c r="AB219" s="536" t="str">
        <f t="shared" si="65"/>
        <v>2027/28</v>
      </c>
      <c r="AC219" s="536" t="str">
        <f t="shared" si="65"/>
        <v>2028/29</v>
      </c>
      <c r="AD219" s="536" t="str">
        <f t="shared" si="65"/>
        <v>2029/30</v>
      </c>
      <c r="AE219" s="536" t="str">
        <f t="shared" si="65"/>
        <v>2030/31</v>
      </c>
      <c r="AF219" s="536" t="str">
        <f t="shared" si="65"/>
        <v>2031/32</v>
      </c>
      <c r="AG219" s="536" t="str">
        <f t="shared" si="65"/>
        <v>3032/33</v>
      </c>
      <c r="AH219" s="536" t="str">
        <f t="shared" si="65"/>
        <v>2033/34</v>
      </c>
      <c r="AI219" s="536" t="str">
        <f t="shared" si="65"/>
        <v>2034/35</v>
      </c>
      <c r="AJ219" s="536" t="str">
        <f t="shared" si="65"/>
        <v>2035/36</v>
      </c>
      <c r="AK219" s="536" t="str">
        <f t="shared" si="65"/>
        <v>2036/37</v>
      </c>
    </row>
    <row r="220" spans="5:37" x14ac:dyDescent="0.45">
      <c r="E220" s="803" t="str">
        <f>D105</f>
        <v>Rental Collections/Rentals Raised</v>
      </c>
      <c r="F220" s="803"/>
      <c r="G220" s="803"/>
      <c r="H220" s="803"/>
      <c r="I220" s="803"/>
      <c r="J220" s="803"/>
      <c r="K220" s="803"/>
      <c r="L220" s="803"/>
      <c r="M220" s="803"/>
      <c r="N220" s="813">
        <f>N105</f>
        <v>0.43074995700024832</v>
      </c>
      <c r="O220" s="813">
        <f t="shared" ref="O220:AK220" si="66">O105</f>
        <v>0.4175691893204192</v>
      </c>
      <c r="P220" s="813">
        <f t="shared" si="66"/>
        <v>0.4799755579961148</v>
      </c>
      <c r="Q220" s="813">
        <f t="shared" si="66"/>
        <v>0.45924066965734001</v>
      </c>
      <c r="R220" s="813">
        <f t="shared" si="66"/>
        <v>0.43027023088641919</v>
      </c>
      <c r="S220" s="813">
        <f t="shared" si="66"/>
        <v>0.40193032417923641</v>
      </c>
      <c r="T220" s="813">
        <f t="shared" si="66"/>
        <v>0.40200271560394374</v>
      </c>
      <c r="U220" s="813">
        <f t="shared" si="66"/>
        <v>0.40208524472447471</v>
      </c>
      <c r="V220" s="813">
        <f t="shared" si="66"/>
        <v>0.40218020140141142</v>
      </c>
      <c r="W220" s="813">
        <f t="shared" si="66"/>
        <v>0.40229062127909859</v>
      </c>
      <c r="X220" s="813">
        <f t="shared" si="66"/>
        <v>0.40242061631570591</v>
      </c>
      <c r="Y220" s="813">
        <f t="shared" si="66"/>
        <v>0.40257589819903378</v>
      </c>
      <c r="Z220" s="813">
        <f t="shared" si="66"/>
        <v>0.4027646401181767</v>
      </c>
      <c r="AA220" s="813">
        <f t="shared" si="66"/>
        <v>0.40299896288428361</v>
      </c>
      <c r="AB220" s="813">
        <f t="shared" si="66"/>
        <v>0.40329764560146902</v>
      </c>
      <c r="AC220" s="813">
        <f t="shared" si="66"/>
        <v>0.40369142547750952</v>
      </c>
      <c r="AD220" s="813">
        <f t="shared" si="66"/>
        <v>0.40423431828483092</v>
      </c>
      <c r="AE220" s="813">
        <f t="shared" si="66"/>
        <v>0.40503080257458618</v>
      </c>
      <c r="AF220" s="813">
        <f t="shared" si="66"/>
        <v>0.40631270636913475</v>
      </c>
      <c r="AG220" s="813">
        <f t="shared" si="66"/>
        <v>0.40871828245838759</v>
      </c>
      <c r="AH220" s="813">
        <f t="shared" si="66"/>
        <v>0.41487778252245144</v>
      </c>
      <c r="AI220" s="813">
        <f t="shared" si="66"/>
        <v>0.46477863356926424</v>
      </c>
      <c r="AJ220" s="813">
        <f t="shared" si="66"/>
        <v>0</v>
      </c>
      <c r="AK220" s="813">
        <f t="shared" si="66"/>
        <v>0</v>
      </c>
    </row>
    <row r="243" spans="5:37" x14ac:dyDescent="0.45">
      <c r="N243" s="536" t="str">
        <f>N$170</f>
        <v>2013/14</v>
      </c>
      <c r="O243" s="536" t="str">
        <f t="shared" ref="O243:AK243" si="67">O$170</f>
        <v>2014/15</v>
      </c>
      <c r="P243" s="536" t="str">
        <f t="shared" si="67"/>
        <v>2015/16</v>
      </c>
      <c r="Q243" s="536" t="str">
        <f t="shared" si="67"/>
        <v>2016/17</v>
      </c>
      <c r="R243" s="536" t="str">
        <f t="shared" si="67"/>
        <v>2017/18</v>
      </c>
      <c r="S243" s="536" t="str">
        <f t="shared" si="67"/>
        <v>2018/19</v>
      </c>
      <c r="T243" s="536" t="str">
        <f t="shared" si="67"/>
        <v>2019/20</v>
      </c>
      <c r="U243" s="536" t="str">
        <f t="shared" si="67"/>
        <v>2020/21</v>
      </c>
      <c r="V243" s="536" t="str">
        <f t="shared" si="67"/>
        <v>2021/22</v>
      </c>
      <c r="W243" s="536" t="str">
        <f t="shared" si="67"/>
        <v>2022/23</v>
      </c>
      <c r="X243" s="536" t="str">
        <f t="shared" si="67"/>
        <v>2023/24</v>
      </c>
      <c r="Y243" s="536" t="str">
        <f t="shared" si="67"/>
        <v>2024/25</v>
      </c>
      <c r="Z243" s="536" t="str">
        <f t="shared" si="67"/>
        <v>2025/26</v>
      </c>
      <c r="AA243" s="536" t="str">
        <f t="shared" si="67"/>
        <v>2026/27</v>
      </c>
      <c r="AB243" s="536" t="str">
        <f t="shared" si="67"/>
        <v>2027/28</v>
      </c>
      <c r="AC243" s="536" t="str">
        <f t="shared" si="67"/>
        <v>2028/29</v>
      </c>
      <c r="AD243" s="536" t="str">
        <f t="shared" si="67"/>
        <v>2029/30</v>
      </c>
      <c r="AE243" s="536" t="str">
        <f t="shared" si="67"/>
        <v>2030/31</v>
      </c>
      <c r="AF243" s="536" t="str">
        <f t="shared" si="67"/>
        <v>2031/32</v>
      </c>
      <c r="AG243" s="536" t="str">
        <f t="shared" si="67"/>
        <v>3032/33</v>
      </c>
      <c r="AH243" s="536" t="str">
        <f t="shared" si="67"/>
        <v>2033/34</v>
      </c>
      <c r="AI243" s="536" t="str">
        <f t="shared" si="67"/>
        <v>2034/35</v>
      </c>
      <c r="AJ243" s="536" t="str">
        <f t="shared" si="67"/>
        <v>2035/36</v>
      </c>
      <c r="AK243" s="536" t="str">
        <f t="shared" si="67"/>
        <v>2036/37</v>
      </c>
    </row>
    <row r="244" spans="5:37" x14ac:dyDescent="0.45">
      <c r="E244" s="803" t="str">
        <f>D110</f>
        <v>Cost to Income Ratio</v>
      </c>
      <c r="F244" s="803"/>
      <c r="G244" s="803"/>
      <c r="H244" s="803"/>
      <c r="I244" s="803"/>
      <c r="J244" s="803"/>
      <c r="K244" s="803"/>
      <c r="L244" s="803"/>
      <c r="M244" s="803"/>
      <c r="N244" s="813">
        <f>N110</f>
        <v>3.9797793944828515</v>
      </c>
      <c r="O244" s="813">
        <f t="shared" ref="O244:AK244" si="68">O110</f>
        <v>3.9774448403588876</v>
      </c>
      <c r="P244" s="813">
        <f t="shared" si="68"/>
        <v>5.5783167506580043</v>
      </c>
      <c r="Q244" s="813">
        <f t="shared" ca="1" si="68"/>
        <v>12.671079931042106</v>
      </c>
      <c r="R244" s="813">
        <f t="shared" ca="1" si="68"/>
        <v>13.507273116795963</v>
      </c>
      <c r="S244" s="813">
        <f t="shared" ca="1" si="68"/>
        <v>15.977837533118961</v>
      </c>
      <c r="T244" s="813">
        <f t="shared" ca="1" si="68"/>
        <v>30.537175879738236</v>
      </c>
      <c r="U244" s="813">
        <f t="shared" ca="1" si="68"/>
        <v>31.578787537400064</v>
      </c>
      <c r="V244" s="813">
        <f t="shared" ca="1" si="68"/>
        <v>32.583822867731854</v>
      </c>
      <c r="W244" s="813">
        <f t="shared" ca="1" si="68"/>
        <v>33.533380100091833</v>
      </c>
      <c r="X244" s="813">
        <f t="shared" ca="1" si="68"/>
        <v>34.403761511004006</v>
      </c>
      <c r="Y244" s="813">
        <f t="shared" ca="1" si="68"/>
        <v>35.165178524142178</v>
      </c>
      <c r="Z244" s="813">
        <f t="shared" ca="1" si="68"/>
        <v>35.780039264048</v>
      </c>
      <c r="AA244" s="813">
        <f t="shared" ca="1" si="68"/>
        <v>36.200654829392356</v>
      </c>
      <c r="AB244" s="813">
        <f t="shared" ca="1" si="68"/>
        <v>36.366123014428666</v>
      </c>
      <c r="AC244" s="813">
        <f t="shared" ca="1" si="68"/>
        <v>36.19802677949022</v>
      </c>
      <c r="AD244" s="813">
        <f t="shared" ca="1" si="68"/>
        <v>35.594389996269669</v>
      </c>
      <c r="AE244" s="813">
        <f t="shared" ca="1" si="68"/>
        <v>34.421012103663806</v>
      </c>
      <c r="AF244" s="813">
        <f t="shared" ca="1" si="68"/>
        <v>32.498758542525906</v>
      </c>
      <c r="AG244" s="813">
        <f t="shared" ca="1" si="68"/>
        <v>29.584427062221131</v>
      </c>
      <c r="AH244" s="813">
        <f t="shared" ca="1" si="68"/>
        <v>25.341063223634034</v>
      </c>
      <c r="AI244" s="813">
        <f t="shared" ca="1" si="68"/>
        <v>19.29026369974644</v>
      </c>
      <c r="AJ244" s="813">
        <f t="shared" ca="1" si="68"/>
        <v>1.6075727102062864</v>
      </c>
      <c r="AK244" s="813">
        <f t="shared" ca="1" si="68"/>
        <v>0</v>
      </c>
    </row>
    <row r="269" spans="5:37" x14ac:dyDescent="0.45">
      <c r="N269" s="536" t="str">
        <f>N$170</f>
        <v>2013/14</v>
      </c>
      <c r="O269" s="536" t="str">
        <f t="shared" ref="O269:AK269" si="69">O$170</f>
        <v>2014/15</v>
      </c>
      <c r="P269" s="536" t="str">
        <f t="shared" si="69"/>
        <v>2015/16</v>
      </c>
      <c r="Q269" s="536" t="str">
        <f t="shared" si="69"/>
        <v>2016/17</v>
      </c>
      <c r="R269" s="536" t="str">
        <f t="shared" si="69"/>
        <v>2017/18</v>
      </c>
      <c r="S269" s="536" t="str">
        <f t="shared" si="69"/>
        <v>2018/19</v>
      </c>
      <c r="T269" s="536" t="str">
        <f t="shared" si="69"/>
        <v>2019/20</v>
      </c>
      <c r="U269" s="536" t="str">
        <f t="shared" si="69"/>
        <v>2020/21</v>
      </c>
      <c r="V269" s="536" t="str">
        <f t="shared" si="69"/>
        <v>2021/22</v>
      </c>
      <c r="W269" s="536" t="str">
        <f t="shared" si="69"/>
        <v>2022/23</v>
      </c>
      <c r="X269" s="536" t="str">
        <f t="shared" si="69"/>
        <v>2023/24</v>
      </c>
      <c r="Y269" s="536" t="str">
        <f t="shared" si="69"/>
        <v>2024/25</v>
      </c>
      <c r="Z269" s="536" t="str">
        <f t="shared" si="69"/>
        <v>2025/26</v>
      </c>
      <c r="AA269" s="536" t="str">
        <f t="shared" si="69"/>
        <v>2026/27</v>
      </c>
      <c r="AB269" s="536" t="str">
        <f t="shared" si="69"/>
        <v>2027/28</v>
      </c>
      <c r="AC269" s="536" t="str">
        <f t="shared" si="69"/>
        <v>2028/29</v>
      </c>
      <c r="AD269" s="536" t="str">
        <f t="shared" si="69"/>
        <v>2029/30</v>
      </c>
      <c r="AE269" s="536" t="str">
        <f t="shared" si="69"/>
        <v>2030/31</v>
      </c>
      <c r="AF269" s="536" t="str">
        <f t="shared" si="69"/>
        <v>2031/32</v>
      </c>
      <c r="AG269" s="536" t="str">
        <f t="shared" si="69"/>
        <v>3032/33</v>
      </c>
      <c r="AH269" s="536" t="str">
        <f t="shared" si="69"/>
        <v>2033/34</v>
      </c>
      <c r="AI269" s="536" t="str">
        <f t="shared" si="69"/>
        <v>2034/35</v>
      </c>
      <c r="AJ269" s="536" t="str">
        <f t="shared" si="69"/>
        <v>2035/36</v>
      </c>
      <c r="AK269" s="536" t="str">
        <f t="shared" si="69"/>
        <v>2036/37</v>
      </c>
    </row>
    <row r="270" spans="5:37" x14ac:dyDescent="0.45">
      <c r="E270" s="803" t="str">
        <f>D111</f>
        <v>Maintenance as % of Expenses</v>
      </c>
      <c r="F270" s="803"/>
      <c r="G270" s="803"/>
      <c r="H270" s="803"/>
      <c r="I270" s="803"/>
      <c r="J270" s="803"/>
      <c r="K270" s="803"/>
      <c r="L270" s="803"/>
      <c r="M270" s="803"/>
      <c r="N270" s="813">
        <f>N111</f>
        <v>0.41192797318755381</v>
      </c>
      <c r="O270" s="813">
        <f t="shared" ref="O270:AK270" si="70">O111</f>
        <v>0.32548273107837405</v>
      </c>
      <c r="P270" s="813">
        <f t="shared" si="70"/>
        <v>0.40096302405356743</v>
      </c>
      <c r="Q270" s="813">
        <f t="shared" si="70"/>
        <v>0.39034513559371409</v>
      </c>
      <c r="R270" s="813">
        <f t="shared" si="70"/>
        <v>0.38882931518015867</v>
      </c>
      <c r="S270" s="813">
        <f t="shared" si="70"/>
        <v>0.3879290644413716</v>
      </c>
      <c r="T270" s="813">
        <f t="shared" si="70"/>
        <v>0.39105915624224319</v>
      </c>
      <c r="U270" s="813">
        <f t="shared" si="70"/>
        <v>0.38812760119698214</v>
      </c>
      <c r="V270" s="813">
        <f t="shared" si="70"/>
        <v>0.38480258720870819</v>
      </c>
      <c r="W270" s="813">
        <f t="shared" si="70"/>
        <v>0.38099920395919712</v>
      </c>
      <c r="X270" s="813">
        <f t="shared" si="70"/>
        <v>0.37660621531535154</v>
      </c>
      <c r="Y270" s="813">
        <f t="shared" si="70"/>
        <v>0.37147499941321133</v>
      </c>
      <c r="Z270" s="813">
        <f t="shared" si="70"/>
        <v>0.36540240152646231</v>
      </c>
      <c r="AA270" s="813">
        <f t="shared" si="70"/>
        <v>0.35810319625943859</v>
      </c>
      <c r="AB270" s="813">
        <f t="shared" si="70"/>
        <v>0.34916398795754855</v>
      </c>
      <c r="AC270" s="813">
        <f t="shared" si="70"/>
        <v>0.33796210521123626</v>
      </c>
      <c r="AD270" s="813">
        <f t="shared" si="70"/>
        <v>0.32351398369371032</v>
      </c>
      <c r="AE270" s="813">
        <f t="shared" si="70"/>
        <v>0.30416940002598553</v>
      </c>
      <c r="AF270" s="813">
        <f t="shared" si="70"/>
        <v>0.27693140914801878</v>
      </c>
      <c r="AG270" s="813">
        <f t="shared" si="70"/>
        <v>0.23573042123964877</v>
      </c>
      <c r="AH270" s="813">
        <f t="shared" si="70"/>
        <v>0.16612919199079118</v>
      </c>
      <c r="AI270" s="813">
        <f t="shared" si="70"/>
        <v>2.3319510182640481E-2</v>
      </c>
      <c r="AJ270" s="813">
        <f t="shared" si="70"/>
        <v>0</v>
      </c>
      <c r="AK270" s="813">
        <f t="shared" si="70"/>
        <v>0</v>
      </c>
    </row>
    <row r="293" spans="5:37" x14ac:dyDescent="0.45">
      <c r="N293" s="536" t="str">
        <f>N$170</f>
        <v>2013/14</v>
      </c>
      <c r="O293" s="536" t="str">
        <f t="shared" ref="O293:AK293" si="71">O$170</f>
        <v>2014/15</v>
      </c>
      <c r="P293" s="536" t="str">
        <f t="shared" si="71"/>
        <v>2015/16</v>
      </c>
      <c r="Q293" s="536" t="str">
        <f t="shared" si="71"/>
        <v>2016/17</v>
      </c>
      <c r="R293" s="536" t="str">
        <f t="shared" si="71"/>
        <v>2017/18</v>
      </c>
      <c r="S293" s="536" t="str">
        <f t="shared" si="71"/>
        <v>2018/19</v>
      </c>
      <c r="T293" s="536" t="str">
        <f t="shared" si="71"/>
        <v>2019/20</v>
      </c>
      <c r="U293" s="536" t="str">
        <f t="shared" si="71"/>
        <v>2020/21</v>
      </c>
      <c r="V293" s="536" t="str">
        <f t="shared" si="71"/>
        <v>2021/22</v>
      </c>
      <c r="W293" s="536" t="str">
        <f t="shared" si="71"/>
        <v>2022/23</v>
      </c>
      <c r="X293" s="536" t="str">
        <f t="shared" si="71"/>
        <v>2023/24</v>
      </c>
      <c r="Y293" s="536" t="str">
        <f t="shared" si="71"/>
        <v>2024/25</v>
      </c>
      <c r="Z293" s="536" t="str">
        <f t="shared" si="71"/>
        <v>2025/26</v>
      </c>
      <c r="AA293" s="536" t="str">
        <f t="shared" si="71"/>
        <v>2026/27</v>
      </c>
      <c r="AB293" s="536" t="str">
        <f t="shared" si="71"/>
        <v>2027/28</v>
      </c>
      <c r="AC293" s="536" t="str">
        <f t="shared" si="71"/>
        <v>2028/29</v>
      </c>
      <c r="AD293" s="536" t="str">
        <f t="shared" si="71"/>
        <v>2029/30</v>
      </c>
      <c r="AE293" s="536" t="str">
        <f t="shared" si="71"/>
        <v>2030/31</v>
      </c>
      <c r="AF293" s="536" t="str">
        <f t="shared" si="71"/>
        <v>2031/32</v>
      </c>
      <c r="AG293" s="536" t="str">
        <f t="shared" si="71"/>
        <v>3032/33</v>
      </c>
      <c r="AH293" s="536" t="str">
        <f t="shared" si="71"/>
        <v>2033/34</v>
      </c>
      <c r="AI293" s="536" t="str">
        <f t="shared" si="71"/>
        <v>2034/35</v>
      </c>
      <c r="AJ293" s="536" t="str">
        <f t="shared" si="71"/>
        <v>2035/36</v>
      </c>
      <c r="AK293" s="536" t="str">
        <f t="shared" si="71"/>
        <v>2036/37</v>
      </c>
    </row>
    <row r="294" spans="5:37" x14ac:dyDescent="0.45">
      <c r="E294" s="803" t="str">
        <f>D112</f>
        <v>Maintenance Cost per Unit</v>
      </c>
      <c r="F294" s="803"/>
      <c r="G294" s="803"/>
      <c r="H294" s="803"/>
      <c r="I294" s="803"/>
      <c r="J294" s="803"/>
      <c r="K294" s="803"/>
      <c r="L294" s="803"/>
      <c r="M294" s="803"/>
      <c r="N294" s="818">
        <f>N112</f>
        <v>221716.96123404257</v>
      </c>
      <c r="O294" s="818">
        <f t="shared" ref="O294:AK294" si="72">O112</f>
        <v>342047.40684615384</v>
      </c>
      <c r="P294" s="818">
        <f t="shared" si="72"/>
        <v>11128.651734496125</v>
      </c>
      <c r="Q294" s="818">
        <f t="shared" si="72"/>
        <v>12035.816189307363</v>
      </c>
      <c r="R294" s="818">
        <f t="shared" si="72"/>
        <v>13086.557466923452</v>
      </c>
      <c r="S294" s="818">
        <f t="shared" si="72"/>
        <v>14188.834453623436</v>
      </c>
      <c r="T294" s="818">
        <f t="shared" si="72"/>
        <v>14964.58439801161</v>
      </c>
      <c r="U294" s="818">
        <f t="shared" si="72"/>
        <v>15782.055630978948</v>
      </c>
      <c r="V294" s="818">
        <f t="shared" si="72"/>
        <v>16643.287174203506</v>
      </c>
      <c r="W294" s="818">
        <f t="shared" si="72"/>
        <v>17550.338383888764</v>
      </c>
      <c r="X294" s="818">
        <f t="shared" si="72"/>
        <v>18505.246818229018</v>
      </c>
      <c r="Y294" s="818">
        <f t="shared" si="72"/>
        <v>19509.957426780529</v>
      </c>
      <c r="Z294" s="818">
        <f t="shared" si="72"/>
        <v>20566.200907271548</v>
      </c>
      <c r="AA294" s="818">
        <f t="shared" si="72"/>
        <v>21675.277380400326</v>
      </c>
      <c r="AB294" s="818">
        <f t="shared" si="72"/>
        <v>22837.652631084573</v>
      </c>
      <c r="AC294" s="818">
        <f t="shared" si="72"/>
        <v>24052.154009453407</v>
      </c>
      <c r="AD294" s="818">
        <f t="shared" si="72"/>
        <v>25314.224042317313</v>
      </c>
      <c r="AE294" s="818">
        <f t="shared" si="72"/>
        <v>26611.651785183898</v>
      </c>
      <c r="AF294" s="818">
        <f t="shared" si="72"/>
        <v>27912.22334345604</v>
      </c>
      <c r="AG294" s="818">
        <f t="shared" si="72"/>
        <v>29117.306263097904</v>
      </c>
      <c r="AH294" s="818">
        <f t="shared" si="72"/>
        <v>29778.760391311193</v>
      </c>
      <c r="AI294" s="818">
        <f t="shared" si="72"/>
        <v>19218.711847823091</v>
      </c>
      <c r="AJ294" s="818">
        <f t="shared" si="72"/>
        <v>0</v>
      </c>
      <c r="AK294" s="818">
        <f t="shared" si="72"/>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5.6283986361087817E-3</v>
      </c>
      <c r="O317" s="813">
        <f t="shared" ref="O317:AK317" si="74">O113</f>
        <v>5.8277379008081645E-3</v>
      </c>
      <c r="P317" s="813">
        <f t="shared" si="74"/>
        <v>8.965710025639017E-3</v>
      </c>
      <c r="Q317" s="813">
        <f t="shared" ca="1" si="74"/>
        <v>1.0064622456272281E-2</v>
      </c>
      <c r="R317" s="813">
        <f t="shared" ca="1" si="74"/>
        <v>9.822358387218573E-3</v>
      </c>
      <c r="S317" s="813">
        <f t="shared" ca="1" si="74"/>
        <v>9.5614949341196274E-3</v>
      </c>
      <c r="T317" s="813">
        <f t="shared" ca="1" si="74"/>
        <v>9.6839048748770928E-3</v>
      </c>
      <c r="U317" s="813">
        <f t="shared" ca="1" si="74"/>
        <v>9.622777727496902E-3</v>
      </c>
      <c r="V317" s="813">
        <f t="shared" ca="1" si="74"/>
        <v>9.5231926737937116E-3</v>
      </c>
      <c r="W317" s="813">
        <f t="shared" ca="1" si="74"/>
        <v>9.3811440832379626E-3</v>
      </c>
      <c r="X317" s="813">
        <f t="shared" ca="1" si="74"/>
        <v>9.1923020411084737E-3</v>
      </c>
      <c r="Y317" s="813">
        <f t="shared" ca="1" si="74"/>
        <v>8.9519887942637148E-3</v>
      </c>
      <c r="Z317" s="813">
        <f t="shared" ca="1" si="74"/>
        <v>8.6551535869075942E-3</v>
      </c>
      <c r="AA317" s="813">
        <f t="shared" ca="1" si="74"/>
        <v>8.296345780500718E-3</v>
      </c>
      <c r="AB317" s="813">
        <f t="shared" ca="1" si="74"/>
        <v>7.8696861451948985E-3</v>
      </c>
      <c r="AC317" s="813">
        <f t="shared" ca="1" si="74"/>
        <v>7.3688362029707853E-3</v>
      </c>
      <c r="AD317" s="813">
        <f t="shared" ca="1" si="74"/>
        <v>6.7869654950093094E-3</v>
      </c>
      <c r="AE317" s="813">
        <f t="shared" ca="1" si="74"/>
        <v>6.1167166376997432E-3</v>
      </c>
      <c r="AF317" s="813">
        <f t="shared" ca="1" si="74"/>
        <v>5.3501680230505248E-3</v>
      </c>
      <c r="AG317" s="813">
        <f t="shared" ca="1" si="74"/>
        <v>4.4787940100927985E-3</v>
      </c>
      <c r="AH317" s="813">
        <f t="shared" ca="1" si="74"/>
        <v>3.4934224441170955E-3</v>
      </c>
      <c r="AI317" s="813">
        <f t="shared" ca="1" si="74"/>
        <v>2.3841893302257808E-3</v>
      </c>
      <c r="AJ317" s="813">
        <f t="shared" ca="1" si="74"/>
        <v>2.232423024839863E-5</v>
      </c>
      <c r="AK317" s="813">
        <f t="shared" ca="1" si="74"/>
        <v>0</v>
      </c>
    </row>
    <row r="339" spans="5:37" x14ac:dyDescent="0.45">
      <c r="N339" s="536" t="str">
        <f>N$170</f>
        <v>2013/14</v>
      </c>
      <c r="O339" s="536" t="str">
        <f t="shared" ref="O339:AK339" si="75">O$170</f>
        <v>2014/15</v>
      </c>
      <c r="P339" s="536" t="str">
        <f t="shared" si="75"/>
        <v>2015/16</v>
      </c>
      <c r="Q339" s="536" t="str">
        <f t="shared" si="75"/>
        <v>2016/17</v>
      </c>
      <c r="R339" s="536" t="str">
        <f t="shared" si="75"/>
        <v>2017/18</v>
      </c>
      <c r="S339" s="536" t="str">
        <f t="shared" si="75"/>
        <v>2018/19</v>
      </c>
      <c r="T339" s="536" t="str">
        <f t="shared" si="75"/>
        <v>2019/20</v>
      </c>
      <c r="U339" s="536" t="str">
        <f t="shared" si="75"/>
        <v>2020/21</v>
      </c>
      <c r="V339" s="536" t="str">
        <f t="shared" si="75"/>
        <v>2021/22</v>
      </c>
      <c r="W339" s="536" t="str">
        <f t="shared" si="75"/>
        <v>2022/23</v>
      </c>
      <c r="X339" s="536" t="str">
        <f t="shared" si="75"/>
        <v>2023/24</v>
      </c>
      <c r="Y339" s="536" t="str">
        <f t="shared" si="75"/>
        <v>2024/25</v>
      </c>
      <c r="Z339" s="536" t="str">
        <f t="shared" si="75"/>
        <v>2025/26</v>
      </c>
      <c r="AA339" s="536" t="str">
        <f t="shared" si="75"/>
        <v>2026/27</v>
      </c>
      <c r="AB339" s="536" t="str">
        <f t="shared" si="75"/>
        <v>2027/28</v>
      </c>
      <c r="AC339" s="536" t="str">
        <f t="shared" si="75"/>
        <v>2028/29</v>
      </c>
      <c r="AD339" s="536" t="str">
        <f t="shared" si="75"/>
        <v>2029/30</v>
      </c>
      <c r="AE339" s="536" t="str">
        <f t="shared" si="75"/>
        <v>2030/31</v>
      </c>
      <c r="AF339" s="536" t="str">
        <f t="shared" si="75"/>
        <v>2031/32</v>
      </c>
      <c r="AG339" s="536" t="str">
        <f t="shared" si="75"/>
        <v>3032/33</v>
      </c>
      <c r="AH339" s="536" t="str">
        <f t="shared" si="75"/>
        <v>2033/34</v>
      </c>
      <c r="AI339" s="536" t="str">
        <f t="shared" si="75"/>
        <v>2034/35</v>
      </c>
      <c r="AJ339" s="536" t="str">
        <f t="shared" si="75"/>
        <v>2035/36</v>
      </c>
      <c r="AK339" s="536" t="str">
        <f t="shared" si="75"/>
        <v>2036/37</v>
      </c>
    </row>
    <row r="340" spans="5:37" x14ac:dyDescent="0.45">
      <c r="E340" s="803" t="str">
        <f>D115</f>
        <v>EEDBS as % of HSDG</v>
      </c>
      <c r="F340" s="803"/>
      <c r="G340" s="803"/>
      <c r="H340" s="803"/>
      <c r="I340" s="803"/>
      <c r="J340" s="803"/>
      <c r="K340" s="803"/>
      <c r="L340" s="803"/>
      <c r="M340" s="803"/>
      <c r="N340" s="813">
        <f>N115</f>
        <v>1.3501498573366593E-3</v>
      </c>
      <c r="O340" s="813">
        <f t="shared" ref="O340:AK340" si="76">O115</f>
        <v>1.3220500212674947E-3</v>
      </c>
      <c r="P340" s="813">
        <f t="shared" si="76"/>
        <v>8.1753659030898095E-4</v>
      </c>
      <c r="Q340" s="813">
        <f t="shared" ca="1" si="76"/>
        <v>7.3444901790065706E-4</v>
      </c>
      <c r="R340" s="813">
        <f t="shared" ca="1" si="76"/>
        <v>7.3444901790065706E-4</v>
      </c>
      <c r="S340" s="813">
        <f t="shared" ca="1" si="76"/>
        <v>6.8118743210348871E-4</v>
      </c>
      <c r="T340" s="813">
        <f t="shared" ca="1" si="76"/>
        <v>3.2408470087682097E-4</v>
      </c>
      <c r="U340" s="813">
        <f t="shared" ca="1" si="76"/>
        <v>3.2408470087682097E-4</v>
      </c>
      <c r="V340" s="813">
        <f t="shared" ca="1" si="76"/>
        <v>3.2408470087682097E-4</v>
      </c>
      <c r="W340" s="813">
        <f t="shared" ca="1" si="76"/>
        <v>3.2408470087682097E-4</v>
      </c>
      <c r="X340" s="813">
        <f t="shared" ca="1" si="76"/>
        <v>3.2408470087682097E-4</v>
      </c>
      <c r="Y340" s="813">
        <f t="shared" ca="1" si="76"/>
        <v>3.2408470087682097E-4</v>
      </c>
      <c r="Z340" s="813">
        <f t="shared" ca="1" si="76"/>
        <v>3.2408470087682097E-4</v>
      </c>
      <c r="AA340" s="813">
        <f t="shared" ca="1" si="76"/>
        <v>3.2408470087682097E-4</v>
      </c>
      <c r="AB340" s="813">
        <f t="shared" ca="1" si="76"/>
        <v>3.2408470087682097E-4</v>
      </c>
      <c r="AC340" s="813">
        <f t="shared" ca="1" si="76"/>
        <v>3.2408470087682097E-4</v>
      </c>
      <c r="AD340" s="813">
        <f t="shared" ca="1" si="76"/>
        <v>3.2408470087682097E-4</v>
      </c>
      <c r="AE340" s="813">
        <f t="shared" ca="1" si="76"/>
        <v>3.2408470087682097E-4</v>
      </c>
      <c r="AF340" s="813">
        <f t="shared" ca="1" si="76"/>
        <v>3.2408470087682097E-4</v>
      </c>
      <c r="AG340" s="813">
        <f t="shared" ca="1" si="76"/>
        <v>3.2408470087682097E-4</v>
      </c>
      <c r="AH340" s="813">
        <f t="shared" ca="1" si="76"/>
        <v>3.2408470087682097E-4</v>
      </c>
      <c r="AI340" s="813">
        <f t="shared" ca="1" si="76"/>
        <v>3.2408470087682097E-4</v>
      </c>
      <c r="AJ340" s="813">
        <f t="shared" ca="1" si="76"/>
        <v>5.6266556727480203E-2</v>
      </c>
      <c r="AK340" s="813">
        <f t="shared" ca="1" si="76"/>
        <v>0</v>
      </c>
    </row>
    <row r="363" spans="5:37" x14ac:dyDescent="0.45">
      <c r="N363" s="536" t="str">
        <f>N$170</f>
        <v>2013/14</v>
      </c>
      <c r="O363" s="536" t="str">
        <f t="shared" ref="O363:AK363" si="77">O$170</f>
        <v>2014/15</v>
      </c>
      <c r="P363" s="536" t="str">
        <f t="shared" si="77"/>
        <v>2015/16</v>
      </c>
      <c r="Q363" s="536" t="str">
        <f t="shared" si="77"/>
        <v>2016/17</v>
      </c>
      <c r="R363" s="536" t="str">
        <f t="shared" si="77"/>
        <v>2017/18</v>
      </c>
      <c r="S363" s="536" t="str">
        <f t="shared" si="77"/>
        <v>2018/19</v>
      </c>
      <c r="T363" s="536" t="str">
        <f t="shared" si="77"/>
        <v>2019/20</v>
      </c>
      <c r="U363" s="536" t="str">
        <f t="shared" si="77"/>
        <v>2020/21</v>
      </c>
      <c r="V363" s="536" t="str">
        <f t="shared" si="77"/>
        <v>2021/22</v>
      </c>
      <c r="W363" s="536" t="str">
        <f t="shared" si="77"/>
        <v>2022/23</v>
      </c>
      <c r="X363" s="536" t="str">
        <f t="shared" si="77"/>
        <v>2023/24</v>
      </c>
      <c r="Y363" s="536" t="str">
        <f t="shared" si="77"/>
        <v>2024/25</v>
      </c>
      <c r="Z363" s="536" t="str">
        <f t="shared" si="77"/>
        <v>2025/26</v>
      </c>
      <c r="AA363" s="536" t="str">
        <f t="shared" si="77"/>
        <v>2026/27</v>
      </c>
      <c r="AB363" s="536" t="str">
        <f t="shared" si="77"/>
        <v>2027/28</v>
      </c>
      <c r="AC363" s="536" t="str">
        <f t="shared" si="77"/>
        <v>2028/29</v>
      </c>
      <c r="AD363" s="536" t="str">
        <f t="shared" si="77"/>
        <v>2029/30</v>
      </c>
      <c r="AE363" s="536" t="str">
        <f t="shared" si="77"/>
        <v>2030/31</v>
      </c>
      <c r="AF363" s="536" t="str">
        <f t="shared" si="77"/>
        <v>2031/32</v>
      </c>
      <c r="AG363" s="536" t="str">
        <f t="shared" si="77"/>
        <v>3032/33</v>
      </c>
      <c r="AH363" s="536" t="str">
        <f t="shared" si="77"/>
        <v>2033/34</v>
      </c>
      <c r="AI363" s="536" t="str">
        <f t="shared" si="77"/>
        <v>2034/35</v>
      </c>
      <c r="AJ363" s="536" t="str">
        <f t="shared" si="77"/>
        <v>2035/36</v>
      </c>
      <c r="AK363" s="536" t="str">
        <f t="shared" si="77"/>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78">O117</f>
        <v>0</v>
      </c>
      <c r="P364" s="818">
        <f t="shared" si="78"/>
        <v>2312.9006639211889</v>
      </c>
      <c r="Q364" s="818">
        <f t="shared" si="78"/>
        <v>2569.4816996162713</v>
      </c>
      <c r="R364" s="818">
        <f t="shared" si="78"/>
        <v>2804.6919638033582</v>
      </c>
      <c r="S364" s="818">
        <f t="shared" si="78"/>
        <v>3047.9873242753251</v>
      </c>
      <c r="T364" s="818">
        <f t="shared" si="78"/>
        <v>3188.9004001783592</v>
      </c>
      <c r="U364" s="818">
        <f t="shared" si="78"/>
        <v>3388.5023856216412</v>
      </c>
      <c r="V364" s="818">
        <f t="shared" si="78"/>
        <v>3604.2912494713742</v>
      </c>
      <c r="W364" s="818">
        <f t="shared" si="78"/>
        <v>3838.664709688017</v>
      </c>
      <c r="X364" s="818">
        <f t="shared" si="78"/>
        <v>4094.7383203110512</v>
      </c>
      <c r="Y364" s="818">
        <f t="shared" si="78"/>
        <v>4376.686959104205</v>
      </c>
      <c r="Z364" s="818">
        <f t="shared" si="78"/>
        <v>4690.3087348259969</v>
      </c>
      <c r="AA364" s="818">
        <f t="shared" si="78"/>
        <v>5044.0016562285909</v>
      </c>
      <c r="AB364" s="818">
        <f t="shared" si="78"/>
        <v>5450.5555695750381</v>
      </c>
      <c r="AC364" s="818">
        <f t="shared" si="78"/>
        <v>5930.6831640241899</v>
      </c>
      <c r="AD364" s="818">
        <f t="shared" si="78"/>
        <v>6520.6413834349578</v>
      </c>
      <c r="AE364" s="818">
        <f t="shared" si="78"/>
        <v>7290.797984859325</v>
      </c>
      <c r="AF364" s="818">
        <f t="shared" si="78"/>
        <v>8399.2589324218607</v>
      </c>
      <c r="AG364" s="818">
        <f t="shared" si="78"/>
        <v>10293.292549308759</v>
      </c>
      <c r="AH364" s="818">
        <f t="shared" si="78"/>
        <v>14937.55152965625</v>
      </c>
      <c r="AI364" s="818">
        <f t="shared" si="78"/>
        <v>68678.943430130777</v>
      </c>
      <c r="AJ364" s="818">
        <f t="shared" si="78"/>
        <v>0</v>
      </c>
      <c r="AK364" s="818">
        <f t="shared" si="78"/>
        <v>0</v>
      </c>
    </row>
    <row r="387" spans="5:37" x14ac:dyDescent="0.45">
      <c r="N387" s="536" t="str">
        <f>N$170</f>
        <v>2013/14</v>
      </c>
      <c r="O387" s="536" t="str">
        <f t="shared" ref="O387:AK387" si="79">O$170</f>
        <v>2014/15</v>
      </c>
      <c r="P387" s="536" t="str">
        <f t="shared" si="79"/>
        <v>2015/16</v>
      </c>
      <c r="Q387" s="536" t="str">
        <f t="shared" si="79"/>
        <v>2016/17</v>
      </c>
      <c r="R387" s="536" t="str">
        <f t="shared" si="79"/>
        <v>2017/18</v>
      </c>
      <c r="S387" s="536" t="str">
        <f t="shared" si="79"/>
        <v>2018/19</v>
      </c>
      <c r="T387" s="536" t="str">
        <f t="shared" si="79"/>
        <v>2019/20</v>
      </c>
      <c r="U387" s="536" t="str">
        <f t="shared" si="79"/>
        <v>2020/21</v>
      </c>
      <c r="V387" s="536" t="str">
        <f t="shared" si="79"/>
        <v>2021/22</v>
      </c>
      <c r="W387" s="536" t="str">
        <f t="shared" si="79"/>
        <v>2022/23</v>
      </c>
      <c r="X387" s="536" t="str">
        <f t="shared" si="79"/>
        <v>2023/24</v>
      </c>
      <c r="Y387" s="536" t="str">
        <f t="shared" si="79"/>
        <v>2024/25</v>
      </c>
      <c r="Z387" s="536" t="str">
        <f t="shared" si="79"/>
        <v>2025/26</v>
      </c>
      <c r="AA387" s="536" t="str">
        <f t="shared" si="79"/>
        <v>2026/27</v>
      </c>
      <c r="AB387" s="536" t="str">
        <f t="shared" si="79"/>
        <v>2027/28</v>
      </c>
      <c r="AC387" s="536" t="str">
        <f t="shared" si="79"/>
        <v>2028/29</v>
      </c>
      <c r="AD387" s="536" t="str">
        <f t="shared" si="79"/>
        <v>2029/30</v>
      </c>
      <c r="AE387" s="536" t="str">
        <f t="shared" si="79"/>
        <v>2030/31</v>
      </c>
      <c r="AF387" s="536" t="str">
        <f t="shared" si="79"/>
        <v>2031/32</v>
      </c>
      <c r="AG387" s="536" t="str">
        <f t="shared" si="79"/>
        <v>3032/33</v>
      </c>
      <c r="AH387" s="536" t="str">
        <f t="shared" si="79"/>
        <v>2033/34</v>
      </c>
      <c r="AI387" s="536" t="str">
        <f t="shared" si="79"/>
        <v>2034/35</v>
      </c>
      <c r="AJ387" s="536" t="str">
        <f t="shared" si="79"/>
        <v>2035/36</v>
      </c>
      <c r="AK387" s="536" t="str">
        <f t="shared" si="79"/>
        <v>2036/37</v>
      </c>
    </row>
    <row r="388" spans="5:37" x14ac:dyDescent="0.45">
      <c r="E388" s="803" t="str">
        <f>D118</f>
        <v>Net Surplus/Deficit p.u.p.m.</v>
      </c>
      <c r="F388" s="803"/>
      <c r="G388" s="803"/>
      <c r="H388" s="803"/>
      <c r="I388" s="803"/>
      <c r="J388" s="803"/>
      <c r="K388" s="803"/>
      <c r="L388" s="803"/>
      <c r="M388" s="803"/>
      <c r="N388" s="818">
        <f>N118</f>
        <v>0</v>
      </c>
      <c r="O388" s="818">
        <f t="shared" ref="O388:AK388" si="80">O118</f>
        <v>0</v>
      </c>
      <c r="P388" s="818">
        <f t="shared" si="80"/>
        <v>-1898.2772627583979</v>
      </c>
      <c r="Q388" s="818">
        <f t="shared" ca="1" si="80"/>
        <v>-2366.6985340455567</v>
      </c>
      <c r="R388" s="818">
        <f t="shared" ca="1" si="80"/>
        <v>-2597.04887111163</v>
      </c>
      <c r="S388" s="818">
        <f t="shared" ca="1" si="80"/>
        <v>-2857.2238797254954</v>
      </c>
      <c r="T388" s="818">
        <f t="shared" ca="1" si="80"/>
        <v>-3084.4735726047511</v>
      </c>
      <c r="U388" s="818">
        <f t="shared" ca="1" si="80"/>
        <v>-3281.1992669820006</v>
      </c>
      <c r="V388" s="818">
        <f t="shared" ca="1" si="80"/>
        <v>-3493.6752771190095</v>
      </c>
      <c r="W388" s="818">
        <f t="shared" ca="1" si="80"/>
        <v>-3724.1917666613904</v>
      </c>
      <c r="X388" s="818">
        <f t="shared" ca="1" si="80"/>
        <v>-3975.7182440033671</v>
      </c>
      <c r="Y388" s="818">
        <f t="shared" ca="1" si="80"/>
        <v>-4252.226138975012</v>
      </c>
      <c r="Z388" s="818">
        <f t="shared" ca="1" si="80"/>
        <v>-4559.2214349990554</v>
      </c>
      <c r="AA388" s="818">
        <f t="shared" ca="1" si="80"/>
        <v>-4904.667114353585</v>
      </c>
      <c r="AB388" s="818">
        <f t="shared" ca="1" si="80"/>
        <v>-5300.6755406422735</v>
      </c>
      <c r="AC388" s="818">
        <f t="shared" ca="1" si="80"/>
        <v>-5766.8432066653941</v>
      </c>
      <c r="AD388" s="818">
        <f t="shared" ca="1" si="80"/>
        <v>-6337.4484312838358</v>
      </c>
      <c r="AE388" s="818">
        <f t="shared" ca="1" si="80"/>
        <v>-7078.9855615958231</v>
      </c>
      <c r="AF388" s="818">
        <f t="shared" ca="1" si="80"/>
        <v>-8140.8103236409725</v>
      </c>
      <c r="AG388" s="818">
        <f t="shared" ca="1" si="80"/>
        <v>-9945.3631292912542</v>
      </c>
      <c r="AH388" s="818">
        <f t="shared" ca="1" si="80"/>
        <v>-14348.091198105327</v>
      </c>
      <c r="AI388" s="818">
        <f t="shared" ca="1" si="80"/>
        <v>-65118.652886718795</v>
      </c>
      <c r="AJ388" s="818">
        <f t="shared" si="80"/>
        <v>0</v>
      </c>
      <c r="AK388" s="818">
        <f t="shared" si="80"/>
        <v>0</v>
      </c>
    </row>
  </sheetData>
  <sheetProtection formatCells="0" formatColumns="0" formatRows="0"/>
  <mergeCells count="4">
    <mergeCell ref="F3:G3"/>
    <mergeCell ref="I3:L3"/>
    <mergeCell ref="N3:P3"/>
    <mergeCell ref="Q3:A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Select Province" prompt="Select province from the list, or select Total to see the national view. " xr:uid="{E9D17451-3133-4412-A352-0795C7255CDA}">
          <x14:formula1>
            <xm:f>'14. Permanent Info'!$C$7:$C$12</xm:f>
          </x14:formula1>
          <xm:sqref>E10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74839-520E-4640-9C64-34FFDB72B333}">
  <sheetPr codeName="Sheet12">
    <tabColor theme="5" tint="0.59999389629810485"/>
  </sheetPr>
  <dimension ref="A1:BM388"/>
  <sheetViews>
    <sheetView showGridLines="0" view="pageBreakPreview" zoomScale="75" zoomScaleNormal="100" zoomScaleSheetLayoutView="75" workbookViewId="0">
      <selection activeCell="F27" sqref="F27"/>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EC 2013/14</v>
      </c>
      <c r="O1" s="803" t="str">
        <f t="shared" si="0"/>
        <v>EC 2014/15</v>
      </c>
      <c r="P1" s="803" t="str">
        <f t="shared" si="0"/>
        <v>EC 2015/16</v>
      </c>
      <c r="Q1" s="803" t="str">
        <f t="shared" si="0"/>
        <v>EC 2016/17</v>
      </c>
      <c r="R1" s="803" t="str">
        <f t="shared" si="0"/>
        <v>EC 2017/18</v>
      </c>
      <c r="S1" s="803" t="str">
        <f t="shared" si="0"/>
        <v>EC 2018/19</v>
      </c>
      <c r="T1" s="803" t="str">
        <f t="shared" si="0"/>
        <v>EC 2019/20</v>
      </c>
      <c r="U1" s="803" t="str">
        <f t="shared" si="0"/>
        <v>EC 2020/21</v>
      </c>
      <c r="V1" s="803" t="str">
        <f t="shared" si="0"/>
        <v>EC 2021/22</v>
      </c>
      <c r="W1" s="803" t="str">
        <f t="shared" si="0"/>
        <v>EC 2022/23</v>
      </c>
      <c r="X1" s="803" t="str">
        <f t="shared" si="0"/>
        <v>EC 2023/24</v>
      </c>
      <c r="Y1" s="803" t="str">
        <f t="shared" si="0"/>
        <v>EC 2024/25</v>
      </c>
      <c r="Z1" s="803"/>
      <c r="AA1" s="803"/>
      <c r="AB1" s="803"/>
      <c r="AC1" s="803"/>
      <c r="AD1" s="803"/>
      <c r="AE1" s="803"/>
      <c r="AF1" s="803"/>
      <c r="AG1" s="803"/>
      <c r="AH1" s="803"/>
      <c r="AI1" s="803"/>
      <c r="AJ1" s="803" t="str">
        <f>$E$10&amp;" "&amp;AJ5</f>
        <v>EC 2035/36</v>
      </c>
      <c r="AK1" s="803" t="str">
        <f>$E$10&amp;" "&amp;AK5</f>
        <v>EC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EC</v>
      </c>
      <c r="E3" s="60"/>
      <c r="F3" s="1361" t="s">
        <v>1460</v>
      </c>
      <c r="G3" s="1361"/>
      <c r="I3" s="1344" t="s">
        <v>1457</v>
      </c>
      <c r="J3" s="1350"/>
      <c r="K3" s="1350"/>
      <c r="L3" s="134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841" t="s">
        <v>1328</v>
      </c>
      <c r="J4" s="841" t="s">
        <v>1405</v>
      </c>
      <c r="K4" s="841" t="s">
        <v>1453</v>
      </c>
      <c r="L4" s="841"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890" t="str">
        <f>'7. Scenario Detailed'!E12</f>
        <v>BC</v>
      </c>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-ROUND('9b. Forecast Results - EC'!AL127,0)</f>
        <v>-17026220</v>
      </c>
      <c r="M6" s="783"/>
      <c r="N6" s="781">
        <f>-'9b. Forecast Results - EC'!N127</f>
        <v>-5576064</v>
      </c>
      <c r="O6" s="781">
        <f>-'9b. Forecast Results - EC'!O127</f>
        <v>-1243913</v>
      </c>
      <c r="P6" s="781">
        <f>-'9b. Forecast Results - EC'!P127</f>
        <v>-313420</v>
      </c>
      <c r="Q6" s="781">
        <f>-'9b. Forecast Results - EC'!Q127</f>
        <v>-210409.8845669291</v>
      </c>
      <c r="R6" s="781">
        <f>-'9b. Forecast Results - EC'!R127</f>
        <v>-210409.8845669291</v>
      </c>
      <c r="S6" s="781">
        <f>-'9b. Forecast Results - EC'!S127</f>
        <v>-210409.8845669291</v>
      </c>
      <c r="T6" s="781">
        <f>-'9b. Forecast Results - EC'!T127</f>
        <v>-23378.876062992123</v>
      </c>
      <c r="U6" s="781">
        <f>-'9b. Forecast Results - EC'!U127</f>
        <v>-23378.876062992123</v>
      </c>
      <c r="V6" s="781">
        <f>-'9b. Forecast Results - EC'!V127</f>
        <v>-23378.876062992123</v>
      </c>
      <c r="W6" s="781">
        <f>-'9b. Forecast Results - EC'!W127</f>
        <v>-23378.876062992123</v>
      </c>
      <c r="X6" s="781">
        <f>-'9b. Forecast Results - EC'!X127</f>
        <v>-23378.876062992123</v>
      </c>
      <c r="Y6" s="781">
        <f>-'9b. Forecast Results - EC'!Y127</f>
        <v>-23378.876062992123</v>
      </c>
      <c r="Z6" s="781">
        <f>-'9b. Forecast Results - EC'!Z127</f>
        <v>-23378.876062992123</v>
      </c>
      <c r="AA6" s="781">
        <f>-'9b. Forecast Results - EC'!AA127</f>
        <v>-23378.876062992123</v>
      </c>
      <c r="AB6" s="781">
        <f>-'9b. Forecast Results - EC'!AB127</f>
        <v>-23378.876062992123</v>
      </c>
      <c r="AC6" s="781">
        <f>-'9b. Forecast Results - EC'!AC127</f>
        <v>-23378.876062992123</v>
      </c>
      <c r="AD6" s="781">
        <f>-'9b. Forecast Results - EC'!AD127</f>
        <v>-23378.876062992123</v>
      </c>
      <c r="AE6" s="781">
        <f>-'9b. Forecast Results - EC'!AE127</f>
        <v>-23378.876062992123</v>
      </c>
      <c r="AF6" s="781">
        <f>-'9b. Forecast Results - EC'!AF127</f>
        <v>-23378.876062992123</v>
      </c>
      <c r="AG6" s="781">
        <f>-'9b. Forecast Results - EC'!AG127</f>
        <v>-23378.876062992123</v>
      </c>
      <c r="AH6" s="781">
        <f>-'9b. Forecast Results - EC'!AH127</f>
        <v>-23378.876062992123</v>
      </c>
      <c r="AI6" s="781">
        <f>-'9b. Forecast Results - EC'!AI127</f>
        <v>-23378.876062992123</v>
      </c>
      <c r="AJ6" s="781">
        <f>-'9b. Forecast Results - EC'!AJ127</f>
        <v>-16020928.030877186</v>
      </c>
      <c r="AK6" s="781">
        <f>-'9b. Forecast Results - EC'!AK127</f>
        <v>0</v>
      </c>
      <c r="AL6" s="781">
        <f>-'9b. Forecast Results - EC'!AL127</f>
        <v>-17026219.701585848</v>
      </c>
    </row>
    <row r="7" spans="1:38" outlineLevel="1" x14ac:dyDescent="0.45">
      <c r="D7" s="1102" t="s">
        <v>1324</v>
      </c>
      <c r="E7" s="781">
        <f>ROUND('9b. Forecast Results - EC'!AL51,0)</f>
        <v>-90921270</v>
      </c>
      <c r="M7" s="783"/>
      <c r="N7" s="781">
        <f>'9b. Forecast Results - EC'!N51</f>
        <v>-9354796.4700000007</v>
      </c>
      <c r="O7" s="781">
        <f>'9b. Forecast Results - EC'!O51</f>
        <v>-10229237.26</v>
      </c>
      <c r="P7" s="781">
        <f>'9b. Forecast Results - EC'!P51</f>
        <v>-10415188.16</v>
      </c>
      <c r="Q7" s="781">
        <f>'9b. Forecast Results - EC'!Q51</f>
        <v>-9050671.484040793</v>
      </c>
      <c r="R7" s="781">
        <f>'9b. Forecast Results - EC'!R51</f>
        <v>-7276268.3573198924</v>
      </c>
      <c r="S7" s="781">
        <f>'9b. Forecast Results - EC'!S51</f>
        <v>-5272498.0344495559</v>
      </c>
      <c r="T7" s="781">
        <f>'9b. Forecast Results - EC'!T51</f>
        <v>-5562124.3240768462</v>
      </c>
      <c r="U7" s="781">
        <f>'9b. Forecast Results - EC'!U51</f>
        <v>-5535382.1975866212</v>
      </c>
      <c r="V7" s="781">
        <f>'9b. Forecast Results - EC'!V51</f>
        <v>-5487924.873524704</v>
      </c>
      <c r="W7" s="781">
        <f>'9b. Forecast Results - EC'!W51</f>
        <v>-5417569.3500243956</v>
      </c>
      <c r="X7" s="781">
        <f>'9b. Forecast Results - EC'!X51</f>
        <v>-5321955.1584863178</v>
      </c>
      <c r="Y7" s="781">
        <f>'9b. Forecast Results - EC'!Y51</f>
        <v>-5198531.4458184605</v>
      </c>
      <c r="Z7" s="781">
        <f>'9b. Forecast Results - EC'!Z51</f>
        <v>-5044543.1725595053</v>
      </c>
      <c r="AA7" s="781">
        <f>'9b. Forecast Results - EC'!AA51</f>
        <v>-4857016.3687088052</v>
      </c>
      <c r="AB7" s="781">
        <f>'9b. Forecast Results - EC'!AB51</f>
        <v>-4632742.3853614368</v>
      </c>
      <c r="AC7" s="781">
        <f>'9b. Forecast Results - EC'!AC51</f>
        <v>-4368261.0762879653</v>
      </c>
      <c r="AD7" s="781">
        <f>'9b. Forecast Results - EC'!AD51</f>
        <v>-4059842.8393917042</v>
      </c>
      <c r="AE7" s="781">
        <f>'9b. Forecast Results - EC'!AE51</f>
        <v>-3703469.4435056476</v>
      </c>
      <c r="AF7" s="781">
        <f>'9b. Forecast Results - EC'!AF51</f>
        <v>-3294813.561241088</v>
      </c>
      <c r="AG7" s="781">
        <f>'9b. Forecast Results - EC'!AG51</f>
        <v>-2829216.9235524968</v>
      </c>
      <c r="AH7" s="781">
        <f>'9b. Forecast Results - EC'!AH51</f>
        <v>-2301667.0063206377</v>
      </c>
      <c r="AI7" s="781">
        <f>'9b. Forecast Results - EC'!AI51</f>
        <v>-1706772.1535583164</v>
      </c>
      <c r="AJ7" s="781">
        <f>'9b. Forecast Results - EC'!AJ51</f>
        <v>0</v>
      </c>
      <c r="AK7" s="781">
        <f>'9b. Forecast Results - EC'!AK51</f>
        <v>0</v>
      </c>
      <c r="AL7" s="781">
        <f>'9b. Forecast Results - EC'!AL48</f>
        <v>-90893125.858811185</v>
      </c>
    </row>
    <row r="8" spans="1:38" outlineLevel="1" x14ac:dyDescent="0.45">
      <c r="D8" s="1102" t="s">
        <v>1311</v>
      </c>
      <c r="E8" s="781">
        <f>'9b. Forecast Results - EC'!$AL$20+'9b. Forecast Results - EC'!$AL$24</f>
        <v>-5193777.9070538152</v>
      </c>
      <c r="M8" s="783"/>
      <c r="N8" s="781">
        <f>'9b. Forecast Results - EC'!N20+'9b. Forecast Results - EC'!N24</f>
        <v>-1790588.56</v>
      </c>
      <c r="O8" s="781">
        <f>'9b. Forecast Results - EC'!O20+'9b. Forecast Results - EC'!O24</f>
        <v>-859115.06</v>
      </c>
      <c r="P8" s="781">
        <f>'9b. Forecast Results - EC'!P20+'9b. Forecast Results - EC'!P24</f>
        <v>-963366.22</v>
      </c>
      <c r="Q8" s="781">
        <f>'9b. Forecast Results - EC'!Q20+'9b. Forecast Results - EC'!Q24</f>
        <v>-1009764.8169663185</v>
      </c>
      <c r="R8" s="781">
        <f>'9b. Forecast Results - EC'!R20+'9b. Forecast Results - EC'!R24</f>
        <v>-985150.0169663186</v>
      </c>
      <c r="S8" s="781">
        <f>'9b. Forecast Results - EC'!S20+'9b. Forecast Results - EC'!S24</f>
        <v>-960535.21696631855</v>
      </c>
      <c r="T8" s="781">
        <f>'9b. Forecast Results - EC'!T20+'9b. Forecast Results - EC'!T24</f>
        <v>-147750.80188514653</v>
      </c>
      <c r="U8" s="781">
        <f>'9b. Forecast Results - EC'!U20+'9b. Forecast Results - EC'!U24</f>
        <v>-145015.82410736874</v>
      </c>
      <c r="V8" s="781">
        <f>'9b. Forecast Results - EC'!V20+'9b. Forecast Results - EC'!V24</f>
        <v>-142280.84632959098</v>
      </c>
      <c r="W8" s="781">
        <f>'9b. Forecast Results - EC'!W20+'9b. Forecast Results - EC'!W24</f>
        <v>-139545.86855181318</v>
      </c>
      <c r="X8" s="781">
        <f>'9b. Forecast Results - EC'!X20+'9b. Forecast Results - EC'!X24</f>
        <v>-136810.89077403542</v>
      </c>
      <c r="Y8" s="781">
        <f>'9b. Forecast Results - EC'!Y20+'9b. Forecast Results - EC'!Y24</f>
        <v>-134075.91299625763</v>
      </c>
      <c r="Z8" s="781">
        <f>'9b. Forecast Results - EC'!Z20+'9b. Forecast Results - EC'!Z24</f>
        <v>-131340.93521847983</v>
      </c>
      <c r="AA8" s="781">
        <f>'9b. Forecast Results - EC'!AA20+'9b. Forecast Results - EC'!AA24</f>
        <v>-128605.95744070207</v>
      </c>
      <c r="AB8" s="781">
        <f>'9b. Forecast Results - EC'!AB20+'9b. Forecast Results - EC'!AB24</f>
        <v>-125870.97966292429</v>
      </c>
      <c r="AC8" s="781">
        <f>'9b. Forecast Results - EC'!AC20+'9b. Forecast Results - EC'!AC24</f>
        <v>-123136.00188514651</v>
      </c>
      <c r="AD8" s="781">
        <f>'9b. Forecast Results - EC'!AD20+'9b. Forecast Results - EC'!AD24</f>
        <v>-120401.02410736874</v>
      </c>
      <c r="AE8" s="781">
        <f>'9b. Forecast Results - EC'!AE20+'9b. Forecast Results - EC'!AE24</f>
        <v>-117666.04632959096</v>
      </c>
      <c r="AF8" s="781">
        <f>'9b. Forecast Results - EC'!AF20+'9b. Forecast Results - EC'!AF24</f>
        <v>-114931.06855181318</v>
      </c>
      <c r="AG8" s="781">
        <f>'9b. Forecast Results - EC'!AG20+'9b. Forecast Results - EC'!AG24</f>
        <v>-112196.0907740354</v>
      </c>
      <c r="AH8" s="781">
        <f>'9b. Forecast Results - EC'!AH20+'9b. Forecast Results - EC'!AH24</f>
        <v>-109461.11299625762</v>
      </c>
      <c r="AI8" s="781">
        <f>'9b. Forecast Results - EC'!AI20+'9b. Forecast Results - EC'!AI24</f>
        <v>-106726.13521847985</v>
      </c>
      <c r="AJ8" s="781">
        <f>'9b. Forecast Results - EC'!AJ20+'9b. Forecast Results - EC'!AJ24</f>
        <v>-202512.35932584858</v>
      </c>
      <c r="AK8" s="781">
        <f>'9b. Forecast Results - EC'!AK20+'9b. Forecast Results - EC'!AK24</f>
        <v>0</v>
      </c>
      <c r="AL8" s="781">
        <f>'9b. Forecast Results - EC'!AL20+'9b. Forecast Results - EC'!AL24</f>
        <v>-5193777.9070538152</v>
      </c>
    </row>
    <row r="9" spans="1:38" outlineLevel="1" x14ac:dyDescent="0.45">
      <c r="D9" s="1102" t="s">
        <v>1322</v>
      </c>
      <c r="E9" s="1110">
        <f>-(SUMIF('10. Inputs &amp; Calcs'!$D$396:$D$400,$E$10,'10. Inputs &amp; Calcs'!AC$396:AC$400)+SUMIF('10. Inputs &amp; Calcs'!$D$628:$D$633,$E$10,'10. Inputs &amp; Calcs'!AC$628:AC$633))</f>
        <v>0</v>
      </c>
      <c r="M9" s="1029"/>
      <c r="N9" s="780"/>
      <c r="O9" s="780"/>
      <c r="P9" s="781">
        <f>-('10. Inputs &amp; Calcs'!H$191+SUMIF('10. Inputs &amp; Calcs'!$D$628:$D$633,$E$10,'10. Inputs &amp; Calcs'!H$628:H$633))</f>
        <v>-9798853.2999999989</v>
      </c>
      <c r="Q9" s="781">
        <f>-('10. Inputs &amp; Calcs'!I$191+SUMIF('10. Inputs &amp; Calcs'!$D$628:$D$633,$E$10,'10. Inputs &amp; Calcs'!I$628:I$633))</f>
        <v>-11080108.492210526</v>
      </c>
      <c r="R9" s="781">
        <f>-('10. Inputs &amp; Calcs'!J$191+SUMIF('10. Inputs &amp; Calcs'!$D$628:$D$633,$E$10,'10. Inputs &amp; Calcs'!J$628:J$633))</f>
        <v>-12312134.084421052</v>
      </c>
      <c r="S9" s="781">
        <f>-('10. Inputs &amp; Calcs'!K$191+SUMIF('10. Inputs &amp; Calcs'!$D$628:$D$633,$E$10,'10. Inputs &amp; Calcs'!K$628:K$633))</f>
        <v>-13494930.076631576</v>
      </c>
      <c r="T9" s="781">
        <f>-('10. Inputs &amp; Calcs'!L$191+SUMIF('10. Inputs &amp; Calcs'!$D$628:$D$633,$E$10,'10. Inputs &amp; Calcs'!L$628:L$633))</f>
        <v>-13661906.564654969</v>
      </c>
      <c r="U9" s="781">
        <f>-('10. Inputs &amp; Calcs'!M$191+SUMIF('10. Inputs &amp; Calcs'!$D$628:$D$633,$E$10,'10. Inputs &amp; Calcs'!M$628:M$633))</f>
        <v>-13823413.097122803</v>
      </c>
      <c r="V9" s="781">
        <f>-('10. Inputs &amp; Calcs'!N$191+SUMIF('10. Inputs &amp; Calcs'!$D$628:$D$633,$E$10,'10. Inputs &amp; Calcs'!N$628:N$633))</f>
        <v>-13979449.674035084</v>
      </c>
      <c r="W9" s="781">
        <f>-('10. Inputs &amp; Calcs'!O$191+SUMIF('10. Inputs &amp; Calcs'!$D$628:$D$633,$E$10,'10. Inputs &amp; Calcs'!O$628:O$633))</f>
        <v>-14132751.273169586</v>
      </c>
      <c r="X9" s="781">
        <f>-('10. Inputs &amp; Calcs'!P$191+SUMIF('10. Inputs &amp; Calcs'!$D$628:$D$633,$E$10,'10. Inputs &amp; Calcs'!P$628:P$633))</f>
        <v>-14280582.916748535</v>
      </c>
      <c r="Y9" s="781">
        <f>-('10. Inputs &amp; Calcs'!Q$191+SUMIF('10. Inputs &amp; Calcs'!$D$628:$D$633,$E$10,'10. Inputs &amp; Calcs'!Q$628:Q$633))</f>
        <v>-14422944.604771925</v>
      </c>
      <c r="Z9" s="781">
        <f>-('10. Inputs &amp; Calcs'!R$191+SUMIF('10. Inputs &amp; Calcs'!$D$628:$D$633,$E$10,'10. Inputs &amp; Calcs'!R$628:R$633))</f>
        <v>-14559836.337239761</v>
      </c>
      <c r="AA9" s="781">
        <f>-('10. Inputs &amp; Calcs'!S$191+SUMIF('10. Inputs &amp; Calcs'!$D$628:$D$633,$E$10,'10. Inputs &amp; Calcs'!S$628:S$633))</f>
        <v>-14691258.114152042</v>
      </c>
      <c r="AB9" s="781">
        <f>-('10. Inputs &amp; Calcs'!T$191+SUMIF('10. Inputs &amp; Calcs'!$D$628:$D$633,$E$10,'10. Inputs &amp; Calcs'!T$628:T$633))</f>
        <v>-14817209.935508767</v>
      </c>
      <c r="AC9" s="781">
        <f>-('10. Inputs &amp; Calcs'!U$191+SUMIF('10. Inputs &amp; Calcs'!$D$628:$D$633,$E$10,'10. Inputs &amp; Calcs'!U$628:U$633))</f>
        <v>-14937691.801309936</v>
      </c>
      <c r="AD9" s="781">
        <f>-('10. Inputs &amp; Calcs'!V$191+SUMIF('10. Inputs &amp; Calcs'!$D$628:$D$633,$E$10,'10. Inputs &amp; Calcs'!V$628:V$633))</f>
        <v>-15052703.71155555</v>
      </c>
      <c r="AE9" s="781">
        <f>-('10. Inputs &amp; Calcs'!W$191+SUMIF('10. Inputs &amp; Calcs'!$D$628:$D$633,$E$10,'10. Inputs &amp; Calcs'!W$628:W$633))</f>
        <v>-15162245.666245608</v>
      </c>
      <c r="AF9" s="781">
        <f>-('10. Inputs &amp; Calcs'!X$191+SUMIF('10. Inputs &amp; Calcs'!$D$628:$D$633,$E$10,'10. Inputs &amp; Calcs'!X$628:X$633))</f>
        <v>-15266317.665380111</v>
      </c>
      <c r="AG9" s="781">
        <f>-('10. Inputs &amp; Calcs'!Y$191+SUMIF('10. Inputs &amp; Calcs'!$D$628:$D$633,$E$10,'10. Inputs &amp; Calcs'!Y$628:Y$633))</f>
        <v>-15364919.708959058</v>
      </c>
      <c r="AH9" s="781">
        <f>-('10. Inputs &amp; Calcs'!Z$191+SUMIF('10. Inputs &amp; Calcs'!$D$628:$D$633,$E$10,'10. Inputs &amp; Calcs'!Z$628:Z$633))</f>
        <v>-15458051.796982449</v>
      </c>
      <c r="AI9" s="781">
        <f>-('10. Inputs &amp; Calcs'!AA$191+SUMIF('10. Inputs &amp; Calcs'!$D$628:$D$633,$E$10,'10. Inputs &amp; Calcs'!AA$628:AA$633))</f>
        <v>-15545713.929450285</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
        <v>1</v>
      </c>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99" t="str">
        <f>'5. Dashboard Live'!C13</f>
        <v>BC</v>
      </c>
      <c r="M11" s="542"/>
    </row>
    <row r="12" spans="1:38" x14ac:dyDescent="0.45">
      <c r="D12" t="s">
        <v>1330</v>
      </c>
      <c r="N12" s="578"/>
      <c r="O12" s="578"/>
      <c r="P12" s="784">
        <f>SUMIF('10. Inputs &amp; Calcs'!$D$78:$D$83,$E$10,'10. Inputs &amp; Calcs'!H$78:H$83)</f>
        <v>114</v>
      </c>
      <c r="Q12" s="784">
        <f>SUMIF('10. Inputs &amp; Calcs'!$D$78:$D$83,$E$10,'10. Inputs &amp; Calcs'!I$78:I$83)</f>
        <v>132</v>
      </c>
      <c r="R12" s="784">
        <f>SUMIF('10. Inputs &amp; Calcs'!$D$78:$D$83,$E$10,'10. Inputs &amp; Calcs'!J$78:J$83)</f>
        <v>150</v>
      </c>
      <c r="S12" s="784">
        <f>SUMIF('10. Inputs &amp; Calcs'!$D$78:$D$83,$E$10,'10. Inputs &amp; Calcs'!K$78:K$83)</f>
        <v>168</v>
      </c>
      <c r="T12" s="784">
        <f>SUMIF('10. Inputs &amp; Calcs'!$D$78:$D$83,$E$10,'10. Inputs &amp; Calcs'!L$78:L$83)</f>
        <v>170</v>
      </c>
      <c r="U12" s="784">
        <f>SUMIF('10. Inputs &amp; Calcs'!$D$78:$D$83,$E$10,'10. Inputs &amp; Calcs'!M$78:M$83)</f>
        <v>172</v>
      </c>
      <c r="V12" s="784">
        <f>SUMIF('10. Inputs &amp; Calcs'!$D$78:$D$83,$E$10,'10. Inputs &amp; Calcs'!N$78:N$83)</f>
        <v>174</v>
      </c>
      <c r="W12" s="784">
        <f>SUMIF('10. Inputs &amp; Calcs'!$D$78:$D$83,$E$10,'10. Inputs &amp; Calcs'!O$78:O$83)</f>
        <v>176</v>
      </c>
      <c r="X12" s="784">
        <f>SUMIF('10. Inputs &amp; Calcs'!$D$78:$D$83,$E$10,'10. Inputs &amp; Calcs'!P$78:P$83)</f>
        <v>178</v>
      </c>
      <c r="Y12" s="784">
        <f>SUMIF('10. Inputs &amp; Calcs'!$D$78:$D$83,$E$10,'10. Inputs &amp; Calcs'!Q$78:Q$83)</f>
        <v>180</v>
      </c>
      <c r="Z12" s="784">
        <f>SUMIF('10. Inputs &amp; Calcs'!$D$78:$D$83,$E$10,'10. Inputs &amp; Calcs'!R$78:R$83)</f>
        <v>182</v>
      </c>
      <c r="AA12" s="784">
        <f>SUMIF('10. Inputs &amp; Calcs'!$D$78:$D$83,$E$10,'10. Inputs &amp; Calcs'!S$78:S$83)</f>
        <v>184</v>
      </c>
      <c r="AB12" s="784">
        <f>SUMIF('10. Inputs &amp; Calcs'!$D$78:$D$83,$E$10,'10. Inputs &amp; Calcs'!T$78:T$83)</f>
        <v>186</v>
      </c>
      <c r="AC12" s="784">
        <f>SUMIF('10. Inputs &amp; Calcs'!$D$78:$D$83,$E$10,'10. Inputs &amp; Calcs'!U$78:U$83)</f>
        <v>188</v>
      </c>
      <c r="AD12" s="784">
        <f>SUMIF('10. Inputs &amp; Calcs'!$D$78:$D$83,$E$10,'10. Inputs &amp; Calcs'!V$78:V$83)</f>
        <v>190</v>
      </c>
      <c r="AE12" s="784">
        <f>SUMIF('10. Inputs &amp; Calcs'!$D$78:$D$83,$E$10,'10. Inputs &amp; Calcs'!W$78:W$83)</f>
        <v>192</v>
      </c>
      <c r="AF12" s="784">
        <f>SUMIF('10. Inputs &amp; Calcs'!$D$78:$D$83,$E$10,'10. Inputs &amp; Calcs'!X$78:X$83)</f>
        <v>194</v>
      </c>
      <c r="AG12" s="784">
        <f>SUMIF('10. Inputs &amp; Calcs'!$D$78:$D$83,$E$10,'10. Inputs &amp; Calcs'!Y$78:Y$83)</f>
        <v>196</v>
      </c>
      <c r="AH12" s="784">
        <f>SUMIF('10. Inputs &amp; Calcs'!$D$78:$D$83,$E$10,'10. Inputs &amp; Calcs'!Z$78:Z$83)</f>
        <v>198</v>
      </c>
      <c r="AI12" s="784">
        <f>SUMIF('10. Inputs &amp; Calcs'!$D$78:$D$83,$E$10,'10. Inputs &amp; Calcs'!AA$78:AA$83)</f>
        <v>200</v>
      </c>
      <c r="AJ12" s="784">
        <f>SUMIF('10. Inputs &amp; Calcs'!$D$78:$D$83,$E$10,'10. Inputs &amp; Calcs'!AB$78:AB$83)</f>
        <v>204</v>
      </c>
      <c r="AK12" s="784">
        <f>SUMIF('10. Inputs &amp; Calcs'!$D$78:$D$83,$E$10,'10. Inputs &amp; Calcs'!AC$78:AC$83)</f>
        <v>0</v>
      </c>
      <c r="AL12" s="536"/>
    </row>
    <row r="13" spans="1:38" x14ac:dyDescent="0.45">
      <c r="D13" t="s">
        <v>1329</v>
      </c>
      <c r="N13" s="578"/>
      <c r="O13" s="578"/>
      <c r="P13" s="784">
        <f>SUMIF('10. Inputs &amp; Calcs'!$D$520:$D$525,$E$10,'10. Inputs &amp; Calcs'!H$520:H$525)</f>
        <v>90</v>
      </c>
      <c r="Q13" s="784">
        <f>SUMIF('10. Inputs &amp; Calcs'!$D$520:$D$525,$E$10,'10. Inputs &amp; Calcs'!I$520:I$525)</f>
        <v>72</v>
      </c>
      <c r="R13" s="784">
        <f>SUMIF('10. Inputs &amp; Calcs'!$D$520:$D$525,$E$10,'10. Inputs &amp; Calcs'!J$520:J$525)</f>
        <v>54</v>
      </c>
      <c r="S13" s="784">
        <f>SUMIF('10. Inputs &amp; Calcs'!$D$520:$D$525,$E$10,'10. Inputs &amp; Calcs'!K$520:K$525)</f>
        <v>36</v>
      </c>
      <c r="T13" s="784">
        <f>SUMIF('10. Inputs &amp; Calcs'!$D$520:$D$525,$E$10,'10. Inputs &amp; Calcs'!L$520:L$525)</f>
        <v>34</v>
      </c>
      <c r="U13" s="784">
        <f>SUMIF('10. Inputs &amp; Calcs'!$D$520:$D$525,$E$10,'10. Inputs &amp; Calcs'!M$520:M$525)</f>
        <v>32</v>
      </c>
      <c r="V13" s="784">
        <f>SUMIF('10. Inputs &amp; Calcs'!$D$520:$D$525,$E$10,'10. Inputs &amp; Calcs'!N$520:N$525)</f>
        <v>30</v>
      </c>
      <c r="W13" s="784">
        <f>SUMIF('10. Inputs &amp; Calcs'!$D$520:$D$525,$E$10,'10. Inputs &amp; Calcs'!O$520:O$525)</f>
        <v>28</v>
      </c>
      <c r="X13" s="784">
        <f>SUMIF('10. Inputs &amp; Calcs'!$D$520:$D$525,$E$10,'10. Inputs &amp; Calcs'!P$520:P$525)</f>
        <v>26</v>
      </c>
      <c r="Y13" s="784">
        <f>SUMIF('10. Inputs &amp; Calcs'!$D$520:$D$525,$E$10,'10. Inputs &amp; Calcs'!Q$520:Q$525)</f>
        <v>24</v>
      </c>
      <c r="Z13" s="784">
        <f>SUMIF('10. Inputs &amp; Calcs'!$D$520:$D$525,$E$10,'10. Inputs &amp; Calcs'!R$520:R$525)</f>
        <v>22</v>
      </c>
      <c r="AA13" s="784">
        <f>SUMIF('10. Inputs &amp; Calcs'!$D$520:$D$525,$E$10,'10. Inputs &amp; Calcs'!S$520:S$525)</f>
        <v>20</v>
      </c>
      <c r="AB13" s="784">
        <f>SUMIF('10. Inputs &amp; Calcs'!$D$520:$D$525,$E$10,'10. Inputs &amp; Calcs'!T$520:T$525)</f>
        <v>18</v>
      </c>
      <c r="AC13" s="784">
        <f>SUMIF('10. Inputs &amp; Calcs'!$D$520:$D$525,$E$10,'10. Inputs &amp; Calcs'!U$520:U$525)</f>
        <v>16</v>
      </c>
      <c r="AD13" s="784">
        <f>SUMIF('10. Inputs &amp; Calcs'!$D$520:$D$525,$E$10,'10. Inputs &amp; Calcs'!V$520:V$525)</f>
        <v>14</v>
      </c>
      <c r="AE13" s="784">
        <f>SUMIF('10. Inputs &amp; Calcs'!$D$520:$D$525,$E$10,'10. Inputs &amp; Calcs'!W$520:W$525)</f>
        <v>12</v>
      </c>
      <c r="AF13" s="784">
        <f>SUMIF('10. Inputs &amp; Calcs'!$D$520:$D$525,$E$10,'10. Inputs &amp; Calcs'!X$520:X$525)</f>
        <v>10</v>
      </c>
      <c r="AG13" s="784">
        <f>SUMIF('10. Inputs &amp; Calcs'!$D$520:$D$525,$E$10,'10. Inputs &amp; Calcs'!Y$520:Y$525)</f>
        <v>8</v>
      </c>
      <c r="AH13" s="784">
        <f>SUMIF('10. Inputs &amp; Calcs'!$D$520:$D$525,$E$10,'10. Inputs &amp; Calcs'!Z$520:Z$525)</f>
        <v>6</v>
      </c>
      <c r="AI13" s="784">
        <f>SUMIF('10. Inputs &amp; Calcs'!$D$520:$D$525,$E$10,'10. Inputs &amp; Calcs'!AA$520:AA$525)</f>
        <v>4</v>
      </c>
      <c r="AJ13" s="784">
        <f>SUMIF('10. Inputs &amp; Calcs'!$D$520:$D$525,$E$10,'10. Inputs &amp; Calcs'!AB$520:AB$525)</f>
        <v>0</v>
      </c>
      <c r="AK13" s="784">
        <f>SUMIF('10. Inputs &amp; Calcs'!$D$520:$D$525,$E$10,'10. Inputs &amp; Calcs'!AC$520:AC$525)</f>
        <v>0</v>
      </c>
      <c r="AL13" s="536"/>
    </row>
    <row r="14" spans="1: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M16" s="451"/>
    </row>
    <row r="18" spans="2:65" ht="5.25"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753">
        <f>AL19</f>
        <v>6932132.3210526258</v>
      </c>
      <c r="J19" s="899">
        <v>6932132.3210526258</v>
      </c>
      <c r="K19" s="753">
        <f t="shared" ref="K19:K28" si="1">I19-J19</f>
        <v>0</v>
      </c>
      <c r="L19" s="885">
        <f t="shared" ref="L19:L28" si="2">IF(J19&lt;&gt;0,K19/J19,0)</f>
        <v>0</v>
      </c>
      <c r="N19" s="763">
        <f>SUMIF('10. Inputs &amp; Calcs'!$D$423:$D$428,$E$10,'10. Inputs &amp; Calcs'!F$423:F$428)</f>
        <v>1255258.96</v>
      </c>
      <c r="O19" s="567">
        <f>SUMIF('10. Inputs &amp; Calcs'!$D$423:$D$428,$E$10,'10. Inputs &amp; Calcs'!G$423:G$428)</f>
        <v>1310743.93</v>
      </c>
      <c r="P19" s="764">
        <f>SUMIF('10. Inputs &amp; Calcs'!$D$423:$D$428,$E$10,'10. Inputs &amp; Calcs'!H$423:H$428)</f>
        <v>1394850.75</v>
      </c>
      <c r="Q19" s="748">
        <f>SUMIF('10. Inputs &amp; Calcs'!$D$423:$D$428,$E$10,'10. Inputs &amp; Calcs'!I$423:I$428)</f>
        <v>1386426.4642105261</v>
      </c>
      <c r="R19" s="535">
        <f>SUMIF('10. Inputs &amp; Calcs'!$D$423:$D$428,$E$10,'10. Inputs &amp; Calcs'!J$423:J$428)</f>
        <v>1386426.4642105261</v>
      </c>
      <c r="S19" s="535">
        <f>SUMIF('10. Inputs &amp; Calcs'!$D$423:$D$428,$E$10,'10. Inputs &amp; Calcs'!K$423:K$428)</f>
        <v>1386426.4642105261</v>
      </c>
      <c r="T19" s="535">
        <f>SUMIF('10. Inputs &amp; Calcs'!$D$423:$D$428,$E$10,'10. Inputs &amp; Calcs'!L$423:L$428)</f>
        <v>154047.38491228069</v>
      </c>
      <c r="U19" s="535">
        <f>SUMIF('10. Inputs &amp; Calcs'!$D$423:$D$428,$E$10,'10. Inputs &amp; Calcs'!M$423:M$428)</f>
        <v>154047.38491228069</v>
      </c>
      <c r="V19" s="535">
        <f>SUMIF('10. Inputs &amp; Calcs'!$D$423:$D$428,$E$10,'10. Inputs &amp; Calcs'!N$423:N$428)</f>
        <v>154047.38491228069</v>
      </c>
      <c r="W19" s="535">
        <f>SUMIF('10. Inputs &amp; Calcs'!$D$423:$D$428,$E$10,'10. Inputs &amp; Calcs'!O$423:O$428)</f>
        <v>154047.38491228069</v>
      </c>
      <c r="X19" s="535">
        <f>SUMIF('10. Inputs &amp; Calcs'!$D$423:$D$428,$E$10,'10. Inputs &amp; Calcs'!P$423:P$428)</f>
        <v>154047.38491228069</v>
      </c>
      <c r="Y19" s="535">
        <f>SUMIF('10. Inputs &amp; Calcs'!$D$423:$D$428,$E$10,'10. Inputs &amp; Calcs'!Q$423:Q$428)</f>
        <v>154047.38491228069</v>
      </c>
      <c r="Z19" s="535">
        <f>SUMIF('10. Inputs &amp; Calcs'!$D$423:$D$428,$E$10,'10. Inputs &amp; Calcs'!R$423:R$428)</f>
        <v>154047.38491228069</v>
      </c>
      <c r="AA19" s="535">
        <f>SUMIF('10. Inputs &amp; Calcs'!$D$423:$D$428,$E$10,'10. Inputs &amp; Calcs'!S$423:S$428)</f>
        <v>154047.38491228069</v>
      </c>
      <c r="AB19" s="535">
        <f>SUMIF('10. Inputs &amp; Calcs'!$D$423:$D$428,$E$10,'10. Inputs &amp; Calcs'!T$423:T$428)</f>
        <v>154047.38491228069</v>
      </c>
      <c r="AC19" s="535">
        <f>SUMIF('10. Inputs &amp; Calcs'!$D$423:$D$428,$E$10,'10. Inputs &amp; Calcs'!U$423:U$428)</f>
        <v>154047.38491228069</v>
      </c>
      <c r="AD19" s="535">
        <f>SUMIF('10. Inputs &amp; Calcs'!$D$423:$D$428,$E$10,'10. Inputs &amp; Calcs'!V$423:V$428)</f>
        <v>154047.38491228069</v>
      </c>
      <c r="AE19" s="535">
        <f>SUMIF('10. Inputs &amp; Calcs'!$D$423:$D$428,$E$10,'10. Inputs &amp; Calcs'!W$423:W$428)</f>
        <v>154047.38491228069</v>
      </c>
      <c r="AF19" s="535">
        <f>SUMIF('10. Inputs &amp; Calcs'!$D$423:$D$428,$E$10,'10. Inputs &amp; Calcs'!X$423:X$428)</f>
        <v>154047.38491228069</v>
      </c>
      <c r="AG19" s="535">
        <f>SUMIF('10. Inputs &amp; Calcs'!$D$423:$D$428,$E$10,'10. Inputs &amp; Calcs'!Y$423:Y$428)</f>
        <v>154047.38491228069</v>
      </c>
      <c r="AH19" s="535">
        <f>SUMIF('10. Inputs &amp; Calcs'!$D$423:$D$428,$E$10,'10. Inputs &amp; Calcs'!Z$423:Z$428)</f>
        <v>154047.38491228069</v>
      </c>
      <c r="AI19" s="535">
        <f>SUMIF('10. Inputs &amp; Calcs'!$D$423:$D$428,$E$10,'10. Inputs &amp; Calcs'!AA$423:AA$428)</f>
        <v>154047.38491228069</v>
      </c>
      <c r="AJ19" s="535">
        <f>SUMIF('10. Inputs &amp; Calcs'!$D$423:$D$428,$E$10,'10. Inputs &amp; Calcs'!AB$423:AB$428)</f>
        <v>308094.76982456137</v>
      </c>
      <c r="AK19" s="749">
        <f>SUMIF('10. Inputs &amp; Calcs'!$D$423:$D$428,$E$10,'10. Inputs &amp; Calcs'!AC$423:AC$428)</f>
        <v>0</v>
      </c>
      <c r="AL19" s="753">
        <f>SUM(Q19:AK19)</f>
        <v>6932132.3210526258</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754">
        <f>AL20</f>
        <v>-4556528.0848315926</v>
      </c>
      <c r="J20" s="900">
        <v>-4556528.0848315926</v>
      </c>
      <c r="K20" s="754">
        <f t="shared" si="1"/>
        <v>0</v>
      </c>
      <c r="L20" s="886">
        <f t="shared" si="2"/>
        <v>0</v>
      </c>
      <c r="N20" s="765">
        <f t="shared" ref="N20:AK20" si="4">N21-N19</f>
        <v>-1152149.05</v>
      </c>
      <c r="O20" s="766">
        <f t="shared" si="4"/>
        <v>-611049.26</v>
      </c>
      <c r="P20" s="767">
        <f t="shared" si="4"/>
        <v>-840292.22</v>
      </c>
      <c r="Q20" s="750">
        <f t="shared" si="4"/>
        <v>-911305.61696631857</v>
      </c>
      <c r="R20" s="751">
        <f t="shared" si="4"/>
        <v>-911305.61696631857</v>
      </c>
      <c r="S20" s="751">
        <f t="shared" si="4"/>
        <v>-911305.61696631857</v>
      </c>
      <c r="T20" s="751">
        <f t="shared" si="4"/>
        <v>-101256.17966292429</v>
      </c>
      <c r="U20" s="751">
        <f t="shared" si="4"/>
        <v>-101256.17966292429</v>
      </c>
      <c r="V20" s="751">
        <f t="shared" si="4"/>
        <v>-101256.17966292429</v>
      </c>
      <c r="W20" s="751">
        <f t="shared" si="4"/>
        <v>-101256.17966292429</v>
      </c>
      <c r="X20" s="751">
        <f t="shared" si="4"/>
        <v>-101256.17966292429</v>
      </c>
      <c r="Y20" s="751">
        <f t="shared" si="4"/>
        <v>-101256.17966292429</v>
      </c>
      <c r="Z20" s="751">
        <f t="shared" si="4"/>
        <v>-101256.17966292429</v>
      </c>
      <c r="AA20" s="751">
        <f t="shared" si="4"/>
        <v>-101256.17966292429</v>
      </c>
      <c r="AB20" s="751">
        <f t="shared" si="4"/>
        <v>-101256.17966292429</v>
      </c>
      <c r="AC20" s="751">
        <f t="shared" si="4"/>
        <v>-101256.17966292429</v>
      </c>
      <c r="AD20" s="751">
        <f t="shared" si="4"/>
        <v>-101256.17966292429</v>
      </c>
      <c r="AE20" s="751">
        <f t="shared" si="4"/>
        <v>-101256.17966292429</v>
      </c>
      <c r="AF20" s="751">
        <f t="shared" si="4"/>
        <v>-101256.17966292429</v>
      </c>
      <c r="AG20" s="751">
        <f t="shared" si="4"/>
        <v>-101256.17966292429</v>
      </c>
      <c r="AH20" s="751">
        <f t="shared" si="4"/>
        <v>-101256.17966292429</v>
      </c>
      <c r="AI20" s="751">
        <f t="shared" si="4"/>
        <v>-101256.17966292429</v>
      </c>
      <c r="AJ20" s="751">
        <f t="shared" si="4"/>
        <v>-202512.35932584858</v>
      </c>
      <c r="AK20" s="752">
        <f t="shared" si="4"/>
        <v>0</v>
      </c>
      <c r="AL20" s="754">
        <f>SUM(Q20:AK20)</f>
        <v>-4556528.0848315926</v>
      </c>
      <c r="AO20" s="803" t="s">
        <v>1538</v>
      </c>
      <c r="AP20" s="533">
        <f>N51</f>
        <v>-9354796.4700000007</v>
      </c>
      <c r="AQ20" s="533">
        <f t="shared" ref="AQ20:BM20" si="5">O51</f>
        <v>-10229237.26</v>
      </c>
      <c r="AR20" s="533">
        <f t="shared" si="5"/>
        <v>-10415188.16</v>
      </c>
      <c r="AS20" s="533">
        <f t="shared" si="5"/>
        <v>-9050671.484040793</v>
      </c>
      <c r="AT20" s="533">
        <f t="shared" si="5"/>
        <v>-7276268.3573198924</v>
      </c>
      <c r="AU20" s="533">
        <f t="shared" si="5"/>
        <v>-5272498.0344495559</v>
      </c>
      <c r="AV20" s="533">
        <f t="shared" si="5"/>
        <v>-5562124.3240768462</v>
      </c>
      <c r="AW20" s="533">
        <f t="shared" si="5"/>
        <v>-5535382.1975866212</v>
      </c>
      <c r="AX20" s="533">
        <f t="shared" si="5"/>
        <v>-5487924.873524704</v>
      </c>
      <c r="AY20" s="533">
        <f t="shared" si="5"/>
        <v>-5417569.3500243956</v>
      </c>
      <c r="AZ20" s="533">
        <f t="shared" si="5"/>
        <v>-5321955.1584863178</v>
      </c>
      <c r="BA20" s="533">
        <f t="shared" si="5"/>
        <v>-5198531.4458184605</v>
      </c>
      <c r="BB20" s="533">
        <f t="shared" si="5"/>
        <v>-5044543.1725595053</v>
      </c>
      <c r="BC20" s="533">
        <f t="shared" si="5"/>
        <v>-4857016.3687088052</v>
      </c>
      <c r="BD20" s="533">
        <f t="shared" si="5"/>
        <v>-4632742.3853614368</v>
      </c>
      <c r="BE20" s="533">
        <f t="shared" si="5"/>
        <v>-4368261.0762879653</v>
      </c>
      <c r="BF20" s="533">
        <f t="shared" si="5"/>
        <v>-4059842.8393917042</v>
      </c>
      <c r="BG20" s="533">
        <f t="shared" si="5"/>
        <v>-3703469.4435056476</v>
      </c>
      <c r="BH20" s="533">
        <f t="shared" si="5"/>
        <v>-3294813.561241088</v>
      </c>
      <c r="BI20" s="533">
        <f t="shared" si="5"/>
        <v>-2829216.9235524968</v>
      </c>
      <c r="BJ20" s="533">
        <f t="shared" si="5"/>
        <v>-2301667.0063206377</v>
      </c>
      <c r="BK20" s="533">
        <f t="shared" si="5"/>
        <v>-1706772.1535583164</v>
      </c>
      <c r="BL20" s="533">
        <f t="shared" si="5"/>
        <v>0</v>
      </c>
      <c r="BM20" s="533">
        <f t="shared" si="5"/>
        <v>0</v>
      </c>
    </row>
    <row r="21" spans="2:65" x14ac:dyDescent="0.45">
      <c r="D21" s="18" t="s">
        <v>1307</v>
      </c>
      <c r="F21" s="852">
        <f>P21/P$28</f>
        <v>0.71615918379538845</v>
      </c>
      <c r="G21" s="852">
        <f>AL21/AL$28</f>
        <v>0.67610908866107466</v>
      </c>
      <c r="I21" s="533">
        <f>AL21</f>
        <v>2375604.2362210331</v>
      </c>
      <c r="J21" s="898">
        <v>2375604.2362210331</v>
      </c>
      <c r="K21" s="533">
        <f t="shared" si="1"/>
        <v>0</v>
      </c>
      <c r="L21" s="813">
        <f t="shared" si="2"/>
        <v>0</v>
      </c>
      <c r="N21" s="566">
        <f>SUMIF('10. Inputs &amp; Calcs'!$D$432:$D$437,$E$10,'10. Inputs &amp; Calcs'!F$432:F$437)</f>
        <v>103109.91</v>
      </c>
      <c r="O21" s="566">
        <f>SUMIF('10. Inputs &amp; Calcs'!$D$432:$D$437,$E$10,'10. Inputs &amp; Calcs'!G$432:G$437)</f>
        <v>699694.66999999993</v>
      </c>
      <c r="P21" s="566">
        <f>SUMIF('10. Inputs &amp; Calcs'!$D$432:$D$437,$E$10,'10. Inputs &amp; Calcs'!H$432:H$437)</f>
        <v>554558.53</v>
      </c>
      <c r="Q21" s="566">
        <f>SUMIF('10. Inputs &amp; Calcs'!$D$432:$D$437,$E$10,'10. Inputs &amp; Calcs'!I$432:I$437)</f>
        <v>475120.84724420751</v>
      </c>
      <c r="R21" s="566">
        <f>SUMIF('10. Inputs &amp; Calcs'!$D$432:$D$437,$E$10,'10. Inputs &amp; Calcs'!J$432:J$437)</f>
        <v>475120.84724420751</v>
      </c>
      <c r="S21" s="566">
        <f>SUMIF('10. Inputs &amp; Calcs'!$D$432:$D$437,$E$10,'10. Inputs &amp; Calcs'!K$432:K$437)</f>
        <v>475120.84724420751</v>
      </c>
      <c r="T21" s="566">
        <f>SUMIF('10. Inputs &amp; Calcs'!$D$432:$D$437,$E$10,'10. Inputs &amp; Calcs'!L$432:L$437)</f>
        <v>52791.205249356397</v>
      </c>
      <c r="U21" s="566">
        <f>SUMIF('10. Inputs &amp; Calcs'!$D$432:$D$437,$E$10,'10. Inputs &amp; Calcs'!M$432:M$437)</f>
        <v>52791.205249356397</v>
      </c>
      <c r="V21" s="566">
        <f>SUMIF('10. Inputs &amp; Calcs'!$D$432:$D$437,$E$10,'10. Inputs &amp; Calcs'!N$432:N$437)</f>
        <v>52791.205249356397</v>
      </c>
      <c r="W21" s="566">
        <f>SUMIF('10. Inputs &amp; Calcs'!$D$432:$D$437,$E$10,'10. Inputs &amp; Calcs'!O$432:O$437)</f>
        <v>52791.205249356397</v>
      </c>
      <c r="X21" s="566">
        <f>SUMIF('10. Inputs &amp; Calcs'!$D$432:$D$437,$E$10,'10. Inputs &amp; Calcs'!P$432:P$437)</f>
        <v>52791.205249356397</v>
      </c>
      <c r="Y21" s="566">
        <f>SUMIF('10. Inputs &amp; Calcs'!$D$432:$D$437,$E$10,'10. Inputs &amp; Calcs'!Q$432:Q$437)</f>
        <v>52791.205249356397</v>
      </c>
      <c r="Z21" s="566">
        <f>SUMIF('10. Inputs &amp; Calcs'!$D$432:$D$437,$E$10,'10. Inputs &amp; Calcs'!R$432:R$437)</f>
        <v>52791.205249356397</v>
      </c>
      <c r="AA21" s="566">
        <f>SUMIF('10. Inputs &amp; Calcs'!$D$432:$D$437,$E$10,'10. Inputs &amp; Calcs'!S$432:S$437)</f>
        <v>52791.205249356397</v>
      </c>
      <c r="AB21" s="566">
        <f>SUMIF('10. Inputs &amp; Calcs'!$D$432:$D$437,$E$10,'10. Inputs &amp; Calcs'!T$432:T$437)</f>
        <v>52791.205249356397</v>
      </c>
      <c r="AC21" s="566">
        <f>SUMIF('10. Inputs &amp; Calcs'!$D$432:$D$437,$E$10,'10. Inputs &amp; Calcs'!U$432:U$437)</f>
        <v>52791.205249356397</v>
      </c>
      <c r="AD21" s="566">
        <f>SUMIF('10. Inputs &amp; Calcs'!$D$432:$D$437,$E$10,'10. Inputs &amp; Calcs'!V$432:V$437)</f>
        <v>52791.205249356397</v>
      </c>
      <c r="AE21" s="566">
        <f>SUMIF('10. Inputs &amp; Calcs'!$D$432:$D$437,$E$10,'10. Inputs &amp; Calcs'!W$432:W$437)</f>
        <v>52791.205249356397</v>
      </c>
      <c r="AF21" s="566">
        <f>SUMIF('10. Inputs &amp; Calcs'!$D$432:$D$437,$E$10,'10. Inputs &amp; Calcs'!X$432:X$437)</f>
        <v>52791.205249356397</v>
      </c>
      <c r="AG21" s="566">
        <f>SUMIF('10. Inputs &amp; Calcs'!$D$432:$D$437,$E$10,'10. Inputs &amp; Calcs'!Y$432:Y$437)</f>
        <v>52791.205249356397</v>
      </c>
      <c r="AH21" s="566">
        <f>SUMIF('10. Inputs &amp; Calcs'!$D$432:$D$437,$E$10,'10. Inputs &amp; Calcs'!Z$432:Z$437)</f>
        <v>52791.205249356397</v>
      </c>
      <c r="AI21" s="566">
        <f>SUMIF('10. Inputs &amp; Calcs'!$D$432:$D$437,$E$10,'10. Inputs &amp; Calcs'!AA$432:AA$437)</f>
        <v>52791.205249356397</v>
      </c>
      <c r="AJ21" s="566">
        <f>SUMIF('10. Inputs &amp; Calcs'!$D$432:$D$437,$E$10,'10. Inputs &amp; Calcs'!AB$432:AB$437)</f>
        <v>105582.41049871279</v>
      </c>
      <c r="AK21" s="566">
        <f>SUMIF('10. Inputs &amp; Calcs'!$D$432:$D$437,$E$10,'10. Inputs &amp; Calcs'!AC$432:AC$437)</f>
        <v>0</v>
      </c>
      <c r="AL21" s="533">
        <f>SUM(AL19:AL20)</f>
        <v>2375604.2362210331</v>
      </c>
      <c r="AO21" s="803" t="str">
        <f>'10. Inputs &amp; Calcs'!D190</f>
        <v>EEDBS utilised to settle Existing Sales Debtors Balances Owing</v>
      </c>
      <c r="AP21" s="533">
        <f t="shared" ref="AP21:BM21" si="6">N53</f>
        <v>-5576064</v>
      </c>
      <c r="AQ21" s="533">
        <f t="shared" si="6"/>
        <v>-1243913</v>
      </c>
      <c r="AR21" s="533">
        <f t="shared" si="6"/>
        <v>-313420</v>
      </c>
      <c r="AS21" s="533">
        <f t="shared" si="6"/>
        <v>-210409.8845669291</v>
      </c>
      <c r="AT21" s="533">
        <f t="shared" si="6"/>
        <v>-210409.8845669291</v>
      </c>
      <c r="AU21" s="533">
        <f t="shared" si="6"/>
        <v>-210409.8845669291</v>
      </c>
      <c r="AV21" s="533">
        <f t="shared" si="6"/>
        <v>-23378.876062992123</v>
      </c>
      <c r="AW21" s="533">
        <f t="shared" si="6"/>
        <v>-23378.876062992123</v>
      </c>
      <c r="AX21" s="533">
        <f t="shared" si="6"/>
        <v>-23378.876062992123</v>
      </c>
      <c r="AY21" s="533">
        <f t="shared" si="6"/>
        <v>-23378.876062992123</v>
      </c>
      <c r="AZ21" s="533">
        <f t="shared" si="6"/>
        <v>-23378.876062992123</v>
      </c>
      <c r="BA21" s="533">
        <f t="shared" si="6"/>
        <v>-23378.876062992123</v>
      </c>
      <c r="BB21" s="533">
        <f t="shared" si="6"/>
        <v>-23378.876062992123</v>
      </c>
      <c r="BC21" s="533">
        <f t="shared" si="6"/>
        <v>-23378.876062992123</v>
      </c>
      <c r="BD21" s="533">
        <f t="shared" si="6"/>
        <v>-23378.876062992123</v>
      </c>
      <c r="BE21" s="533">
        <f t="shared" si="6"/>
        <v>-23378.876062992123</v>
      </c>
      <c r="BF21" s="533">
        <f t="shared" si="6"/>
        <v>-23378.876062992123</v>
      </c>
      <c r="BG21" s="533">
        <f t="shared" si="6"/>
        <v>-23378.876062992123</v>
      </c>
      <c r="BH21" s="533">
        <f t="shared" si="6"/>
        <v>-23378.876062992123</v>
      </c>
      <c r="BI21" s="533">
        <f t="shared" si="6"/>
        <v>-23378.876062992123</v>
      </c>
      <c r="BJ21" s="533">
        <f t="shared" si="6"/>
        <v>-23378.876062992123</v>
      </c>
      <c r="BK21" s="533">
        <f t="shared" si="6"/>
        <v>-23378.876062992123</v>
      </c>
      <c r="BL21" s="533">
        <f t="shared" si="6"/>
        <v>-15759591.013178613</v>
      </c>
      <c r="BM21" s="533">
        <f t="shared" si="6"/>
        <v>0</v>
      </c>
    </row>
    <row r="22" spans="2:65" ht="21.75" customHeight="1" x14ac:dyDescent="0.45">
      <c r="D22" s="18"/>
      <c r="E22" s="18"/>
      <c r="F22" s="852"/>
      <c r="G22" s="852"/>
      <c r="I22" s="533"/>
      <c r="J22" s="898"/>
      <c r="K22" s="533"/>
      <c r="L22" s="813"/>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753">
        <f>AL23</f>
        <v>1775286.0266666668</v>
      </c>
      <c r="J23" s="899">
        <v>1775286.0266666668</v>
      </c>
      <c r="K23" s="753">
        <f t="shared" si="1"/>
        <v>0</v>
      </c>
      <c r="L23" s="885">
        <f t="shared" si="2"/>
        <v>0</v>
      </c>
      <c r="N23" s="763">
        <f>SUMIF('10. Inputs &amp; Calcs'!$D$538:$D$543,$E$10,'10. Inputs &amp; Calcs'!F$538:F$543)</f>
        <v>1522082.52</v>
      </c>
      <c r="O23" s="567">
        <f>SUMIF('10. Inputs &amp; Calcs'!$D$538:$D$543,$E$10,'10. Inputs &amp; Calcs'!G$538:G$543)</f>
        <v>445558.61</v>
      </c>
      <c r="P23" s="764">
        <f>SUMIF('10. Inputs &amp; Calcs'!$D$538:$D$543,$E$10,'10. Inputs &amp; Calcs'!H$538:H$543)</f>
        <v>342866.4</v>
      </c>
      <c r="Q23" s="748">
        <f>SUMIF('10. Inputs &amp; Calcs'!$D$538:$D$543,$E$10,'10. Inputs &amp; Calcs'!I$538:I$543)</f>
        <v>274293.12</v>
      </c>
      <c r="R23" s="535">
        <f>SUMIF('10. Inputs &amp; Calcs'!$D$538:$D$543,$E$10,'10. Inputs &amp; Calcs'!J$538:J$543)</f>
        <v>205719.84</v>
      </c>
      <c r="S23" s="535">
        <f>SUMIF('10. Inputs &amp; Calcs'!$D$538:$D$543,$E$10,'10. Inputs &amp; Calcs'!K$538:K$543)</f>
        <v>137146.56</v>
      </c>
      <c r="T23" s="535">
        <f>SUMIF('10. Inputs &amp; Calcs'!$D$538:$D$543,$E$10,'10. Inputs &amp; Calcs'!L$538:L$543)</f>
        <v>129527.30666666667</v>
      </c>
      <c r="U23" s="535">
        <f>SUMIF('10. Inputs &amp; Calcs'!$D$538:$D$543,$E$10,'10. Inputs &amp; Calcs'!M$538:M$543)</f>
        <v>121908.05333333334</v>
      </c>
      <c r="V23" s="535">
        <f>SUMIF('10. Inputs &amp; Calcs'!$D$538:$D$543,$E$10,'10. Inputs &amp; Calcs'!N$538:N$543)</f>
        <v>114288.80000000002</v>
      </c>
      <c r="W23" s="535">
        <f>SUMIF('10. Inputs &amp; Calcs'!$D$538:$D$543,$E$10,'10. Inputs &amp; Calcs'!O$538:O$543)</f>
        <v>106669.54666666668</v>
      </c>
      <c r="X23" s="535">
        <f>SUMIF('10. Inputs &amp; Calcs'!$D$538:$D$543,$E$10,'10. Inputs &amp; Calcs'!P$538:P$543)</f>
        <v>99050.293333333335</v>
      </c>
      <c r="Y23" s="535">
        <f>SUMIF('10. Inputs &amp; Calcs'!$D$538:$D$543,$E$10,'10. Inputs &amp; Calcs'!Q$538:Q$543)</f>
        <v>91431.040000000008</v>
      </c>
      <c r="Z23" s="535">
        <f>SUMIF('10. Inputs &amp; Calcs'!$D$538:$D$543,$E$10,'10. Inputs &amp; Calcs'!R$538:R$543)</f>
        <v>83811.786666666667</v>
      </c>
      <c r="AA23" s="535">
        <f>SUMIF('10. Inputs &amp; Calcs'!$D$538:$D$543,$E$10,'10. Inputs &amp; Calcs'!S$538:S$543)</f>
        <v>76192.53333333334</v>
      </c>
      <c r="AB23" s="535">
        <f>SUMIF('10. Inputs &amp; Calcs'!$D$538:$D$543,$E$10,'10. Inputs &amp; Calcs'!T$538:T$543)</f>
        <v>68573.279999999999</v>
      </c>
      <c r="AC23" s="535">
        <f>SUMIF('10. Inputs &amp; Calcs'!$D$538:$D$543,$E$10,'10. Inputs &amp; Calcs'!U$538:U$543)</f>
        <v>60954.026666666665</v>
      </c>
      <c r="AD23" s="535">
        <f>SUMIF('10. Inputs &amp; Calcs'!$D$538:$D$543,$E$10,'10. Inputs &amp; Calcs'!V$538:V$543)</f>
        <v>53334.773333333331</v>
      </c>
      <c r="AE23" s="535">
        <f>SUMIF('10. Inputs &amp; Calcs'!$D$538:$D$543,$E$10,'10. Inputs &amp; Calcs'!W$538:W$543)</f>
        <v>45715.520000000004</v>
      </c>
      <c r="AF23" s="535">
        <f>SUMIF('10. Inputs &amp; Calcs'!$D$538:$D$543,$E$10,'10. Inputs &amp; Calcs'!X$538:X$543)</f>
        <v>38096.26666666667</v>
      </c>
      <c r="AG23" s="535">
        <f>SUMIF('10. Inputs &amp; Calcs'!$D$538:$D$543,$E$10,'10. Inputs &amp; Calcs'!Y$538:Y$543)</f>
        <v>30477.013333333336</v>
      </c>
      <c r="AH23" s="535">
        <f>SUMIF('10. Inputs &amp; Calcs'!$D$538:$D$543,$E$10,'10. Inputs &amp; Calcs'!Z$538:Z$543)</f>
        <v>22857.760000000002</v>
      </c>
      <c r="AI23" s="535">
        <f>SUMIF('10. Inputs &amp; Calcs'!$D$538:$D$543,$E$10,'10. Inputs &amp; Calcs'!AA$538:AA$543)</f>
        <v>15238.506666666668</v>
      </c>
      <c r="AJ23" s="535">
        <f>SUMIF('10. Inputs &amp; Calcs'!$D$538:$D$543,$E$10,'10. Inputs &amp; Calcs'!AB$538:AB$543)</f>
        <v>0</v>
      </c>
      <c r="AK23" s="749">
        <f>SUMIF('10. Inputs &amp; Calcs'!$D$538:$D$543,$E$10,'10. Inputs &amp; Calcs'!AC$538:AC$543)</f>
        <v>0</v>
      </c>
      <c r="AL23" s="753">
        <f>SUM(Q23:AK23)</f>
        <v>1775286.0266666668</v>
      </c>
    </row>
    <row r="24" spans="2:65" x14ac:dyDescent="0.45">
      <c r="B24" t="s">
        <v>59</v>
      </c>
      <c r="D24" s="18" t="s">
        <v>1306</v>
      </c>
      <c r="F24" s="852"/>
      <c r="G24" s="852"/>
      <c r="I24" s="754">
        <f>AL24</f>
        <v>-637249.82222222246</v>
      </c>
      <c r="J24" s="900">
        <v>-637249.82222222246</v>
      </c>
      <c r="K24" s="754">
        <f t="shared" si="1"/>
        <v>0</v>
      </c>
      <c r="L24" s="886">
        <f t="shared" si="2"/>
        <v>0</v>
      </c>
      <c r="N24" s="765">
        <f t="shared" ref="N24:AK24" si="7">N25-N23</f>
        <v>-638439.50999999989</v>
      </c>
      <c r="O24" s="766">
        <f t="shared" si="7"/>
        <v>-248065.8</v>
      </c>
      <c r="P24" s="767">
        <f t="shared" si="7"/>
        <v>-123074.00000000003</v>
      </c>
      <c r="Q24" s="750">
        <f t="shared" si="7"/>
        <v>-98459.200000000012</v>
      </c>
      <c r="R24" s="751">
        <f t="shared" si="7"/>
        <v>-73844.400000000023</v>
      </c>
      <c r="S24" s="751">
        <f t="shared" si="7"/>
        <v>-49229.600000000006</v>
      </c>
      <c r="T24" s="751">
        <f t="shared" si="7"/>
        <v>-46494.622222222228</v>
      </c>
      <c r="U24" s="751">
        <f t="shared" si="7"/>
        <v>-43759.64444444445</v>
      </c>
      <c r="V24" s="751">
        <f t="shared" si="7"/>
        <v>-41024.666666666686</v>
      </c>
      <c r="W24" s="751">
        <f t="shared" si="7"/>
        <v>-38289.688888888893</v>
      </c>
      <c r="X24" s="751">
        <f t="shared" si="7"/>
        <v>-35554.711111111115</v>
      </c>
      <c r="Y24" s="751">
        <f t="shared" si="7"/>
        <v>-32819.733333333344</v>
      </c>
      <c r="Z24" s="751">
        <f t="shared" si="7"/>
        <v>-30084.755555555559</v>
      </c>
      <c r="AA24" s="751">
        <f t="shared" si="7"/>
        <v>-27349.777777777788</v>
      </c>
      <c r="AB24" s="751">
        <f t="shared" si="7"/>
        <v>-24614.800000000003</v>
      </c>
      <c r="AC24" s="751">
        <f t="shared" si="7"/>
        <v>-21879.822222222225</v>
      </c>
      <c r="AD24" s="751">
        <f t="shared" si="7"/>
        <v>-19144.844444444447</v>
      </c>
      <c r="AE24" s="751">
        <f t="shared" si="7"/>
        <v>-16409.866666666672</v>
      </c>
      <c r="AF24" s="751">
        <f t="shared" si="7"/>
        <v>-13674.888888888894</v>
      </c>
      <c r="AG24" s="751">
        <f t="shared" si="7"/>
        <v>-10939.911111111112</v>
      </c>
      <c r="AH24" s="751">
        <f t="shared" si="7"/>
        <v>-8204.9333333333361</v>
      </c>
      <c r="AI24" s="751">
        <f t="shared" si="7"/>
        <v>-5469.9555555555562</v>
      </c>
      <c r="AJ24" s="751">
        <f t="shared" si="7"/>
        <v>0</v>
      </c>
      <c r="AK24" s="752">
        <f t="shared" si="7"/>
        <v>0</v>
      </c>
      <c r="AL24" s="754">
        <f>SUM(Q24:AK24)</f>
        <v>-637249.82222222246</v>
      </c>
    </row>
    <row r="25" spans="2:65" x14ac:dyDescent="0.45">
      <c r="D25" s="18" t="str">
        <f>'10. Inputs &amp; Calcs'!D573</f>
        <v>Total Rental Collected p.a.</v>
      </c>
      <c r="F25" s="852">
        <f>P25/P$28</f>
        <v>0.28384081620461149</v>
      </c>
      <c r="G25" s="852">
        <f>AL25/AL$28</f>
        <v>0.32389091133892522</v>
      </c>
      <c r="I25" s="533">
        <f>AL25</f>
        <v>1138036.2044444445</v>
      </c>
      <c r="J25" s="898">
        <v>1138036.2044444445</v>
      </c>
      <c r="K25" s="533">
        <f t="shared" si="1"/>
        <v>0</v>
      </c>
      <c r="L25" s="813">
        <f t="shared" si="2"/>
        <v>0</v>
      </c>
      <c r="N25" s="566">
        <f>SUMIF('10. Inputs &amp; Calcs'!$D$574:$D$579,$E$10,'10. Inputs &amp; Calcs'!F$574:F$579)</f>
        <v>883643.01000000013</v>
      </c>
      <c r="O25" s="566">
        <f>SUMIF('10. Inputs &amp; Calcs'!$D$574:$D$579,$E$10,'10. Inputs &amp; Calcs'!G$574:G$579)</f>
        <v>197492.81</v>
      </c>
      <c r="P25" s="566">
        <f>SUMIF('10. Inputs &amp; Calcs'!$D$574:$D$579,$E$10,'10. Inputs &amp; Calcs'!H$574:H$579)</f>
        <v>219792.4</v>
      </c>
      <c r="Q25" s="535">
        <f>SUMIF('10. Inputs &amp; Calcs'!$D$574:$D$579,$E$10,'10. Inputs &amp; Calcs'!I$574:I$579)</f>
        <v>175833.91999999998</v>
      </c>
      <c r="R25" s="535">
        <f>SUMIF('10. Inputs &amp; Calcs'!$D$574:$D$579,$E$10,'10. Inputs &amp; Calcs'!J$574:J$579)</f>
        <v>131875.43999999997</v>
      </c>
      <c r="S25" s="535">
        <f>SUMIF('10. Inputs &amp; Calcs'!$D$574:$D$579,$E$10,'10. Inputs &amp; Calcs'!K$574:K$579)</f>
        <v>87916.959999999992</v>
      </c>
      <c r="T25" s="535">
        <f>SUMIF('10. Inputs &amp; Calcs'!$D$574:$D$579,$E$10,'10. Inputs &amp; Calcs'!L$574:L$579)</f>
        <v>83032.684444444443</v>
      </c>
      <c r="U25" s="535">
        <f>SUMIF('10. Inputs &amp; Calcs'!$D$574:$D$579,$E$10,'10. Inputs &amp; Calcs'!M$574:M$579)</f>
        <v>78148.408888888895</v>
      </c>
      <c r="V25" s="535">
        <f>SUMIF('10. Inputs &amp; Calcs'!$D$574:$D$579,$E$10,'10. Inputs &amp; Calcs'!N$574:N$579)</f>
        <v>73264.133333333331</v>
      </c>
      <c r="W25" s="535">
        <f>SUMIF('10. Inputs &amp; Calcs'!$D$574:$D$579,$E$10,'10. Inputs &amp; Calcs'!O$574:O$579)</f>
        <v>68379.857777777783</v>
      </c>
      <c r="X25" s="535">
        <f>SUMIF('10. Inputs &amp; Calcs'!$D$574:$D$579,$E$10,'10. Inputs &amp; Calcs'!P$574:P$579)</f>
        <v>63495.58222222222</v>
      </c>
      <c r="Y25" s="535">
        <f>SUMIF('10. Inputs &amp; Calcs'!$D$574:$D$579,$E$10,'10. Inputs &amp; Calcs'!Q$574:Q$579)</f>
        <v>58611.306666666664</v>
      </c>
      <c r="Z25" s="535">
        <f>SUMIF('10. Inputs &amp; Calcs'!$D$574:$D$579,$E$10,'10. Inputs &amp; Calcs'!R$574:R$579)</f>
        <v>53727.031111111108</v>
      </c>
      <c r="AA25" s="535">
        <f>SUMIF('10. Inputs &amp; Calcs'!$D$574:$D$579,$E$10,'10. Inputs &amp; Calcs'!S$574:S$579)</f>
        <v>48842.755555555552</v>
      </c>
      <c r="AB25" s="535">
        <f>SUMIF('10. Inputs &amp; Calcs'!$D$574:$D$579,$E$10,'10. Inputs &amp; Calcs'!T$574:T$579)</f>
        <v>43958.479999999996</v>
      </c>
      <c r="AC25" s="535">
        <f>SUMIF('10. Inputs &amp; Calcs'!$D$574:$D$579,$E$10,'10. Inputs &amp; Calcs'!U$574:U$579)</f>
        <v>39074.20444444444</v>
      </c>
      <c r="AD25" s="535">
        <f>SUMIF('10. Inputs &amp; Calcs'!$D$574:$D$579,$E$10,'10. Inputs &amp; Calcs'!V$574:V$579)</f>
        <v>34189.928888888884</v>
      </c>
      <c r="AE25" s="535">
        <f>SUMIF('10. Inputs &amp; Calcs'!$D$574:$D$579,$E$10,'10. Inputs &amp; Calcs'!W$574:W$579)</f>
        <v>29305.653333333332</v>
      </c>
      <c r="AF25" s="535">
        <f>SUMIF('10. Inputs &amp; Calcs'!$D$574:$D$579,$E$10,'10. Inputs &amp; Calcs'!X$574:X$579)</f>
        <v>24421.377777777776</v>
      </c>
      <c r="AG25" s="535">
        <f>SUMIF('10. Inputs &amp; Calcs'!$D$574:$D$579,$E$10,'10. Inputs &amp; Calcs'!Y$574:Y$579)</f>
        <v>19537.102222222224</v>
      </c>
      <c r="AH25" s="535">
        <f>SUMIF('10. Inputs &amp; Calcs'!$D$574:$D$579,$E$10,'10. Inputs &amp; Calcs'!Z$574:Z$579)</f>
        <v>14652.826666666666</v>
      </c>
      <c r="AI25" s="535">
        <f>SUMIF('10. Inputs &amp; Calcs'!$D$574:$D$579,$E$10,'10. Inputs &amp; Calcs'!AA$574:AA$579)</f>
        <v>9768.5511111111118</v>
      </c>
      <c r="AJ25" s="535">
        <f>SUMIF('10. Inputs &amp; Calcs'!$D$574:$D$579,$E$10,'10. Inputs &amp; Calcs'!AB$574:AB$579)</f>
        <v>0</v>
      </c>
      <c r="AK25" s="535">
        <f>SUMIF('10. Inputs &amp; Calcs'!$D$574:$D$579,$E$10,'10. Inputs &amp; Calcs'!AC$574:AC$579)</f>
        <v>0</v>
      </c>
      <c r="AL25" s="533">
        <f>SUM(Q25:AK25)</f>
        <v>1138036.2044444445</v>
      </c>
    </row>
    <row r="26" spans="2:65" ht="6"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533">
        <f>AL27</f>
        <v>0</v>
      </c>
      <c r="J27" s="898">
        <v>0</v>
      </c>
      <c r="K27" s="533">
        <f t="shared" si="1"/>
        <v>0</v>
      </c>
      <c r="L27" s="813">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AL28/AL$28</f>
        <v>1</v>
      </c>
      <c r="I28" s="535">
        <f>AL28</f>
        <v>3513640.4406654779</v>
      </c>
      <c r="J28" s="901">
        <v>3513640.4406654779</v>
      </c>
      <c r="K28" s="535">
        <f t="shared" si="1"/>
        <v>0</v>
      </c>
      <c r="L28" s="884">
        <f t="shared" si="2"/>
        <v>0</v>
      </c>
      <c r="N28" s="992">
        <f t="shared" ref="N28:AL28" si="8">N25+N67*0+N21+N27</f>
        <v>986752.92000000016</v>
      </c>
      <c r="O28" s="992">
        <f t="shared" si="8"/>
        <v>897187.48</v>
      </c>
      <c r="P28" s="992">
        <f t="shared" si="8"/>
        <v>774350.93</v>
      </c>
      <c r="Q28" s="992">
        <f t="shared" si="8"/>
        <v>650954.76724420744</v>
      </c>
      <c r="R28" s="992">
        <f t="shared" si="8"/>
        <v>606996.28724420746</v>
      </c>
      <c r="S28" s="992">
        <f t="shared" si="8"/>
        <v>563037.80724420748</v>
      </c>
      <c r="T28" s="992">
        <f t="shared" si="8"/>
        <v>135823.88969380083</v>
      </c>
      <c r="U28" s="992">
        <f t="shared" si="8"/>
        <v>130939.61413824529</v>
      </c>
      <c r="V28" s="992">
        <f t="shared" si="8"/>
        <v>126055.33858268973</v>
      </c>
      <c r="W28" s="992">
        <f t="shared" si="8"/>
        <v>121171.06302713418</v>
      </c>
      <c r="X28" s="992">
        <f t="shared" si="8"/>
        <v>116286.78747157862</v>
      </c>
      <c r="Y28" s="992">
        <f t="shared" si="8"/>
        <v>111402.51191602307</v>
      </c>
      <c r="Z28" s="992">
        <f t="shared" si="8"/>
        <v>106518.2363604675</v>
      </c>
      <c r="AA28" s="992">
        <f t="shared" si="8"/>
        <v>101633.96080491194</v>
      </c>
      <c r="AB28" s="992">
        <f t="shared" si="8"/>
        <v>96749.685249356393</v>
      </c>
      <c r="AC28" s="992">
        <f t="shared" si="8"/>
        <v>91865.409693800844</v>
      </c>
      <c r="AD28" s="992">
        <f t="shared" si="8"/>
        <v>86981.134138245281</v>
      </c>
      <c r="AE28" s="992">
        <f t="shared" si="8"/>
        <v>82096.858582689732</v>
      </c>
      <c r="AF28" s="992">
        <f t="shared" si="8"/>
        <v>77212.583027134169</v>
      </c>
      <c r="AG28" s="992">
        <f t="shared" si="8"/>
        <v>72328.307471578621</v>
      </c>
      <c r="AH28" s="992">
        <f t="shared" si="8"/>
        <v>67444.031916023057</v>
      </c>
      <c r="AI28" s="992">
        <f t="shared" si="8"/>
        <v>62559.756360467509</v>
      </c>
      <c r="AJ28" s="992">
        <f t="shared" si="8"/>
        <v>105582.41049871279</v>
      </c>
      <c r="AK28" s="992">
        <f t="shared" si="8"/>
        <v>0</v>
      </c>
      <c r="AL28" s="992">
        <f t="shared" si="8"/>
        <v>3513640.4406654779</v>
      </c>
    </row>
    <row r="29" spans="2:65" x14ac:dyDescent="0.45">
      <c r="J29" s="902"/>
      <c r="N29" s="533"/>
      <c r="O29" s="533"/>
      <c r="P29" s="533"/>
      <c r="AL29" s="533"/>
    </row>
    <row r="30" spans="2:65" x14ac:dyDescent="0.45">
      <c r="D30" s="451" t="s">
        <v>934</v>
      </c>
      <c r="E30" s="451"/>
      <c r="J30" s="902"/>
      <c r="M30" s="451"/>
      <c r="N30" s="533"/>
      <c r="O30" s="533"/>
      <c r="P30" s="533"/>
    </row>
    <row r="31" spans="2:65" x14ac:dyDescent="0.45">
      <c r="B31" t="s">
        <v>59</v>
      </c>
      <c r="D31" t="str">
        <f>'11. Table - Expenditure Review'!E177</f>
        <v>Rates &amp; Taxes</v>
      </c>
      <c r="F31" s="885">
        <f t="shared" ref="F31:F47" si="9">P31/P$47</f>
        <v>9.7301594931020526E-3</v>
      </c>
      <c r="G31" s="885">
        <f t="shared" ref="G31:G47" si="10">AL31/AL$47</f>
        <v>8.837952260059373E-3</v>
      </c>
      <c r="I31" s="753">
        <f t="shared" ref="I31:I48" si="11">AL31</f>
        <v>834362.49358135683</v>
      </c>
      <c r="J31" s="899">
        <v>834362.49358135683</v>
      </c>
      <c r="K31" s="753">
        <f t="shared" ref="K31:K48" si="12">I31-J31</f>
        <v>0</v>
      </c>
      <c r="L31" s="885">
        <f t="shared" ref="L31:L48" si="13">IF(J31&lt;&gt;0,K31/J31,0)</f>
        <v>0</v>
      </c>
      <c r="N31" s="566">
        <f>SUMIF('10. Inputs &amp; Calcs'!$D$650:$D$655,$E$10,'10. Inputs &amp; Calcs'!F$650:F$655)</f>
        <v>1116065</v>
      </c>
      <c r="O31" s="566">
        <f>SUMIF('10. Inputs &amp; Calcs'!$D$650:$D$655,$E$10,'10. Inputs &amp; Calcs'!G$650:G$655)</f>
        <v>1590923</v>
      </c>
      <c r="P31" s="566">
        <f>SUMIF('10. Inputs &amp; Calcs'!$D$650:$D$655,$E$10,'10. Inputs &amp; Calcs'!H$650:H$655)</f>
        <v>108876</v>
      </c>
      <c r="Q31" s="533">
        <f>SUMIF('10. Inputs &amp; Calcs'!$D$650:$D$655,$E$10,'10. Inputs &amp; Calcs'!I$650:I$655)</f>
        <v>91891.343999999997</v>
      </c>
      <c r="R31" s="533">
        <f>SUMIF('10. Inputs &amp; Calcs'!$D$650:$D$655,$E$10,'10. Inputs &amp; Calcs'!J$650:J$655)</f>
        <v>72709.025939999978</v>
      </c>
      <c r="S31" s="533">
        <f>SUMIF('10. Inputs &amp; Calcs'!$D$650:$D$655,$E$10,'10. Inputs &amp; Calcs'!K$650:K$655)</f>
        <v>51138.681577799987</v>
      </c>
      <c r="T31" s="533">
        <f>SUMIF('10. Inputs &amp; Calcs'!$D$650:$D$655,$E$10,'10. Inputs &amp; Calcs'!L$650:L$655)</f>
        <v>50954.014116546816</v>
      </c>
      <c r="U31" s="533">
        <f>SUMIF('10. Inputs &amp; Calcs'!$D$650:$D$655,$E$10,'10. Inputs &amp; Calcs'!M$650:M$655)</f>
        <v>50594.338722782959</v>
      </c>
      <c r="V31" s="533">
        <f>SUMIF('10. Inputs &amp; Calcs'!$D$650:$D$655,$E$10,'10. Inputs &amp; Calcs'!N$650:N$655)</f>
        <v>50040.963143002518</v>
      </c>
      <c r="W31" s="533">
        <f>SUMIF('10. Inputs &amp; Calcs'!$D$650:$D$655,$E$10,'10. Inputs &amp; Calcs'!O$650:O$655)</f>
        <v>49273.668374809808</v>
      </c>
      <c r="X31" s="533">
        <f>SUMIF('10. Inputs &amp; Calcs'!$D$650:$D$655,$E$10,'10. Inputs &amp; Calcs'!P$650:P$655)</f>
        <v>48270.597268608319</v>
      </c>
      <c r="Y31" s="533">
        <f>SUMIF('10. Inputs &amp; Calcs'!$D$650:$D$655,$E$10,'10. Inputs &amp; Calcs'!Q$650:Q$655)</f>
        <v>47008.13549389087</v>
      </c>
      <c r="Z31" s="533">
        <f>SUMIF('10. Inputs &amp; Calcs'!$D$650:$D$655,$E$10,'10. Inputs &amp; Calcs'!R$650:R$655)</f>
        <v>45460.784367216962</v>
      </c>
      <c r="AA31" s="533">
        <f>SUMIF('10. Inputs &amp; Calcs'!$D$650:$D$655,$E$10,'10. Inputs &amp; Calcs'!S$650:S$655)</f>
        <v>43601.025006739896</v>
      </c>
      <c r="AB31" s="533">
        <f>SUMIF('10. Inputs &amp; Calcs'!$D$650:$D$655,$E$10,'10. Inputs &amp; Calcs'!T$650:T$655)</f>
        <v>41399.173243899531</v>
      </c>
      <c r="AC31" s="533">
        <f>SUMIF('10. Inputs &amp; Calcs'!$D$650:$D$655,$E$10,'10. Inputs &amp; Calcs'!U$650:U$655)</f>
        <v>38823.224686501337</v>
      </c>
      <c r="AD31" s="533">
        <f>SUMIF('10. Inputs &amp; Calcs'!$D$650:$D$655,$E$10,'10. Inputs &amp; Calcs'!V$650:V$655)</f>
        <v>35838.689288726549</v>
      </c>
      <c r="AE31" s="533">
        <f>SUMIF('10. Inputs &amp; Calcs'!$D$650:$D$655,$E$10,'10. Inputs &amp; Calcs'!W$650:W$655)</f>
        <v>32408.414742519864</v>
      </c>
      <c r="AF31" s="533">
        <f>SUMIF('10. Inputs &amp; Calcs'!$D$650:$D$655,$E$10,'10. Inputs &amp; Calcs'!X$650:X$655)</f>
        <v>28492.397961132043</v>
      </c>
      <c r="AG31" s="533">
        <f>SUMIF('10. Inputs &amp; Calcs'!$D$650:$D$655,$E$10,'10. Inputs &amp; Calcs'!Y$650:Y$655)</f>
        <v>24047.583879195441</v>
      </c>
      <c r="AH31" s="533">
        <f>SUMIF('10. Inputs &amp; Calcs'!$D$650:$D$655,$E$10,'10. Inputs &amp; Calcs'!Z$650:Z$655)</f>
        <v>19027.650744413389</v>
      </c>
      <c r="AI31" s="533">
        <f>SUMIF('10. Inputs &amp; Calcs'!$D$650:$D$655,$E$10,'10. Inputs &amp; Calcs'!AA$650:AA$655)</f>
        <v>13382.781023570749</v>
      </c>
      <c r="AJ31" s="533">
        <f>SUMIF('10. Inputs &amp; Calcs'!$D$650:$D$655,$E$10,'10. Inputs &amp; Calcs'!AB$650:AB$655)</f>
        <v>0</v>
      </c>
      <c r="AK31" s="533">
        <f>SUMIF('10. Inputs &amp; Calcs'!$D$650:$D$655,$E$10,'10. Inputs &amp; Calcs'!AC$650:AC$655)</f>
        <v>0</v>
      </c>
      <c r="AL31" s="533">
        <f t="shared" ref="AL31:AL46" si="14">SUM(Q31:AK31)</f>
        <v>834362.49358135683</v>
      </c>
    </row>
    <row r="32" spans="2:65" x14ac:dyDescent="0.45">
      <c r="B32" t="s">
        <v>59</v>
      </c>
      <c r="D32" t="str">
        <f>'11. Table - Expenditure Review'!E178</f>
        <v>Municipal Charges</v>
      </c>
      <c r="F32" s="889">
        <f t="shared" si="9"/>
        <v>9.6869398519884936E-2</v>
      </c>
      <c r="G32" s="889">
        <f t="shared" si="10"/>
        <v>8.7986956450851458E-2</v>
      </c>
      <c r="I32" s="888">
        <f t="shared" si="11"/>
        <v>8306564.0350577645</v>
      </c>
      <c r="J32" s="903">
        <v>8306564.0350577645</v>
      </c>
      <c r="K32" s="888">
        <f t="shared" si="12"/>
        <v>0</v>
      </c>
      <c r="L32" s="889">
        <f t="shared" si="13"/>
        <v>0</v>
      </c>
      <c r="N32" s="566">
        <f>SUMIF('10. Inputs &amp; Calcs'!$D$659:$D$664,$E$10,'10. Inputs &amp; Calcs'!F$659:F$664)</f>
        <v>1986493.629015544</v>
      </c>
      <c r="O32" s="566">
        <f>SUMIF('10. Inputs &amp; Calcs'!$D$659:$D$664,$E$10,'10. Inputs &amp; Calcs'!G$659:G$664)</f>
        <v>1396462.4550970874</v>
      </c>
      <c r="P32" s="566">
        <f>SUMIF('10. Inputs &amp; Calcs'!$D$659:$D$664,$E$10,'10. Inputs &amp; Calcs'!H$659:H$664)</f>
        <v>1083923.9213630406</v>
      </c>
      <c r="Q32" s="533">
        <f>SUMIF('10. Inputs &amp; Calcs'!$D$659:$D$664,$E$10,'10. Inputs &amp; Calcs'!I$659:I$664)</f>
        <v>914831.78963040619</v>
      </c>
      <c r="R32" s="533">
        <f>SUMIF('10. Inputs &amp; Calcs'!$D$659:$D$664,$E$10,'10. Inputs &amp; Calcs'!J$659:J$664)</f>
        <v>723860.65354505891</v>
      </c>
      <c r="S32" s="533">
        <f>SUMIF('10. Inputs &amp; Calcs'!$D$659:$D$664,$E$10,'10. Inputs &amp; Calcs'!K$659:K$664)</f>
        <v>509115.32632669143</v>
      </c>
      <c r="T32" s="533">
        <f>SUMIF('10. Inputs &amp; Calcs'!$D$659:$D$664,$E$10,'10. Inputs &amp; Calcs'!L$659:L$664)</f>
        <v>507276.85431495606</v>
      </c>
      <c r="U32" s="533">
        <f>SUMIF('10. Inputs &amp; Calcs'!$D$659:$D$664,$E$10,'10. Inputs &amp; Calcs'!M$659:M$664)</f>
        <v>503696.07651979162</v>
      </c>
      <c r="V32" s="533">
        <f>SUMIF('10. Inputs &amp; Calcs'!$D$659:$D$664,$E$10,'10. Inputs &amp; Calcs'!N$659:N$664)</f>
        <v>498186.90068285633</v>
      </c>
      <c r="W32" s="533">
        <f>SUMIF('10. Inputs &amp; Calcs'!$D$659:$D$664,$E$10,'10. Inputs &amp; Calcs'!O$659:O$664)</f>
        <v>490548.03487238585</v>
      </c>
      <c r="X32" s="533">
        <f>SUMIF('10. Inputs &amp; Calcs'!$D$659:$D$664,$E$10,'10. Inputs &amp; Calcs'!P$659:P$664)</f>
        <v>480561.87844819797</v>
      </c>
      <c r="Y32" s="533">
        <f>SUMIF('10. Inputs &amp; Calcs'!$D$659:$D$664,$E$10,'10. Inputs &amp; Calcs'!Q$659:Q$664)</f>
        <v>467993.33701186045</v>
      </c>
      <c r="Z32" s="533">
        <f>SUMIF('10. Inputs &amp; Calcs'!$D$659:$D$664,$E$10,'10. Inputs &amp; Calcs'!R$659:R$664)</f>
        <v>452588.55633522</v>
      </c>
      <c r="AA32" s="533">
        <f>SUMIF('10. Inputs &amp; Calcs'!$D$659:$D$664,$E$10,'10. Inputs &amp; Calcs'!S$659:S$664)</f>
        <v>434073.56993968826</v>
      </c>
      <c r="AB32" s="533">
        <f>SUMIF('10. Inputs &amp; Calcs'!$D$659:$D$664,$E$10,'10. Inputs &amp; Calcs'!T$659:T$664)</f>
        <v>412152.85465773399</v>
      </c>
      <c r="AC32" s="533">
        <f>SUMIF('10. Inputs &amp; Calcs'!$D$659:$D$664,$E$10,'10. Inputs &amp; Calcs'!U$659:U$664)</f>
        <v>386507.78814569721</v>
      </c>
      <c r="AD32" s="533">
        <f>SUMIF('10. Inputs &amp; Calcs'!$D$659:$D$664,$E$10,'10. Inputs &amp; Calcs'!V$659:V$664)</f>
        <v>356795.00193199673</v>
      </c>
      <c r="AE32" s="533">
        <f>SUMIF('10. Inputs &amp; Calcs'!$D$659:$D$664,$E$10,'10. Inputs &amp; Calcs'!W$659:W$664)</f>
        <v>322644.62317564839</v>
      </c>
      <c r="AF32" s="533">
        <f>SUMIF('10. Inputs &amp; Calcs'!$D$659:$D$664,$E$10,'10. Inputs &amp; Calcs'!X$659:X$664)</f>
        <v>283658.39787525759</v>
      </c>
      <c r="AG32" s="533">
        <f>SUMIF('10. Inputs &amp; Calcs'!$D$659:$D$664,$E$10,'10. Inputs &amp; Calcs'!Y$659:Y$664)</f>
        <v>239407.68780671738</v>
      </c>
      <c r="AH32" s="533">
        <f>SUMIF('10. Inputs &amp; Calcs'!$D$659:$D$664,$E$10,'10. Inputs &amp; Calcs'!Z$659:Z$664)</f>
        <v>189431.33297706512</v>
      </c>
      <c r="AI32" s="533">
        <f>SUMIF('10. Inputs &amp; Calcs'!$D$659:$D$664,$E$10,'10. Inputs &amp; Calcs'!AA$659:AA$664)</f>
        <v>133233.3708605358</v>
      </c>
      <c r="AJ32" s="533">
        <f>SUMIF('10. Inputs &amp; Calcs'!$D$659:$D$664,$E$10,'10. Inputs &amp; Calcs'!AB$659:AB$664)</f>
        <v>0</v>
      </c>
      <c r="AK32" s="533">
        <f>SUMIF('10. Inputs &amp; Calcs'!$D$659:$D$664,$E$10,'10. Inputs &amp; Calcs'!AC$659:AC$664)</f>
        <v>0</v>
      </c>
      <c r="AL32" s="533">
        <f t="shared" si="14"/>
        <v>8306564.0350577645</v>
      </c>
    </row>
    <row r="33" spans="2:38" x14ac:dyDescent="0.45">
      <c r="B33" t="s">
        <v>59</v>
      </c>
      <c r="D33" t="str">
        <f>'11. Table - Expenditure Review'!E179</f>
        <v>Maintenance</v>
      </c>
      <c r="F33" s="889">
        <f t="shared" si="9"/>
        <v>0</v>
      </c>
      <c r="G33" s="889">
        <f t="shared" si="10"/>
        <v>0</v>
      </c>
      <c r="I33" s="888">
        <f t="shared" si="11"/>
        <v>0</v>
      </c>
      <c r="J33" s="903">
        <v>0</v>
      </c>
      <c r="K33" s="888">
        <f t="shared" si="12"/>
        <v>0</v>
      </c>
      <c r="L33" s="889">
        <f t="shared" si="13"/>
        <v>0</v>
      </c>
      <c r="N33" s="566">
        <f>SUMIF('10. Inputs &amp; Calcs'!$D$668:$D$673,$E$10,'10. Inputs &amp; Calcs'!F$668:F$673)</f>
        <v>0</v>
      </c>
      <c r="O33" s="566">
        <f>SUMIF('10. Inputs &amp; Calcs'!$D$668:$D$673,$E$10,'10. Inputs &amp; Calcs'!G$668:G$673)</f>
        <v>0</v>
      </c>
      <c r="P33" s="566">
        <f>SUMIF('10. Inputs &amp; Calcs'!$D$668:$D$673,$E$10,'10. Inputs &amp; Calcs'!H$668:H$673)</f>
        <v>0</v>
      </c>
      <c r="Q33" s="533">
        <f>SUMIF('10. Inputs &amp; Calcs'!$D$668:$D$673,$E$10,'10. Inputs &amp; Calcs'!I$668:I$673)</f>
        <v>0</v>
      </c>
      <c r="R33" s="533">
        <f>SUMIF('10. Inputs &amp; Calcs'!$D$668:$D$673,$E$10,'10. Inputs &amp; Calcs'!J$668:J$673)</f>
        <v>0</v>
      </c>
      <c r="S33" s="533">
        <f>SUMIF('10. Inputs &amp; Calcs'!$D$668:$D$673,$E$10,'10. Inputs &amp; Calcs'!K$668:K$673)</f>
        <v>0</v>
      </c>
      <c r="T33" s="533">
        <f>SUMIF('10. Inputs &amp; Calcs'!$D$668:$D$673,$E$10,'10. Inputs &amp; Calcs'!L$668:L$673)</f>
        <v>0</v>
      </c>
      <c r="U33" s="533">
        <f>SUMIF('10. Inputs &amp; Calcs'!$D$668:$D$673,$E$10,'10. Inputs &amp; Calcs'!M$668:M$673)</f>
        <v>0</v>
      </c>
      <c r="V33" s="533">
        <f>SUMIF('10. Inputs &amp; Calcs'!$D$668:$D$673,$E$10,'10. Inputs &amp; Calcs'!N$668:N$673)</f>
        <v>0</v>
      </c>
      <c r="W33" s="533">
        <f>SUMIF('10. Inputs &amp; Calcs'!$D$668:$D$673,$E$10,'10. Inputs &amp; Calcs'!O$668:O$673)</f>
        <v>0</v>
      </c>
      <c r="X33" s="533">
        <f>SUMIF('10. Inputs &amp; Calcs'!$D$668:$D$673,$E$10,'10. Inputs &amp; Calcs'!P$668:P$673)</f>
        <v>0</v>
      </c>
      <c r="Y33" s="533">
        <f>SUMIF('10. Inputs &amp; Calcs'!$D$668:$D$673,$E$10,'10. Inputs &amp; Calcs'!Q$668:Q$673)</f>
        <v>0</v>
      </c>
      <c r="Z33" s="533">
        <f>SUMIF('10. Inputs &amp; Calcs'!$D$668:$D$673,$E$10,'10. Inputs &amp; Calcs'!R$668:R$673)</f>
        <v>0</v>
      </c>
      <c r="AA33" s="533">
        <f>SUMIF('10. Inputs &amp; Calcs'!$D$668:$D$673,$E$10,'10. Inputs &amp; Calcs'!S$668:S$673)</f>
        <v>0</v>
      </c>
      <c r="AB33" s="533">
        <f>SUMIF('10. Inputs &amp; Calcs'!$D$668:$D$673,$E$10,'10. Inputs &amp; Calcs'!T$668:T$673)</f>
        <v>0</v>
      </c>
      <c r="AC33" s="533">
        <f>SUMIF('10. Inputs &amp; Calcs'!$D$668:$D$673,$E$10,'10. Inputs &amp; Calcs'!U$668:U$673)</f>
        <v>0</v>
      </c>
      <c r="AD33" s="533">
        <f>SUMIF('10. Inputs &amp; Calcs'!$D$668:$D$673,$E$10,'10. Inputs &amp; Calcs'!V$668:V$673)</f>
        <v>0</v>
      </c>
      <c r="AE33" s="533">
        <f>SUMIF('10. Inputs &amp; Calcs'!$D$668:$D$673,$E$10,'10. Inputs &amp; Calcs'!W$668:W$673)</f>
        <v>0</v>
      </c>
      <c r="AF33" s="533">
        <f>SUMIF('10. Inputs &amp; Calcs'!$D$668:$D$673,$E$10,'10. Inputs &amp; Calcs'!X$668:X$673)</f>
        <v>0</v>
      </c>
      <c r="AG33" s="533">
        <f>SUMIF('10. Inputs &amp; Calcs'!$D$668:$D$673,$E$10,'10. Inputs &amp; Calcs'!Y$668:Y$673)</f>
        <v>0</v>
      </c>
      <c r="AH33" s="533">
        <f>SUMIF('10. Inputs &amp; Calcs'!$D$668:$D$673,$E$10,'10. Inputs &amp; Calcs'!Z$668:Z$673)</f>
        <v>0</v>
      </c>
      <c r="AI33" s="533">
        <f>SUMIF('10. Inputs &amp; Calcs'!$D$668:$D$673,$E$10,'10. Inputs &amp; Calcs'!AA$668:AA$673)</f>
        <v>0</v>
      </c>
      <c r="AJ33" s="533">
        <f>SUMIF('10. Inputs &amp; Calcs'!$D$668:$D$673,$E$10,'10. Inputs &amp; Calcs'!AB$668:AB$673)</f>
        <v>0</v>
      </c>
      <c r="AK33" s="533">
        <f>SUMIF('10. Inputs &amp; Calcs'!$D$668:$D$673,$E$10,'10. Inputs &amp; Calcs'!AC$668:AC$673)</f>
        <v>0</v>
      </c>
      <c r="AL33" s="533">
        <f t="shared" si="14"/>
        <v>0</v>
      </c>
    </row>
    <row r="34" spans="2:38" x14ac:dyDescent="0.45">
      <c r="B34" t="s">
        <v>59</v>
      </c>
      <c r="D34" t="str">
        <f>'11. Table - Expenditure Review'!E180</f>
        <v>Property Payments</v>
      </c>
      <c r="F34" s="889">
        <f t="shared" si="9"/>
        <v>0</v>
      </c>
      <c r="G34" s="889">
        <f t="shared" si="10"/>
        <v>0</v>
      </c>
      <c r="I34" s="888">
        <f t="shared" si="11"/>
        <v>0</v>
      </c>
      <c r="J34" s="903">
        <v>0</v>
      </c>
      <c r="K34" s="888">
        <f t="shared" si="12"/>
        <v>0</v>
      </c>
      <c r="L34" s="889">
        <f t="shared" si="13"/>
        <v>0</v>
      </c>
      <c r="N34" s="566">
        <f>SUMIF('10. Inputs &amp; Calcs'!$D$677:$D$682,$E$10,'10. Inputs &amp; Calcs'!F$677:F$682)</f>
        <v>0</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4"/>
        <v>0</v>
      </c>
    </row>
    <row r="35" spans="2:38" x14ac:dyDescent="0.45">
      <c r="B35" t="s">
        <v>1077</v>
      </c>
      <c r="D35" t="str">
        <f>'11. Table - Expenditure Review'!E181</f>
        <v>Administering Assets</v>
      </c>
      <c r="F35" s="889">
        <f t="shared" si="9"/>
        <v>9.1616821010631996E-2</v>
      </c>
      <c r="G35" s="889">
        <f t="shared" si="10"/>
        <v>8.3216014175758371E-2</v>
      </c>
      <c r="I35" s="888">
        <f t="shared" si="11"/>
        <v>7856154.8026647586</v>
      </c>
      <c r="J35" s="903">
        <v>7856154.8026647586</v>
      </c>
      <c r="K35" s="888">
        <f t="shared" si="12"/>
        <v>0</v>
      </c>
      <c r="L35" s="889">
        <f t="shared" si="13"/>
        <v>0</v>
      </c>
      <c r="N35" s="566">
        <f>SUMIF('10. Inputs &amp; Calcs'!$D$686:$D$691,$E$10,'10. Inputs &amp; Calcs'!F$686:F$691)</f>
        <v>2858990</v>
      </c>
      <c r="O35" s="566">
        <f>SUMIF('10. Inputs &amp; Calcs'!$D$686:$D$691,$E$10,'10. Inputs &amp; Calcs'!G$686:G$691)</f>
        <v>3028121</v>
      </c>
      <c r="P35" s="566">
        <f>SUMIF('10. Inputs &amp; Calcs'!$D$686:$D$691,$E$10,'10. Inputs &amp; Calcs'!H$686:H$691)</f>
        <v>1025150</v>
      </c>
      <c r="Q35" s="533">
        <f>SUMIF('10. Inputs &amp; Calcs'!$D$686:$D$691,$E$10,'10. Inputs &amp; Calcs'!I$686:I$691)</f>
        <v>865226.6</v>
      </c>
      <c r="R35" s="533">
        <f>SUMIF('10. Inputs &amp; Calcs'!$D$686:$D$691,$E$10,'10. Inputs &amp; Calcs'!J$686:J$691)</f>
        <v>684610.54724999995</v>
      </c>
      <c r="S35" s="533">
        <f>SUMIF('10. Inputs &amp; Calcs'!$D$686:$D$691,$E$10,'10. Inputs &amp; Calcs'!K$686:K$691)</f>
        <v>481509.41823249997</v>
      </c>
      <c r="T35" s="533">
        <f>SUMIF('10. Inputs &amp; Calcs'!$D$686:$D$691,$E$10,'10. Inputs &amp; Calcs'!L$686:L$691)</f>
        <v>479770.63422221591</v>
      </c>
      <c r="U35" s="533">
        <f>SUMIF('10. Inputs &amp; Calcs'!$D$686:$D$691,$E$10,'10. Inputs &amp; Calcs'!M$686:M$691)</f>
        <v>476384.01798064727</v>
      </c>
      <c r="V35" s="533">
        <f>SUMIF('10. Inputs &amp; Calcs'!$D$686:$D$691,$E$10,'10. Inputs &amp; Calcs'!N$686:N$691)</f>
        <v>471173.56778398389</v>
      </c>
      <c r="W35" s="533">
        <f>SUMIF('10. Inputs &amp; Calcs'!$D$686:$D$691,$E$10,'10. Inputs &amp; Calcs'!O$686:O$691)</f>
        <v>463948.90641129611</v>
      </c>
      <c r="X35" s="533">
        <f>SUMIF('10. Inputs &amp; Calcs'!$D$686:$D$691,$E$10,'10. Inputs &amp; Calcs'!P$686:P$691)</f>
        <v>454504.23224506614</v>
      </c>
      <c r="Y35" s="533">
        <f>SUMIF('10. Inputs &amp; Calcs'!$D$686:$D$691,$E$10,'10. Inputs &amp; Calcs'!Q$686:Q$691)</f>
        <v>442617.1984786567</v>
      </c>
      <c r="Z35" s="533">
        <f>SUMIF('10. Inputs &amp; Calcs'!$D$686:$D$691,$E$10,'10. Inputs &amp; Calcs'!R$686:R$691)</f>
        <v>428047.7156954009</v>
      </c>
      <c r="AA35" s="533">
        <f>SUMIF('10. Inputs &amp; Calcs'!$D$686:$D$691,$E$10,'10. Inputs &amp; Calcs'!S$686:S$691)</f>
        <v>410536.67278058903</v>
      </c>
      <c r="AB35" s="533">
        <f>SUMIF('10. Inputs &amp; Calcs'!$D$686:$D$691,$E$10,'10. Inputs &amp; Calcs'!T$686:T$691)</f>
        <v>389804.57080516929</v>
      </c>
      <c r="AC35" s="533">
        <f>SUMIF('10. Inputs &amp; Calcs'!$D$686:$D$691,$E$10,'10. Inputs &amp; Calcs'!U$686:U$691)</f>
        <v>365550.06417729205</v>
      </c>
      <c r="AD35" s="533">
        <f>SUMIF('10. Inputs &amp; Calcs'!$D$686:$D$691,$E$10,'10. Inputs &amp; Calcs'!V$686:V$691)</f>
        <v>337448.40299366269</v>
      </c>
      <c r="AE35" s="533">
        <f>SUMIF('10. Inputs &amp; Calcs'!$D$686:$D$691,$E$10,'10. Inputs &amp; Calcs'!W$686:W$691)</f>
        <v>305149.77013569779</v>
      </c>
      <c r="AF35" s="533">
        <f>SUMIF('10. Inputs &amp; Calcs'!$D$686:$D$691,$E$10,'10. Inputs &amp; Calcs'!X$686:X$691)</f>
        <v>268277.50624430098</v>
      </c>
      <c r="AG35" s="533">
        <f>SUMIF('10. Inputs &amp; Calcs'!$D$686:$D$691,$E$10,'10. Inputs &amp; Calcs'!Y$686:Y$691)</f>
        <v>226426.21527019</v>
      </c>
      <c r="AH35" s="533">
        <f>SUMIF('10. Inputs &amp; Calcs'!$D$686:$D$691,$E$10,'10. Inputs &amp; Calcs'!Z$686:Z$691)</f>
        <v>179159.74283253783</v>
      </c>
      <c r="AI35" s="533">
        <f>SUMIF('10. Inputs &amp; Calcs'!$D$686:$D$691,$E$10,'10. Inputs &amp; Calcs'!AA$686:AA$691)</f>
        <v>126009.0191255516</v>
      </c>
      <c r="AJ35" s="533">
        <f>SUMIF('10. Inputs &amp; Calcs'!$D$686:$D$691,$E$10,'10. Inputs &amp; Calcs'!AB$686:AB$691)</f>
        <v>0</v>
      </c>
      <c r="AK35" s="533">
        <f>SUMIF('10. Inputs &amp; Calcs'!$D$686:$D$691,$E$10,'10. Inputs &amp; Calcs'!AC$686:AC$691)</f>
        <v>0</v>
      </c>
      <c r="AL35" s="533">
        <f t="shared" si="14"/>
        <v>7856154.8026647586</v>
      </c>
    </row>
    <row r="36" spans="2:38" x14ac:dyDescent="0.45">
      <c r="B36" t="s">
        <v>1075</v>
      </c>
      <c r="D36" t="str">
        <f>'10. Inputs &amp; Calcs'!D507</f>
        <v>Total Disposal Costs</v>
      </c>
      <c r="F36" s="889">
        <f t="shared" si="9"/>
        <v>0</v>
      </c>
      <c r="G36" s="889">
        <f t="shared" si="10"/>
        <v>9.3393126728249006E-3</v>
      </c>
      <c r="I36" s="888">
        <f t="shared" si="11"/>
        <v>881694.30890112126</v>
      </c>
      <c r="J36" s="903">
        <v>881694.30890112126</v>
      </c>
      <c r="K36" s="888">
        <f t="shared" si="12"/>
        <v>0</v>
      </c>
      <c r="L36" s="889">
        <f t="shared" si="13"/>
        <v>0</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126000</v>
      </c>
      <c r="R36" s="533">
        <f>SUMIF('10. Inputs &amp; Calcs'!$D$508:$D$513,$E$10,'10. Inputs &amp; Calcs'!J$508:J$513)</f>
        <v>132930</v>
      </c>
      <c r="S36" s="533">
        <f>SUMIF('10. Inputs &amp; Calcs'!$D$508:$D$513,$E$10,'10. Inputs &amp; Calcs'!K$508:K$513)</f>
        <v>140241.15</v>
      </c>
      <c r="T36" s="533">
        <f>SUMIF('10. Inputs &amp; Calcs'!$D$508:$D$513,$E$10,'10. Inputs &amp; Calcs'!L$508:L$513)</f>
        <v>16439.379249999998</v>
      </c>
      <c r="U36" s="533">
        <f>SUMIF('10. Inputs &amp; Calcs'!$D$508:$D$513,$E$10,'10. Inputs &amp; Calcs'!M$508:M$513)</f>
        <v>17343.545108750001</v>
      </c>
      <c r="V36" s="533">
        <f>SUMIF('10. Inputs &amp; Calcs'!$D$508:$D$513,$E$10,'10. Inputs &amp; Calcs'!N$508:N$513)</f>
        <v>18297.440089731248</v>
      </c>
      <c r="W36" s="533">
        <f>SUMIF('10. Inputs &amp; Calcs'!$D$508:$D$513,$E$10,'10. Inputs &amp; Calcs'!O$508:O$513)</f>
        <v>19303.799294666467</v>
      </c>
      <c r="X36" s="533">
        <f>SUMIF('10. Inputs &amp; Calcs'!$D$508:$D$513,$E$10,'10. Inputs &amp; Calcs'!P$508:P$513)</f>
        <v>20365.508255873123</v>
      </c>
      <c r="Y36" s="533">
        <f>SUMIF('10. Inputs &amp; Calcs'!$D$508:$D$513,$E$10,'10. Inputs &amp; Calcs'!Q$508:Q$513)</f>
        <v>21485.611209946139</v>
      </c>
      <c r="Z36" s="533">
        <f>SUMIF('10. Inputs &amp; Calcs'!$D$508:$D$513,$E$10,'10. Inputs &amp; Calcs'!R$508:R$513)</f>
        <v>22667.319826493178</v>
      </c>
      <c r="AA36" s="533">
        <f>SUMIF('10. Inputs &amp; Calcs'!$D$508:$D$513,$E$10,'10. Inputs &amp; Calcs'!S$508:S$513)</f>
        <v>23914.022416950298</v>
      </c>
      <c r="AB36" s="533">
        <f>SUMIF('10. Inputs &amp; Calcs'!$D$508:$D$513,$E$10,'10. Inputs &amp; Calcs'!T$508:T$513)</f>
        <v>25229.293649882566</v>
      </c>
      <c r="AC36" s="533">
        <f>SUMIF('10. Inputs &amp; Calcs'!$D$508:$D$513,$E$10,'10. Inputs &amp; Calcs'!U$508:U$513)</f>
        <v>26616.904800626107</v>
      </c>
      <c r="AD36" s="533">
        <f>SUMIF('10. Inputs &amp; Calcs'!$D$508:$D$513,$E$10,'10. Inputs &amp; Calcs'!V$508:V$513)</f>
        <v>28080.834564660538</v>
      </c>
      <c r="AE36" s="533">
        <f>SUMIF('10. Inputs &amp; Calcs'!$D$508:$D$513,$E$10,'10. Inputs &amp; Calcs'!W$508:W$513)</f>
        <v>29625.280465716867</v>
      </c>
      <c r="AF36" s="533">
        <f>SUMIF('10. Inputs &amp; Calcs'!$D$508:$D$513,$E$10,'10. Inputs &amp; Calcs'!X$508:X$513)</f>
        <v>31254.670891331298</v>
      </c>
      <c r="AG36" s="533">
        <f>SUMIF('10. Inputs &amp; Calcs'!$D$508:$D$513,$E$10,'10. Inputs &amp; Calcs'!Y$508:Y$513)</f>
        <v>32973.677790354515</v>
      </c>
      <c r="AH36" s="533">
        <f>SUMIF('10. Inputs &amp; Calcs'!$D$508:$D$513,$E$10,'10. Inputs &amp; Calcs'!Z$508:Z$513)</f>
        <v>34787.230068824014</v>
      </c>
      <c r="AI36" s="533">
        <f>SUMIF('10. Inputs &amp; Calcs'!$D$508:$D$513,$E$10,'10. Inputs &amp; Calcs'!AA$508:AA$513)</f>
        <v>36700.527722609331</v>
      </c>
      <c r="AJ36" s="533">
        <f>SUMIF('10. Inputs &amp; Calcs'!$D$508:$D$513,$E$10,'10. Inputs &amp; Calcs'!AB$508:AB$513)</f>
        <v>77438.113494705685</v>
      </c>
      <c r="AK36" s="533">
        <f>SUMIF('10. Inputs &amp; Calcs'!$D$508:$D$513,$E$10,'10. Inputs &amp; Calcs'!AC$508:AC$513)</f>
        <v>0</v>
      </c>
      <c r="AL36" s="533">
        <f t="shared" si="14"/>
        <v>881694.30890112126</v>
      </c>
    </row>
    <row r="37" spans="2:38" x14ac:dyDescent="0.45">
      <c r="B37" t="s">
        <v>59</v>
      </c>
      <c r="C37" t="str">
        <f>'10. Inputs &amp; Calcs'!E15</f>
        <v>Sc1</v>
      </c>
      <c r="D37" t="str">
        <f>'10. Inputs &amp; Calcs'!D703</f>
        <v>Management Costs Paid to Outsourced Rental Property Manager p.a.</v>
      </c>
      <c r="F37" s="889">
        <f t="shared" si="9"/>
        <v>0</v>
      </c>
      <c r="G37" s="889">
        <f t="shared" si="10"/>
        <v>0</v>
      </c>
      <c r="I37" s="888">
        <f t="shared" si="11"/>
        <v>0</v>
      </c>
      <c r="J37" s="903">
        <v>0</v>
      </c>
      <c r="K37" s="888">
        <f t="shared" si="12"/>
        <v>0</v>
      </c>
      <c r="L37" s="889">
        <f t="shared" si="13"/>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4"/>
        <v>0</v>
      </c>
    </row>
    <row r="38" spans="2:38" outlineLevel="1" x14ac:dyDescent="0.45">
      <c r="D38">
        <f>'11. Table - Expenditure Review'!E184</f>
        <v>0</v>
      </c>
      <c r="F38" s="889">
        <f t="shared" si="9"/>
        <v>0</v>
      </c>
      <c r="G38" s="889">
        <f t="shared" si="10"/>
        <v>0</v>
      </c>
      <c r="I38" s="888">
        <f t="shared" si="11"/>
        <v>0</v>
      </c>
      <c r="J38" s="903">
        <v>0</v>
      </c>
      <c r="K38" s="888">
        <f t="shared" si="12"/>
        <v>0</v>
      </c>
      <c r="L38" s="889">
        <f t="shared" si="13"/>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4"/>
        <v>0</v>
      </c>
    </row>
    <row r="39" spans="2:38" outlineLevel="1" x14ac:dyDescent="0.45">
      <c r="D39">
        <f>'11. Table - Expenditure Review'!E185</f>
        <v>0</v>
      </c>
      <c r="F39" s="889">
        <f t="shared" si="9"/>
        <v>0</v>
      </c>
      <c r="G39" s="889">
        <f t="shared" si="10"/>
        <v>0</v>
      </c>
      <c r="I39" s="888">
        <f t="shared" si="11"/>
        <v>0</v>
      </c>
      <c r="J39" s="903">
        <v>0</v>
      </c>
      <c r="K39" s="888">
        <f t="shared" si="12"/>
        <v>0</v>
      </c>
      <c r="L39" s="889">
        <f t="shared" si="13"/>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4"/>
        <v>0</v>
      </c>
    </row>
    <row r="40" spans="2:38" outlineLevel="1" x14ac:dyDescent="0.45">
      <c r="D40">
        <f>'11. Table - Expenditure Review'!E186</f>
        <v>0</v>
      </c>
      <c r="F40" s="889">
        <f t="shared" si="9"/>
        <v>0</v>
      </c>
      <c r="G40" s="889">
        <f t="shared" si="10"/>
        <v>0</v>
      </c>
      <c r="I40" s="888">
        <f t="shared" si="11"/>
        <v>0</v>
      </c>
      <c r="J40" s="903">
        <v>0</v>
      </c>
      <c r="K40" s="888">
        <f t="shared" si="12"/>
        <v>0</v>
      </c>
      <c r="L40" s="889">
        <f t="shared" si="13"/>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4"/>
        <v>0</v>
      </c>
    </row>
    <row r="41" spans="2:38" x14ac:dyDescent="0.45">
      <c r="B41" t="s">
        <v>59</v>
      </c>
      <c r="D41" t="str">
        <f>'11. Table - Expenditure Review'!E187</f>
        <v>Unallocated Expenses</v>
      </c>
      <c r="F41" s="889">
        <f t="shared" si="9"/>
        <v>0.73134656421643185</v>
      </c>
      <c r="G41" s="889">
        <f t="shared" si="10"/>
        <v>0.66428572159433585</v>
      </c>
      <c r="I41" s="888">
        <f t="shared" si="11"/>
        <v>62713066.874635682</v>
      </c>
      <c r="J41" s="903">
        <v>62713066.874635682</v>
      </c>
      <c r="K41" s="888">
        <f t="shared" si="12"/>
        <v>0</v>
      </c>
      <c r="L41" s="889">
        <f t="shared" si="13"/>
        <v>0</v>
      </c>
      <c r="N41" s="566">
        <f>SUMIF('10. Inputs &amp; Calcs'!$D$713:$D$718,$E$10,'10. Inputs &amp; Calcs'!F$713:F$718)</f>
        <v>3718763.7609844562</v>
      </c>
      <c r="O41" s="566">
        <f>SUMIF('10. Inputs &amp; Calcs'!$D$713:$D$718,$E$10,'10. Inputs &amp; Calcs'!G$713:G$718)</f>
        <v>4385874.4349029129</v>
      </c>
      <c r="P41" s="566">
        <f>SUMIF('10. Inputs &amp; Calcs'!$D$713:$D$718,$E$10,'10. Inputs &amp; Calcs'!H$713:H$718)</f>
        <v>8183430.9686369598</v>
      </c>
      <c r="Q41" s="533">
        <f>SUMIF('10. Inputs &amp; Calcs'!$D$713:$D$718,$E$10,'10. Inputs &amp; Calcs'!I$713:I$718)</f>
        <v>6906815.7375295935</v>
      </c>
      <c r="R41" s="533">
        <f>SUMIF('10. Inputs &amp; Calcs'!$D$713:$D$718,$E$10,'10. Inputs &amp; Calcs'!J$713:J$718)</f>
        <v>5465017.9523202907</v>
      </c>
      <c r="S41" s="533">
        <f>SUMIF('10. Inputs &amp; Calcs'!$D$713:$D$718,$E$10,'10. Inputs &amp; Calcs'!K$713:K$718)</f>
        <v>3843729.2931319377</v>
      </c>
      <c r="T41" s="533">
        <f>SUMIF('10. Inputs &amp; Calcs'!$D$713:$D$718,$E$10,'10. Inputs &amp; Calcs'!L$713:L$718)</f>
        <v>3829849.1595734055</v>
      </c>
      <c r="U41" s="533">
        <f>SUMIF('10. Inputs &amp; Calcs'!$D$713:$D$718,$E$10,'10. Inputs &amp; Calcs'!M$713:M$718)</f>
        <v>3802814.9302117107</v>
      </c>
      <c r="V41" s="533">
        <f>SUMIF('10. Inputs &amp; Calcs'!$D$713:$D$718,$E$10,'10. Inputs &amp; Calcs'!N$713:N$718)</f>
        <v>3761221.6419125199</v>
      </c>
      <c r="W41" s="533">
        <f>SUMIF('10. Inputs &amp; Calcs'!$D$713:$D$718,$E$10,'10. Inputs &amp; Calcs'!O$713:O$718)</f>
        <v>3703549.5767365275</v>
      </c>
      <c r="X41" s="533">
        <f>SUMIF('10. Inputs &amp; Calcs'!$D$713:$D$718,$E$10,'10. Inputs &amp; Calcs'!P$713:P$718)</f>
        <v>3628155.888924391</v>
      </c>
      <c r="Y41" s="533">
        <f>SUMIF('10. Inputs &amp; Calcs'!$D$713:$D$718,$E$10,'10. Inputs &amp; Calcs'!Q$713:Q$718)</f>
        <v>3533265.6579832919</v>
      </c>
      <c r="Z41" s="533">
        <f>SUMIF('10. Inputs &amp; Calcs'!$D$713:$D$718,$E$10,'10. Inputs &amp; Calcs'!R$713:R$718)</f>
        <v>3416962.3300746754</v>
      </c>
      <c r="AA41" s="533">
        <f>SUMIF('10. Inputs &amp; Calcs'!$D$713:$D$718,$E$10,'10. Inputs &amp; Calcs'!S$713:S$718)</f>
        <v>3277177.5074807112</v>
      </c>
      <c r="AB41" s="533">
        <f>SUMIF('10. Inputs &amp; Calcs'!$D$713:$D$718,$E$10,'10. Inputs &amp; Calcs'!T$713:T$718)</f>
        <v>3111680.043352935</v>
      </c>
      <c r="AC41" s="533">
        <f>SUMIF('10. Inputs &amp; Calcs'!$D$713:$D$718,$E$10,'10. Inputs &amp; Calcs'!U$713:U$718)</f>
        <v>2918064.3962109741</v>
      </c>
      <c r="AD41" s="533">
        <f>SUMIF('10. Inputs &amp; Calcs'!$D$713:$D$718,$E$10,'10. Inputs &amp; Calcs'!V$713:V$718)</f>
        <v>2693738.1957522552</v>
      </c>
      <c r="AE41" s="533">
        <f>SUMIF('10. Inputs &amp; Calcs'!$D$713:$D$718,$E$10,'10. Inputs &amp; Calcs'!W$713:W$718)</f>
        <v>2435908.9684445388</v>
      </c>
      <c r="AF41" s="533">
        <f>SUMIF('10. Inputs &amp; Calcs'!$D$713:$D$718,$E$10,'10. Inputs &amp; Calcs'!X$713:X$718)</f>
        <v>2141569.9680908239</v>
      </c>
      <c r="AG41" s="533">
        <f>SUMIF('10. Inputs &amp; Calcs'!$D$713:$D$718,$E$10,'10. Inputs &amp; Calcs'!Y$713:Y$718)</f>
        <v>1807485.0530686553</v>
      </c>
      <c r="AH41" s="533">
        <f>SUMIF('10. Inputs &amp; Calcs'!$D$713:$D$718,$E$10,'10. Inputs &amp; Calcs'!Z$713:Z$718)</f>
        <v>1430172.5482405734</v>
      </c>
      <c r="AI41" s="533">
        <f>SUMIF('10. Inputs &amp; Calcs'!$D$713:$D$718,$E$10,'10. Inputs &amp; Calcs'!AA$713:AA$718)</f>
        <v>1005888.0255958699</v>
      </c>
      <c r="AJ41" s="533">
        <f>SUMIF('10. Inputs &amp; Calcs'!$D$713:$D$718,$E$10,'10. Inputs &amp; Calcs'!AB$713:AB$718)</f>
        <v>0</v>
      </c>
      <c r="AK41" s="533">
        <f>SUMIF('10. Inputs &amp; Calcs'!$D$713:$D$718,$E$10,'10. Inputs &amp; Calcs'!AC$713:AC$718)</f>
        <v>0</v>
      </c>
      <c r="AL41" s="533">
        <f t="shared" si="14"/>
        <v>62713066.874635682</v>
      </c>
    </row>
    <row r="42" spans="2:38" x14ac:dyDescent="0.45">
      <c r="D42" t="str">
        <f>'11. Table - Expenditure Review'!E188</f>
        <v>Overheads</v>
      </c>
      <c r="F42" s="889">
        <f t="shared" si="9"/>
        <v>0</v>
      </c>
      <c r="G42" s="889">
        <f t="shared" si="10"/>
        <v>0</v>
      </c>
      <c r="I42" s="888">
        <f t="shared" si="11"/>
        <v>0</v>
      </c>
      <c r="J42" s="903">
        <v>0</v>
      </c>
      <c r="K42" s="888">
        <f t="shared" si="12"/>
        <v>0</v>
      </c>
      <c r="L42" s="889">
        <f t="shared" si="13"/>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4"/>
        <v>0</v>
      </c>
    </row>
    <row r="43" spans="2:38" x14ac:dyDescent="0.45">
      <c r="B43" t="s">
        <v>1077</v>
      </c>
      <c r="D43" t="str">
        <f>'11. Table - Expenditure Review'!E189</f>
        <v>Staff</v>
      </c>
      <c r="F43" s="889">
        <f t="shared" si="9"/>
        <v>7.0437056759949171E-2</v>
      </c>
      <c r="G43" s="889">
        <f t="shared" si="10"/>
        <v>0.14633404284617002</v>
      </c>
      <c r="I43" s="888">
        <f t="shared" si="11"/>
        <v>13814923.78463598</v>
      </c>
      <c r="J43" s="903">
        <v>13814923.78463598</v>
      </c>
      <c r="K43" s="888">
        <f t="shared" si="12"/>
        <v>0</v>
      </c>
      <c r="L43" s="889">
        <f t="shared" si="13"/>
        <v>0</v>
      </c>
      <c r="N43" s="566">
        <f>SUMIF('10. Inputs &amp; Calcs'!$D$733:$D$738,$E$10,'10. Inputs &amp; Calcs'!F$733:F$738)</f>
        <v>661237</v>
      </c>
      <c r="O43" s="566">
        <f>SUMIF('10. Inputs &amp; Calcs'!$D$733:$D$738,$E$10,'10. Inputs &amp; Calcs'!G$733:G$738)</f>
        <v>725043.85</v>
      </c>
      <c r="P43" s="566">
        <f>SUMIF('10. Inputs &amp; Calcs'!$D$733:$D$738,$E$10,'10. Inputs &amp; Calcs'!H$733:H$738)</f>
        <v>788158.2</v>
      </c>
      <c r="Q43" s="533">
        <f>SUMIF('10. Inputs &amp; Calcs'!$D$733:$D$738,$E$10,'10. Inputs &amp; Calcs'!I$733:I$738)</f>
        <v>796860.78012499982</v>
      </c>
      <c r="R43" s="533">
        <f>SUMIF('10. Inputs &amp; Calcs'!$D$733:$D$738,$E$10,'10. Inputs &amp; Calcs'!J$733:J$738)</f>
        <v>804136.46550874971</v>
      </c>
      <c r="S43" s="533">
        <f>SUMIF('10. Inputs &amp; Calcs'!$D$733:$D$738,$E$10,'10. Inputs &amp; Calcs'!K$733:K$738)</f>
        <v>809801.97242483404</v>
      </c>
      <c r="T43" s="533">
        <f>SUMIF('10. Inputs &amp; Calcs'!$D$733:$D$738,$E$10,'10. Inputs &amp; Calcs'!L$733:L$738)</f>
        <v>813658.17229352368</v>
      </c>
      <c r="U43" s="533">
        <f>SUMIF('10. Inputs &amp; Calcs'!$D$733:$D$738,$E$10,'10. Inputs &amp; Calcs'!M$733:M$738)</f>
        <v>815488.9031811842</v>
      </c>
      <c r="V43" s="533">
        <f>SUMIF('10. Inputs &amp; Calcs'!$D$733:$D$738,$E$10,'10. Inputs &amp; Calcs'!N$733:N$738)</f>
        <v>815059.69849529932</v>
      </c>
      <c r="W43" s="533">
        <f>SUMIF('10. Inputs &amp; Calcs'!$D$733:$D$738,$E$10,'10. Inputs &amp; Calcs'!O$733:O$738)</f>
        <v>812116.42736184387</v>
      </c>
      <c r="X43" s="533">
        <f>SUMIF('10. Inputs &amp; Calcs'!$D$733:$D$738,$E$10,'10. Inputs &amp; Calcs'!P$733:P$738)</f>
        <v>806383.8408157602</v>
      </c>
      <c r="Y43" s="533">
        <f>SUMIF('10. Inputs &amp; Calcs'!$D$733:$D$738,$E$10,'10. Inputs &amp; Calcs'!Q$733:Q$738)</f>
        <v>797564.01755683776</v>
      </c>
      <c r="Z43" s="533">
        <f>SUMIF('10. Inputs &amp; Calcs'!$D$733:$D$738,$E$10,'10. Inputs &amp; Calcs'!R$733:R$738)</f>
        <v>785334.70262096624</v>
      </c>
      <c r="AA43" s="533">
        <f>SUMIF('10. Inputs &amp; Calcs'!$D$733:$D$738,$E$10,'10. Inputs &amp; Calcs'!S$733:S$738)</f>
        <v>769347.53188903932</v>
      </c>
      <c r="AB43" s="533">
        <f>SUMIF('10. Inputs &amp; Calcs'!$D$733:$D$738,$E$10,'10. Inputs &amp; Calcs'!T$733:T$738)</f>
        <v>749226.13490117225</v>
      </c>
      <c r="AC43" s="533">
        <f>SUMIF('10. Inputs &amp; Calcs'!$D$733:$D$738,$E$10,'10. Inputs &amp; Calcs'!U$733:U$738)</f>
        <v>724564.10796067526</v>
      </c>
      <c r="AD43" s="533">
        <f>SUMIF('10. Inputs &amp; Calcs'!$D$733:$D$738,$E$10,'10. Inputs &amp; Calcs'!V$733:V$738)</f>
        <v>694922.84899864765</v>
      </c>
      <c r="AE43" s="533">
        <f>SUMIF('10. Inputs &amp; Calcs'!$D$733:$D$738,$E$10,'10. Inputs &amp; Calcs'!W$733:W$738)</f>
        <v>659829.24512421584</v>
      </c>
      <c r="AF43" s="533">
        <f>SUMIF('10. Inputs &amp; Calcs'!$D$733:$D$738,$E$10,'10. Inputs &amp; Calcs'!X$733:X$738)</f>
        <v>618773.2032053757</v>
      </c>
      <c r="AG43" s="533">
        <f>SUMIF('10. Inputs &amp; Calcs'!$D$733:$D$738,$E$10,'10. Inputs &amp; Calcs'!Y$733:Y$738)</f>
        <v>571205.01320896239</v>
      </c>
      <c r="AH43" s="533">
        <f>SUMIF('10. Inputs &amp; Calcs'!$D$733:$D$738,$E$10,'10. Inputs &amp; Calcs'!Z$733:Z$738)</f>
        <v>516532.53337324737</v>
      </c>
      <c r="AI43" s="533">
        <f>SUMIF('10. Inputs &amp; Calcs'!$D$733:$D$738,$E$10,'10. Inputs &amp; Calcs'!AA$733:AA$738)</f>
        <v>454118.18559064664</v>
      </c>
      <c r="AJ43" s="533">
        <f>SUMIF('10. Inputs &amp; Calcs'!$D$733:$D$738,$E$10,'10. Inputs &amp; Calcs'!AB$733:AB$738)</f>
        <v>0</v>
      </c>
      <c r="AK43" s="533">
        <f>SUMIF('10. Inputs &amp; Calcs'!$D$733:$D$738,$E$10,'10. Inputs &amp; Calcs'!AC$733:AC$738)</f>
        <v>0</v>
      </c>
      <c r="AL43" s="533">
        <f t="shared" si="14"/>
        <v>13814923.78463598</v>
      </c>
    </row>
    <row r="44" spans="2:38" x14ac:dyDescent="0.45">
      <c r="D44" t="str">
        <f>'11. Table - Expenditure Review'!E190</f>
        <v>Office</v>
      </c>
      <c r="F44" s="889">
        <f t="shared" si="9"/>
        <v>0</v>
      </c>
      <c r="G44" s="889">
        <f t="shared" si="10"/>
        <v>0</v>
      </c>
      <c r="I44" s="888">
        <f t="shared" si="11"/>
        <v>0</v>
      </c>
      <c r="J44" s="903">
        <v>0</v>
      </c>
      <c r="K44" s="888">
        <f t="shared" si="12"/>
        <v>0</v>
      </c>
      <c r="L44" s="889">
        <f t="shared" si="13"/>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4"/>
        <v>0</v>
      </c>
    </row>
    <row r="45" spans="2:38" x14ac:dyDescent="0.45">
      <c r="D45">
        <f>'11. Table - Expenditure Review'!E191</f>
        <v>0</v>
      </c>
      <c r="F45" s="889">
        <f t="shared" si="9"/>
        <v>0</v>
      </c>
      <c r="G45" s="889">
        <f t="shared" si="10"/>
        <v>0</v>
      </c>
      <c r="I45" s="888">
        <f t="shared" si="11"/>
        <v>0</v>
      </c>
      <c r="J45" s="903">
        <v>0</v>
      </c>
      <c r="K45" s="888">
        <f t="shared" si="12"/>
        <v>0</v>
      </c>
      <c r="L45" s="889">
        <f t="shared" si="13"/>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4"/>
        <v>0</v>
      </c>
    </row>
    <row r="46" spans="2:38" x14ac:dyDescent="0.45">
      <c r="D46" s="794" t="str">
        <f>D133</f>
        <v>Total Expenditure for Rental Operations</v>
      </c>
      <c r="F46" s="886">
        <f t="shared" si="9"/>
        <v>1</v>
      </c>
      <c r="G46" s="886">
        <f t="shared" si="10"/>
        <v>0.99066068732717516</v>
      </c>
      <c r="I46" s="754">
        <f t="shared" si="11"/>
        <v>93525071.990575552</v>
      </c>
      <c r="J46" s="900">
        <v>93525071.990575552</v>
      </c>
      <c r="K46" s="754">
        <f t="shared" si="12"/>
        <v>0</v>
      </c>
      <c r="L46" s="886">
        <f t="shared" si="13"/>
        <v>0</v>
      </c>
      <c r="N46" s="793">
        <f>SUMIF('10. Inputs &amp; Calcs'!$D$742:$D$747,$E$10,'10. Inputs &amp; Calcs'!F$742:F$747)</f>
        <v>10341549.390000001</v>
      </c>
      <c r="O46" s="793">
        <f>SUMIF('10. Inputs &amp; Calcs'!$D$742:$D$747,$E$10,'10. Inputs &amp; Calcs'!G$742:G$747)</f>
        <v>11126424.74</v>
      </c>
      <c r="P46" s="793">
        <f>SUMIF('10. Inputs &amp; Calcs'!$D$742:$D$747,$E$10,'10. Inputs &amp; Calcs'!H$742:H$747)</f>
        <v>11189539.09</v>
      </c>
      <c r="Q46" s="793">
        <f>SUMIF('10. Inputs &amp; Calcs'!$D$742:$D$747,$E$10,'10. Inputs &amp; Calcs'!I$742:I$747)</f>
        <v>9575626.2512849998</v>
      </c>
      <c r="R46" s="793">
        <f>SUMIF('10. Inputs &amp; Calcs'!$D$742:$D$747,$E$10,'10. Inputs &amp; Calcs'!J$742:J$747)</f>
        <v>7750334.6445640996</v>
      </c>
      <c r="S46" s="793">
        <f>SUMIF('10. Inputs &amp; Calcs'!$D$742:$D$747,$E$10,'10. Inputs &amp; Calcs'!K$742:K$747)</f>
        <v>5695294.6916937632</v>
      </c>
      <c r="T46" s="793">
        <f>SUMIF('10. Inputs &amp; Calcs'!$D$742:$D$747,$E$10,'10. Inputs &amp; Calcs'!L$742:L$747)</f>
        <v>5681508.8345206473</v>
      </c>
      <c r="U46" s="793">
        <f>SUMIF('10. Inputs &amp; Calcs'!$D$742:$D$747,$E$10,'10. Inputs &amp; Calcs'!M$742:M$747)</f>
        <v>5648978.2666161163</v>
      </c>
      <c r="V46" s="793">
        <f>SUMIF('10. Inputs &amp; Calcs'!$D$742:$D$747,$E$10,'10. Inputs &amp; Calcs'!N$742:N$747)</f>
        <v>5595682.7720176624</v>
      </c>
      <c r="W46" s="793">
        <f>SUMIF('10. Inputs &amp; Calcs'!$D$742:$D$747,$E$10,'10. Inputs &amp; Calcs'!O$742:O$747)</f>
        <v>5519436.6137568634</v>
      </c>
      <c r="X46" s="793">
        <f>SUMIF('10. Inputs &amp; Calcs'!$D$742:$D$747,$E$10,'10. Inputs &amp; Calcs'!P$742:P$747)</f>
        <v>5417876.4377020234</v>
      </c>
      <c r="Y46" s="793">
        <f>SUMIF('10. Inputs &amp; Calcs'!$D$742:$D$747,$E$10,'10. Inputs &amp; Calcs'!Q$742:Q$747)</f>
        <v>5288448.3465245375</v>
      </c>
      <c r="Z46" s="793">
        <f>SUMIF('10. Inputs &amp; Calcs'!$D$742:$D$747,$E$10,'10. Inputs &amp; Calcs'!R$742:R$747)</f>
        <v>5128394.0890934793</v>
      </c>
      <c r="AA46" s="793">
        <f>SUMIF('10. Inputs &amp; Calcs'!$D$742:$D$747,$E$10,'10. Inputs &amp; Calcs'!S$742:S$747)</f>
        <v>4934736.3070967672</v>
      </c>
      <c r="AB46" s="793">
        <f>SUMIF('10. Inputs &amp; Calcs'!$D$742:$D$747,$E$10,'10. Inputs &amp; Calcs'!T$742:T$747)</f>
        <v>4704262.7769609103</v>
      </c>
      <c r="AC46" s="793">
        <f>SUMIF('10. Inputs &amp; Calcs'!$D$742:$D$747,$E$10,'10. Inputs &amp; Calcs'!U$742:U$747)</f>
        <v>4433509.5811811397</v>
      </c>
      <c r="AD46" s="793">
        <f>SUMIF('10. Inputs &amp; Calcs'!$D$742:$D$747,$E$10,'10. Inputs &amp; Calcs'!V$742:V$747)</f>
        <v>4118743.1389652886</v>
      </c>
      <c r="AE46" s="793">
        <f>SUMIF('10. Inputs &amp; Calcs'!$D$742:$D$747,$E$10,'10. Inputs &amp; Calcs'!W$742:W$747)</f>
        <v>3755941.0216226205</v>
      </c>
      <c r="AF46" s="793">
        <f>SUMIF('10. Inputs &amp; Calcs'!$D$742:$D$747,$E$10,'10. Inputs &amp; Calcs'!X$742:X$747)</f>
        <v>3340771.4733768906</v>
      </c>
      <c r="AG46" s="793">
        <f>SUMIF('10. Inputs &amp; Calcs'!$D$742:$D$747,$E$10,'10. Inputs &amp; Calcs'!Y$742:Y$747)</f>
        <v>2868571.5532337208</v>
      </c>
      <c r="AH46" s="793">
        <f>SUMIF('10. Inputs &amp; Calcs'!$D$742:$D$747,$E$10,'10. Inputs &amp; Calcs'!Z$742:Z$747)</f>
        <v>2334323.8081678371</v>
      </c>
      <c r="AI46" s="793">
        <f>SUMIF('10. Inputs &amp; Calcs'!$D$742:$D$747,$E$10,'10. Inputs &amp; Calcs'!AA$742:AA$747)</f>
        <v>1732631.3821961747</v>
      </c>
      <c r="AJ46" s="793">
        <f>SUMIF('10. Inputs &amp; Calcs'!$D$742:$D$747,$E$10,'10. Inputs &amp; Calcs'!AB$742:AB$747)</f>
        <v>0</v>
      </c>
      <c r="AK46" s="793">
        <f>SUMIF('10. Inputs &amp; Calcs'!$D$742:$D$747,$E$10,'10. Inputs &amp; Calcs'!AC$742:AC$747)</f>
        <v>0</v>
      </c>
      <c r="AL46" s="793">
        <f t="shared" si="14"/>
        <v>93525071.990575552</v>
      </c>
    </row>
    <row r="47" spans="2:38" x14ac:dyDescent="0.45">
      <c r="D47" t="str">
        <f>'11. Table - Expenditure Review'!E193</f>
        <v>Total Expenditure</v>
      </c>
      <c r="F47" s="884">
        <f t="shared" si="9"/>
        <v>1</v>
      </c>
      <c r="G47" s="884">
        <f t="shared" si="10"/>
        <v>1</v>
      </c>
      <c r="I47" s="535">
        <f t="shared" si="11"/>
        <v>94406766.299476668</v>
      </c>
      <c r="J47" s="901">
        <v>94406766.299476668</v>
      </c>
      <c r="K47" s="535">
        <f t="shared" si="12"/>
        <v>0</v>
      </c>
      <c r="L47" s="884">
        <f t="shared" si="13"/>
        <v>0</v>
      </c>
      <c r="N47" s="567">
        <f>N46+N36</f>
        <v>10341549.390000001</v>
      </c>
      <c r="O47" s="567">
        <f t="shared" ref="O47:AL47" si="15">O46+O36</f>
        <v>11126424.74</v>
      </c>
      <c r="P47" s="567">
        <f t="shared" si="15"/>
        <v>11189539.09</v>
      </c>
      <c r="Q47" s="535">
        <f t="shared" si="15"/>
        <v>9701626.2512849998</v>
      </c>
      <c r="R47" s="535">
        <f>R46+R36</f>
        <v>7883264.6445640996</v>
      </c>
      <c r="S47" s="535">
        <f t="shared" si="15"/>
        <v>5835535.8416937636</v>
      </c>
      <c r="T47" s="535">
        <f t="shared" si="15"/>
        <v>5697948.2137706475</v>
      </c>
      <c r="U47" s="535">
        <f t="shared" si="15"/>
        <v>5666321.8117248667</v>
      </c>
      <c r="V47" s="535">
        <f t="shared" si="15"/>
        <v>5613980.2121073939</v>
      </c>
      <c r="W47" s="535">
        <f t="shared" si="15"/>
        <v>5538740.4130515298</v>
      </c>
      <c r="X47" s="535">
        <f t="shared" si="15"/>
        <v>5438241.9459578963</v>
      </c>
      <c r="Y47" s="535">
        <f t="shared" si="15"/>
        <v>5309933.9577344833</v>
      </c>
      <c r="Z47" s="535">
        <f t="shared" si="15"/>
        <v>5151061.4089199724</v>
      </c>
      <c r="AA47" s="535">
        <f t="shared" si="15"/>
        <v>4958650.3295137174</v>
      </c>
      <c r="AB47" s="535">
        <f t="shared" si="15"/>
        <v>4729492.0706107933</v>
      </c>
      <c r="AC47" s="535">
        <f t="shared" si="15"/>
        <v>4460126.4859817661</v>
      </c>
      <c r="AD47" s="535">
        <f t="shared" si="15"/>
        <v>4146823.9735299493</v>
      </c>
      <c r="AE47" s="535">
        <f t="shared" si="15"/>
        <v>3785566.3020883375</v>
      </c>
      <c r="AF47" s="535">
        <f t="shared" si="15"/>
        <v>3372026.1442682222</v>
      </c>
      <c r="AG47" s="535">
        <f t="shared" si="15"/>
        <v>2901545.2310240753</v>
      </c>
      <c r="AH47" s="535">
        <f t="shared" si="15"/>
        <v>2369111.0382366609</v>
      </c>
      <c r="AI47" s="535">
        <f t="shared" si="15"/>
        <v>1769331.9099187839</v>
      </c>
      <c r="AJ47" s="535">
        <f t="shared" si="15"/>
        <v>77438.113494705685</v>
      </c>
      <c r="AK47" s="535">
        <f t="shared" si="15"/>
        <v>0</v>
      </c>
      <c r="AL47" s="535">
        <f t="shared" si="15"/>
        <v>94406766.299476668</v>
      </c>
    </row>
    <row r="48" spans="2:38" ht="14.65" thickBot="1" x14ac:dyDescent="0.5">
      <c r="D48" t="str">
        <f>'11. Table - Expenditure Review'!E194</f>
        <v>Net Surplus / (Deficit)</v>
      </c>
      <c r="I48" s="554">
        <f t="shared" si="11"/>
        <v>-90893125.858811185</v>
      </c>
      <c r="J48" s="904">
        <v>-90893125.858811185</v>
      </c>
      <c r="K48" s="554">
        <f t="shared" si="12"/>
        <v>0</v>
      </c>
      <c r="L48" s="887">
        <f t="shared" si="13"/>
        <v>0</v>
      </c>
      <c r="N48" s="568">
        <f t="shared" ref="N48:AL48" si="16">N28-N47</f>
        <v>-9354796.4700000007</v>
      </c>
      <c r="O48" s="568">
        <f t="shared" si="16"/>
        <v>-10229237.26</v>
      </c>
      <c r="P48" s="568">
        <f t="shared" si="16"/>
        <v>-10415188.16</v>
      </c>
      <c r="Q48" s="554">
        <f t="shared" si="16"/>
        <v>-9050671.484040793</v>
      </c>
      <c r="R48" s="554">
        <f t="shared" si="16"/>
        <v>-7276268.3573198924</v>
      </c>
      <c r="S48" s="554">
        <f t="shared" si="16"/>
        <v>-5272498.0344495559</v>
      </c>
      <c r="T48" s="554">
        <f t="shared" si="16"/>
        <v>-5562124.3240768462</v>
      </c>
      <c r="U48" s="554">
        <f t="shared" si="16"/>
        <v>-5535382.1975866212</v>
      </c>
      <c r="V48" s="554">
        <f t="shared" si="16"/>
        <v>-5487924.873524704</v>
      </c>
      <c r="W48" s="554">
        <f t="shared" si="16"/>
        <v>-5417569.3500243956</v>
      </c>
      <c r="X48" s="554">
        <f t="shared" si="16"/>
        <v>-5321955.1584863178</v>
      </c>
      <c r="Y48" s="554">
        <f t="shared" si="16"/>
        <v>-5198531.4458184605</v>
      </c>
      <c r="Z48" s="554">
        <f t="shared" si="16"/>
        <v>-5044543.1725595053</v>
      </c>
      <c r="AA48" s="554">
        <f t="shared" si="16"/>
        <v>-4857016.3687088052</v>
      </c>
      <c r="AB48" s="554">
        <f t="shared" si="16"/>
        <v>-4632742.3853614368</v>
      </c>
      <c r="AC48" s="554">
        <f t="shared" si="16"/>
        <v>-4368261.0762879653</v>
      </c>
      <c r="AD48" s="554">
        <f t="shared" si="16"/>
        <v>-4059842.8393917042</v>
      </c>
      <c r="AE48" s="554">
        <f t="shared" si="16"/>
        <v>-3703469.4435056476</v>
      </c>
      <c r="AF48" s="554">
        <f t="shared" si="16"/>
        <v>-3294813.561241088</v>
      </c>
      <c r="AG48" s="554">
        <f t="shared" si="16"/>
        <v>-2829216.9235524968</v>
      </c>
      <c r="AH48" s="554">
        <f t="shared" si="16"/>
        <v>-2301667.0063206377</v>
      </c>
      <c r="AI48" s="554">
        <f t="shared" si="16"/>
        <v>-1706772.1535583164</v>
      </c>
      <c r="AJ48" s="554">
        <f t="shared" si="16"/>
        <v>28144.297004007109</v>
      </c>
      <c r="AK48" s="554">
        <f t="shared" si="16"/>
        <v>0</v>
      </c>
      <c r="AL48" s="768">
        <f t="shared" si="16"/>
        <v>-90893125.858811185</v>
      </c>
    </row>
    <row r="49" spans="4:38" ht="14.65" thickTop="1" x14ac:dyDescent="0.45"/>
    <row r="50" spans="4:38" x14ac:dyDescent="0.45">
      <c r="D50" s="451" t="s">
        <v>1327</v>
      </c>
    </row>
    <row r="51" spans="4:38" x14ac:dyDescent="0.45">
      <c r="D51" t="s">
        <v>1326</v>
      </c>
      <c r="I51" s="753">
        <f>AL51</f>
        <v>-90921270.155815199</v>
      </c>
      <c r="J51" s="899">
        <v>-90921270.155815199</v>
      </c>
      <c r="K51" s="753">
        <f>I51-J51</f>
        <v>0</v>
      </c>
      <c r="L51" s="885">
        <f>IF(J51&lt;&gt;0,K51/J51,0)</f>
        <v>0</v>
      </c>
      <c r="N51" s="566">
        <f>IF(N48&gt;0,0,N48)</f>
        <v>-9354796.4700000007</v>
      </c>
      <c r="O51" s="566">
        <f t="shared" ref="O51:AK51" si="17">IF(O48&gt;0,0,O48)</f>
        <v>-10229237.26</v>
      </c>
      <c r="P51" s="566">
        <f t="shared" si="17"/>
        <v>-10415188.16</v>
      </c>
      <c r="Q51" s="566">
        <f t="shared" si="17"/>
        <v>-9050671.484040793</v>
      </c>
      <c r="R51" s="566">
        <f t="shared" si="17"/>
        <v>-7276268.3573198924</v>
      </c>
      <c r="S51" s="566">
        <f t="shared" si="17"/>
        <v>-5272498.0344495559</v>
      </c>
      <c r="T51" s="566">
        <f t="shared" si="17"/>
        <v>-5562124.3240768462</v>
      </c>
      <c r="U51" s="566">
        <f t="shared" si="17"/>
        <v>-5535382.1975866212</v>
      </c>
      <c r="V51" s="566">
        <f t="shared" si="17"/>
        <v>-5487924.873524704</v>
      </c>
      <c r="W51" s="566">
        <f t="shared" si="17"/>
        <v>-5417569.3500243956</v>
      </c>
      <c r="X51" s="566">
        <f t="shared" si="17"/>
        <v>-5321955.1584863178</v>
      </c>
      <c r="Y51" s="566">
        <f t="shared" si="17"/>
        <v>-5198531.4458184605</v>
      </c>
      <c r="Z51" s="566">
        <f t="shared" si="17"/>
        <v>-5044543.1725595053</v>
      </c>
      <c r="AA51" s="566">
        <f t="shared" si="17"/>
        <v>-4857016.3687088052</v>
      </c>
      <c r="AB51" s="566">
        <f t="shared" si="17"/>
        <v>-4632742.3853614368</v>
      </c>
      <c r="AC51" s="566">
        <f t="shared" si="17"/>
        <v>-4368261.0762879653</v>
      </c>
      <c r="AD51" s="566">
        <f t="shared" si="17"/>
        <v>-4059842.8393917042</v>
      </c>
      <c r="AE51" s="566">
        <f t="shared" si="17"/>
        <v>-3703469.4435056476</v>
      </c>
      <c r="AF51" s="566">
        <f t="shared" si="17"/>
        <v>-3294813.561241088</v>
      </c>
      <c r="AG51" s="566">
        <f t="shared" si="17"/>
        <v>-2829216.9235524968</v>
      </c>
      <c r="AH51" s="566">
        <f t="shared" si="17"/>
        <v>-2301667.0063206377</v>
      </c>
      <c r="AI51" s="566">
        <f t="shared" si="17"/>
        <v>-1706772.1535583164</v>
      </c>
      <c r="AJ51" s="566">
        <f t="shared" si="17"/>
        <v>0</v>
      </c>
      <c r="AK51" s="566">
        <f t="shared" si="17"/>
        <v>0</v>
      </c>
      <c r="AL51" s="566">
        <f>SUM(Q51:AK51)</f>
        <v>-90921270.155815199</v>
      </c>
    </row>
    <row r="52" spans="4:38" x14ac:dyDescent="0.45">
      <c r="D52" t="s">
        <v>1562</v>
      </c>
      <c r="I52" s="888">
        <f>AL52</f>
        <v>0</v>
      </c>
      <c r="J52" s="903">
        <v>0</v>
      </c>
      <c r="K52" s="888">
        <f>I52-J52</f>
        <v>0</v>
      </c>
      <c r="L52" s="889">
        <f>IF(J52&lt;&gt;0,K52/J52,0)</f>
        <v>0</v>
      </c>
      <c r="N52" s="533">
        <f t="shared" ref="N52:AK53" si="18">-N66</f>
        <v>0</v>
      </c>
      <c r="O52" s="533">
        <f t="shared" si="18"/>
        <v>0</v>
      </c>
      <c r="P52" s="533">
        <f t="shared" si="18"/>
        <v>0</v>
      </c>
      <c r="Q52" s="533">
        <f t="shared" si="18"/>
        <v>0</v>
      </c>
      <c r="R52" s="533">
        <f t="shared" si="18"/>
        <v>0</v>
      </c>
      <c r="S52" s="533">
        <f t="shared" si="18"/>
        <v>0</v>
      </c>
      <c r="T52" s="533">
        <f t="shared" si="18"/>
        <v>0</v>
      </c>
      <c r="U52" s="533">
        <f t="shared" si="18"/>
        <v>0</v>
      </c>
      <c r="V52" s="533">
        <f t="shared" si="18"/>
        <v>0</v>
      </c>
      <c r="W52" s="533">
        <f t="shared" si="18"/>
        <v>0</v>
      </c>
      <c r="X52" s="533">
        <f t="shared" si="18"/>
        <v>0</v>
      </c>
      <c r="Y52" s="533">
        <f t="shared" si="18"/>
        <v>0</v>
      </c>
      <c r="Z52" s="533">
        <f t="shared" si="18"/>
        <v>0</v>
      </c>
      <c r="AA52" s="533">
        <f t="shared" si="18"/>
        <v>0</v>
      </c>
      <c r="AB52" s="533">
        <f t="shared" si="18"/>
        <v>0</v>
      </c>
      <c r="AC52" s="533">
        <f t="shared" si="18"/>
        <v>0</v>
      </c>
      <c r="AD52" s="533">
        <f t="shared" si="18"/>
        <v>0</v>
      </c>
      <c r="AE52" s="533">
        <f t="shared" si="18"/>
        <v>0</v>
      </c>
      <c r="AF52" s="533">
        <f t="shared" si="18"/>
        <v>0</v>
      </c>
      <c r="AG52" s="533">
        <f t="shared" si="18"/>
        <v>0</v>
      </c>
      <c r="AH52" s="533">
        <f t="shared" si="18"/>
        <v>0</v>
      </c>
      <c r="AI52" s="533">
        <f t="shared" si="18"/>
        <v>0</v>
      </c>
      <c r="AJ52" s="533">
        <f t="shared" si="18"/>
        <v>0</v>
      </c>
      <c r="AK52" s="533">
        <f t="shared" si="18"/>
        <v>0</v>
      </c>
      <c r="AL52" s="533">
        <f>SUM(Q52:AK52)</f>
        <v>0</v>
      </c>
    </row>
    <row r="53" spans="4:38" x14ac:dyDescent="0.45">
      <c r="D53" t="s">
        <v>1537</v>
      </c>
      <c r="I53" s="754">
        <f>AL53</f>
        <v>-16764882.683887275</v>
      </c>
      <c r="J53" s="1097">
        <v>-16764882.683887275</v>
      </c>
      <c r="K53" s="754">
        <f>I53-J53</f>
        <v>0</v>
      </c>
      <c r="L53" s="886">
        <f>IF(J53&lt;&gt;0,K53/J53,0)</f>
        <v>0</v>
      </c>
      <c r="N53" s="533">
        <f t="shared" si="18"/>
        <v>-5576064</v>
      </c>
      <c r="O53" s="533">
        <f t="shared" si="18"/>
        <v>-1243913</v>
      </c>
      <c r="P53" s="533">
        <f t="shared" si="18"/>
        <v>-313420</v>
      </c>
      <c r="Q53" s="533">
        <f t="shared" si="18"/>
        <v>-210409.8845669291</v>
      </c>
      <c r="R53" s="533">
        <f t="shared" si="18"/>
        <v>-210409.8845669291</v>
      </c>
      <c r="S53" s="533">
        <f t="shared" si="18"/>
        <v>-210409.8845669291</v>
      </c>
      <c r="T53" s="533">
        <f t="shared" si="18"/>
        <v>-23378.876062992123</v>
      </c>
      <c r="U53" s="533">
        <f t="shared" si="18"/>
        <v>-23378.876062992123</v>
      </c>
      <c r="V53" s="533">
        <f t="shared" si="18"/>
        <v>-23378.876062992123</v>
      </c>
      <c r="W53" s="533">
        <f t="shared" si="18"/>
        <v>-23378.876062992123</v>
      </c>
      <c r="X53" s="533">
        <f t="shared" si="18"/>
        <v>-23378.876062992123</v>
      </c>
      <c r="Y53" s="533">
        <f t="shared" si="18"/>
        <v>-23378.876062992123</v>
      </c>
      <c r="Z53" s="533">
        <f t="shared" si="18"/>
        <v>-23378.876062992123</v>
      </c>
      <c r="AA53" s="533">
        <f t="shared" si="18"/>
        <v>-23378.876062992123</v>
      </c>
      <c r="AB53" s="533">
        <f t="shared" si="18"/>
        <v>-23378.876062992123</v>
      </c>
      <c r="AC53" s="533">
        <f t="shared" si="18"/>
        <v>-23378.876062992123</v>
      </c>
      <c r="AD53" s="533">
        <f t="shared" si="18"/>
        <v>-23378.876062992123</v>
      </c>
      <c r="AE53" s="533">
        <f t="shared" si="18"/>
        <v>-23378.876062992123</v>
      </c>
      <c r="AF53" s="533">
        <f t="shared" si="18"/>
        <v>-23378.876062992123</v>
      </c>
      <c r="AG53" s="533">
        <f t="shared" si="18"/>
        <v>-23378.876062992123</v>
      </c>
      <c r="AH53" s="533">
        <f t="shared" si="18"/>
        <v>-23378.876062992123</v>
      </c>
      <c r="AI53" s="533">
        <f t="shared" si="18"/>
        <v>-23378.876062992123</v>
      </c>
      <c r="AJ53" s="533">
        <f t="shared" si="18"/>
        <v>-15759591.013178613</v>
      </c>
      <c r="AK53" s="533">
        <f t="shared" si="18"/>
        <v>0</v>
      </c>
      <c r="AL53" s="533">
        <f>SUM(Q53:AK53)</f>
        <v>-16764882.683887275</v>
      </c>
    </row>
    <row r="54" spans="4:38" ht="14.65" thickBot="1" x14ac:dyDescent="0.5">
      <c r="D54" t="s">
        <v>1331</v>
      </c>
      <c r="I54" s="554">
        <f>AL54</f>
        <v>-107686152.83970247</v>
      </c>
      <c r="J54" s="904">
        <f>SUM(J51:J53)</f>
        <v>-107686152.83970247</v>
      </c>
      <c r="K54" s="554">
        <f>I54-J54</f>
        <v>0</v>
      </c>
      <c r="L54" s="887">
        <f>IF(J54&lt;&gt;0,K54/J54,0)</f>
        <v>0</v>
      </c>
      <c r="N54" s="535">
        <f>SUM(N51:N53)</f>
        <v>-14930860.470000001</v>
      </c>
      <c r="O54" s="535">
        <f t="shared" ref="O54:AL54" si="19">SUM(O51:O53)</f>
        <v>-11473150.26</v>
      </c>
      <c r="P54" s="535">
        <f t="shared" si="19"/>
        <v>-10728608.16</v>
      </c>
      <c r="Q54" s="535">
        <f t="shared" si="19"/>
        <v>-9261081.3686077222</v>
      </c>
      <c r="R54" s="535">
        <f t="shared" si="19"/>
        <v>-7486678.2418868216</v>
      </c>
      <c r="S54" s="535">
        <f t="shared" si="19"/>
        <v>-5482907.9190164851</v>
      </c>
      <c r="T54" s="535">
        <f t="shared" si="19"/>
        <v>-5585503.2001398383</v>
      </c>
      <c r="U54" s="535">
        <f t="shared" si="19"/>
        <v>-5558761.0736496132</v>
      </c>
      <c r="V54" s="535">
        <f t="shared" si="19"/>
        <v>-5511303.749587696</v>
      </c>
      <c r="W54" s="535">
        <f t="shared" si="19"/>
        <v>-5440948.2260873877</v>
      </c>
      <c r="X54" s="535">
        <f t="shared" si="19"/>
        <v>-5345334.0345493099</v>
      </c>
      <c r="Y54" s="535">
        <f t="shared" si="19"/>
        <v>-5221910.3218814526</v>
      </c>
      <c r="Z54" s="535">
        <f t="shared" si="19"/>
        <v>-5067922.0486224974</v>
      </c>
      <c r="AA54" s="535">
        <f t="shared" si="19"/>
        <v>-4880395.2447717972</v>
      </c>
      <c r="AB54" s="535">
        <f t="shared" si="19"/>
        <v>-4656121.2614244288</v>
      </c>
      <c r="AC54" s="535">
        <f t="shared" si="19"/>
        <v>-4391639.9523509573</v>
      </c>
      <c r="AD54" s="535">
        <f t="shared" si="19"/>
        <v>-4083221.7154546962</v>
      </c>
      <c r="AE54" s="535">
        <f t="shared" si="19"/>
        <v>-3726848.3195686396</v>
      </c>
      <c r="AF54" s="535">
        <f t="shared" si="19"/>
        <v>-3318192.43730408</v>
      </c>
      <c r="AG54" s="535">
        <f t="shared" si="19"/>
        <v>-2852595.7996154889</v>
      </c>
      <c r="AH54" s="535">
        <f t="shared" si="19"/>
        <v>-2325045.8823836297</v>
      </c>
      <c r="AI54" s="535">
        <f t="shared" si="19"/>
        <v>-1730151.0296213084</v>
      </c>
      <c r="AJ54" s="535">
        <f t="shared" si="19"/>
        <v>-15759591.013178613</v>
      </c>
      <c r="AK54" s="535">
        <f t="shared" si="19"/>
        <v>0</v>
      </c>
      <c r="AL54" s="535">
        <f t="shared" si="19"/>
        <v>-107686152.83970247</v>
      </c>
    </row>
    <row r="55" spans="4:38"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38"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38" x14ac:dyDescent="0.45">
      <c r="D57" t="s">
        <v>1038</v>
      </c>
      <c r="I57" s="748">
        <f>AL57</f>
        <v>-27275498.779662121</v>
      </c>
      <c r="J57" s="899">
        <v>-27275498.779662121</v>
      </c>
      <c r="K57" s="753">
        <f>I57-J57</f>
        <v>0</v>
      </c>
      <c r="N57" s="552"/>
      <c r="O57" s="552"/>
      <c r="P57" s="552"/>
      <c r="Q57" s="552"/>
      <c r="R57" s="552"/>
      <c r="S57" s="552">
        <f>S51</f>
        <v>-5272498.0344495559</v>
      </c>
      <c r="T57" s="552">
        <f>T51</f>
        <v>-5562124.3240768462</v>
      </c>
      <c r="U57" s="552">
        <f>U51</f>
        <v>-5535382.1975866212</v>
      </c>
      <c r="V57" s="552">
        <f>V51</f>
        <v>-5487924.873524704</v>
      </c>
      <c r="W57" s="552">
        <f>W51</f>
        <v>-5417569.3500243956</v>
      </c>
      <c r="X57" s="552"/>
      <c r="Y57" s="552"/>
      <c r="Z57" s="552"/>
      <c r="AA57" s="552"/>
      <c r="AB57" s="552"/>
      <c r="AC57" s="552"/>
      <c r="AD57" s="552"/>
      <c r="AE57" s="552"/>
      <c r="AF57" s="552"/>
      <c r="AG57" s="552"/>
      <c r="AH57" s="552"/>
      <c r="AI57" s="552"/>
      <c r="AJ57" s="552"/>
      <c r="AK57" s="552"/>
      <c r="AL57" s="533">
        <f>SUM(Q57:AK57)</f>
        <v>-27275498.779662121</v>
      </c>
    </row>
    <row r="58" spans="4:38" x14ac:dyDescent="0.45">
      <c r="D58" t="s">
        <v>233</v>
      </c>
      <c r="I58" s="750">
        <f>AL58</f>
        <v>-303925.3888188976</v>
      </c>
      <c r="J58" s="1097">
        <v>-303925.3888188976</v>
      </c>
      <c r="K58" s="754">
        <f>I58-J58</f>
        <v>0</v>
      </c>
      <c r="N58" s="552"/>
      <c r="O58" s="552"/>
      <c r="P58" s="552"/>
      <c r="Q58" s="552"/>
      <c r="R58" s="552"/>
      <c r="S58" s="552">
        <f>S53</f>
        <v>-210409.8845669291</v>
      </c>
      <c r="T58" s="552">
        <f>T53</f>
        <v>-23378.876062992123</v>
      </c>
      <c r="U58" s="552">
        <f>U53</f>
        <v>-23378.876062992123</v>
      </c>
      <c r="V58" s="552">
        <f>V53</f>
        <v>-23378.876062992123</v>
      </c>
      <c r="W58" s="552">
        <f>W53</f>
        <v>-23378.876062992123</v>
      </c>
      <c r="X58" s="552"/>
      <c r="Y58" s="552"/>
      <c r="Z58" s="552"/>
      <c r="AA58" s="552"/>
      <c r="AB58" s="552"/>
      <c r="AC58" s="552"/>
      <c r="AD58" s="552"/>
      <c r="AE58" s="552"/>
      <c r="AF58" s="552"/>
      <c r="AG58" s="552"/>
      <c r="AH58" s="552"/>
      <c r="AI58" s="552"/>
      <c r="AJ58" s="552"/>
      <c r="AK58" s="552"/>
      <c r="AL58" s="533">
        <f>SUM(Q58:AK58)</f>
        <v>-303925.3888188976</v>
      </c>
    </row>
    <row r="59" spans="4:38" ht="14.65" thickBot="1" x14ac:dyDescent="0.5">
      <c r="I59" s="554">
        <f>SUM(S59:W59)</f>
        <v>-27579424.168481018</v>
      </c>
      <c r="J59" s="904">
        <f>SUM(J57:J58)</f>
        <v>-27579424.168481018</v>
      </c>
      <c r="K59" s="554">
        <f>I59-J59</f>
        <v>0</v>
      </c>
      <c r="N59" s="552"/>
      <c r="O59" s="552"/>
      <c r="P59" s="552"/>
      <c r="Q59" s="552"/>
      <c r="R59" s="552"/>
      <c r="S59" s="535">
        <f>SUM(S57:S58)</f>
        <v>-5482907.9190164851</v>
      </c>
      <c r="T59" s="535">
        <f>SUM(T57:T58)</f>
        <v>-5585503.2001398383</v>
      </c>
      <c r="U59" s="535">
        <f>SUM(U57:U58)</f>
        <v>-5558761.0736496132</v>
      </c>
      <c r="V59" s="535">
        <f>SUM(V57:V58)</f>
        <v>-5511303.749587696</v>
      </c>
      <c r="W59" s="535">
        <f>SUM(W57:W58)</f>
        <v>-5440948.2260873877</v>
      </c>
      <c r="X59" s="552"/>
      <c r="Y59" s="552"/>
      <c r="Z59" s="552"/>
      <c r="AA59" s="552"/>
      <c r="AB59" s="552"/>
      <c r="AC59" s="552"/>
      <c r="AD59" s="552"/>
      <c r="AE59" s="552"/>
      <c r="AF59" s="552"/>
      <c r="AG59" s="552"/>
      <c r="AH59" s="552"/>
      <c r="AI59" s="552"/>
      <c r="AJ59" s="552"/>
      <c r="AK59" s="552"/>
      <c r="AL59" s="535">
        <f>SUM(Q59:AK59)</f>
        <v>-27579424.168481018</v>
      </c>
    </row>
    <row r="60" spans="4:38"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38"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38" x14ac:dyDescent="0.45">
      <c r="D62" t="s">
        <v>1319</v>
      </c>
      <c r="N62" s="533">
        <f t="shared" ref="N62:AK62" si="20">-N20</f>
        <v>1152149.05</v>
      </c>
      <c r="O62" s="533">
        <f t="shared" si="20"/>
        <v>611049.26</v>
      </c>
      <c r="P62" s="533">
        <f t="shared" si="20"/>
        <v>840292.22</v>
      </c>
      <c r="Q62" s="533">
        <f t="shared" si="20"/>
        <v>911305.61696631857</v>
      </c>
      <c r="R62" s="533">
        <f t="shared" si="20"/>
        <v>911305.61696631857</v>
      </c>
      <c r="S62" s="533">
        <f t="shared" si="20"/>
        <v>911305.61696631857</v>
      </c>
      <c r="T62" s="533">
        <f t="shared" si="20"/>
        <v>101256.17966292429</v>
      </c>
      <c r="U62" s="533">
        <f t="shared" si="20"/>
        <v>101256.17966292429</v>
      </c>
      <c r="V62" s="533">
        <f t="shared" si="20"/>
        <v>101256.17966292429</v>
      </c>
      <c r="W62" s="533">
        <f t="shared" si="20"/>
        <v>101256.17966292429</v>
      </c>
      <c r="X62" s="533">
        <f t="shared" si="20"/>
        <v>101256.17966292429</v>
      </c>
      <c r="Y62" s="533">
        <f t="shared" si="20"/>
        <v>101256.17966292429</v>
      </c>
      <c r="Z62" s="533">
        <f t="shared" si="20"/>
        <v>101256.17966292429</v>
      </c>
      <c r="AA62" s="533">
        <f t="shared" si="20"/>
        <v>101256.17966292429</v>
      </c>
      <c r="AB62" s="533">
        <f t="shared" si="20"/>
        <v>101256.17966292429</v>
      </c>
      <c r="AC62" s="533">
        <f t="shared" si="20"/>
        <v>101256.17966292429</v>
      </c>
      <c r="AD62" s="533">
        <f t="shared" si="20"/>
        <v>101256.17966292429</v>
      </c>
      <c r="AE62" s="533">
        <f t="shared" si="20"/>
        <v>101256.17966292429</v>
      </c>
      <c r="AF62" s="533">
        <f t="shared" si="20"/>
        <v>101256.17966292429</v>
      </c>
      <c r="AG62" s="533">
        <f t="shared" si="20"/>
        <v>101256.17966292429</v>
      </c>
      <c r="AH62" s="533">
        <f t="shared" si="20"/>
        <v>101256.17966292429</v>
      </c>
      <c r="AI62" s="533">
        <f t="shared" si="20"/>
        <v>101256.17966292429</v>
      </c>
      <c r="AJ62" s="533">
        <f t="shared" si="20"/>
        <v>202512.35932584858</v>
      </c>
      <c r="AK62" s="533">
        <f t="shared" si="20"/>
        <v>0</v>
      </c>
      <c r="AL62" s="533">
        <f>SUM(Q62:AK62)</f>
        <v>4556528.0848315926</v>
      </c>
    </row>
    <row r="63" spans="4:38" x14ac:dyDescent="0.45">
      <c r="D63" t="s">
        <v>1320</v>
      </c>
      <c r="N63" s="533">
        <f t="shared" ref="N63:AK63" si="21">-N24</f>
        <v>638439.50999999989</v>
      </c>
      <c r="O63" s="533">
        <f t="shared" si="21"/>
        <v>248065.8</v>
      </c>
      <c r="P63" s="533">
        <f t="shared" si="21"/>
        <v>123074.00000000003</v>
      </c>
      <c r="Q63" s="533">
        <f t="shared" si="21"/>
        <v>98459.200000000012</v>
      </c>
      <c r="R63" s="533">
        <f t="shared" si="21"/>
        <v>73844.400000000023</v>
      </c>
      <c r="S63" s="533">
        <f t="shared" si="21"/>
        <v>49229.600000000006</v>
      </c>
      <c r="T63" s="533">
        <f t="shared" si="21"/>
        <v>46494.622222222228</v>
      </c>
      <c r="U63" s="533">
        <f t="shared" si="21"/>
        <v>43759.64444444445</v>
      </c>
      <c r="V63" s="533">
        <f t="shared" si="21"/>
        <v>41024.666666666686</v>
      </c>
      <c r="W63" s="533">
        <f t="shared" si="21"/>
        <v>38289.688888888893</v>
      </c>
      <c r="X63" s="533">
        <f t="shared" si="21"/>
        <v>35554.711111111115</v>
      </c>
      <c r="Y63" s="533">
        <f t="shared" si="21"/>
        <v>32819.733333333344</v>
      </c>
      <c r="Z63" s="533">
        <f t="shared" si="21"/>
        <v>30084.755555555559</v>
      </c>
      <c r="AA63" s="533">
        <f t="shared" si="21"/>
        <v>27349.777777777788</v>
      </c>
      <c r="AB63" s="533">
        <f t="shared" si="21"/>
        <v>24614.800000000003</v>
      </c>
      <c r="AC63" s="533">
        <f t="shared" si="21"/>
        <v>21879.822222222225</v>
      </c>
      <c r="AD63" s="533">
        <f t="shared" si="21"/>
        <v>19144.844444444447</v>
      </c>
      <c r="AE63" s="533">
        <f t="shared" si="21"/>
        <v>16409.866666666672</v>
      </c>
      <c r="AF63" s="533">
        <f t="shared" si="21"/>
        <v>13674.888888888894</v>
      </c>
      <c r="AG63" s="533">
        <f t="shared" si="21"/>
        <v>10939.911111111112</v>
      </c>
      <c r="AH63" s="533">
        <f t="shared" si="21"/>
        <v>8204.9333333333361</v>
      </c>
      <c r="AI63" s="533">
        <f t="shared" si="21"/>
        <v>5469.9555555555562</v>
      </c>
      <c r="AJ63" s="533">
        <f t="shared" si="21"/>
        <v>0</v>
      </c>
      <c r="AK63" s="533">
        <f t="shared" si="21"/>
        <v>0</v>
      </c>
      <c r="AL63" s="533">
        <f>SUM(Q63:AK63)</f>
        <v>637249.82222222246</v>
      </c>
    </row>
    <row r="64" spans="4:38" x14ac:dyDescent="0.45">
      <c r="N64" s="535">
        <f>SUM(N62:N63)</f>
        <v>1790588.56</v>
      </c>
      <c r="O64" s="535">
        <f t="shared" ref="O64:AL64" si="22">SUM(O62:O63)</f>
        <v>859115.06</v>
      </c>
      <c r="P64" s="535">
        <f t="shared" si="22"/>
        <v>963366.22</v>
      </c>
      <c r="Q64" s="535">
        <f t="shared" si="22"/>
        <v>1009764.8169663185</v>
      </c>
      <c r="R64" s="535">
        <f t="shared" si="22"/>
        <v>985150.0169663186</v>
      </c>
      <c r="S64" s="535">
        <f t="shared" si="22"/>
        <v>960535.21696631855</v>
      </c>
      <c r="T64" s="535">
        <f t="shared" si="22"/>
        <v>147750.80188514653</v>
      </c>
      <c r="U64" s="535">
        <f t="shared" si="22"/>
        <v>145015.82410736874</v>
      </c>
      <c r="V64" s="535">
        <f t="shared" si="22"/>
        <v>142280.84632959098</v>
      </c>
      <c r="W64" s="535">
        <f t="shared" si="22"/>
        <v>139545.86855181318</v>
      </c>
      <c r="X64" s="535">
        <f t="shared" si="22"/>
        <v>136810.89077403542</v>
      </c>
      <c r="Y64" s="535">
        <f t="shared" si="22"/>
        <v>134075.91299625763</v>
      </c>
      <c r="Z64" s="535">
        <f t="shared" si="22"/>
        <v>131340.93521847983</v>
      </c>
      <c r="AA64" s="535">
        <f t="shared" si="22"/>
        <v>128605.95744070207</v>
      </c>
      <c r="AB64" s="535">
        <f t="shared" si="22"/>
        <v>125870.97966292429</v>
      </c>
      <c r="AC64" s="535">
        <f t="shared" si="22"/>
        <v>123136.00188514651</v>
      </c>
      <c r="AD64" s="535">
        <f t="shared" si="22"/>
        <v>120401.02410736874</v>
      </c>
      <c r="AE64" s="535">
        <f t="shared" si="22"/>
        <v>117666.04632959096</v>
      </c>
      <c r="AF64" s="535">
        <f t="shared" si="22"/>
        <v>114931.06855181318</v>
      </c>
      <c r="AG64" s="535">
        <f t="shared" si="22"/>
        <v>112196.0907740354</v>
      </c>
      <c r="AH64" s="535">
        <f t="shared" si="22"/>
        <v>109461.11299625762</v>
      </c>
      <c r="AI64" s="535">
        <f t="shared" si="22"/>
        <v>106726.13521847985</v>
      </c>
      <c r="AJ64" s="535">
        <f t="shared" si="22"/>
        <v>202512.35932584858</v>
      </c>
      <c r="AK64" s="535">
        <f t="shared" si="22"/>
        <v>0</v>
      </c>
      <c r="AL64" s="535">
        <f t="shared" si="22"/>
        <v>5193777.9070538152</v>
      </c>
    </row>
    <row r="65" spans="2:46" x14ac:dyDescent="0.45">
      <c r="N65" s="533"/>
    </row>
    <row r="66" spans="2:46" x14ac:dyDescent="0.45">
      <c r="I66" s="533"/>
      <c r="J66" s="801"/>
      <c r="K66" s="533"/>
      <c r="L66" s="813"/>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0.93167646683033734</v>
      </c>
      <c r="G67" s="852">
        <f>AL67/AL$28</f>
        <v>4.7713711653182225</v>
      </c>
      <c r="I67" s="533">
        <f>AL67</f>
        <v>16764882.683887275</v>
      </c>
      <c r="J67" s="898">
        <f>-J53</f>
        <v>16764882.683887275</v>
      </c>
      <c r="K67" s="533">
        <f>I67-J67</f>
        <v>0</v>
      </c>
      <c r="L67" s="813">
        <f>IF(J67&lt;&gt;0,K67/J67,0)</f>
        <v>0</v>
      </c>
      <c r="N67" s="566">
        <f>SUMIF('10. Inputs &amp; Calcs'!$D$143:$D$148,$E$10,'10. Inputs &amp; Calcs'!F$143:F$148)</f>
        <v>5576064</v>
      </c>
      <c r="O67" s="566">
        <f>SUMIF('10. Inputs &amp; Calcs'!$D$143:$D$148,$E$10,'10. Inputs &amp; Calcs'!G$143:G$148)</f>
        <v>1243913</v>
      </c>
      <c r="P67" s="566">
        <f>SUMIF('10. Inputs &amp; Calcs'!$D$143:$D$148,$E$10,'10. Inputs &amp; Calcs'!H$143:H$148)</f>
        <v>313420</v>
      </c>
      <c r="Q67" s="997">
        <f>-SUMIF('10. Inputs &amp; Calcs'!$D$279:$D$284,$E$10,'10. Inputs &amp; Calcs'!I$279:I$284)</f>
        <v>210409.8845669291</v>
      </c>
      <c r="R67" s="997">
        <f>-SUMIF('10. Inputs &amp; Calcs'!$D$279:$D$284,$E$10,'10. Inputs &amp; Calcs'!J$279:J$284)</f>
        <v>210409.8845669291</v>
      </c>
      <c r="S67" s="997">
        <f>-SUMIF('10. Inputs &amp; Calcs'!$D$279:$D$284,$E$10,'10. Inputs &amp; Calcs'!K$279:K$284)</f>
        <v>210409.8845669291</v>
      </c>
      <c r="T67" s="533">
        <f>-SUMIF('10. Inputs &amp; Calcs'!$D$279:$D$284,$E$10,'10. Inputs &amp; Calcs'!L$279:L$284)</f>
        <v>23378.876062992123</v>
      </c>
      <c r="U67" s="533">
        <f>-SUMIF('10. Inputs &amp; Calcs'!$D$279:$D$284,$E$10,'10. Inputs &amp; Calcs'!M$279:M$284)</f>
        <v>23378.876062992123</v>
      </c>
      <c r="V67" s="533">
        <f>-SUMIF('10. Inputs &amp; Calcs'!$D$279:$D$284,$E$10,'10. Inputs &amp; Calcs'!N$279:N$284)</f>
        <v>23378.876062992123</v>
      </c>
      <c r="W67" s="533">
        <f>-SUMIF('10. Inputs &amp; Calcs'!$D$279:$D$284,$E$10,'10. Inputs &amp; Calcs'!O$279:O$284)</f>
        <v>23378.876062992123</v>
      </c>
      <c r="X67" s="533">
        <f>-SUMIF('10. Inputs &amp; Calcs'!$D$279:$D$284,$E$10,'10. Inputs &amp; Calcs'!P$279:P$284)</f>
        <v>23378.876062992123</v>
      </c>
      <c r="Y67" s="533">
        <f>-SUMIF('10. Inputs &amp; Calcs'!$D$279:$D$284,$E$10,'10. Inputs &amp; Calcs'!Q$279:Q$284)</f>
        <v>23378.876062992123</v>
      </c>
      <c r="Z67" s="533">
        <f>-SUMIF('10. Inputs &amp; Calcs'!$D$279:$D$284,$E$10,'10. Inputs &amp; Calcs'!R$279:R$284)</f>
        <v>23378.876062992123</v>
      </c>
      <c r="AA67" s="533">
        <f>-SUMIF('10. Inputs &amp; Calcs'!$D$279:$D$284,$E$10,'10. Inputs &amp; Calcs'!S$279:S$284)</f>
        <v>23378.876062992123</v>
      </c>
      <c r="AB67" s="533">
        <f>-SUMIF('10. Inputs &amp; Calcs'!$D$279:$D$284,$E$10,'10. Inputs &amp; Calcs'!T$279:T$284)</f>
        <v>23378.876062992123</v>
      </c>
      <c r="AC67" s="533">
        <f>-SUMIF('10. Inputs &amp; Calcs'!$D$279:$D$284,$E$10,'10. Inputs &amp; Calcs'!U$279:U$284)</f>
        <v>23378.876062992123</v>
      </c>
      <c r="AD67" s="533">
        <f>-SUMIF('10. Inputs &amp; Calcs'!$D$279:$D$284,$E$10,'10. Inputs &amp; Calcs'!V$279:V$284)</f>
        <v>23378.876062992123</v>
      </c>
      <c r="AE67" s="533">
        <f>-SUMIF('10. Inputs &amp; Calcs'!$D$279:$D$284,$E$10,'10. Inputs &amp; Calcs'!W$279:W$284)</f>
        <v>23378.876062992123</v>
      </c>
      <c r="AF67" s="533">
        <f>-SUMIF('10. Inputs &amp; Calcs'!$D$279:$D$284,$E$10,'10. Inputs &amp; Calcs'!X$279:X$284)</f>
        <v>23378.876062992123</v>
      </c>
      <c r="AG67" s="533">
        <f>-SUMIF('10. Inputs &amp; Calcs'!$D$279:$D$284,$E$10,'10. Inputs &amp; Calcs'!Y$279:Y$284)</f>
        <v>23378.876062992123</v>
      </c>
      <c r="AH67" s="533">
        <f>-SUMIF('10. Inputs &amp; Calcs'!$D$279:$D$284,$E$10,'10. Inputs &amp; Calcs'!Z$279:Z$284)</f>
        <v>23378.876062992123</v>
      </c>
      <c r="AI67" s="533">
        <f>-SUMIF('10. Inputs &amp; Calcs'!$D$279:$D$284,$E$10,'10. Inputs &amp; Calcs'!AA$279:AA$284)</f>
        <v>23378.876062992123</v>
      </c>
      <c r="AJ67" s="533">
        <f>-SUMIF('10. Inputs &amp; Calcs'!$D$279:$D$284,$E$10,'10. Inputs &amp; Calcs'!AB$279:AB$284)</f>
        <v>15759591.013178613</v>
      </c>
      <c r="AK67" s="533">
        <f>-SUMIF('10. Inputs &amp; Calcs'!$D$279:$D$284,$E$10,'10. Inputs &amp; Calcs'!AC$279:AC$284)</f>
        <v>0</v>
      </c>
      <c r="AL67" s="533">
        <f>SUM(Q67:AK67)</f>
        <v>16764882.683887275</v>
      </c>
    </row>
    <row r="68" spans="2:46" x14ac:dyDescent="0.45">
      <c r="N68" s="533"/>
    </row>
    <row r="69" spans="2:46" x14ac:dyDescent="0.45">
      <c r="N69" s="533"/>
    </row>
    <row r="71" spans="2:46" x14ac:dyDescent="0.45">
      <c r="D71" t="s">
        <v>1038</v>
      </c>
      <c r="N71" s="533">
        <f>SUMIF('10. Inputs &amp; Calcs'!$D$763:$D$768,$E$10,'10. Inputs &amp; Calcs'!F$763:F$768)</f>
        <v>2523803000</v>
      </c>
      <c r="O71" s="533">
        <f>SUMIF('10. Inputs &amp; Calcs'!$D$763:$D$768,$E$10,'10. Inputs &amp; Calcs'!G$763:G$768)</f>
        <v>2392718000</v>
      </c>
      <c r="P71" s="533">
        <f>SUMIF('10. Inputs &amp; Calcs'!$D$763:$D$768,$E$10,'10. Inputs &amp; Calcs'!H$763:H$768)</f>
        <v>2462372000</v>
      </c>
      <c r="Q71" s="801">
        <f>SUMIF('10. Inputs &amp; Calcs'!$D$763:$D$768,$E$10,'10. Inputs &amp; Calcs'!I$763:I$768)</f>
        <v>2462372000</v>
      </c>
      <c r="R71" s="801">
        <f>SUMIF('10. Inputs &amp; Calcs'!$D$763:$D$768,$E$10,'10. Inputs &amp; Calcs'!J$763:J$768)</f>
        <v>2462372000</v>
      </c>
      <c r="S71" s="801">
        <f>SUMIF('10. Inputs &amp; Calcs'!$D$763:$D$768,$E$10,'10. Inputs &amp; Calcs'!K$763:K$768)</f>
        <v>2462372000</v>
      </c>
      <c r="T71" s="801">
        <f>SUMIF('10. Inputs &amp; Calcs'!$D$763:$D$768,$E$10,'10. Inputs &amp; Calcs'!L$763:L$768)</f>
        <v>2462372000</v>
      </c>
      <c r="U71" s="801">
        <f>SUMIF('10. Inputs &amp; Calcs'!$D$763:$D$768,$E$10,'10. Inputs &amp; Calcs'!M$763:M$768)</f>
        <v>2462372000</v>
      </c>
      <c r="V71" s="801">
        <f>SUMIF('10. Inputs &amp; Calcs'!$D$763:$D$768,$E$10,'10. Inputs &amp; Calcs'!N$763:N$768)</f>
        <v>2462372000</v>
      </c>
      <c r="W71" s="801">
        <f>SUMIF('10. Inputs &amp; Calcs'!$D$763:$D$768,$E$10,'10. Inputs &amp; Calcs'!O$763:O$768)</f>
        <v>2462372000</v>
      </c>
      <c r="X71" s="801">
        <f>SUMIF('10. Inputs &amp; Calcs'!$D$763:$D$768,$E$10,'10. Inputs &amp; Calcs'!P$763:P$768)</f>
        <v>2462372000</v>
      </c>
      <c r="Y71" s="801">
        <f>SUMIF('10. Inputs &amp; Calcs'!$D$763:$D$768,$E$10,'10. Inputs &amp; Calcs'!Q$763:Q$768)</f>
        <v>2462372000</v>
      </c>
      <c r="Z71" s="801">
        <f>SUMIF('10. Inputs &amp; Calcs'!$D$763:$D$768,$E$10,'10. Inputs &amp; Calcs'!R$763:R$768)</f>
        <v>2462372000</v>
      </c>
      <c r="AA71" s="801">
        <f>SUMIF('10. Inputs &amp; Calcs'!$D$763:$D$768,$E$10,'10. Inputs &amp; Calcs'!S$763:S$768)</f>
        <v>2462372000</v>
      </c>
      <c r="AB71" s="801">
        <f>SUMIF('10. Inputs &amp; Calcs'!$D$763:$D$768,$E$10,'10. Inputs &amp; Calcs'!T$763:T$768)</f>
        <v>2462372000</v>
      </c>
      <c r="AC71" s="801">
        <f>SUMIF('10. Inputs &amp; Calcs'!$D$763:$D$768,$E$10,'10. Inputs &amp; Calcs'!U$763:U$768)</f>
        <v>2462372000</v>
      </c>
      <c r="AD71" s="801">
        <f>SUMIF('10. Inputs &amp; Calcs'!$D$763:$D$768,$E$10,'10. Inputs &amp; Calcs'!V$763:V$768)</f>
        <v>2462372000</v>
      </c>
      <c r="AE71" s="801">
        <f>SUMIF('10. Inputs &amp; Calcs'!$D$763:$D$768,$E$10,'10. Inputs &amp; Calcs'!W$763:W$768)</f>
        <v>2462372000</v>
      </c>
      <c r="AF71" s="533">
        <f>SUMIF('10. Inputs &amp; Calcs'!$D$763:$D$768,$E$10,'10. Inputs &amp; Calcs'!X$763:X$768)</f>
        <v>2462372000</v>
      </c>
      <c r="AG71" s="533">
        <f>SUMIF('10. Inputs &amp; Calcs'!$D$763:$D$768,$E$10,'10. Inputs &amp; Calcs'!Y$763:Y$768)</f>
        <v>2462372000</v>
      </c>
      <c r="AH71" s="533">
        <f>SUMIF('10. Inputs &amp; Calcs'!$D$763:$D$768,$E$10,'10. Inputs &amp; Calcs'!Z$763:Z$768)</f>
        <v>2462372000</v>
      </c>
      <c r="AI71" s="533">
        <f>SUMIF('10. Inputs &amp; Calcs'!$D$763:$D$768,$E$10,'10. Inputs &amp; Calcs'!AA$763:AA$768)</f>
        <v>2462372000</v>
      </c>
      <c r="AJ71" s="533">
        <f>SUMIF('10. Inputs &amp; Calcs'!$D$763:$D$768,$E$10,'10. Inputs &amp; Calcs'!AB$763:AB$768)</f>
        <v>2462372000</v>
      </c>
      <c r="AK71" s="533">
        <f>SUMIF('10. Inputs &amp; Calcs'!$D$763:$D$768,$E$10,'10. Inputs &amp; Calcs'!AC$763:AC$768)</f>
        <v>2462372000</v>
      </c>
      <c r="AL71" s="533">
        <f>SUM(Q71:AK71)</f>
        <v>51709812000</v>
      </c>
    </row>
    <row r="72" spans="2:46" x14ac:dyDescent="0.45">
      <c r="D72" t="s">
        <v>233</v>
      </c>
      <c r="N72" s="533">
        <f t="shared" ref="N72:AL72" si="23">N67</f>
        <v>5576064</v>
      </c>
      <c r="O72" s="533">
        <f t="shared" si="23"/>
        <v>1243913</v>
      </c>
      <c r="P72" s="533">
        <f t="shared" si="23"/>
        <v>313420</v>
      </c>
      <c r="Q72" s="801">
        <f t="shared" si="23"/>
        <v>210409.8845669291</v>
      </c>
      <c r="R72" s="801">
        <f t="shared" si="23"/>
        <v>210409.8845669291</v>
      </c>
      <c r="S72" s="801">
        <f t="shared" si="23"/>
        <v>210409.8845669291</v>
      </c>
      <c r="T72" s="801">
        <f t="shared" si="23"/>
        <v>23378.876062992123</v>
      </c>
      <c r="U72" s="801">
        <f t="shared" si="23"/>
        <v>23378.876062992123</v>
      </c>
      <c r="V72" s="801">
        <f t="shared" si="23"/>
        <v>23378.876062992123</v>
      </c>
      <c r="W72" s="801">
        <f t="shared" si="23"/>
        <v>23378.876062992123</v>
      </c>
      <c r="X72" s="801">
        <f t="shared" si="23"/>
        <v>23378.876062992123</v>
      </c>
      <c r="Y72" s="801">
        <f t="shared" si="23"/>
        <v>23378.876062992123</v>
      </c>
      <c r="Z72" s="801">
        <f t="shared" si="23"/>
        <v>23378.876062992123</v>
      </c>
      <c r="AA72" s="801">
        <f t="shared" si="23"/>
        <v>23378.876062992123</v>
      </c>
      <c r="AB72" s="801">
        <f t="shared" si="23"/>
        <v>23378.876062992123</v>
      </c>
      <c r="AC72" s="801">
        <f t="shared" si="23"/>
        <v>23378.876062992123</v>
      </c>
      <c r="AD72" s="801">
        <f t="shared" si="23"/>
        <v>23378.876062992123</v>
      </c>
      <c r="AE72" s="801">
        <f t="shared" si="23"/>
        <v>23378.876062992123</v>
      </c>
      <c r="AF72" s="533">
        <f t="shared" si="23"/>
        <v>23378.876062992123</v>
      </c>
      <c r="AG72" s="533">
        <f t="shared" si="23"/>
        <v>23378.876062992123</v>
      </c>
      <c r="AH72" s="533">
        <f t="shared" si="23"/>
        <v>23378.876062992123</v>
      </c>
      <c r="AI72" s="533">
        <f t="shared" si="23"/>
        <v>23378.876062992123</v>
      </c>
      <c r="AJ72" s="533">
        <f t="shared" si="23"/>
        <v>15759591.013178613</v>
      </c>
      <c r="AK72" s="533">
        <f t="shared" si="23"/>
        <v>0</v>
      </c>
      <c r="AL72" s="533">
        <f t="shared" si="23"/>
        <v>16764882.683887275</v>
      </c>
    </row>
    <row r="73" spans="2:46" x14ac:dyDescent="0.45">
      <c r="D73" t="s">
        <v>1037</v>
      </c>
      <c r="N73" s="559">
        <f>N48/N71</f>
        <v>-3.7066270505265271E-3</v>
      </c>
      <c r="O73" s="559">
        <f t="shared" ref="O73:AL73" si="24">O48/O71</f>
        <v>-4.2751537205805278E-3</v>
      </c>
      <c r="P73" s="559">
        <f t="shared" si="24"/>
        <v>-4.2297378950053042E-3</v>
      </c>
      <c r="Q73" s="581">
        <f>Q48/Q71</f>
        <v>-3.6755906435099136E-3</v>
      </c>
      <c r="R73" s="581">
        <f t="shared" si="24"/>
        <v>-2.9549833889111364E-3</v>
      </c>
      <c r="S73" s="581">
        <f t="shared" si="24"/>
        <v>-2.141227253416444E-3</v>
      </c>
      <c r="T73" s="581">
        <f t="shared" si="24"/>
        <v>-2.2588481042169284E-3</v>
      </c>
      <c r="U73" s="581">
        <f t="shared" si="24"/>
        <v>-2.2479877929031931E-3</v>
      </c>
      <c r="V73" s="581">
        <f t="shared" si="24"/>
        <v>-2.2287147813265843E-3</v>
      </c>
      <c r="W73" s="581">
        <f t="shared" si="24"/>
        <v>-2.2001425251848201E-3</v>
      </c>
      <c r="X73" s="581">
        <f t="shared" si="24"/>
        <v>-2.1613124087206635E-3</v>
      </c>
      <c r="Y73" s="581">
        <f t="shared" si="24"/>
        <v>-2.1111884986583914E-3</v>
      </c>
      <c r="Z73" s="581">
        <f t="shared" si="24"/>
        <v>-2.048651939089425E-3</v>
      </c>
      <c r="AA73" s="581">
        <f t="shared" si="24"/>
        <v>-1.9724949636808755E-3</v>
      </c>
      <c r="AB73" s="581">
        <f t="shared" si="24"/>
        <v>-1.8814145000679982E-3</v>
      </c>
      <c r="AC73" s="581">
        <f t="shared" si="24"/>
        <v>-1.7740053396838355E-3</v>
      </c>
      <c r="AD73" s="581">
        <f t="shared" si="24"/>
        <v>-1.648752844570887E-3</v>
      </c>
      <c r="AE73" s="581">
        <f t="shared" si="24"/>
        <v>-1.5040251609040583E-3</v>
      </c>
      <c r="AF73" s="559">
        <f t="shared" si="24"/>
        <v>-1.3380649070250507E-3</v>
      </c>
      <c r="AG73" s="559">
        <f t="shared" si="24"/>
        <v>-1.1489803017385256E-3</v>
      </c>
      <c r="AH73" s="559">
        <f t="shared" si="24"/>
        <v>-9.3473569644255121E-4</v>
      </c>
      <c r="AI73" s="559">
        <f t="shared" si="24"/>
        <v>-6.9314147235199084E-4</v>
      </c>
      <c r="AJ73" s="559">
        <f t="shared" si="24"/>
        <v>1.1429750258696537E-5</v>
      </c>
      <c r="AK73" s="559">
        <f t="shared" si="24"/>
        <v>0</v>
      </c>
      <c r="AL73" s="559">
        <f t="shared" si="24"/>
        <v>-1.757753941530694E-3</v>
      </c>
    </row>
    <row r="74" spans="2:46" x14ac:dyDescent="0.45">
      <c r="Q74" s="581"/>
      <c r="R74" s="581"/>
      <c r="S74" s="581"/>
      <c r="T74" s="581"/>
      <c r="U74" s="581"/>
      <c r="V74" s="581"/>
      <c r="W74" s="582"/>
      <c r="X74" s="18"/>
      <c r="Y74" s="18"/>
      <c r="Z74" s="18"/>
      <c r="AA74" s="18"/>
      <c r="AB74" s="18"/>
      <c r="AC74" s="18"/>
      <c r="AD74" s="18"/>
      <c r="AE74" s="18"/>
    </row>
    <row r="75" spans="2:46"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outlineLevel="1" x14ac:dyDescent="0.45">
      <c r="D76" t="s">
        <v>1539</v>
      </c>
      <c r="F76" s="18"/>
      <c r="G76" s="18"/>
      <c r="I76" s="18"/>
      <c r="J76" s="18"/>
      <c r="K76" s="18"/>
      <c r="L76" s="18"/>
      <c r="O76" s="533"/>
      <c r="P76" s="533">
        <f>SUMIF('10. Inputs &amp; Calcs'!$D$628:$D$633,$E$10,'10. Inputs &amp; Calcs'!$H$628:$H$633)</f>
        <v>1018152.36</v>
      </c>
      <c r="Q76" s="801">
        <f t="shared" ref="Q76:AK76" si="25">P83</f>
        <v>1018152.3599999999</v>
      </c>
      <c r="R76" s="801">
        <f t="shared" ca="1" si="25"/>
        <v>10541678.95423235</v>
      </c>
      <c r="S76" s="801">
        <f t="shared" ca="1" si="25"/>
        <v>10387278.082232352</v>
      </c>
      <c r="T76" s="801">
        <f t="shared" ca="1" si="25"/>
        <v>9485383.0540576503</v>
      </c>
      <c r="U76" s="801">
        <f t="shared" ca="1" si="25"/>
        <v>567878.84711111151</v>
      </c>
      <c r="V76" s="801">
        <f t="shared" ca="1" si="25"/>
        <v>575337.99466666672</v>
      </c>
      <c r="W76" s="801">
        <f t="shared" ca="1" si="25"/>
        <v>577327.18666666653</v>
      </c>
      <c r="X76" s="801">
        <f t="shared" ca="1" si="25"/>
        <v>576581.40088888886</v>
      </c>
      <c r="Y76" s="801">
        <f t="shared" ca="1" si="25"/>
        <v>570365.65955555555</v>
      </c>
      <c r="Z76" s="801">
        <f t="shared" ca="1" si="25"/>
        <v>558679.9626666666</v>
      </c>
      <c r="AA76" s="801">
        <f t="shared" ca="1" si="25"/>
        <v>541524.31022222224</v>
      </c>
      <c r="AB76" s="801">
        <f t="shared" ca="1" si="25"/>
        <v>518898.70222222223</v>
      </c>
      <c r="AC76" s="801">
        <f t="shared" ca="1" si="25"/>
        <v>490803.13866666681</v>
      </c>
      <c r="AD76" s="801">
        <f t="shared" ca="1" si="25"/>
        <v>457237.61955555552</v>
      </c>
      <c r="AE76" s="801">
        <f t="shared" ca="1" si="25"/>
        <v>418202.14488888893</v>
      </c>
      <c r="AF76" s="533">
        <f t="shared" ca="1" si="25"/>
        <v>373696.7146666667</v>
      </c>
      <c r="AG76" s="533">
        <f t="shared" ca="1" si="25"/>
        <v>323721.32888888894</v>
      </c>
      <c r="AH76" s="533">
        <f t="shared" ca="1" si="25"/>
        <v>268275.98755555553</v>
      </c>
      <c r="AI76" s="533">
        <f t="shared" ca="1" si="25"/>
        <v>207360.69066666669</v>
      </c>
      <c r="AJ76" s="533">
        <f t="shared" ca="1" si="25"/>
        <v>140975.43822222229</v>
      </c>
      <c r="AK76" s="533">
        <f t="shared" ca="1" si="25"/>
        <v>0</v>
      </c>
      <c r="AL76" s="533">
        <f>P76</f>
        <v>1018152.36</v>
      </c>
      <c r="AM76" s="18"/>
      <c r="AN76" s="18"/>
      <c r="AO76" s="18"/>
      <c r="AP76" s="18"/>
      <c r="AQ76" s="18"/>
      <c r="AR76" s="18"/>
      <c r="AS76" s="18"/>
      <c r="AT76" s="18"/>
    </row>
    <row r="77" spans="2:46" outlineLevel="1" x14ac:dyDescent="0.45">
      <c r="D77" t="s">
        <v>1546</v>
      </c>
      <c r="F77" s="18"/>
      <c r="G77" s="18"/>
      <c r="I77" s="18"/>
      <c r="J77" s="18"/>
      <c r="K77" s="18"/>
      <c r="L77" s="18"/>
      <c r="N77" s="533"/>
      <c r="O77" s="533"/>
      <c r="P77" s="533">
        <f>IF(P84&gt;P76,P84-P76,0)</f>
        <v>0</v>
      </c>
      <c r="Q77" s="801">
        <f>IF(Q84&gt;Q76,Q84-Q76,0)</f>
        <v>0</v>
      </c>
      <c r="R77" s="801">
        <f ca="1">IF(R84&gt;R76,R84-R76,0)</f>
        <v>0</v>
      </c>
      <c r="S77" s="801">
        <f t="shared" ref="S77:AK77" ca="1" si="26">IF(S84&gt;S76,S84-S76,0)</f>
        <v>0</v>
      </c>
      <c r="T77" s="801">
        <f t="shared" ca="1" si="26"/>
        <v>0</v>
      </c>
      <c r="U77" s="801">
        <f t="shared" ca="1" si="26"/>
        <v>7459.1475555551006</v>
      </c>
      <c r="V77" s="801">
        <f t="shared" ca="1" si="26"/>
        <v>1989.1919999998063</v>
      </c>
      <c r="W77" s="801">
        <f t="shared" ca="1" si="26"/>
        <v>0</v>
      </c>
      <c r="X77" s="801">
        <f t="shared" ca="1" si="26"/>
        <v>0</v>
      </c>
      <c r="Y77" s="801">
        <f t="shared" ca="1" si="26"/>
        <v>0</v>
      </c>
      <c r="Z77" s="801">
        <f t="shared" ca="1" si="26"/>
        <v>0</v>
      </c>
      <c r="AA77" s="801">
        <f t="shared" ca="1" si="26"/>
        <v>0</v>
      </c>
      <c r="AB77" s="801">
        <f t="shared" ca="1" si="26"/>
        <v>0</v>
      </c>
      <c r="AC77" s="801">
        <f t="shared" ca="1" si="26"/>
        <v>0</v>
      </c>
      <c r="AD77" s="801">
        <f t="shared" ca="1" si="26"/>
        <v>0</v>
      </c>
      <c r="AE77" s="801">
        <f t="shared" ca="1" si="26"/>
        <v>0</v>
      </c>
      <c r="AF77" s="533">
        <f t="shared" ca="1" si="26"/>
        <v>0</v>
      </c>
      <c r="AG77" s="533">
        <f t="shared" ca="1" si="26"/>
        <v>0</v>
      </c>
      <c r="AH77" s="533">
        <f t="shared" ca="1" si="26"/>
        <v>0</v>
      </c>
      <c r="AI77" s="533">
        <f t="shared" ca="1" si="26"/>
        <v>0</v>
      </c>
      <c r="AJ77" s="533">
        <f t="shared" ca="1" si="26"/>
        <v>0</v>
      </c>
      <c r="AK77" s="533">
        <f t="shared" ca="1" si="26"/>
        <v>0</v>
      </c>
      <c r="AL77" s="533">
        <f ca="1">SUM(P77:AK77)</f>
        <v>9448.3395555549068</v>
      </c>
      <c r="AM77" s="18"/>
      <c r="AN77" s="18"/>
      <c r="AO77" s="18"/>
      <c r="AP77" s="18"/>
      <c r="AQ77" s="18"/>
      <c r="AR77" s="18"/>
      <c r="AS77" s="18"/>
      <c r="AT77" s="18"/>
    </row>
    <row r="78" spans="2:46" outlineLevel="1" x14ac:dyDescent="0.45">
      <c r="D78" t="s">
        <v>1547</v>
      </c>
      <c r="F78" s="18"/>
      <c r="G78" s="18"/>
      <c r="I78" s="18"/>
      <c r="J78" s="18"/>
      <c r="K78" s="18"/>
      <c r="L78" s="18"/>
      <c r="N78" s="533"/>
      <c r="O78" s="533"/>
      <c r="P78" s="533">
        <f>IF(P84&lt;P76,P84-P76,0)</f>
        <v>0</v>
      </c>
      <c r="Q78" s="801">
        <f>IF(Q84&lt;Q76,Q84-Q76,0)</f>
        <v>-105171.27199999988</v>
      </c>
      <c r="R78" s="801">
        <f ca="1">IF(R84&lt;R76,R84-R76,0)</f>
        <v>-9783098.73823235</v>
      </c>
      <c r="S78" s="801">
        <f t="shared" ref="S78:AK78" ca="1" si="27">IF(S84&lt;S76,S84-S76,0)</f>
        <v>-9832328.3382323533</v>
      </c>
      <c r="T78" s="801">
        <f t="shared" ca="1" si="27"/>
        <v>-8917504.2069465388</v>
      </c>
      <c r="U78" s="801">
        <f t="shared" ca="1" si="27"/>
        <v>0</v>
      </c>
      <c r="V78" s="801">
        <f t="shared" ca="1" si="27"/>
        <v>0</v>
      </c>
      <c r="W78" s="801">
        <f t="shared" ca="1" si="27"/>
        <v>-745.78577777778264</v>
      </c>
      <c r="X78" s="801">
        <f t="shared" ca="1" si="27"/>
        <v>-6215.7413333334262</v>
      </c>
      <c r="Y78" s="801">
        <f t="shared" ca="1" si="27"/>
        <v>-11685.696888888953</v>
      </c>
      <c r="Z78" s="801">
        <f t="shared" ca="1" si="27"/>
        <v>-17155.652444444364</v>
      </c>
      <c r="AA78" s="801">
        <f t="shared" ca="1" si="27"/>
        <v>-22625.608000000007</v>
      </c>
      <c r="AB78" s="801">
        <f t="shared" ca="1" si="27"/>
        <v>-28095.563555555535</v>
      </c>
      <c r="AC78" s="801">
        <f t="shared" ca="1" si="27"/>
        <v>-33565.519111111236</v>
      </c>
      <c r="AD78" s="801">
        <f t="shared" ca="1" si="27"/>
        <v>-39035.474666666589</v>
      </c>
      <c r="AE78" s="801">
        <f t="shared" ca="1" si="27"/>
        <v>-44505.430222222232</v>
      </c>
      <c r="AF78" s="533">
        <f t="shared" ca="1" si="27"/>
        <v>-49975.385777777759</v>
      </c>
      <c r="AG78" s="533">
        <f t="shared" ca="1" si="27"/>
        <v>-55445.341333333345</v>
      </c>
      <c r="AH78" s="533">
        <f t="shared" ca="1" si="27"/>
        <v>-60915.296888888843</v>
      </c>
      <c r="AI78" s="533">
        <f t="shared" ca="1" si="27"/>
        <v>-66385.252444444428</v>
      </c>
      <c r="AJ78" s="533">
        <f t="shared" ca="1" si="27"/>
        <v>-140975.43822222229</v>
      </c>
      <c r="AK78" s="533">
        <f t="shared" ca="1" si="27"/>
        <v>0</v>
      </c>
      <c r="AL78" s="533">
        <f ca="1">SUM(P78:AK78)</f>
        <v>-29215429.742077909</v>
      </c>
      <c r="AM78" s="18"/>
      <c r="AN78" s="18"/>
      <c r="AO78" s="18"/>
      <c r="AP78" s="18"/>
      <c r="AQ78" s="18"/>
      <c r="AR78" s="18"/>
      <c r="AS78" s="18"/>
      <c r="AT78" s="18"/>
    </row>
    <row r="79" spans="2:46" outlineLevel="1" x14ac:dyDescent="0.45">
      <c r="D79" t="s">
        <v>1537</v>
      </c>
      <c r="F79" s="18"/>
      <c r="G79" s="18"/>
      <c r="I79" s="18"/>
      <c r="J79" s="18"/>
      <c r="K79" s="18"/>
      <c r="L79" s="18"/>
      <c r="N79" s="533"/>
      <c r="O79" s="533"/>
      <c r="P79" s="533"/>
      <c r="Q79" s="801">
        <f ca="1">'10. Inputs &amp; Calcs'!I148*1</f>
        <v>9628697.8662323505</v>
      </c>
      <c r="R79" s="801">
        <f ca="1">'10. Inputs &amp; Calcs'!J148*1</f>
        <v>9628697.8662323505</v>
      </c>
      <c r="S79" s="801">
        <f ca="1">'10. Inputs &amp; Calcs'!K148*1</f>
        <v>8930433.3100576513</v>
      </c>
      <c r="T79" s="801"/>
      <c r="U79" s="801"/>
      <c r="V79" s="801"/>
      <c r="W79" s="801"/>
      <c r="X79" s="801"/>
      <c r="Y79" s="801"/>
      <c r="Z79" s="801"/>
      <c r="AA79" s="801"/>
      <c r="AB79" s="801"/>
      <c r="AC79" s="801"/>
      <c r="AD79" s="801"/>
      <c r="AE79" s="801"/>
      <c r="AF79" s="533"/>
      <c r="AG79" s="533"/>
      <c r="AH79" s="533"/>
      <c r="AI79" s="533"/>
      <c r="AJ79" s="533"/>
      <c r="AK79" s="533"/>
      <c r="AL79" s="533">
        <f ca="1">SUM(P79:AK79)</f>
        <v>28187829.042522352</v>
      </c>
      <c r="AM79" s="18"/>
      <c r="AN79" s="18"/>
      <c r="AO79" s="18"/>
      <c r="AP79" s="18"/>
      <c r="AQ79" s="18"/>
      <c r="AR79" s="18"/>
      <c r="AS79" s="18"/>
      <c r="AT79" s="18"/>
    </row>
    <row r="80" spans="2:46" outlineLevel="1" x14ac:dyDescent="0.45">
      <c r="D80" t="s">
        <v>1540</v>
      </c>
      <c r="F80" s="18"/>
      <c r="G80" s="18"/>
      <c r="I80" s="18"/>
      <c r="J80" s="18"/>
      <c r="K80" s="18"/>
      <c r="L80" s="18"/>
      <c r="N80" s="533"/>
      <c r="O80" s="533"/>
      <c r="P80" s="533">
        <f t="shared" ref="P80:AL80" si="28">P19</f>
        <v>1394850.75</v>
      </c>
      <c r="Q80" s="801">
        <f t="shared" si="28"/>
        <v>1386426.4642105261</v>
      </c>
      <c r="R80" s="801">
        <f t="shared" si="28"/>
        <v>1386426.4642105261</v>
      </c>
      <c r="S80" s="801">
        <f t="shared" si="28"/>
        <v>1386426.4642105261</v>
      </c>
      <c r="T80" s="801">
        <f t="shared" si="28"/>
        <v>154047.38491228069</v>
      </c>
      <c r="U80" s="801">
        <f t="shared" si="28"/>
        <v>154047.38491228069</v>
      </c>
      <c r="V80" s="801">
        <f t="shared" si="28"/>
        <v>154047.38491228069</v>
      </c>
      <c r="W80" s="801">
        <f t="shared" si="28"/>
        <v>154047.38491228069</v>
      </c>
      <c r="X80" s="801">
        <f t="shared" si="28"/>
        <v>154047.38491228069</v>
      </c>
      <c r="Y80" s="801">
        <f t="shared" si="28"/>
        <v>154047.38491228069</v>
      </c>
      <c r="Z80" s="801">
        <f t="shared" si="28"/>
        <v>154047.38491228069</v>
      </c>
      <c r="AA80" s="801">
        <f t="shared" si="28"/>
        <v>154047.38491228069</v>
      </c>
      <c r="AB80" s="801">
        <f t="shared" si="28"/>
        <v>154047.38491228069</v>
      </c>
      <c r="AC80" s="801">
        <f t="shared" si="28"/>
        <v>154047.38491228069</v>
      </c>
      <c r="AD80" s="801">
        <f t="shared" si="28"/>
        <v>154047.38491228069</v>
      </c>
      <c r="AE80" s="801">
        <f t="shared" si="28"/>
        <v>154047.38491228069</v>
      </c>
      <c r="AF80" s="533">
        <f t="shared" si="28"/>
        <v>154047.38491228069</v>
      </c>
      <c r="AG80" s="533">
        <f t="shared" si="28"/>
        <v>154047.38491228069</v>
      </c>
      <c r="AH80" s="533">
        <f t="shared" si="28"/>
        <v>154047.38491228069</v>
      </c>
      <c r="AI80" s="533">
        <f t="shared" si="28"/>
        <v>154047.38491228069</v>
      </c>
      <c r="AJ80" s="533">
        <f t="shared" si="28"/>
        <v>308094.76982456137</v>
      </c>
      <c r="AK80" s="533">
        <f t="shared" si="28"/>
        <v>0</v>
      </c>
      <c r="AL80" s="533">
        <f t="shared" si="28"/>
        <v>6932132.3210526258</v>
      </c>
      <c r="AM80" s="18"/>
      <c r="AN80" s="18"/>
      <c r="AO80" s="18"/>
      <c r="AP80" s="18"/>
      <c r="AQ80" s="18"/>
      <c r="AR80" s="18"/>
      <c r="AS80" s="18"/>
      <c r="AT80" s="18"/>
    </row>
    <row r="81" spans="1:46" outlineLevel="1" x14ac:dyDescent="0.45">
      <c r="D81" t="s">
        <v>379</v>
      </c>
      <c r="F81" s="18"/>
      <c r="G81" s="18"/>
      <c r="I81" s="18"/>
      <c r="J81" s="18"/>
      <c r="K81" s="18"/>
      <c r="L81" s="18"/>
      <c r="N81" s="533"/>
      <c r="O81" s="533"/>
      <c r="P81" s="533">
        <f t="shared" ref="P81:AL81" si="29">-P21</f>
        <v>-554558.53</v>
      </c>
      <c r="Q81" s="801">
        <f t="shared" si="29"/>
        <v>-475120.84724420751</v>
      </c>
      <c r="R81" s="801">
        <f t="shared" si="29"/>
        <v>-475120.84724420751</v>
      </c>
      <c r="S81" s="801">
        <f t="shared" si="29"/>
        <v>-475120.84724420751</v>
      </c>
      <c r="T81" s="801">
        <f t="shared" si="29"/>
        <v>-52791.205249356397</v>
      </c>
      <c r="U81" s="801">
        <f t="shared" si="29"/>
        <v>-52791.205249356397</v>
      </c>
      <c r="V81" s="801">
        <f t="shared" si="29"/>
        <v>-52791.205249356397</v>
      </c>
      <c r="W81" s="801">
        <f t="shared" si="29"/>
        <v>-52791.205249356397</v>
      </c>
      <c r="X81" s="801">
        <f t="shared" si="29"/>
        <v>-52791.205249356397</v>
      </c>
      <c r="Y81" s="801">
        <f t="shared" si="29"/>
        <v>-52791.205249356397</v>
      </c>
      <c r="Z81" s="801">
        <f t="shared" si="29"/>
        <v>-52791.205249356397</v>
      </c>
      <c r="AA81" s="801">
        <f t="shared" si="29"/>
        <v>-52791.205249356397</v>
      </c>
      <c r="AB81" s="801">
        <f t="shared" si="29"/>
        <v>-52791.205249356397</v>
      </c>
      <c r="AC81" s="801">
        <f t="shared" si="29"/>
        <v>-52791.205249356397</v>
      </c>
      <c r="AD81" s="801">
        <f t="shared" si="29"/>
        <v>-52791.205249356397</v>
      </c>
      <c r="AE81" s="801">
        <f t="shared" si="29"/>
        <v>-52791.205249356397</v>
      </c>
      <c r="AF81" s="533">
        <f t="shared" si="29"/>
        <v>-52791.205249356397</v>
      </c>
      <c r="AG81" s="533">
        <f t="shared" si="29"/>
        <v>-52791.205249356397</v>
      </c>
      <c r="AH81" s="533">
        <f t="shared" si="29"/>
        <v>-52791.205249356397</v>
      </c>
      <c r="AI81" s="533">
        <f t="shared" si="29"/>
        <v>-52791.205249356397</v>
      </c>
      <c r="AJ81" s="533">
        <f t="shared" si="29"/>
        <v>-105582.41049871279</v>
      </c>
      <c r="AK81" s="533">
        <f t="shared" si="29"/>
        <v>0</v>
      </c>
      <c r="AL81" s="533">
        <f t="shared" si="29"/>
        <v>-2375604.2362210331</v>
      </c>
      <c r="AM81" s="18"/>
      <c r="AN81" s="18"/>
      <c r="AO81" s="18"/>
      <c r="AP81" s="18"/>
      <c r="AQ81" s="18"/>
      <c r="AR81" s="18"/>
      <c r="AS81" s="18"/>
      <c r="AT81" s="18"/>
    </row>
    <row r="82" spans="1:46" outlineLevel="1" x14ac:dyDescent="0.45">
      <c r="D82" t="s">
        <v>1545</v>
      </c>
      <c r="F82" s="18"/>
      <c r="G82" s="18"/>
      <c r="I82" s="18"/>
      <c r="J82" s="18"/>
      <c r="K82" s="18"/>
      <c r="L82" s="18"/>
      <c r="N82" s="533"/>
      <c r="O82" s="533"/>
      <c r="P82" s="533">
        <f t="shared" ref="P82:AL82" si="30">-P80-P81</f>
        <v>-840292.22</v>
      </c>
      <c r="Q82" s="801">
        <f t="shared" si="30"/>
        <v>-911305.61696631857</v>
      </c>
      <c r="R82" s="801">
        <f t="shared" si="30"/>
        <v>-911305.61696631857</v>
      </c>
      <c r="S82" s="801">
        <f t="shared" si="30"/>
        <v>-911305.61696631857</v>
      </c>
      <c r="T82" s="801">
        <f t="shared" si="30"/>
        <v>-101256.17966292429</v>
      </c>
      <c r="U82" s="801">
        <f t="shared" si="30"/>
        <v>-101256.17966292429</v>
      </c>
      <c r="V82" s="801">
        <f t="shared" si="30"/>
        <v>-101256.17966292429</v>
      </c>
      <c r="W82" s="801">
        <f t="shared" si="30"/>
        <v>-101256.17966292429</v>
      </c>
      <c r="X82" s="801">
        <f t="shared" si="30"/>
        <v>-101256.17966292429</v>
      </c>
      <c r="Y82" s="801">
        <f t="shared" si="30"/>
        <v>-101256.17966292429</v>
      </c>
      <c r="Z82" s="801">
        <f t="shared" si="30"/>
        <v>-101256.17966292429</v>
      </c>
      <c r="AA82" s="801">
        <f t="shared" si="30"/>
        <v>-101256.17966292429</v>
      </c>
      <c r="AB82" s="801">
        <f t="shared" si="30"/>
        <v>-101256.17966292429</v>
      </c>
      <c r="AC82" s="801">
        <f t="shared" si="30"/>
        <v>-101256.17966292429</v>
      </c>
      <c r="AD82" s="801">
        <f t="shared" si="30"/>
        <v>-101256.17966292429</v>
      </c>
      <c r="AE82" s="801">
        <f t="shared" si="30"/>
        <v>-101256.17966292429</v>
      </c>
      <c r="AF82" s="533">
        <f t="shared" si="30"/>
        <v>-101256.17966292429</v>
      </c>
      <c r="AG82" s="533">
        <f t="shared" si="30"/>
        <v>-101256.17966292429</v>
      </c>
      <c r="AH82" s="533">
        <f t="shared" si="30"/>
        <v>-101256.17966292429</v>
      </c>
      <c r="AI82" s="533">
        <f t="shared" si="30"/>
        <v>-101256.17966292429</v>
      </c>
      <c r="AJ82" s="533">
        <f t="shared" si="30"/>
        <v>-202512.35932584858</v>
      </c>
      <c r="AK82" s="533">
        <f t="shared" si="30"/>
        <v>0</v>
      </c>
      <c r="AL82" s="533">
        <f t="shared" si="30"/>
        <v>-4556528.0848315926</v>
      </c>
      <c r="AM82" s="18"/>
      <c r="AN82" s="18"/>
      <c r="AO82" s="18"/>
      <c r="AP82" s="18"/>
      <c r="AQ82" s="18"/>
      <c r="AR82" s="18"/>
      <c r="AS82" s="18"/>
      <c r="AT82" s="18"/>
    </row>
    <row r="83" spans="1:46" outlineLevel="1" x14ac:dyDescent="0.45">
      <c r="D83" t="s">
        <v>1544</v>
      </c>
      <c r="F83" s="18"/>
      <c r="G83" s="18"/>
      <c r="I83" s="18"/>
      <c r="J83" s="18"/>
      <c r="K83" s="18"/>
      <c r="L83" s="18"/>
      <c r="N83" s="535"/>
      <c r="O83" s="535"/>
      <c r="P83" s="535">
        <f>SUM(P76:P82)</f>
        <v>1018152.3599999999</v>
      </c>
      <c r="Q83" s="1135">
        <f t="shared" ref="Q83:AL83" ca="1" si="31">SUM(Q76:Q82)</f>
        <v>10541678.95423235</v>
      </c>
      <c r="R83" s="1135">
        <f ca="1">SUM(R76:R82)</f>
        <v>10387278.082232352</v>
      </c>
      <c r="S83" s="1135">
        <f t="shared" ca="1" si="31"/>
        <v>9485383.0540576503</v>
      </c>
      <c r="T83" s="1135">
        <f t="shared" ca="1" si="31"/>
        <v>567878.84711111151</v>
      </c>
      <c r="U83" s="1135">
        <f t="shared" ca="1" si="31"/>
        <v>575337.99466666672</v>
      </c>
      <c r="V83" s="1135">
        <f t="shared" ca="1" si="31"/>
        <v>577327.18666666653</v>
      </c>
      <c r="W83" s="1135">
        <f t="shared" ca="1" si="31"/>
        <v>576581.40088888886</v>
      </c>
      <c r="X83" s="1135">
        <f t="shared" ca="1" si="31"/>
        <v>570365.65955555555</v>
      </c>
      <c r="Y83" s="1135">
        <f t="shared" ca="1" si="31"/>
        <v>558679.9626666666</v>
      </c>
      <c r="Z83" s="1135">
        <f t="shared" ca="1" si="31"/>
        <v>541524.31022222224</v>
      </c>
      <c r="AA83" s="1135">
        <f t="shared" ca="1" si="31"/>
        <v>518898.70222222223</v>
      </c>
      <c r="AB83" s="1135">
        <f t="shared" ca="1" si="31"/>
        <v>490803.13866666681</v>
      </c>
      <c r="AC83" s="1135">
        <f t="shared" ca="1" si="31"/>
        <v>457237.61955555552</v>
      </c>
      <c r="AD83" s="1135">
        <f t="shared" ca="1" si="31"/>
        <v>418202.14488888893</v>
      </c>
      <c r="AE83" s="1135">
        <f t="shared" ca="1" si="31"/>
        <v>373696.7146666667</v>
      </c>
      <c r="AF83" s="535">
        <f t="shared" ca="1" si="31"/>
        <v>323721.32888888894</v>
      </c>
      <c r="AG83" s="535">
        <f t="shared" ca="1" si="31"/>
        <v>268275.98755555553</v>
      </c>
      <c r="AH83" s="535">
        <f t="shared" ca="1" si="31"/>
        <v>207360.69066666669</v>
      </c>
      <c r="AI83" s="535">
        <f t="shared" ca="1" si="31"/>
        <v>140975.43822222229</v>
      </c>
      <c r="AJ83" s="535">
        <f t="shared" ca="1" si="31"/>
        <v>0</v>
      </c>
      <c r="AK83" s="535">
        <f t="shared" ca="1" si="31"/>
        <v>0</v>
      </c>
      <c r="AL83" s="535">
        <f t="shared" ca="1" si="31"/>
        <v>0</v>
      </c>
      <c r="AM83" s="18"/>
      <c r="AN83" s="18"/>
      <c r="AO83" s="18"/>
      <c r="AP83" s="18"/>
      <c r="AQ83" s="18"/>
      <c r="AR83" s="18"/>
      <c r="AS83" s="18"/>
      <c r="AT83" s="18"/>
    </row>
    <row r="84" spans="1:46" outlineLevel="1" x14ac:dyDescent="0.45">
      <c r="F84" s="18"/>
      <c r="G84" s="18"/>
      <c r="I84" s="18"/>
      <c r="J84" s="18"/>
      <c r="K84" s="18"/>
      <c r="L84" s="18"/>
      <c r="P84" s="533">
        <f>SUMIF('10. Inputs &amp; Calcs'!$D$628:$D$633,$E$10,'10. Inputs &amp; Calcs'!H$628:H$633)</f>
        <v>1018152.36</v>
      </c>
      <c r="Q84" s="801">
        <f>SUMIF('10. Inputs &amp; Calcs'!$D$628:$D$633,$E$10,'10. Inputs &amp; Calcs'!I$628:I$633)</f>
        <v>912981.08799999999</v>
      </c>
      <c r="R84" s="801">
        <f>SUMIF('10. Inputs &amp; Calcs'!$D$628:$D$633,$E$10,'10. Inputs &amp; Calcs'!J$628:J$633)</f>
        <v>758580.21600000001</v>
      </c>
      <c r="S84" s="801">
        <f>SUMIF('10. Inputs &amp; Calcs'!$D$628:$D$633,$E$10,'10. Inputs &amp; Calcs'!K$628:K$633)</f>
        <v>554949.74399999995</v>
      </c>
      <c r="T84" s="801">
        <f>SUMIF('10. Inputs &amp; Calcs'!$D$628:$D$633,$E$10,'10. Inputs &amp; Calcs'!L$628:L$633)</f>
        <v>567878.84711111104</v>
      </c>
      <c r="U84" s="801">
        <f>SUMIF('10. Inputs &amp; Calcs'!$D$628:$D$633,$E$10,'10. Inputs &amp; Calcs'!M$628:M$633)</f>
        <v>575337.99466666661</v>
      </c>
      <c r="V84" s="801">
        <f>SUMIF('10. Inputs &amp; Calcs'!$D$628:$D$633,$E$10,'10. Inputs &amp; Calcs'!N$628:N$633)</f>
        <v>577327.18666666653</v>
      </c>
      <c r="W84" s="801">
        <f>SUMIF('10. Inputs &amp; Calcs'!$D$628:$D$633,$E$10,'10. Inputs &amp; Calcs'!O$628:O$633)</f>
        <v>576581.40088888875</v>
      </c>
      <c r="X84" s="801">
        <f>SUMIF('10. Inputs &amp; Calcs'!$D$628:$D$633,$E$10,'10. Inputs &amp; Calcs'!P$628:P$633)</f>
        <v>570365.65955555544</v>
      </c>
      <c r="Y84" s="801">
        <f>SUMIF('10. Inputs &amp; Calcs'!$D$628:$D$633,$E$10,'10. Inputs &amp; Calcs'!Q$628:Q$633)</f>
        <v>558679.9626666666</v>
      </c>
      <c r="Z84" s="801">
        <f>SUMIF('10. Inputs &amp; Calcs'!$D$628:$D$633,$E$10,'10. Inputs &amp; Calcs'!R$628:R$633)</f>
        <v>541524.31022222224</v>
      </c>
      <c r="AA84" s="801">
        <f>SUMIF('10. Inputs &amp; Calcs'!$D$628:$D$633,$E$10,'10. Inputs &amp; Calcs'!S$628:S$633)</f>
        <v>518898.70222222223</v>
      </c>
      <c r="AB84" s="801">
        <f>SUMIF('10. Inputs &amp; Calcs'!$D$628:$D$633,$E$10,'10. Inputs &amp; Calcs'!T$628:T$633)</f>
        <v>490803.13866666669</v>
      </c>
      <c r="AC84" s="801">
        <f>SUMIF('10. Inputs &amp; Calcs'!$D$628:$D$633,$E$10,'10. Inputs &amp; Calcs'!U$628:U$633)</f>
        <v>457237.61955555558</v>
      </c>
      <c r="AD84" s="801">
        <f>SUMIF('10. Inputs &amp; Calcs'!$D$628:$D$633,$E$10,'10. Inputs &amp; Calcs'!V$628:V$633)</f>
        <v>418202.14488888893</v>
      </c>
      <c r="AE84" s="801">
        <f>SUMIF('10. Inputs &amp; Calcs'!$D$628:$D$633,$E$10,'10. Inputs &amp; Calcs'!W$628:W$633)</f>
        <v>373696.7146666667</v>
      </c>
      <c r="AF84" s="533">
        <f>SUMIF('10. Inputs &amp; Calcs'!$D$628:$D$633,$E$10,'10. Inputs &amp; Calcs'!X$628:X$633)</f>
        <v>323721.32888888894</v>
      </c>
      <c r="AG84" s="533">
        <f>SUMIF('10. Inputs &amp; Calcs'!$D$628:$D$633,$E$10,'10. Inputs &amp; Calcs'!Y$628:Y$633)</f>
        <v>268275.98755555559</v>
      </c>
      <c r="AH84" s="533">
        <f>SUMIF('10. Inputs &amp; Calcs'!$D$628:$D$633,$E$10,'10. Inputs &amp; Calcs'!Z$628:Z$633)</f>
        <v>207360.69066666669</v>
      </c>
      <c r="AI84" s="533">
        <f>SUMIF('10. Inputs &amp; Calcs'!$D$628:$D$633,$E$10,'10. Inputs &amp; Calcs'!AA$628:AA$633)</f>
        <v>140975.43822222226</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outlineLevel="1" x14ac:dyDescent="0.45">
      <c r="D86" t="s">
        <v>1539</v>
      </c>
      <c r="F86" s="18"/>
      <c r="G86" s="18"/>
      <c r="I86" s="18"/>
      <c r="J86" s="18"/>
      <c r="K86" s="18"/>
      <c r="L86" s="18"/>
      <c r="O86" s="533"/>
      <c r="P86" s="533">
        <f>SUMIF('10. Inputs &amp; Calcs'!$D$396:$D$400,$E$10,'10. Inputs &amp; Calcs'!$H$396:$H$400)</f>
        <v>8780700.9399999995</v>
      </c>
      <c r="Q86" s="801">
        <f t="shared" ref="Q86:AK86" si="32">P93</f>
        <v>9094120.9399999995</v>
      </c>
      <c r="R86" s="801">
        <f t="shared" si="32"/>
        <v>10167127.404210525</v>
      </c>
      <c r="S86" s="801">
        <f t="shared" si="32"/>
        <v>11553553.868421052</v>
      </c>
      <c r="T86" s="801">
        <f t="shared" si="32"/>
        <v>12939980.332631577</v>
      </c>
      <c r="U86" s="801">
        <f t="shared" si="32"/>
        <v>13094027.717543859</v>
      </c>
      <c r="V86" s="801">
        <f t="shared" si="32"/>
        <v>13248075.102456138</v>
      </c>
      <c r="W86" s="801">
        <f t="shared" si="32"/>
        <v>13402122.487368422</v>
      </c>
      <c r="X86" s="801">
        <f t="shared" si="32"/>
        <v>13556169.8722807</v>
      </c>
      <c r="Y86" s="801">
        <f t="shared" si="32"/>
        <v>13710217.25719298</v>
      </c>
      <c r="Z86" s="801">
        <f t="shared" si="32"/>
        <v>13864264.642105261</v>
      </c>
      <c r="AA86" s="801">
        <f t="shared" si="32"/>
        <v>14018312.027017543</v>
      </c>
      <c r="AB86" s="801">
        <f t="shared" si="32"/>
        <v>14172359.411929823</v>
      </c>
      <c r="AC86" s="801">
        <f t="shared" si="32"/>
        <v>14326406.796842102</v>
      </c>
      <c r="AD86" s="801">
        <f t="shared" si="32"/>
        <v>14480454.181754386</v>
      </c>
      <c r="AE86" s="801">
        <f t="shared" si="32"/>
        <v>14634501.566666665</v>
      </c>
      <c r="AF86" s="533">
        <f t="shared" si="32"/>
        <v>14788548.951578943</v>
      </c>
      <c r="AG86" s="533">
        <f t="shared" si="32"/>
        <v>14942596.336491229</v>
      </c>
      <c r="AH86" s="533">
        <f t="shared" si="32"/>
        <v>15096643.721403508</v>
      </c>
      <c r="AI86" s="533">
        <f t="shared" si="32"/>
        <v>15250691.106315788</v>
      </c>
      <c r="AJ86" s="533">
        <f t="shared" si="32"/>
        <v>15404738.491228066</v>
      </c>
      <c r="AK86" s="533">
        <f t="shared" si="32"/>
        <v>-308094.76982455887</v>
      </c>
      <c r="AL86" s="533">
        <f>P86</f>
        <v>8780700.9399999995</v>
      </c>
      <c r="AM86" s="18"/>
      <c r="AN86" s="18"/>
      <c r="AO86" s="18"/>
      <c r="AP86" s="18"/>
      <c r="AQ86" s="18"/>
      <c r="AR86" s="18"/>
      <c r="AS86" s="18"/>
      <c r="AT86" s="18"/>
    </row>
    <row r="87" spans="1:46" outlineLevel="1" x14ac:dyDescent="0.45">
      <c r="D87" t="s">
        <v>1546</v>
      </c>
      <c r="F87" s="18"/>
      <c r="G87" s="18"/>
      <c r="I87" s="18"/>
      <c r="J87" s="18"/>
      <c r="K87" s="18"/>
      <c r="L87" s="18"/>
      <c r="N87" s="533"/>
      <c r="O87" s="533"/>
      <c r="P87" s="533">
        <f t="shared" ref="P87:AK87" si="33">IF(P94&gt;P86,P94-P86-P89,0)</f>
        <v>0</v>
      </c>
      <c r="Q87" s="801">
        <f>IF(Q94&gt;Q86,Q94-Q86-Q89,0)</f>
        <v>1073006.4642105252</v>
      </c>
      <c r="R87" s="801">
        <f t="shared" si="33"/>
        <v>1386426.464210527</v>
      </c>
      <c r="S87" s="801">
        <f t="shared" si="33"/>
        <v>1386426.4642105252</v>
      </c>
      <c r="T87" s="801">
        <f t="shared" si="33"/>
        <v>154047.38491228223</v>
      </c>
      <c r="U87" s="801">
        <f t="shared" si="33"/>
        <v>154047.38491228037</v>
      </c>
      <c r="V87" s="801">
        <f t="shared" si="33"/>
        <v>154047.38491228223</v>
      </c>
      <c r="W87" s="801">
        <f t="shared" si="33"/>
        <v>154047.3849122785</v>
      </c>
      <c r="X87" s="801">
        <f t="shared" si="33"/>
        <v>154047.38491228037</v>
      </c>
      <c r="Y87" s="801">
        <f t="shared" si="33"/>
        <v>154047.38491228037</v>
      </c>
      <c r="Z87" s="801">
        <f t="shared" si="33"/>
        <v>154047.38491228223</v>
      </c>
      <c r="AA87" s="801">
        <f t="shared" si="33"/>
        <v>154047.38491228037</v>
      </c>
      <c r="AB87" s="801">
        <f t="shared" si="33"/>
        <v>154047.38491228037</v>
      </c>
      <c r="AC87" s="801">
        <f t="shared" si="33"/>
        <v>154047.38491228223</v>
      </c>
      <c r="AD87" s="801">
        <f t="shared" si="33"/>
        <v>154047.3849122785</v>
      </c>
      <c r="AE87" s="801">
        <f t="shared" si="33"/>
        <v>154047.38491228037</v>
      </c>
      <c r="AF87" s="533">
        <f t="shared" si="33"/>
        <v>154047.38491228409</v>
      </c>
      <c r="AG87" s="533">
        <f t="shared" si="33"/>
        <v>154047.3849122785</v>
      </c>
      <c r="AH87" s="533">
        <f t="shared" si="33"/>
        <v>154047.38491228037</v>
      </c>
      <c r="AI87" s="533">
        <f t="shared" si="33"/>
        <v>154047.38491228037</v>
      </c>
      <c r="AJ87" s="533">
        <f t="shared" si="33"/>
        <v>0</v>
      </c>
      <c r="AK87" s="533">
        <f t="shared" si="33"/>
        <v>308094.76982455887</v>
      </c>
      <c r="AL87" s="533">
        <f>SUM(P87:AK87)</f>
        <v>6618712.3210526276</v>
      </c>
      <c r="AM87" s="18"/>
      <c r="AN87" s="18"/>
      <c r="AO87" s="18"/>
      <c r="AP87" s="18"/>
      <c r="AQ87" s="18"/>
      <c r="AR87" s="18"/>
      <c r="AS87" s="18"/>
      <c r="AT87" s="18"/>
    </row>
    <row r="88" spans="1:46"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outlineLevel="1" x14ac:dyDescent="0.45">
      <c r="A89">
        <v>0</v>
      </c>
      <c r="D89" t="s">
        <v>1537</v>
      </c>
      <c r="F89" s="18"/>
      <c r="G89" s="18"/>
      <c r="I89" s="18"/>
      <c r="J89" s="18"/>
      <c r="K89" s="18"/>
      <c r="L89" s="18"/>
      <c r="N89" s="533"/>
      <c r="O89" s="533"/>
      <c r="P89" s="533">
        <f>SUMIF('10. Inputs &amp; Calcs'!$D$143:$D$148,$E$10,'10. Inputs &amp; Calcs'!$H$143:$H$148)</f>
        <v>313420</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-15399413.261052625</v>
      </c>
      <c r="AM89" s="18"/>
      <c r="AN89" s="18"/>
      <c r="AO89" s="18"/>
      <c r="AP89" s="18"/>
      <c r="AQ89" s="18"/>
      <c r="AR89" s="18"/>
      <c r="AS89" s="18"/>
      <c r="AT89" s="18"/>
    </row>
    <row r="90" spans="1:46" outlineLevel="1" x14ac:dyDescent="0.45">
      <c r="D90" t="s">
        <v>1542</v>
      </c>
      <c r="F90" s="18"/>
      <c r="G90" s="18"/>
      <c r="I90" s="18"/>
      <c r="J90" s="18"/>
      <c r="K90" s="18"/>
      <c r="L90" s="18"/>
      <c r="N90" s="533"/>
      <c r="O90" s="533"/>
      <c r="P90" s="533">
        <f t="shared" ref="P90:AL90" si="34">P23</f>
        <v>342866.4</v>
      </c>
      <c r="Q90" s="801">
        <f t="shared" si="34"/>
        <v>274293.12</v>
      </c>
      <c r="R90" s="801">
        <f t="shared" si="34"/>
        <v>205719.84</v>
      </c>
      <c r="S90" s="801">
        <f t="shared" si="34"/>
        <v>137146.56</v>
      </c>
      <c r="T90" s="801">
        <f t="shared" si="34"/>
        <v>129527.30666666667</v>
      </c>
      <c r="U90" s="801">
        <f t="shared" si="34"/>
        <v>121908.05333333334</v>
      </c>
      <c r="V90" s="801">
        <f t="shared" si="34"/>
        <v>114288.80000000002</v>
      </c>
      <c r="W90" s="801">
        <f t="shared" si="34"/>
        <v>106669.54666666668</v>
      </c>
      <c r="X90" s="801">
        <f t="shared" si="34"/>
        <v>99050.293333333335</v>
      </c>
      <c r="Y90" s="801">
        <f t="shared" si="34"/>
        <v>91431.040000000008</v>
      </c>
      <c r="Z90" s="801">
        <f t="shared" si="34"/>
        <v>83811.786666666667</v>
      </c>
      <c r="AA90" s="801">
        <f t="shared" si="34"/>
        <v>76192.53333333334</v>
      </c>
      <c r="AB90" s="801">
        <f t="shared" si="34"/>
        <v>68573.279999999999</v>
      </c>
      <c r="AC90" s="801">
        <f t="shared" si="34"/>
        <v>60954.026666666665</v>
      </c>
      <c r="AD90" s="801">
        <f t="shared" si="34"/>
        <v>53334.773333333331</v>
      </c>
      <c r="AE90" s="801">
        <f t="shared" si="34"/>
        <v>45715.520000000004</v>
      </c>
      <c r="AF90" s="533">
        <f t="shared" si="34"/>
        <v>38096.26666666667</v>
      </c>
      <c r="AG90" s="533">
        <f t="shared" si="34"/>
        <v>30477.013333333336</v>
      </c>
      <c r="AH90" s="533">
        <f t="shared" si="34"/>
        <v>22857.760000000002</v>
      </c>
      <c r="AI90" s="533">
        <f t="shared" si="34"/>
        <v>15238.506666666668</v>
      </c>
      <c r="AJ90" s="533">
        <f t="shared" si="34"/>
        <v>0</v>
      </c>
      <c r="AK90" s="533">
        <f t="shared" si="34"/>
        <v>0</v>
      </c>
      <c r="AL90" s="533">
        <f t="shared" si="34"/>
        <v>1775286.0266666668</v>
      </c>
      <c r="AM90" s="18"/>
      <c r="AN90" s="18"/>
      <c r="AO90" s="18"/>
      <c r="AP90" s="18"/>
      <c r="AQ90" s="18"/>
      <c r="AR90" s="18"/>
      <c r="AS90" s="18"/>
      <c r="AT90" s="18"/>
    </row>
    <row r="91" spans="1:46" outlineLevel="1" x14ac:dyDescent="0.45">
      <c r="D91" t="s">
        <v>1543</v>
      </c>
      <c r="F91" s="18"/>
      <c r="G91" s="18"/>
      <c r="I91" s="18"/>
      <c r="J91" s="18"/>
      <c r="K91" s="18"/>
      <c r="L91" s="18"/>
      <c r="N91" s="533"/>
      <c r="O91" s="533"/>
      <c r="P91" s="533">
        <f t="shared" ref="P91:AL91" si="35">-P25</f>
        <v>-219792.4</v>
      </c>
      <c r="Q91" s="801">
        <f t="shared" si="35"/>
        <v>-175833.91999999998</v>
      </c>
      <c r="R91" s="801">
        <f t="shared" si="35"/>
        <v>-131875.43999999997</v>
      </c>
      <c r="S91" s="801">
        <f t="shared" si="35"/>
        <v>-87916.959999999992</v>
      </c>
      <c r="T91" s="801">
        <f t="shared" si="35"/>
        <v>-83032.684444444443</v>
      </c>
      <c r="U91" s="801">
        <f t="shared" si="35"/>
        <v>-78148.408888888895</v>
      </c>
      <c r="V91" s="801">
        <f t="shared" si="35"/>
        <v>-73264.133333333331</v>
      </c>
      <c r="W91" s="801">
        <f t="shared" si="35"/>
        <v>-68379.857777777783</v>
      </c>
      <c r="X91" s="801">
        <f t="shared" si="35"/>
        <v>-63495.58222222222</v>
      </c>
      <c r="Y91" s="801">
        <f t="shared" si="35"/>
        <v>-58611.306666666664</v>
      </c>
      <c r="Z91" s="801">
        <f t="shared" si="35"/>
        <v>-53727.031111111108</v>
      </c>
      <c r="AA91" s="801">
        <f t="shared" si="35"/>
        <v>-48842.755555555552</v>
      </c>
      <c r="AB91" s="801">
        <f t="shared" si="35"/>
        <v>-43958.479999999996</v>
      </c>
      <c r="AC91" s="801">
        <f t="shared" si="35"/>
        <v>-39074.20444444444</v>
      </c>
      <c r="AD91" s="801">
        <f t="shared" si="35"/>
        <v>-34189.928888888884</v>
      </c>
      <c r="AE91" s="801">
        <f t="shared" si="35"/>
        <v>-29305.653333333332</v>
      </c>
      <c r="AF91" s="533">
        <f t="shared" si="35"/>
        <v>-24421.377777777776</v>
      </c>
      <c r="AG91" s="533">
        <f t="shared" si="35"/>
        <v>-19537.102222222224</v>
      </c>
      <c r="AH91" s="533">
        <f t="shared" si="35"/>
        <v>-14652.826666666666</v>
      </c>
      <c r="AI91" s="533">
        <f t="shared" si="35"/>
        <v>-9768.5511111111118</v>
      </c>
      <c r="AJ91" s="533">
        <f t="shared" si="35"/>
        <v>0</v>
      </c>
      <c r="AK91" s="533">
        <f t="shared" si="35"/>
        <v>0</v>
      </c>
      <c r="AL91" s="533">
        <f t="shared" si="35"/>
        <v>-1138036.2044444445</v>
      </c>
      <c r="AM91" s="18"/>
      <c r="AN91" s="18"/>
      <c r="AO91" s="18"/>
      <c r="AP91" s="18"/>
      <c r="AQ91" s="18"/>
      <c r="AR91" s="18"/>
      <c r="AS91" s="18"/>
      <c r="AT91" s="18"/>
    </row>
    <row r="92" spans="1:46" outlineLevel="1" x14ac:dyDescent="0.45">
      <c r="D92" t="s">
        <v>1545</v>
      </c>
      <c r="F92" s="18"/>
      <c r="G92" s="18"/>
      <c r="I92" s="18"/>
      <c r="J92" s="18"/>
      <c r="K92" s="18"/>
      <c r="L92" s="18"/>
      <c r="N92" s="533"/>
      <c r="O92" s="533"/>
      <c r="P92" s="533">
        <f t="shared" ref="P92:AL92" si="36">-P90-P91</f>
        <v>-123074.00000000003</v>
      </c>
      <c r="Q92" s="801">
        <f t="shared" si="36"/>
        <v>-98459.200000000012</v>
      </c>
      <c r="R92" s="801">
        <f t="shared" si="36"/>
        <v>-73844.400000000023</v>
      </c>
      <c r="S92" s="801">
        <f t="shared" si="36"/>
        <v>-49229.600000000006</v>
      </c>
      <c r="T92" s="801">
        <f t="shared" si="36"/>
        <v>-46494.622222222228</v>
      </c>
      <c r="U92" s="801">
        <f t="shared" si="36"/>
        <v>-43759.64444444445</v>
      </c>
      <c r="V92" s="801">
        <f t="shared" si="36"/>
        <v>-41024.666666666686</v>
      </c>
      <c r="W92" s="801">
        <f t="shared" si="36"/>
        <v>-38289.688888888893</v>
      </c>
      <c r="X92" s="801">
        <f t="shared" si="36"/>
        <v>-35554.711111111115</v>
      </c>
      <c r="Y92" s="801">
        <f t="shared" si="36"/>
        <v>-32819.733333333344</v>
      </c>
      <c r="Z92" s="801">
        <f t="shared" si="36"/>
        <v>-30084.755555555559</v>
      </c>
      <c r="AA92" s="801">
        <f t="shared" si="36"/>
        <v>-27349.777777777788</v>
      </c>
      <c r="AB92" s="801">
        <f t="shared" si="36"/>
        <v>-24614.800000000003</v>
      </c>
      <c r="AC92" s="801">
        <f t="shared" si="36"/>
        <v>-21879.822222222225</v>
      </c>
      <c r="AD92" s="801">
        <f t="shared" si="36"/>
        <v>-19144.844444444447</v>
      </c>
      <c r="AE92" s="801">
        <f t="shared" si="36"/>
        <v>-16409.866666666672</v>
      </c>
      <c r="AF92" s="533">
        <f t="shared" si="36"/>
        <v>-13674.888888888894</v>
      </c>
      <c r="AG92" s="533">
        <f t="shared" si="36"/>
        <v>-10939.911111111112</v>
      </c>
      <c r="AH92" s="533">
        <f t="shared" si="36"/>
        <v>-8204.9333333333361</v>
      </c>
      <c r="AI92" s="533">
        <f t="shared" si="36"/>
        <v>-5469.9555555555562</v>
      </c>
      <c r="AJ92" s="533">
        <f t="shared" si="36"/>
        <v>0</v>
      </c>
      <c r="AK92" s="533">
        <f t="shared" si="36"/>
        <v>0</v>
      </c>
      <c r="AL92" s="533">
        <f t="shared" si="36"/>
        <v>-637249.82222222234</v>
      </c>
      <c r="AM92" s="18"/>
      <c r="AN92" s="18"/>
      <c r="AO92" s="18"/>
      <c r="AP92" s="18"/>
      <c r="AQ92" s="18"/>
      <c r="AR92" s="18"/>
      <c r="AS92" s="18"/>
      <c r="AT92" s="18"/>
    </row>
    <row r="93" spans="1:46" outlineLevel="1" x14ac:dyDescent="0.45">
      <c r="D93" t="s">
        <v>1544</v>
      </c>
      <c r="F93" s="18"/>
      <c r="G93" s="18"/>
      <c r="I93" s="18"/>
      <c r="J93" s="18"/>
      <c r="K93" s="18"/>
      <c r="L93" s="18"/>
      <c r="N93" s="535"/>
      <c r="O93" s="535"/>
      <c r="P93" s="535">
        <f>SUM(P86:P92)</f>
        <v>9094120.9399999995</v>
      </c>
      <c r="Q93" s="1135">
        <f t="shared" ref="Q93:AL93" si="37">SUM(Q86:Q92)</f>
        <v>10167127.404210525</v>
      </c>
      <c r="R93" s="1135">
        <f t="shared" si="37"/>
        <v>11553553.868421052</v>
      </c>
      <c r="S93" s="1135">
        <f t="shared" si="37"/>
        <v>12939980.332631577</v>
      </c>
      <c r="T93" s="1135">
        <f>SUM(T86:T92)</f>
        <v>13094027.717543859</v>
      </c>
      <c r="U93" s="1135">
        <f t="shared" si="37"/>
        <v>13248075.102456138</v>
      </c>
      <c r="V93" s="1135">
        <f t="shared" si="37"/>
        <v>13402122.487368422</v>
      </c>
      <c r="W93" s="1135">
        <f t="shared" si="37"/>
        <v>13556169.8722807</v>
      </c>
      <c r="X93" s="1135">
        <f t="shared" si="37"/>
        <v>13710217.25719298</v>
      </c>
      <c r="Y93" s="1135">
        <f t="shared" si="37"/>
        <v>13864264.642105261</v>
      </c>
      <c r="Z93" s="1135">
        <f t="shared" si="37"/>
        <v>14018312.027017543</v>
      </c>
      <c r="AA93" s="1135">
        <f t="shared" si="37"/>
        <v>14172359.411929823</v>
      </c>
      <c r="AB93" s="1135">
        <f t="shared" si="37"/>
        <v>14326406.796842102</v>
      </c>
      <c r="AC93" s="1135">
        <f t="shared" si="37"/>
        <v>14480454.181754386</v>
      </c>
      <c r="AD93" s="1135">
        <f t="shared" si="37"/>
        <v>14634501.566666665</v>
      </c>
      <c r="AE93" s="1135">
        <f t="shared" si="37"/>
        <v>14788548.951578943</v>
      </c>
      <c r="AF93" s="535">
        <f t="shared" si="37"/>
        <v>14942596.336491229</v>
      </c>
      <c r="AG93" s="535">
        <f t="shared" si="37"/>
        <v>15096643.721403508</v>
      </c>
      <c r="AH93" s="535">
        <f t="shared" si="37"/>
        <v>15250691.106315788</v>
      </c>
      <c r="AI93" s="535">
        <f t="shared" si="37"/>
        <v>15404738.491228066</v>
      </c>
      <c r="AJ93" s="535">
        <f t="shared" si="37"/>
        <v>-308094.76982455887</v>
      </c>
      <c r="AK93" s="535">
        <f t="shared" si="37"/>
        <v>0</v>
      </c>
      <c r="AL93" s="535">
        <f t="shared" si="37"/>
        <v>1.862645149230957E-9</v>
      </c>
      <c r="AM93" s="18"/>
      <c r="AN93" s="18"/>
      <c r="AO93" s="18"/>
      <c r="AP93" s="18"/>
      <c r="AQ93" s="18"/>
      <c r="AR93" s="18"/>
      <c r="AS93" s="18"/>
      <c r="AT93" s="18"/>
    </row>
    <row r="94" spans="1:46" outlineLevel="1" x14ac:dyDescent="0.45">
      <c r="F94" s="18"/>
      <c r="G94" s="18"/>
      <c r="I94" s="18"/>
      <c r="J94" s="18"/>
      <c r="K94" s="18"/>
      <c r="L94" s="18"/>
      <c r="P94" s="533">
        <f>SUMIF('10. Inputs &amp; Calcs'!$D$396:$D$400,$E$10,'10. Inputs &amp; Calcs'!H$396:H$400)</f>
        <v>8780700.9399999995</v>
      </c>
      <c r="Q94" s="801">
        <f>SUMIF('10. Inputs &amp; Calcs'!$D$396:$D$400,$E$10,'10. Inputs &amp; Calcs'!I$396:I$400)</f>
        <v>10167127.404210525</v>
      </c>
      <c r="R94" s="801">
        <f>SUMIF('10. Inputs &amp; Calcs'!$D$396:$D$400,$E$10,'10. Inputs &amp; Calcs'!J$396:J$400)</f>
        <v>11553553.868421052</v>
      </c>
      <c r="S94" s="801">
        <f>SUMIF('10. Inputs &amp; Calcs'!$D$396:$D$400,$E$10,'10. Inputs &amp; Calcs'!K$396:K$400)</f>
        <v>12939980.332631577</v>
      </c>
      <c r="T94" s="801">
        <f>SUMIF('10. Inputs &amp; Calcs'!$D$396:$D$400,$E$10,'10. Inputs &amp; Calcs'!L$396:L$400)</f>
        <v>13094027.717543859</v>
      </c>
      <c r="U94" s="801">
        <f>SUMIF('10. Inputs &amp; Calcs'!$D$396:$D$400,$E$10,'10. Inputs &amp; Calcs'!M$396:M$400)</f>
        <v>13248075.102456139</v>
      </c>
      <c r="V94" s="801">
        <f>SUMIF('10. Inputs &amp; Calcs'!$D$396:$D$400,$E$10,'10. Inputs &amp; Calcs'!N$396:N$400)</f>
        <v>13402122.48736842</v>
      </c>
      <c r="W94" s="801">
        <f>SUMIF('10. Inputs &amp; Calcs'!$D$396:$D$400,$E$10,'10. Inputs &amp; Calcs'!O$396:O$400)</f>
        <v>13556169.8722807</v>
      </c>
      <c r="X94" s="801">
        <f>SUMIF('10. Inputs &amp; Calcs'!$D$396:$D$400,$E$10,'10. Inputs &amp; Calcs'!P$396:P$400)</f>
        <v>13710217.25719298</v>
      </c>
      <c r="Y94" s="801">
        <f>SUMIF('10. Inputs &amp; Calcs'!$D$396:$D$400,$E$10,'10. Inputs &amp; Calcs'!Q$396:Q$400)</f>
        <v>13864264.642105261</v>
      </c>
      <c r="Z94" s="801">
        <f>SUMIF('10. Inputs &amp; Calcs'!$D$396:$D$400,$E$10,'10. Inputs &amp; Calcs'!R$396:R$400)</f>
        <v>14018312.027017543</v>
      </c>
      <c r="AA94" s="801">
        <f>SUMIF('10. Inputs &amp; Calcs'!$D$396:$D$400,$E$10,'10. Inputs &amp; Calcs'!S$396:S$400)</f>
        <v>14172359.411929823</v>
      </c>
      <c r="AB94" s="801">
        <f>SUMIF('10. Inputs &amp; Calcs'!$D$396:$D$400,$E$10,'10. Inputs &amp; Calcs'!T$396:T$400)</f>
        <v>14326406.796842104</v>
      </c>
      <c r="AC94" s="801">
        <f>SUMIF('10. Inputs &amp; Calcs'!$D$396:$D$400,$E$10,'10. Inputs &amp; Calcs'!U$396:U$400)</f>
        <v>14480454.181754384</v>
      </c>
      <c r="AD94" s="801">
        <f>SUMIF('10. Inputs &amp; Calcs'!$D$396:$D$400,$E$10,'10. Inputs &amp; Calcs'!V$396:V$400)</f>
        <v>14634501.566666665</v>
      </c>
      <c r="AE94" s="801">
        <f>SUMIF('10. Inputs &amp; Calcs'!$D$396:$D$400,$E$10,'10. Inputs &amp; Calcs'!W$396:W$400)</f>
        <v>14788548.951578945</v>
      </c>
      <c r="AF94" s="533">
        <f>SUMIF('10. Inputs &amp; Calcs'!$D$396:$D$400,$E$10,'10. Inputs &amp; Calcs'!X$396:X$400)</f>
        <v>14942596.336491227</v>
      </c>
      <c r="AG94" s="533">
        <f>SUMIF('10. Inputs &amp; Calcs'!$D$396:$D$400,$E$10,'10. Inputs &amp; Calcs'!Y$396:Y$400)</f>
        <v>15096643.721403508</v>
      </c>
      <c r="AH94" s="533">
        <f>SUMIF('10. Inputs &amp; Calcs'!$D$396:$D$400,$E$10,'10. Inputs &amp; Calcs'!Z$396:Z$400)</f>
        <v>15250691.106315788</v>
      </c>
      <c r="AI94" s="533">
        <f>SUMIF('10. Inputs &amp; Calcs'!$D$396:$D$400,$E$10,'10. Inputs &amp; Calcs'!AA$396:AA$400)</f>
        <v>15404738.491228068</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outlineLevel="1" x14ac:dyDescent="0.45">
      <c r="F96" s="18"/>
      <c r="G96" s="18"/>
      <c r="I96" s="18"/>
      <c r="J96" s="18"/>
      <c r="K96" s="18"/>
      <c r="L96" s="18"/>
      <c r="P96" s="533">
        <f>P94-P95</f>
        <v>0</v>
      </c>
      <c r="Q96" s="801">
        <f t="shared" ref="Q96:AL96" si="38">Q94-Q95</f>
        <v>0</v>
      </c>
      <c r="R96" s="801">
        <f t="shared" si="38"/>
        <v>0</v>
      </c>
      <c r="S96" s="801">
        <f t="shared" si="38"/>
        <v>0</v>
      </c>
      <c r="T96" s="801">
        <f t="shared" si="38"/>
        <v>0</v>
      </c>
      <c r="U96" s="801">
        <f t="shared" si="38"/>
        <v>0</v>
      </c>
      <c r="V96" s="801">
        <f t="shared" si="38"/>
        <v>0</v>
      </c>
      <c r="W96" s="801">
        <f t="shared" si="38"/>
        <v>0</v>
      </c>
      <c r="X96" s="801">
        <f t="shared" si="38"/>
        <v>0</v>
      </c>
      <c r="Y96" s="801">
        <f t="shared" si="38"/>
        <v>0</v>
      </c>
      <c r="Z96" s="801">
        <f t="shared" si="38"/>
        <v>0</v>
      </c>
      <c r="AA96" s="801">
        <f t="shared" si="38"/>
        <v>0</v>
      </c>
      <c r="AB96" s="801">
        <f t="shared" si="38"/>
        <v>0</v>
      </c>
      <c r="AC96" s="801">
        <f t="shared" si="38"/>
        <v>0</v>
      </c>
      <c r="AD96" s="801">
        <f t="shared" si="38"/>
        <v>0</v>
      </c>
      <c r="AE96" s="801">
        <f t="shared" si="38"/>
        <v>0</v>
      </c>
      <c r="AF96" s="533">
        <f t="shared" si="38"/>
        <v>0</v>
      </c>
      <c r="AG96" s="533">
        <f t="shared" si="38"/>
        <v>0</v>
      </c>
      <c r="AH96" s="533">
        <f t="shared" si="38"/>
        <v>0</v>
      </c>
      <c r="AI96" s="533">
        <f t="shared" si="38"/>
        <v>0</v>
      </c>
      <c r="AJ96" s="533">
        <f t="shared" si="38"/>
        <v>0</v>
      </c>
      <c r="AK96" s="533">
        <f t="shared" si="38"/>
        <v>0</v>
      </c>
      <c r="AL96" s="533">
        <f t="shared" si="38"/>
        <v>0</v>
      </c>
      <c r="AM96" s="18"/>
      <c r="AN96" s="18"/>
      <c r="AO96" s="18"/>
      <c r="AP96" s="18"/>
      <c r="AQ96" s="18"/>
      <c r="AR96" s="18"/>
      <c r="AS96" s="18"/>
      <c r="AT96" s="18"/>
    </row>
    <row r="97" spans="3:46"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outlineLevel="1" x14ac:dyDescent="0.45">
      <c r="P101" s="896">
        <f>SUM(P99:P100)</f>
        <v>7399</v>
      </c>
      <c r="Q101" s="1137">
        <f t="shared" ref="Q101:AK101" si="39">SUM(Q99:Q100)</f>
        <v>7399</v>
      </c>
      <c r="R101" s="1137">
        <f t="shared" si="39"/>
        <v>7399</v>
      </c>
      <c r="S101" s="1137">
        <f t="shared" si="39"/>
        <v>7399</v>
      </c>
      <c r="T101" s="1137">
        <f t="shared" si="39"/>
        <v>7399</v>
      </c>
      <c r="U101" s="1137">
        <f t="shared" si="39"/>
        <v>7399</v>
      </c>
      <c r="V101" s="1137">
        <f t="shared" si="39"/>
        <v>7399</v>
      </c>
      <c r="W101" s="1137">
        <f t="shared" si="39"/>
        <v>7399</v>
      </c>
      <c r="X101" s="1137">
        <f t="shared" si="39"/>
        <v>7399</v>
      </c>
      <c r="Y101" s="1137">
        <f t="shared" si="39"/>
        <v>7399</v>
      </c>
      <c r="Z101" s="1137">
        <f t="shared" si="39"/>
        <v>7399</v>
      </c>
      <c r="AA101" s="1137">
        <f t="shared" si="39"/>
        <v>7399</v>
      </c>
      <c r="AB101" s="1137">
        <f t="shared" si="39"/>
        <v>7399</v>
      </c>
      <c r="AC101" s="1137">
        <f t="shared" si="39"/>
        <v>7399</v>
      </c>
      <c r="AD101" s="1137">
        <f t="shared" si="39"/>
        <v>7399</v>
      </c>
      <c r="AE101" s="1137">
        <f t="shared" si="39"/>
        <v>7399</v>
      </c>
      <c r="AF101" s="896">
        <f t="shared" si="39"/>
        <v>7399</v>
      </c>
      <c r="AG101" s="896">
        <f t="shared" si="39"/>
        <v>7399</v>
      </c>
      <c r="AH101" s="896">
        <f t="shared" si="39"/>
        <v>7399</v>
      </c>
      <c r="AI101" s="896">
        <f t="shared" si="39"/>
        <v>7399</v>
      </c>
      <c r="AJ101" s="896">
        <f t="shared" si="39"/>
        <v>7399</v>
      </c>
      <c r="AK101" s="896">
        <f t="shared" si="39"/>
        <v>0</v>
      </c>
      <c r="AL101" s="18"/>
      <c r="AM101" s="18"/>
      <c r="AN101" s="18"/>
      <c r="AO101" s="18"/>
      <c r="AP101" s="18"/>
      <c r="AQ101" s="18"/>
      <c r="AR101" s="18"/>
      <c r="AS101" s="18"/>
      <c r="AT101" s="18"/>
    </row>
    <row r="102" spans="3:46"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Review'!$F$3:$W$3,'9b. Forecast Results - EC'!N$1,'11. Table - Expenditure Review'!$F210:$W210)</f>
        <v>8.2142341369943306E-2</v>
      </c>
      <c r="O104" s="800">
        <f>SUMIF('11. Table - Expenditure Review'!$F$3:$W$3,'9b. Forecast Results - EC'!O$1,'11. Table - Expenditure Review'!$F210:$W210)</f>
        <v>0.53381492294990063</v>
      </c>
      <c r="P104" s="800">
        <f>SUMIF('11. Table - Expenditure Review'!$F$3:$W$3,'9b. Forecast Results - EC'!P$1,'11. Table - Expenditure Review'!$F210:$W210)</f>
        <v>0.39757553272276625</v>
      </c>
      <c r="Q104" s="916">
        <f t="shared" ref="Q104:AL104" si="40">IF(Q19&lt;&gt;0,Q21/Q19,0)</f>
        <v>0.34269458893714638</v>
      </c>
      <c r="R104" s="916">
        <f t="shared" si="40"/>
        <v>0.34269458893714638</v>
      </c>
      <c r="S104" s="916">
        <f t="shared" si="40"/>
        <v>0.34269458893714638</v>
      </c>
      <c r="T104" s="916">
        <f t="shared" si="40"/>
        <v>0.34269458893714638</v>
      </c>
      <c r="U104" s="916">
        <f t="shared" si="40"/>
        <v>0.34269458893714638</v>
      </c>
      <c r="V104" s="916">
        <f t="shared" si="40"/>
        <v>0.34269458893714638</v>
      </c>
      <c r="W104" s="916">
        <f t="shared" si="40"/>
        <v>0.34269458893714638</v>
      </c>
      <c r="X104" s="916">
        <f t="shared" si="40"/>
        <v>0.34269458893714638</v>
      </c>
      <c r="Y104" s="916">
        <f t="shared" si="40"/>
        <v>0.34269458893714638</v>
      </c>
      <c r="Z104" s="916">
        <f t="shared" si="40"/>
        <v>0.34269458893714638</v>
      </c>
      <c r="AA104" s="916">
        <f t="shared" si="40"/>
        <v>0.34269458893714638</v>
      </c>
      <c r="AB104" s="916">
        <f t="shared" si="40"/>
        <v>0.34269458893714638</v>
      </c>
      <c r="AC104" s="916">
        <f t="shared" si="40"/>
        <v>0.34269458893714638</v>
      </c>
      <c r="AD104" s="916">
        <f t="shared" si="40"/>
        <v>0.34269458893714638</v>
      </c>
      <c r="AE104" s="916">
        <f t="shared" si="40"/>
        <v>0.34269458893714638</v>
      </c>
      <c r="AF104" s="916">
        <f t="shared" si="40"/>
        <v>0.34269458893714638</v>
      </c>
      <c r="AG104" s="916">
        <f t="shared" si="40"/>
        <v>0.34269458893714638</v>
      </c>
      <c r="AH104" s="916">
        <f t="shared" si="40"/>
        <v>0.34269458893714638</v>
      </c>
      <c r="AI104" s="916">
        <f t="shared" si="40"/>
        <v>0.34269458893714638</v>
      </c>
      <c r="AJ104" s="916">
        <f t="shared" si="40"/>
        <v>0.34269458893714638</v>
      </c>
      <c r="AK104" s="916">
        <f t="shared" si="40"/>
        <v>0</v>
      </c>
      <c r="AL104" s="916">
        <f t="shared" si="40"/>
        <v>0.34269458893714594</v>
      </c>
    </row>
    <row r="105" spans="3:46" x14ac:dyDescent="0.45">
      <c r="C105" t="str">
        <f>'11. Table - Expenditure Review'!C211</f>
        <v>E1.44</v>
      </c>
      <c r="D105" t="str">
        <f>'11. Table - Expenditure Review'!E211</f>
        <v>Rental Collections/Rentals Raised</v>
      </c>
      <c r="N105" s="800">
        <f>SUMIF('11. Table - Expenditure Review'!$F$3:$W$3,'9b. Forecast Results - EC'!N$1,'11. Table - Expenditure Review'!$F211:$W211)</f>
        <v>0.58054868799097703</v>
      </c>
      <c r="O105" s="800">
        <f>SUMIF('11. Table - Expenditure Review'!$F$3:$W$3,'9b. Forecast Results - EC'!O$1,'11. Table - Expenditure Review'!$F211:$W211)</f>
        <v>0.44324765713763226</v>
      </c>
      <c r="P105" s="800">
        <f>SUMIF('11. Table - Expenditure Review'!$F$3:$W$3,'9b. Forecast Results - EC'!P$1,'11. Table - Expenditure Review'!$F211:$W211)</f>
        <v>0.64104385848248757</v>
      </c>
      <c r="Q105" s="916">
        <f t="shared" ref="Q105:AL105" si="41">IF(Q23&lt;&gt;0,Q25/Q23,0)</f>
        <v>0.64104385848248757</v>
      </c>
      <c r="R105" s="916">
        <f t="shared" si="41"/>
        <v>0.64104385848248757</v>
      </c>
      <c r="S105" s="916">
        <f t="shared" si="41"/>
        <v>0.64104385848248757</v>
      </c>
      <c r="T105" s="916">
        <f t="shared" si="41"/>
        <v>0.64104385848248757</v>
      </c>
      <c r="U105" s="916">
        <f t="shared" si="41"/>
        <v>0.64104385848248768</v>
      </c>
      <c r="V105" s="916">
        <f t="shared" si="41"/>
        <v>0.64104385848248757</v>
      </c>
      <c r="W105" s="916">
        <f t="shared" si="41"/>
        <v>0.64104385848248768</v>
      </c>
      <c r="X105" s="916">
        <f t="shared" si="41"/>
        <v>0.64104385848248757</v>
      </c>
      <c r="Y105" s="916">
        <f t="shared" si="41"/>
        <v>0.64104385848248757</v>
      </c>
      <c r="Z105" s="916">
        <f t="shared" si="41"/>
        <v>0.64104385848248757</v>
      </c>
      <c r="AA105" s="916">
        <f t="shared" si="41"/>
        <v>0.64104385848248757</v>
      </c>
      <c r="AB105" s="916">
        <f t="shared" si="41"/>
        <v>0.64104385848248757</v>
      </c>
      <c r="AC105" s="916">
        <f t="shared" si="41"/>
        <v>0.64104385848248757</v>
      </c>
      <c r="AD105" s="916">
        <f t="shared" si="41"/>
        <v>0.64104385848248757</v>
      </c>
      <c r="AE105" s="916">
        <f t="shared" si="41"/>
        <v>0.64104385848248757</v>
      </c>
      <c r="AF105" s="916">
        <f t="shared" si="41"/>
        <v>0.64104385848248757</v>
      </c>
      <c r="AG105" s="916">
        <f t="shared" si="41"/>
        <v>0.64104385848248768</v>
      </c>
      <c r="AH105" s="916">
        <f t="shared" si="41"/>
        <v>0.64104385848248757</v>
      </c>
      <c r="AI105" s="916">
        <f t="shared" si="41"/>
        <v>0.64104385848248768</v>
      </c>
      <c r="AJ105" s="916">
        <f t="shared" si="41"/>
        <v>0</v>
      </c>
      <c r="AK105" s="916">
        <f t="shared" si="41"/>
        <v>0</v>
      </c>
      <c r="AL105" s="916">
        <f t="shared" si="41"/>
        <v>0.64104385848248757</v>
      </c>
    </row>
    <row r="106" spans="3:46" x14ac:dyDescent="0.45">
      <c r="C106" t="str">
        <f>'11. Table - Expenditure Review'!C212</f>
        <v>E1.45</v>
      </c>
      <c r="D106" t="str">
        <f>'11. Table - Expenditure Review'!E212</f>
        <v>No. of Sales Accounts Where Any Collections Were Made/Sales Accounts Raised</v>
      </c>
      <c r="N106" s="800">
        <f>SUMIF('11. Table - Expenditure Review'!$F$3:$W$3,'9b. Forecast Results - EC'!N$1,'11. Table - Expenditure Review'!$F212:$W212)</f>
        <v>0.14444444444444443</v>
      </c>
      <c r="O106" s="800">
        <f>SUMIF('11. Table - Expenditure Review'!$F$3:$W$3,'9b. Forecast Results - EC'!O$1,'11. Table - Expenditure Review'!$F212:$W212)</f>
        <v>0.14772727272727273</v>
      </c>
      <c r="P106" s="800">
        <f>SUMIF('11. Table - Expenditure Review'!$F$3:$W$3,'9b. Forecast Results - EC'!P$1,'11. Table - Expenditure Review'!$F212:$W212)</f>
        <v>0.12048192771084337</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Review'!$F$3:$W$3,'9b. Forecast Results - EC'!N$1,'11. Table - Expenditure Review'!$F213:$W213)</f>
        <v>0.73734939759036144</v>
      </c>
      <c r="O107" s="800">
        <f>SUMIF('11. Table - Expenditure Review'!$F$3:$W$3,'9b. Forecast Results - EC'!O$1,'11. Table - Expenditure Review'!$F213:$W213)</f>
        <v>0.4375</v>
      </c>
      <c r="P107" s="800">
        <f>SUMIF('11. Table - Expenditure Review'!$F$3:$W$3,'9b. Forecast Results - EC'!P$1,'11. Table - Expenditure Review'!$F213:$W213)</f>
        <v>0.54736842105263162</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Review'!$F$3:$W$3,'9b. Forecast Results - EC'!N$1,'11. Table - Expenditure Review'!$F214:$W214)</f>
        <v>0</v>
      </c>
      <c r="O108" s="800">
        <f>SUMIF('11. Table - Expenditure Review'!$F$3:$W$3,'9b. Forecast Results - EC'!O$1,'11. Table - Expenditure Review'!$F214:$W214)</f>
        <v>0.73369537590465173</v>
      </c>
      <c r="P108" s="800">
        <f>SUMIF('11. Table - Expenditure Review'!$F$3:$W$3,'9b. Forecast Results - EC'!P$1,'11. Table - Expenditure Review'!$F214:$W214)</f>
        <v>0.61576389611397953</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Review'!$F$3:$W$3,'9b. Forecast Results - EC'!N$1,'11. Table - Expenditure Review'!$F215:$W215)</f>
        <v>0</v>
      </c>
      <c r="O109" s="800">
        <f>SUMIF('11. Table - Expenditure Review'!$F$3:$W$3,'9b. Forecast Results - EC'!O$1,'11. Table - Expenditure Review'!$F215:$W215)</f>
        <v>0</v>
      </c>
      <c r="P109" s="800">
        <f>SUMIF('11. Table - Expenditure Review'!$F$3:$W$3,'9b. Forecast Results - EC'!P$1,'11.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Review'!$F$3:$W$3,'9b. Forecast Results - EC'!N$1,'11. Table - Expenditure Review'!$F216:$W216)</f>
        <v>1.5829116337490683</v>
      </c>
      <c r="O110" s="800">
        <f>SUMIF('11. Table - Expenditure Review'!$F$3:$W$3,'9b. Forecast Results - EC'!O$1,'11. Table - Expenditure Review'!$F216:$W216)</f>
        <v>5.1965915863976644</v>
      </c>
      <c r="P110" s="800">
        <f>SUMIF('11. Table - Expenditure Review'!$F$3:$W$3,'9b. Forecast Results - EC'!P$1,'11. Table - Expenditure Review'!$F216:$W216)</f>
        <v>10.286667956766635</v>
      </c>
      <c r="Q110" s="914">
        <f t="shared" ref="Q110:AL110" si="42">IF(Q28&lt;&gt;0,Q47/Q28,0)</f>
        <v>14.903687229078097</v>
      </c>
      <c r="R110" s="914">
        <f t="shared" si="42"/>
        <v>12.987335853987679</v>
      </c>
      <c r="S110" s="914">
        <f t="shared" si="42"/>
        <v>10.364376542058224</v>
      </c>
      <c r="T110" s="914">
        <f t="shared" si="42"/>
        <v>41.951001599321074</v>
      </c>
      <c r="U110" s="914">
        <f t="shared" si="42"/>
        <v>43.274312735811158</v>
      </c>
      <c r="V110" s="914">
        <f t="shared" si="42"/>
        <v>44.535838586675467</v>
      </c>
      <c r="W110" s="914">
        <f t="shared" si="42"/>
        <v>45.710091788261558</v>
      </c>
      <c r="X110" s="914">
        <f t="shared" si="42"/>
        <v>46.765776785148908</v>
      </c>
      <c r="Y110" s="914">
        <f t="shared" si="42"/>
        <v>47.664400617260711</v>
      </c>
      <c r="Z110" s="914">
        <f t="shared" si="42"/>
        <v>48.358493201936867</v>
      </c>
      <c r="AA110" s="914">
        <f t="shared" si="42"/>
        <v>48.78930517164364</v>
      </c>
      <c r="AB110" s="914">
        <f t="shared" si="42"/>
        <v>48.883798003283481</v>
      </c>
      <c r="AC110" s="914">
        <f t="shared" si="42"/>
        <v>48.550662331425265</v>
      </c>
      <c r="AD110" s="914">
        <f t="shared" si="42"/>
        <v>47.674981645319868</v>
      </c>
      <c r="AE110" s="914">
        <f t="shared" si="42"/>
        <v>46.110976320432933</v>
      </c>
      <c r="AF110" s="914">
        <f t="shared" si="42"/>
        <v>43.671976924839043</v>
      </c>
      <c r="AG110" s="914">
        <f t="shared" si="42"/>
        <v>40.116315899749715</v>
      </c>
      <c r="AH110" s="914">
        <f t="shared" si="42"/>
        <v>35.127067153792417</v>
      </c>
      <c r="AI110" s="914">
        <f t="shared" si="42"/>
        <v>28.282269830527227</v>
      </c>
      <c r="AJ110" s="914">
        <f t="shared" si="42"/>
        <v>0.73343763538766493</v>
      </c>
      <c r="AK110" s="914">
        <f t="shared" si="42"/>
        <v>0</v>
      </c>
      <c r="AL110" s="914">
        <f t="shared" si="42"/>
        <v>26.868647459441291</v>
      </c>
    </row>
    <row r="111" spans="3:46" x14ac:dyDescent="0.45">
      <c r="C111" t="str">
        <f>'11. Table - Expenditure Review'!C217</f>
        <v>E1.50</v>
      </c>
      <c r="D111" t="str">
        <f>'11. Table - Expenditure Review'!E217</f>
        <v>Maintenance as % of Expenses</v>
      </c>
      <c r="N111" s="800">
        <f>SUMIF('11. Table - Expenditure Review'!$F$3:$W$3,'9b. Forecast Results - EC'!N$1,'11. Table - Expenditure Review'!$F217:$W217)</f>
        <v>0</v>
      </c>
      <c r="O111" s="800">
        <f>SUMIF('11. Table - Expenditure Review'!$F$3:$W$3,'9b. Forecast Results - EC'!O$1,'11. Table - Expenditure Review'!$F217:$W217)</f>
        <v>0</v>
      </c>
      <c r="P111" s="800">
        <f>SUMIF('11. Table - Expenditure Review'!$F$3:$W$3,'9b. Forecast Results - EC'!P$1,'11. Table - Expenditure Review'!$F217:$W217)</f>
        <v>0</v>
      </c>
      <c r="Q111" s="914">
        <f t="shared" ref="Q111:AL111" si="43">IF(Q47&lt;&gt;0,Q33/Q47,0)</f>
        <v>0</v>
      </c>
      <c r="R111" s="914">
        <f t="shared" si="43"/>
        <v>0</v>
      </c>
      <c r="S111" s="914">
        <f t="shared" si="43"/>
        <v>0</v>
      </c>
      <c r="T111" s="914">
        <f t="shared" si="43"/>
        <v>0</v>
      </c>
      <c r="U111" s="914">
        <f t="shared" si="43"/>
        <v>0</v>
      </c>
      <c r="V111" s="914">
        <f t="shared" si="43"/>
        <v>0</v>
      </c>
      <c r="W111" s="914">
        <f t="shared" si="43"/>
        <v>0</v>
      </c>
      <c r="X111" s="914">
        <f t="shared" si="43"/>
        <v>0</v>
      </c>
      <c r="Y111" s="914">
        <f t="shared" si="43"/>
        <v>0</v>
      </c>
      <c r="Z111" s="914">
        <f t="shared" si="43"/>
        <v>0</v>
      </c>
      <c r="AA111" s="914">
        <f t="shared" si="43"/>
        <v>0</v>
      </c>
      <c r="AB111" s="914">
        <f t="shared" si="43"/>
        <v>0</v>
      </c>
      <c r="AC111" s="914">
        <f t="shared" si="43"/>
        <v>0</v>
      </c>
      <c r="AD111" s="914">
        <f t="shared" si="43"/>
        <v>0</v>
      </c>
      <c r="AE111" s="914">
        <f t="shared" si="43"/>
        <v>0</v>
      </c>
      <c r="AF111" s="914">
        <f t="shared" si="43"/>
        <v>0</v>
      </c>
      <c r="AG111" s="914">
        <f t="shared" si="43"/>
        <v>0</v>
      </c>
      <c r="AH111" s="914">
        <f t="shared" si="43"/>
        <v>0</v>
      </c>
      <c r="AI111" s="914">
        <f t="shared" si="43"/>
        <v>0</v>
      </c>
      <c r="AJ111" s="914">
        <f t="shared" si="43"/>
        <v>0</v>
      </c>
      <c r="AK111" s="914">
        <f t="shared" si="43"/>
        <v>0</v>
      </c>
      <c r="AL111" s="914">
        <f t="shared" si="43"/>
        <v>0</v>
      </c>
    </row>
    <row r="112" spans="3:46" x14ac:dyDescent="0.45">
      <c r="C112" t="str">
        <f>'11. Table - Expenditure Review'!C218</f>
        <v>E1.51</v>
      </c>
      <c r="D112" t="str">
        <f>'11. Table - Expenditure Review'!E218</f>
        <v>Maintenance Cost per Unit</v>
      </c>
      <c r="N112" s="801">
        <f>SUMIF('11. Table - Expenditure Review'!$F$3:$W$3,'9b. Forecast Results - EC'!N$1,'11. Table - Expenditure Review'!$F218:$W218)</f>
        <v>0</v>
      </c>
      <c r="O112" s="801">
        <f>SUMIF('11. Table - Expenditure Review'!$F$3:$W$3,'9b. Forecast Results - EC'!O$1,'11. Table - Expenditure Review'!$F218:$W218)</f>
        <v>0</v>
      </c>
      <c r="P112" s="801">
        <f>SUMIF('11. Table - Expenditure Review'!$F$3:$W$3,'9b. Forecast Results - EC'!P$1,'11. Table - Expenditure Review'!$F218:$W218)</f>
        <v>0</v>
      </c>
      <c r="Q112" s="566">
        <f t="shared" ref="Q112:AL112" si="44">IF(Q13&lt;&gt;0,Q33/Q13,0)</f>
        <v>0</v>
      </c>
      <c r="R112" s="566">
        <f t="shared" si="44"/>
        <v>0</v>
      </c>
      <c r="S112" s="566">
        <f t="shared" si="44"/>
        <v>0</v>
      </c>
      <c r="T112" s="566">
        <f t="shared" si="44"/>
        <v>0</v>
      </c>
      <c r="U112" s="566">
        <f t="shared" si="44"/>
        <v>0</v>
      </c>
      <c r="V112" s="566">
        <f t="shared" si="44"/>
        <v>0</v>
      </c>
      <c r="W112" s="566">
        <f t="shared" si="44"/>
        <v>0</v>
      </c>
      <c r="X112" s="566">
        <f t="shared" si="44"/>
        <v>0</v>
      </c>
      <c r="Y112" s="566">
        <f t="shared" si="44"/>
        <v>0</v>
      </c>
      <c r="Z112" s="566">
        <f t="shared" si="44"/>
        <v>0</v>
      </c>
      <c r="AA112" s="566">
        <f t="shared" si="44"/>
        <v>0</v>
      </c>
      <c r="AB112" s="566">
        <f t="shared" si="44"/>
        <v>0</v>
      </c>
      <c r="AC112" s="566">
        <f t="shared" si="44"/>
        <v>0</v>
      </c>
      <c r="AD112" s="566">
        <f t="shared" si="44"/>
        <v>0</v>
      </c>
      <c r="AE112" s="566">
        <f t="shared" si="44"/>
        <v>0</v>
      </c>
      <c r="AF112" s="566">
        <f t="shared" si="44"/>
        <v>0</v>
      </c>
      <c r="AG112" s="566">
        <f t="shared" si="44"/>
        <v>0</v>
      </c>
      <c r="AH112" s="566">
        <f t="shared" si="44"/>
        <v>0</v>
      </c>
      <c r="AI112" s="566">
        <f t="shared" si="44"/>
        <v>0</v>
      </c>
      <c r="AJ112" s="566">
        <f t="shared" si="44"/>
        <v>0</v>
      </c>
      <c r="AK112" s="566">
        <f t="shared" si="44"/>
        <v>0</v>
      </c>
      <c r="AL112" s="566">
        <f t="shared" si="44"/>
        <v>0</v>
      </c>
    </row>
    <row r="113" spans="1:38" x14ac:dyDescent="0.45">
      <c r="C113" t="str">
        <f>'11. Table - Expenditure Review'!C219</f>
        <v>E1.52</v>
      </c>
      <c r="D113" t="str">
        <f>'11. Table - Expenditure Review'!E219</f>
        <v>Net Deficit as % of HSDG Grant -  NDoHS Calc  (excl staff costs)</v>
      </c>
      <c r="N113" s="802">
        <f>SUMIF('11. Table - Expenditure Review'!$F$3:$W$3,'9b. Forecast Results - EC'!N$1,'11. Table - Expenditure Review'!$F219:$W219)</f>
        <v>3.4563440450780035E-3</v>
      </c>
      <c r="O113" s="802">
        <f>SUMIF('11. Table - Expenditure Review'!$F$3:$W$3,'9b. Forecast Results - EC'!O$1,'11. Table - Expenditure Review'!$F219:$W219)</f>
        <v>3.9721327001343244E-3</v>
      </c>
      <c r="P113" s="802">
        <f>SUMIF('11. Table - Expenditure Review'!$F$3:$W$3,'9b. Forecast Results - EC'!P$1,'11. Table - Expenditure Review'!$F219:$W219)</f>
        <v>0</v>
      </c>
      <c r="Q113" s="915">
        <f t="shared" ref="Q113:AL113" si="45">IF(Q71&lt;&gt;0,-Q48/Q71,0)</f>
        <v>3.6755906435099136E-3</v>
      </c>
      <c r="R113" s="915">
        <f t="shared" si="45"/>
        <v>2.9549833889111364E-3</v>
      </c>
      <c r="S113" s="915">
        <f t="shared" si="45"/>
        <v>2.141227253416444E-3</v>
      </c>
      <c r="T113" s="915">
        <f t="shared" si="45"/>
        <v>2.2588481042169284E-3</v>
      </c>
      <c r="U113" s="915">
        <f t="shared" si="45"/>
        <v>2.2479877929031931E-3</v>
      </c>
      <c r="V113" s="915">
        <f t="shared" si="45"/>
        <v>2.2287147813265843E-3</v>
      </c>
      <c r="W113" s="915">
        <f t="shared" si="45"/>
        <v>2.2001425251848201E-3</v>
      </c>
      <c r="X113" s="915">
        <f t="shared" si="45"/>
        <v>2.1613124087206635E-3</v>
      </c>
      <c r="Y113" s="915">
        <f t="shared" si="45"/>
        <v>2.1111884986583914E-3</v>
      </c>
      <c r="Z113" s="915">
        <f t="shared" si="45"/>
        <v>2.048651939089425E-3</v>
      </c>
      <c r="AA113" s="915">
        <f t="shared" si="45"/>
        <v>1.9724949636808755E-3</v>
      </c>
      <c r="AB113" s="915">
        <f t="shared" si="45"/>
        <v>1.8814145000679982E-3</v>
      </c>
      <c r="AC113" s="915">
        <f t="shared" si="45"/>
        <v>1.7740053396838355E-3</v>
      </c>
      <c r="AD113" s="915">
        <f t="shared" si="45"/>
        <v>1.648752844570887E-3</v>
      </c>
      <c r="AE113" s="915">
        <f t="shared" si="45"/>
        <v>1.5040251609040583E-3</v>
      </c>
      <c r="AF113" s="915">
        <f t="shared" si="45"/>
        <v>1.3380649070250507E-3</v>
      </c>
      <c r="AG113" s="915">
        <f t="shared" si="45"/>
        <v>1.1489803017385256E-3</v>
      </c>
      <c r="AH113" s="915">
        <f t="shared" si="45"/>
        <v>9.3473569644255121E-4</v>
      </c>
      <c r="AI113" s="915">
        <f t="shared" si="45"/>
        <v>6.9314147235199084E-4</v>
      </c>
      <c r="AJ113" s="915">
        <f t="shared" si="45"/>
        <v>-1.1429750258696537E-5</v>
      </c>
      <c r="AK113" s="915">
        <f t="shared" si="45"/>
        <v>0</v>
      </c>
      <c r="AL113" s="915">
        <f t="shared" si="45"/>
        <v>1.757753941530694E-3</v>
      </c>
    </row>
    <row r="114" spans="1:38" x14ac:dyDescent="0.45">
      <c r="C114" t="str">
        <f>'11. Table - Expenditure Review'!C220</f>
        <v>E1.53</v>
      </c>
      <c r="D114" t="str">
        <f>'11. Table - Expenditure Review'!E220</f>
        <v>Net Deficit (Surplus) as % of HSDG Grant - Calculated Above</v>
      </c>
      <c r="N114" s="802">
        <f>SUMIF('11. Table - Expenditure Review'!$F$3:$W$3,'9b. Forecast Results - EC'!N$1,'11. Table - Expenditure Review'!$F220:$W220)</f>
        <v>1.5089547282414676E-3</v>
      </c>
      <c r="O114" s="802">
        <f>SUMIF('11. Table - Expenditure Review'!$F$3:$W$3,'9b. Forecast Results - EC'!O$1,'11. Table - Expenditure Review'!$F220:$W220)</f>
        <v>3.7552792514621448E-3</v>
      </c>
      <c r="P114" s="802">
        <f>SUMIF('11. Table - Expenditure Review'!$F$3:$W$3,'9b. Forecast Results - EC'!P$1,'11. Table - Expenditure Review'!$F220:$W220)</f>
        <v>4.1024540930452427E-3</v>
      </c>
      <c r="Q114" s="915">
        <f t="shared" ref="Q114:AL114" si="46">IF(Q71&lt;&gt;0,-Q48/Q71,0)</f>
        <v>3.6755906435099136E-3</v>
      </c>
      <c r="R114" s="915">
        <f t="shared" si="46"/>
        <v>2.9549833889111364E-3</v>
      </c>
      <c r="S114" s="915">
        <f t="shared" si="46"/>
        <v>2.141227253416444E-3</v>
      </c>
      <c r="T114" s="915">
        <f t="shared" si="46"/>
        <v>2.2588481042169284E-3</v>
      </c>
      <c r="U114" s="915">
        <f t="shared" si="46"/>
        <v>2.2479877929031931E-3</v>
      </c>
      <c r="V114" s="915">
        <f t="shared" si="46"/>
        <v>2.2287147813265843E-3</v>
      </c>
      <c r="W114" s="915">
        <f t="shared" si="46"/>
        <v>2.2001425251848201E-3</v>
      </c>
      <c r="X114" s="915">
        <f t="shared" si="46"/>
        <v>2.1613124087206635E-3</v>
      </c>
      <c r="Y114" s="915">
        <f t="shared" si="46"/>
        <v>2.1111884986583914E-3</v>
      </c>
      <c r="Z114" s="915">
        <f t="shared" si="46"/>
        <v>2.048651939089425E-3</v>
      </c>
      <c r="AA114" s="915">
        <f t="shared" si="46"/>
        <v>1.9724949636808755E-3</v>
      </c>
      <c r="AB114" s="915">
        <f t="shared" si="46"/>
        <v>1.8814145000679982E-3</v>
      </c>
      <c r="AC114" s="915">
        <f t="shared" si="46"/>
        <v>1.7740053396838355E-3</v>
      </c>
      <c r="AD114" s="915">
        <f t="shared" si="46"/>
        <v>1.648752844570887E-3</v>
      </c>
      <c r="AE114" s="915">
        <f t="shared" si="46"/>
        <v>1.5040251609040583E-3</v>
      </c>
      <c r="AF114" s="915">
        <f t="shared" si="46"/>
        <v>1.3380649070250507E-3</v>
      </c>
      <c r="AG114" s="915">
        <f t="shared" si="46"/>
        <v>1.1489803017385256E-3</v>
      </c>
      <c r="AH114" s="915">
        <f t="shared" si="46"/>
        <v>9.3473569644255121E-4</v>
      </c>
      <c r="AI114" s="915">
        <f t="shared" si="46"/>
        <v>6.9314147235199084E-4</v>
      </c>
      <c r="AJ114" s="915">
        <f t="shared" si="46"/>
        <v>-1.1429750258696537E-5</v>
      </c>
      <c r="AK114" s="915">
        <f t="shared" si="46"/>
        <v>0</v>
      </c>
      <c r="AL114" s="915">
        <f t="shared" si="46"/>
        <v>1.757753941530694E-3</v>
      </c>
    </row>
    <row r="115" spans="1:38" x14ac:dyDescent="0.45">
      <c r="C115" t="str">
        <f>'11. Table - Expenditure Review'!C221</f>
        <v>E1.54</v>
      </c>
      <c r="D115" t="str">
        <f>'11. Table - Expenditure Review'!E221</f>
        <v>EEDBS as % of HSDG</v>
      </c>
      <c r="N115" s="802">
        <f>SUMIF('11. Table - Expenditure Review'!$F$3:$W$3,'9b. Forecast Results - EC'!N$1,'11. Table - Expenditure Review'!$F221:$W221)</f>
        <v>2.2093895601201837E-3</v>
      </c>
      <c r="O115" s="802">
        <f>SUMIF('11. Table - Expenditure Review'!$F$3:$W$3,'9b. Forecast Results - EC'!O$1,'11. Table - Expenditure Review'!$F221:$W221)</f>
        <v>5.1987446911838338E-4</v>
      </c>
      <c r="P115" s="802">
        <f>SUMIF('11. Table - Expenditure Review'!$F$3:$W$3,'9b. Forecast Results - EC'!P$1,'11. Table - Expenditure Review'!$F221:$W221)</f>
        <v>1.2728377353218767E-4</v>
      </c>
      <c r="Q115" s="580">
        <f t="shared" ref="Q115:AL115" si="47">IF(Q71&lt;&gt;0,Q67/Q71,0)</f>
        <v>8.5450080071950579E-5</v>
      </c>
      <c r="R115" s="580">
        <f t="shared" si="47"/>
        <v>8.5450080071950579E-5</v>
      </c>
      <c r="S115" s="580">
        <f t="shared" si="47"/>
        <v>8.5450080071950579E-5</v>
      </c>
      <c r="T115" s="580">
        <f t="shared" si="47"/>
        <v>9.4944533413278436E-6</v>
      </c>
      <c r="U115" s="580">
        <f t="shared" si="47"/>
        <v>9.4944533413278436E-6</v>
      </c>
      <c r="V115" s="580">
        <f t="shared" si="47"/>
        <v>9.4944533413278436E-6</v>
      </c>
      <c r="W115" s="580">
        <f t="shared" si="47"/>
        <v>9.4944533413278436E-6</v>
      </c>
      <c r="X115" s="580">
        <f t="shared" si="47"/>
        <v>9.4944533413278436E-6</v>
      </c>
      <c r="Y115" s="580">
        <f t="shared" si="47"/>
        <v>9.4944533413278436E-6</v>
      </c>
      <c r="Z115" s="580">
        <f t="shared" si="47"/>
        <v>9.4944533413278436E-6</v>
      </c>
      <c r="AA115" s="580">
        <f t="shared" si="47"/>
        <v>9.4944533413278436E-6</v>
      </c>
      <c r="AB115" s="580">
        <f t="shared" si="47"/>
        <v>9.4944533413278436E-6</v>
      </c>
      <c r="AC115" s="580">
        <f t="shared" si="47"/>
        <v>9.4944533413278436E-6</v>
      </c>
      <c r="AD115" s="580">
        <f t="shared" si="47"/>
        <v>9.4944533413278436E-6</v>
      </c>
      <c r="AE115" s="580">
        <f t="shared" si="47"/>
        <v>9.4944533413278436E-6</v>
      </c>
      <c r="AF115" s="580">
        <f t="shared" si="47"/>
        <v>9.4944533413278436E-6</v>
      </c>
      <c r="AG115" s="580">
        <f t="shared" si="47"/>
        <v>9.4944533413278436E-6</v>
      </c>
      <c r="AH115" s="580">
        <f t="shared" si="47"/>
        <v>9.4944533413278436E-6</v>
      </c>
      <c r="AI115" s="580">
        <f t="shared" si="47"/>
        <v>9.4944533413278436E-6</v>
      </c>
      <c r="AJ115" s="580">
        <f t="shared" si="47"/>
        <v>6.4001665926913618E-3</v>
      </c>
      <c r="AK115" s="580">
        <f t="shared" si="47"/>
        <v>0</v>
      </c>
      <c r="AL115" s="580">
        <f t="shared" si="47"/>
        <v>3.2421086125564088E-4</v>
      </c>
    </row>
    <row r="116" spans="1:38" x14ac:dyDescent="0.45">
      <c r="C116" t="str">
        <f>'11. Table - Expenditure Review'!C222</f>
        <v>E1.55</v>
      </c>
      <c r="D116" t="str">
        <f>'11. Table - Expenditure Review'!E222</f>
        <v>Debtors Balance as % of Rental Raised</v>
      </c>
      <c r="N116" s="802">
        <f>SUMIF('11. Table - Expenditure Review'!$F$3:$W$3,'9b. Forecast Results - EC'!N$1,'11. Table - Expenditure Review'!$F222:$W222)</f>
        <v>0</v>
      </c>
      <c r="O116" s="802">
        <f>SUMIF('11. Table - Expenditure Review'!$F$3:$W$3,'9b. Forecast Results - EC'!O$1,'11. Table - Expenditure Review'!$F222:$W222)</f>
        <v>0</v>
      </c>
      <c r="P116" s="802">
        <f>SUMIF('11. Table - Expenditure Review'!$F$3:$W$3,'9b. Forecast Results - EC'!P$1,'11. Table - Expenditure Review'!$F222:$W222)</f>
        <v>2.969529822694787</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Review'!$F$3:$W$3,'9b. Forecast Results - EC'!N$1,'11. Table - Expenditure Review'!$F223:$W223)</f>
        <v>0</v>
      </c>
      <c r="O117" s="801">
        <f>SUMIF('11. Table - Expenditure Review'!$F$3:$W$3,'9b. Forecast Results - EC'!O$1,'11. Table - Expenditure Review'!$F223:$W223)</f>
        <v>0</v>
      </c>
      <c r="P117" s="801">
        <f>SUMIF('11. Table - Expenditure Review'!$F$3:$W$3,'9b. Forecast Results - EC'!P$1,'11. Table - Expenditure Review'!$F223:$W223)</f>
        <v>10360.684342592593</v>
      </c>
      <c r="Q117" s="566">
        <f t="shared" ref="Q117:AL117" si="48">IF(Q13&lt;&gt;0,Q47/Q13/12,0)</f>
        <v>11228.734087135417</v>
      </c>
      <c r="R117" s="566">
        <f t="shared" si="48"/>
        <v>12165.531858895216</v>
      </c>
      <c r="S117" s="566">
        <f t="shared" si="48"/>
        <v>13508.184818735564</v>
      </c>
      <c r="T117" s="566">
        <f t="shared" si="48"/>
        <v>13965.559347477078</v>
      </c>
      <c r="U117" s="566">
        <f t="shared" si="48"/>
        <v>14756.046384700174</v>
      </c>
      <c r="V117" s="566">
        <f t="shared" si="48"/>
        <v>15594.389478076095</v>
      </c>
      <c r="W117" s="566">
        <f t="shared" si="48"/>
        <v>16484.346467415267</v>
      </c>
      <c r="X117" s="566">
        <f t="shared" si="48"/>
        <v>17430.262647300948</v>
      </c>
      <c r="Y117" s="566">
        <f t="shared" si="48"/>
        <v>18437.270686578067</v>
      </c>
      <c r="Z117" s="566">
        <f t="shared" si="48"/>
        <v>19511.596245908986</v>
      </c>
      <c r="AA117" s="566">
        <f t="shared" si="48"/>
        <v>20661.043039640488</v>
      </c>
      <c r="AB117" s="566">
        <f t="shared" si="48"/>
        <v>21895.796623198115</v>
      </c>
      <c r="AC117" s="566">
        <f t="shared" si="48"/>
        <v>23229.825447821699</v>
      </c>
      <c r="AD117" s="566">
        <f t="shared" si="48"/>
        <v>24683.476032916366</v>
      </c>
      <c r="AE117" s="566">
        <f t="shared" si="48"/>
        <v>26288.654875613454</v>
      </c>
      <c r="AF117" s="566">
        <f t="shared" si="48"/>
        <v>28100.217868901851</v>
      </c>
      <c r="AG117" s="566">
        <f t="shared" si="48"/>
        <v>30224.429489834118</v>
      </c>
      <c r="AH117" s="566">
        <f t="shared" si="48"/>
        <v>32904.319975509177</v>
      </c>
      <c r="AI117" s="566">
        <f t="shared" si="48"/>
        <v>36861.081456641332</v>
      </c>
      <c r="AJ117" s="566">
        <f t="shared" si="48"/>
        <v>0</v>
      </c>
      <c r="AK117" s="566">
        <f t="shared" si="48"/>
        <v>0</v>
      </c>
      <c r="AL117" s="566">
        <f t="shared" si="48"/>
        <v>0</v>
      </c>
    </row>
    <row r="118" spans="1:38" x14ac:dyDescent="0.45">
      <c r="C118" t="str">
        <f>'11. Table - Expenditure Review'!C224</f>
        <v>E1.57</v>
      </c>
      <c r="D118" t="str">
        <f>'11. Table - Expenditure Review'!E224</f>
        <v>Net Surplus/Deficit p.u.p.m.</v>
      </c>
      <c r="N118" s="801">
        <f>SUMIF('11. Table - Expenditure Review'!$F$3:$W$3,'9b. Forecast Results - EC'!N$1,'11. Table - Expenditure Review'!$F224:$W224)</f>
        <v>0</v>
      </c>
      <c r="O118" s="801">
        <f>SUMIF('11. Table - Expenditure Review'!$F$3:$W$3,'9b. Forecast Results - EC'!O$1,'11. Table - Expenditure Review'!$F224:$W224)</f>
        <v>0</v>
      </c>
      <c r="P118" s="801">
        <f>SUMIF('11. Table - Expenditure Review'!$F$3:$W$3,'9b. Forecast Results - EC'!P$1,'11. Table - Expenditure Review'!$F224:$W224)</f>
        <v>-9353.4889722222215</v>
      </c>
      <c r="Q118" s="566">
        <f t="shared" ref="Q118:AL118" si="49">IF(Q13&lt;&gt;0,Q48/Q13/12,0)</f>
        <v>-10475.314217639807</v>
      </c>
      <c r="R118" s="566">
        <f t="shared" si="49"/>
        <v>-11228.809193394896</v>
      </c>
      <c r="S118" s="566">
        <f t="shared" si="49"/>
        <v>-12204.856561225824</v>
      </c>
      <c r="T118" s="566">
        <f t="shared" si="49"/>
        <v>-13632.657657051093</v>
      </c>
      <c r="U118" s="566">
        <f t="shared" si="49"/>
        <v>-14415.05780621516</v>
      </c>
      <c r="V118" s="566">
        <f t="shared" si="49"/>
        <v>-15244.235759790843</v>
      </c>
      <c r="W118" s="566">
        <f t="shared" si="49"/>
        <v>-16123.718303644035</v>
      </c>
      <c r="X118" s="566">
        <f t="shared" si="49"/>
        <v>-17057.548584892043</v>
      </c>
      <c r="Y118" s="566">
        <f t="shared" si="49"/>
        <v>-18050.456409091876</v>
      </c>
      <c r="Z118" s="566">
        <f t="shared" si="49"/>
        <v>-19108.118077876916</v>
      </c>
      <c r="AA118" s="566">
        <f t="shared" si="49"/>
        <v>-20237.568202953353</v>
      </c>
      <c r="AB118" s="566">
        <f t="shared" si="49"/>
        <v>-21447.881413710355</v>
      </c>
      <c r="AC118" s="566">
        <f t="shared" si="49"/>
        <v>-22751.359772333151</v>
      </c>
      <c r="AD118" s="566">
        <f t="shared" si="49"/>
        <v>-24165.731186855381</v>
      </c>
      <c r="AE118" s="566">
        <f t="shared" si="49"/>
        <v>-25718.537802122552</v>
      </c>
      <c r="AF118" s="566">
        <f t="shared" si="49"/>
        <v>-27456.779677009064</v>
      </c>
      <c r="AG118" s="566">
        <f t="shared" si="49"/>
        <v>-29471.009620338507</v>
      </c>
      <c r="AH118" s="566">
        <f t="shared" si="49"/>
        <v>-31967.597310008856</v>
      </c>
      <c r="AI118" s="566">
        <f t="shared" si="49"/>
        <v>-35557.753199131592</v>
      </c>
      <c r="AJ118" s="566">
        <f t="shared" si="49"/>
        <v>0</v>
      </c>
      <c r="AK118" s="566">
        <f t="shared" si="49"/>
        <v>0</v>
      </c>
      <c r="AL118" s="566">
        <f t="shared" si="49"/>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5576064</v>
      </c>
      <c r="O127" s="615">
        <f>SUMIF('10. Inputs &amp; Calcs'!$D$143:$D$148,$E$10,'10. Inputs &amp; Calcs'!G$143:G$148)</f>
        <v>1243913</v>
      </c>
      <c r="P127" s="615">
        <f>SUMIF('10. Inputs &amp; Calcs'!$D$143:$D$148,$E$10,'10. Inputs &amp; Calcs'!H$143:H$148)</f>
        <v>313420</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103109.91</v>
      </c>
      <c r="O128" s="615">
        <f>SUMIF('10. Inputs &amp; Calcs'!$D$432:$D$437,$E$10,'10. Inputs &amp; Calcs'!G$432:G$437)</f>
        <v>699694.66999999993</v>
      </c>
      <c r="P128" s="615">
        <f>SUMIF('10. Inputs &amp; Calcs'!$D$432:$D$437,$E$10,'10. Inputs &amp; Calcs'!H$432:H$437)</f>
        <v>554558.53</v>
      </c>
      <c r="Q128" s="615">
        <f>SUMIF('10. Inputs &amp; Calcs'!$D$432:$D$437,$E$10,'10. Inputs &amp; Calcs'!I$432:I$437)</f>
        <v>475120.84724420751</v>
      </c>
      <c r="R128" s="615">
        <f>SUMIF('10. Inputs &amp; Calcs'!$D$432:$D$437,$E$10,'10. Inputs &amp; Calcs'!J$432:J$437)</f>
        <v>475120.84724420751</v>
      </c>
      <c r="S128" s="615">
        <f>SUMIF('10. Inputs &amp; Calcs'!$D$432:$D$437,$E$10,'10. Inputs &amp; Calcs'!K$432:K$437)</f>
        <v>475120.84724420751</v>
      </c>
      <c r="T128" s="615">
        <f>SUMIF('10. Inputs &amp; Calcs'!$D$432:$D$437,$E$10,'10. Inputs &amp; Calcs'!L$432:L$437)</f>
        <v>52791.205249356397</v>
      </c>
      <c r="U128" s="615">
        <f>SUMIF('10. Inputs &amp; Calcs'!$D$432:$D$437,$E$10,'10. Inputs &amp; Calcs'!M$432:M$437)</f>
        <v>52791.205249356397</v>
      </c>
      <c r="V128" s="615">
        <f>SUMIF('10. Inputs &amp; Calcs'!$D$432:$D$437,$E$10,'10. Inputs &amp; Calcs'!N$432:N$437)</f>
        <v>52791.205249356397</v>
      </c>
      <c r="W128" s="615">
        <f>SUMIF('10. Inputs &amp; Calcs'!$D$432:$D$437,$E$10,'10. Inputs &amp; Calcs'!O$432:O$437)</f>
        <v>52791.205249356397</v>
      </c>
      <c r="X128" s="615">
        <f>SUMIF('10. Inputs &amp; Calcs'!$D$432:$D$437,$E$10,'10. Inputs &amp; Calcs'!P$432:P$437)</f>
        <v>52791.205249356397</v>
      </c>
      <c r="Y128" s="615">
        <f>SUMIF('10. Inputs &amp; Calcs'!$D$432:$D$437,$E$10,'10. Inputs &amp; Calcs'!Q$432:Q$437)</f>
        <v>52791.205249356397</v>
      </c>
      <c r="Z128" s="615">
        <f>SUMIF('10. Inputs &amp; Calcs'!$D$432:$D$437,$E$10,'10. Inputs &amp; Calcs'!R$432:R$437)</f>
        <v>52791.205249356397</v>
      </c>
      <c r="AA128" s="615">
        <f>SUMIF('10. Inputs &amp; Calcs'!$D$432:$D$437,$E$10,'10. Inputs &amp; Calcs'!S$432:S$437)</f>
        <v>52791.205249356397</v>
      </c>
      <c r="AB128" s="615">
        <f>SUMIF('10. Inputs &amp; Calcs'!$D$432:$D$437,$E$10,'10. Inputs &amp; Calcs'!T$432:T$437)</f>
        <v>52791.205249356397</v>
      </c>
      <c r="AC128" s="615">
        <f>SUMIF('10. Inputs &amp; Calcs'!$D$432:$D$437,$E$10,'10. Inputs &amp; Calcs'!U$432:U$437)</f>
        <v>52791.205249356397</v>
      </c>
      <c r="AD128" s="615">
        <f>SUMIF('10. Inputs &amp; Calcs'!$D$432:$D$437,$E$10,'10. Inputs &amp; Calcs'!V$432:V$437)</f>
        <v>52791.205249356397</v>
      </c>
      <c r="AE128" s="615">
        <f>SUMIF('10. Inputs &amp; Calcs'!$D$432:$D$437,$E$10,'10. Inputs &amp; Calcs'!W$432:W$437)</f>
        <v>52791.205249356397</v>
      </c>
      <c r="AF128" s="615">
        <f>SUMIF('10. Inputs &amp; Calcs'!$D$432:$D$437,$E$10,'10. Inputs &amp; Calcs'!X$432:X$437)</f>
        <v>52791.205249356397</v>
      </c>
      <c r="AG128" s="615">
        <f>SUMIF('10. Inputs &amp; Calcs'!$D$432:$D$437,$E$10,'10. Inputs &amp; Calcs'!Y$432:Y$437)</f>
        <v>52791.205249356397</v>
      </c>
      <c r="AH128" s="615">
        <f>SUMIF('10. Inputs &amp; Calcs'!$D$432:$D$437,$E$10,'10. Inputs &amp; Calcs'!Z$432:Z$437)</f>
        <v>52791.205249356397</v>
      </c>
      <c r="AI128" s="615">
        <f>SUMIF('10. Inputs &amp; Calcs'!$D$432:$D$437,$E$10,'10. Inputs &amp; Calcs'!AA$432:AA$437)</f>
        <v>52791.205249356397</v>
      </c>
      <c r="AJ128" s="615">
        <f>SUMIF('10. Inputs &amp; Calcs'!$D$432:$D$437,$E$10,'10. Inputs &amp; Calcs'!AB$432:AB$437)</f>
        <v>105582.41049871279</v>
      </c>
      <c r="AK128" s="615">
        <f>SUMIF('10. Inputs &amp; Calcs'!$D$432:$D$437,$E$10,'10. Inputs &amp; Calcs'!AC$432:AC$437)</f>
        <v>0</v>
      </c>
      <c r="AL128" s="615">
        <f>SUMIF('10. Inputs &amp; Calcs'!$D$432:$D$437,$E$10,'10. Inputs &amp; Calcs'!AD$432:AD$437)</f>
        <v>2375604.2362210373</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883643.01000000013</v>
      </c>
      <c r="O129" s="615">
        <f>SUMIF('10. Inputs &amp; Calcs'!$D$574:$D$579,$E$10,'10. Inputs &amp; Calcs'!G$574:G$579)</f>
        <v>197492.81</v>
      </c>
      <c r="P129" s="615">
        <f>SUMIF('10. Inputs &amp; Calcs'!$D$574:$D$579,$E$10,'10. Inputs &amp; Calcs'!H$574:H$579)</f>
        <v>219792.4</v>
      </c>
      <c r="Q129" s="615">
        <f>SUMIF('10. Inputs &amp; Calcs'!$D$574:$D$579,$E$10,'10. Inputs &amp; Calcs'!I$574:I$579)</f>
        <v>175833.91999999998</v>
      </c>
      <c r="R129" s="615">
        <f>SUMIF('10. Inputs &amp; Calcs'!$D$574:$D$579,$E$10,'10. Inputs &amp; Calcs'!J$574:J$579)</f>
        <v>131875.43999999997</v>
      </c>
      <c r="S129" s="615">
        <f>SUMIF('10. Inputs &amp; Calcs'!$D$574:$D$579,$E$10,'10. Inputs &amp; Calcs'!K$574:K$579)</f>
        <v>87916.959999999992</v>
      </c>
      <c r="T129" s="615">
        <f>SUMIF('10. Inputs &amp; Calcs'!$D$574:$D$579,$E$10,'10. Inputs &amp; Calcs'!L$574:L$579)</f>
        <v>83032.684444444443</v>
      </c>
      <c r="U129" s="615">
        <f>SUMIF('10. Inputs &amp; Calcs'!$D$574:$D$579,$E$10,'10. Inputs &amp; Calcs'!M$574:M$579)</f>
        <v>78148.408888888895</v>
      </c>
      <c r="V129" s="615">
        <f>SUMIF('10. Inputs &amp; Calcs'!$D$574:$D$579,$E$10,'10. Inputs &amp; Calcs'!N$574:N$579)</f>
        <v>73264.133333333331</v>
      </c>
      <c r="W129" s="615">
        <f>SUMIF('10. Inputs &amp; Calcs'!$D$574:$D$579,$E$10,'10. Inputs &amp; Calcs'!O$574:O$579)</f>
        <v>68379.857777777783</v>
      </c>
      <c r="X129" s="615">
        <f>SUMIF('10. Inputs &amp; Calcs'!$D$574:$D$579,$E$10,'10. Inputs &amp; Calcs'!P$574:P$579)</f>
        <v>63495.58222222222</v>
      </c>
      <c r="Y129" s="615">
        <f>SUMIF('10. Inputs &amp; Calcs'!$D$574:$D$579,$E$10,'10. Inputs &amp; Calcs'!Q$574:Q$579)</f>
        <v>58611.306666666664</v>
      </c>
      <c r="Z129" s="615">
        <f>SUMIF('10. Inputs &amp; Calcs'!$D$574:$D$579,$E$10,'10. Inputs &amp; Calcs'!R$574:R$579)</f>
        <v>53727.031111111108</v>
      </c>
      <c r="AA129" s="615">
        <f>SUMIF('10. Inputs &amp; Calcs'!$D$574:$D$579,$E$10,'10. Inputs &amp; Calcs'!S$574:S$579)</f>
        <v>48842.755555555552</v>
      </c>
      <c r="AB129" s="615">
        <f>SUMIF('10. Inputs &amp; Calcs'!$D$574:$D$579,$E$10,'10. Inputs &amp; Calcs'!T$574:T$579)</f>
        <v>43958.479999999996</v>
      </c>
      <c r="AC129" s="615">
        <f>SUMIF('10. Inputs &amp; Calcs'!$D$574:$D$579,$E$10,'10. Inputs &amp; Calcs'!U$574:U$579)</f>
        <v>39074.20444444444</v>
      </c>
      <c r="AD129" s="615">
        <f>SUMIF('10. Inputs &amp; Calcs'!$D$574:$D$579,$E$10,'10. Inputs &amp; Calcs'!V$574:V$579)</f>
        <v>34189.928888888884</v>
      </c>
      <c r="AE129" s="615">
        <f>SUMIF('10. Inputs &amp; Calcs'!$D$574:$D$579,$E$10,'10. Inputs &amp; Calcs'!W$574:W$579)</f>
        <v>29305.653333333332</v>
      </c>
      <c r="AF129" s="615">
        <f>SUMIF('10. Inputs &amp; Calcs'!$D$574:$D$579,$E$10,'10. Inputs &amp; Calcs'!X$574:X$579)</f>
        <v>24421.377777777776</v>
      </c>
      <c r="AG129" s="615">
        <f>SUMIF('10. Inputs &amp; Calcs'!$D$574:$D$579,$E$10,'10. Inputs &amp; Calcs'!Y$574:Y$579)</f>
        <v>19537.102222222224</v>
      </c>
      <c r="AH129" s="615">
        <f>SUMIF('10. Inputs &amp; Calcs'!$D$574:$D$579,$E$10,'10. Inputs &amp; Calcs'!Z$574:Z$579)</f>
        <v>14652.826666666666</v>
      </c>
      <c r="AI129" s="615">
        <f>SUMIF('10. Inputs &amp; Calcs'!$D$574:$D$579,$E$10,'10. Inputs &amp; Calcs'!AA$574:AA$579)</f>
        <v>9768.5511111111118</v>
      </c>
      <c r="AJ129" s="615">
        <f>SUMIF('10. Inputs &amp; Calcs'!$D$574:$D$579,$E$10,'10. Inputs &amp; Calcs'!AB$574:AB$579)</f>
        <v>0</v>
      </c>
      <c r="AK129" s="615">
        <f>SUMIF('10. Inputs &amp; Calcs'!$D$574:$D$579,$E$10,'10. Inputs &amp; Calcs'!AC$574:AC$579)</f>
        <v>0</v>
      </c>
      <c r="AL129" s="615">
        <f>SUMIF('10. Inputs &amp; Calcs'!$D$574:$D$579,$E$10,'10. Inputs &amp; Calcs'!AD$574:AD$579)</f>
        <v>1138036.2044444445</v>
      </c>
    </row>
    <row r="130" spans="1:38" x14ac:dyDescent="0.45">
      <c r="A130" s="583"/>
      <c r="B130" s="583"/>
      <c r="C130" s="583"/>
      <c r="D130" s="747" t="s">
        <v>330</v>
      </c>
      <c r="E130" s="583"/>
      <c r="M130" s="583"/>
      <c r="N130" s="613">
        <f t="shared" ref="N130:AL130" si="50">SUM(N127:N129)</f>
        <v>6562816.9199999999</v>
      </c>
      <c r="O130" s="613">
        <f t="shared" si="50"/>
        <v>2141100.48</v>
      </c>
      <c r="P130" s="613">
        <f t="shared" si="50"/>
        <v>1087770.93</v>
      </c>
      <c r="Q130" s="613">
        <f t="shared" si="50"/>
        <v>861364.65181113663</v>
      </c>
      <c r="R130" s="613">
        <f t="shared" si="50"/>
        <v>817406.17181113653</v>
      </c>
      <c r="S130" s="613">
        <f t="shared" si="50"/>
        <v>773447.69181113655</v>
      </c>
      <c r="T130" s="613">
        <f t="shared" si="50"/>
        <v>159202.76575679297</v>
      </c>
      <c r="U130" s="613">
        <f t="shared" si="50"/>
        <v>154318.49020123741</v>
      </c>
      <c r="V130" s="613">
        <f t="shared" si="50"/>
        <v>149434.21464568184</v>
      </c>
      <c r="W130" s="613">
        <f t="shared" si="50"/>
        <v>144549.93909012631</v>
      </c>
      <c r="X130" s="613">
        <f t="shared" si="50"/>
        <v>139665.66353457072</v>
      </c>
      <c r="Y130" s="613">
        <f t="shared" si="50"/>
        <v>134781.38797901518</v>
      </c>
      <c r="Z130" s="613">
        <f t="shared" ref="Z130:AJ130" si="51">SUM(Z127:Z129)</f>
        <v>129897.11242345962</v>
      </c>
      <c r="AA130" s="613">
        <f t="shared" si="51"/>
        <v>125012.83686790406</v>
      </c>
      <c r="AB130" s="613">
        <f t="shared" si="51"/>
        <v>120128.56131234851</v>
      </c>
      <c r="AC130" s="613">
        <f t="shared" si="51"/>
        <v>115244.28575679296</v>
      </c>
      <c r="AD130" s="613">
        <f t="shared" si="51"/>
        <v>110360.0102012374</v>
      </c>
      <c r="AE130" s="613">
        <f t="shared" si="51"/>
        <v>105475.73464568185</v>
      </c>
      <c r="AF130" s="613">
        <f t="shared" si="51"/>
        <v>100591.45909012629</v>
      </c>
      <c r="AG130" s="613">
        <f t="shared" si="51"/>
        <v>95707.183534570737</v>
      </c>
      <c r="AH130" s="613">
        <f t="shared" si="51"/>
        <v>90822.907979015174</v>
      </c>
      <c r="AI130" s="613">
        <f t="shared" si="51"/>
        <v>85938.632423459625</v>
      </c>
      <c r="AJ130" s="613">
        <f t="shared" si="51"/>
        <v>16126510.441375898</v>
      </c>
      <c r="AK130" s="613">
        <f t="shared" si="50"/>
        <v>0</v>
      </c>
      <c r="AL130" s="613">
        <f t="shared" si="50"/>
        <v>20539860.142251331</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126000</v>
      </c>
      <c r="R132" s="615">
        <f>SUMIF('10. Inputs &amp; Calcs'!$D$508:$D$513,$E$10,'10. Inputs &amp; Calcs'!J$508:J$513)</f>
        <v>132930</v>
      </c>
      <c r="S132" s="615">
        <f>SUMIF('10. Inputs &amp; Calcs'!$D$508:$D$513,$E$10,'10. Inputs &amp; Calcs'!K$508:K$513)</f>
        <v>140241.15</v>
      </c>
      <c r="T132" s="615">
        <f>SUMIF('10. Inputs &amp; Calcs'!$D$508:$D$513,$E$10,'10. Inputs &amp; Calcs'!L$508:L$513)</f>
        <v>16439.379249999998</v>
      </c>
      <c r="U132" s="615">
        <f>SUMIF('10. Inputs &amp; Calcs'!$D$508:$D$513,$E$10,'10. Inputs &amp; Calcs'!M$508:M$513)</f>
        <v>17343.545108750001</v>
      </c>
      <c r="V132" s="615">
        <f>SUMIF('10. Inputs &amp; Calcs'!$D$508:$D$513,$E$10,'10. Inputs &amp; Calcs'!N$508:N$513)</f>
        <v>18297.440089731248</v>
      </c>
      <c r="W132" s="615">
        <f>SUMIF('10. Inputs &amp; Calcs'!$D$508:$D$513,$E$10,'10. Inputs &amp; Calcs'!O$508:O$513)</f>
        <v>19303.799294666467</v>
      </c>
      <c r="X132" s="615">
        <f>SUMIF('10. Inputs &amp; Calcs'!$D$508:$D$513,$E$10,'10. Inputs &amp; Calcs'!P$508:P$513)</f>
        <v>20365.508255873123</v>
      </c>
      <c r="Y132" s="615">
        <f>SUMIF('10. Inputs &amp; Calcs'!$D$508:$D$513,$E$10,'10. Inputs &amp; Calcs'!Q$508:Q$513)</f>
        <v>21485.611209946139</v>
      </c>
      <c r="Z132" s="615">
        <f>SUMIF('10. Inputs &amp; Calcs'!$D$508:$D$513,$E$10,'10. Inputs &amp; Calcs'!R$508:R$513)</f>
        <v>22667.319826493178</v>
      </c>
      <c r="AA132" s="615">
        <f>SUMIF('10. Inputs &amp; Calcs'!$D$508:$D$513,$E$10,'10. Inputs &amp; Calcs'!S$508:S$513)</f>
        <v>23914.022416950298</v>
      </c>
      <c r="AB132" s="615">
        <f>SUMIF('10. Inputs &amp; Calcs'!$D$508:$D$513,$E$10,'10. Inputs &amp; Calcs'!T$508:T$513)</f>
        <v>25229.293649882566</v>
      </c>
      <c r="AC132" s="615">
        <f>SUMIF('10. Inputs &amp; Calcs'!$D$508:$D$513,$E$10,'10. Inputs &amp; Calcs'!U$508:U$513)</f>
        <v>26616.904800626107</v>
      </c>
      <c r="AD132" s="615">
        <f>SUMIF('10. Inputs &amp; Calcs'!$D$508:$D$513,$E$10,'10. Inputs &amp; Calcs'!V$508:V$513)</f>
        <v>28080.834564660538</v>
      </c>
      <c r="AE132" s="615">
        <f>SUMIF('10. Inputs &amp; Calcs'!$D$508:$D$513,$E$10,'10. Inputs &amp; Calcs'!W$508:W$513)</f>
        <v>29625.280465716867</v>
      </c>
      <c r="AF132" s="615">
        <f>SUMIF('10. Inputs &amp; Calcs'!$D$508:$D$513,$E$10,'10. Inputs &amp; Calcs'!X$508:X$513)</f>
        <v>31254.670891331298</v>
      </c>
      <c r="AG132" s="615">
        <f>SUMIF('10. Inputs &amp; Calcs'!$D$508:$D$513,$E$10,'10. Inputs &amp; Calcs'!Y$508:Y$513)</f>
        <v>32973.677790354515</v>
      </c>
      <c r="AH132" s="615">
        <f>SUMIF('10. Inputs &amp; Calcs'!$D$508:$D$513,$E$10,'10. Inputs &amp; Calcs'!Z$508:Z$513)</f>
        <v>34787.230068824014</v>
      </c>
      <c r="AI132" s="615">
        <f>SUMIF('10. Inputs &amp; Calcs'!$D$508:$D$513,$E$10,'10. Inputs &amp; Calcs'!AA$508:AA$513)</f>
        <v>36700.527722609331</v>
      </c>
      <c r="AJ132" s="615">
        <f>SUMIF('10. Inputs &amp; Calcs'!$D$508:$D$513,$E$10,'10. Inputs &amp; Calcs'!AB$508:AB$513)</f>
        <v>77438.113494705685</v>
      </c>
      <c r="AK132" s="615">
        <f>SUMIF('10. Inputs &amp; Calcs'!$D$508:$D$513,$E$10,'10. Inputs &amp; Calcs'!AC$508:AC$513)</f>
        <v>0</v>
      </c>
      <c r="AL132" s="615">
        <f>SUMIF('10. Inputs &amp; Calcs'!$D$508:$D$513,$E$10,'10. Inputs &amp; Calcs'!AD$508:AD$513)</f>
        <v>881694.30890112126</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10341549.390000001</v>
      </c>
      <c r="O133" s="615">
        <f>SUMIF('10. Inputs &amp; Calcs'!$D$742:$D$747,$E$10,'10. Inputs &amp; Calcs'!G$742:G$747)</f>
        <v>11126424.74</v>
      </c>
      <c r="P133" s="615">
        <f>SUMIF('10. Inputs &amp; Calcs'!$D$742:$D$747,$E$10,'10. Inputs &amp; Calcs'!H$742:H$747)</f>
        <v>11189539.09</v>
      </c>
      <c r="Q133" s="615">
        <f>SUMIF('10. Inputs &amp; Calcs'!$D$742:$D$747,$E$10,'10. Inputs &amp; Calcs'!I$742:I$747)</f>
        <v>9575626.2512849998</v>
      </c>
      <c r="R133" s="615">
        <f>SUMIF('10. Inputs &amp; Calcs'!$D$742:$D$747,$E$10,'10. Inputs &amp; Calcs'!J$742:J$747)</f>
        <v>7750334.6445640996</v>
      </c>
      <c r="S133" s="615">
        <f>SUMIF('10. Inputs &amp; Calcs'!$D$742:$D$747,$E$10,'10. Inputs &amp; Calcs'!K$742:K$747)</f>
        <v>5695294.6916937632</v>
      </c>
      <c r="T133" s="615">
        <f>SUMIF('10. Inputs &amp; Calcs'!$D$742:$D$747,$E$10,'10. Inputs &amp; Calcs'!L$742:L$747)</f>
        <v>5681508.8345206473</v>
      </c>
      <c r="U133" s="615">
        <f>SUMIF('10. Inputs &amp; Calcs'!$D$742:$D$747,$E$10,'10. Inputs &amp; Calcs'!M$742:M$747)</f>
        <v>5648978.2666161163</v>
      </c>
      <c r="V133" s="615">
        <f>SUMIF('10. Inputs &amp; Calcs'!$D$742:$D$747,$E$10,'10. Inputs &amp; Calcs'!N$742:N$747)</f>
        <v>5595682.7720176624</v>
      </c>
      <c r="W133" s="615">
        <f>SUMIF('10. Inputs &amp; Calcs'!$D$742:$D$747,$E$10,'10. Inputs &amp; Calcs'!O$742:O$747)</f>
        <v>5519436.6137568634</v>
      </c>
      <c r="X133" s="615">
        <f>SUMIF('10. Inputs &amp; Calcs'!$D$742:$D$747,$E$10,'10. Inputs &amp; Calcs'!P$742:P$747)</f>
        <v>5417876.4377020234</v>
      </c>
      <c r="Y133" s="615">
        <f>SUMIF('10. Inputs &amp; Calcs'!$D$742:$D$747,$E$10,'10. Inputs &amp; Calcs'!Q$742:Q$747)</f>
        <v>5288448.3465245375</v>
      </c>
      <c r="Z133" s="615">
        <f>SUMIF('10. Inputs &amp; Calcs'!$D$742:$D$747,$E$10,'10. Inputs &amp; Calcs'!R$742:R$747)</f>
        <v>5128394.0890934793</v>
      </c>
      <c r="AA133" s="615">
        <f>SUMIF('10. Inputs &amp; Calcs'!$D$742:$D$747,$E$10,'10. Inputs &amp; Calcs'!S$742:S$747)</f>
        <v>4934736.3070967672</v>
      </c>
      <c r="AB133" s="615">
        <f>SUMIF('10. Inputs &amp; Calcs'!$D$742:$D$747,$E$10,'10. Inputs &amp; Calcs'!T$742:T$747)</f>
        <v>4704262.7769609103</v>
      </c>
      <c r="AC133" s="615">
        <f>SUMIF('10. Inputs &amp; Calcs'!$D$742:$D$747,$E$10,'10. Inputs &amp; Calcs'!U$742:U$747)</f>
        <v>4433509.5811811397</v>
      </c>
      <c r="AD133" s="615">
        <f>SUMIF('10. Inputs &amp; Calcs'!$D$742:$D$747,$E$10,'10. Inputs &amp; Calcs'!V$742:V$747)</f>
        <v>4118743.1389652886</v>
      </c>
      <c r="AE133" s="615">
        <f>SUMIF('10. Inputs &amp; Calcs'!$D$742:$D$747,$E$10,'10. Inputs &amp; Calcs'!W$742:W$747)</f>
        <v>3755941.0216226205</v>
      </c>
      <c r="AF133" s="615">
        <f>SUMIF('10. Inputs &amp; Calcs'!$D$742:$D$747,$E$10,'10. Inputs &amp; Calcs'!X$742:X$747)</f>
        <v>3340771.4733768906</v>
      </c>
      <c r="AG133" s="615">
        <f>SUMIF('10. Inputs &amp; Calcs'!$D$742:$D$747,$E$10,'10. Inputs &amp; Calcs'!Y$742:Y$747)</f>
        <v>2868571.5532337208</v>
      </c>
      <c r="AH133" s="615">
        <f>SUMIF('10. Inputs &amp; Calcs'!$D$742:$D$747,$E$10,'10. Inputs &amp; Calcs'!Z$742:Z$747)</f>
        <v>2334323.8081678371</v>
      </c>
      <c r="AI133" s="615">
        <f>SUMIF('10. Inputs &amp; Calcs'!$D$742:$D$747,$E$10,'10. Inputs &amp; Calcs'!AA$742:AA$747)</f>
        <v>1732631.3821961747</v>
      </c>
      <c r="AJ133" s="615">
        <f>SUMIF('10. Inputs &amp; Calcs'!$D$742:$D$747,$E$10,'10. Inputs &amp; Calcs'!AB$742:AB$747)</f>
        <v>0</v>
      </c>
      <c r="AK133" s="615">
        <f>SUMIF('10. Inputs &amp; Calcs'!$D$742:$D$747,$E$10,'10. Inputs &amp; Calcs'!AC$742:AC$747)</f>
        <v>0</v>
      </c>
      <c r="AL133" s="615">
        <f>SUMIF('10. Inputs &amp; Calcs'!$D$742:$D$747,$E$10,'10. Inputs &amp; Calcs'!AD$742:AD$747)</f>
        <v>93525071.990575537</v>
      </c>
    </row>
    <row r="134" spans="1:38" x14ac:dyDescent="0.45">
      <c r="A134" s="583"/>
      <c r="B134" s="583"/>
      <c r="C134" s="583"/>
      <c r="D134" s="747" t="s">
        <v>369</v>
      </c>
      <c r="E134" s="583"/>
      <c r="M134" s="583"/>
      <c r="N134" s="613">
        <f t="shared" ref="N134:AL134" si="52">SUM(N132:N133)</f>
        <v>10341549.390000001</v>
      </c>
      <c r="O134" s="613">
        <f t="shared" si="52"/>
        <v>11126424.74</v>
      </c>
      <c r="P134" s="613">
        <f t="shared" si="52"/>
        <v>11189539.09</v>
      </c>
      <c r="Q134" s="613">
        <f t="shared" si="52"/>
        <v>9701626.2512849998</v>
      </c>
      <c r="R134" s="613">
        <f t="shared" si="52"/>
        <v>7883264.6445640996</v>
      </c>
      <c r="S134" s="613">
        <f t="shared" si="52"/>
        <v>5835535.8416937636</v>
      </c>
      <c r="T134" s="613">
        <f t="shared" si="52"/>
        <v>5697948.2137706475</v>
      </c>
      <c r="U134" s="613">
        <f t="shared" si="52"/>
        <v>5666321.8117248667</v>
      </c>
      <c r="V134" s="613">
        <f t="shared" si="52"/>
        <v>5613980.2121073939</v>
      </c>
      <c r="W134" s="613">
        <f t="shared" si="52"/>
        <v>5538740.4130515298</v>
      </c>
      <c r="X134" s="613">
        <f t="shared" si="52"/>
        <v>5438241.9459578963</v>
      </c>
      <c r="Y134" s="613">
        <f t="shared" si="52"/>
        <v>5309933.9577344833</v>
      </c>
      <c r="Z134" s="613">
        <f t="shared" ref="Z134:AJ134" si="53">SUM(Z132:Z133)</f>
        <v>5151061.4089199724</v>
      </c>
      <c r="AA134" s="613">
        <f t="shared" si="53"/>
        <v>4958650.3295137174</v>
      </c>
      <c r="AB134" s="613">
        <f t="shared" si="53"/>
        <v>4729492.0706107933</v>
      </c>
      <c r="AC134" s="613">
        <f t="shared" si="53"/>
        <v>4460126.4859817661</v>
      </c>
      <c r="AD134" s="613">
        <f t="shared" si="53"/>
        <v>4146823.9735299493</v>
      </c>
      <c r="AE134" s="613">
        <f t="shared" si="53"/>
        <v>3785566.3020883375</v>
      </c>
      <c r="AF134" s="613">
        <f t="shared" si="53"/>
        <v>3372026.1442682222</v>
      </c>
      <c r="AG134" s="613">
        <f t="shared" si="53"/>
        <v>2901545.2310240753</v>
      </c>
      <c r="AH134" s="613">
        <f t="shared" si="53"/>
        <v>2369111.0382366609</v>
      </c>
      <c r="AI134" s="613">
        <f t="shared" si="53"/>
        <v>1769331.9099187839</v>
      </c>
      <c r="AJ134" s="613">
        <f t="shared" si="53"/>
        <v>77438.113494705685</v>
      </c>
      <c r="AK134" s="613">
        <f t="shared" si="52"/>
        <v>0</v>
      </c>
      <c r="AL134" s="613">
        <f t="shared" si="52"/>
        <v>94406766.299476653</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54">N130-N134</f>
        <v>-3778732.4700000007</v>
      </c>
      <c r="O136" s="613">
        <f t="shared" si="54"/>
        <v>-8985324.2599999998</v>
      </c>
      <c r="P136" s="613">
        <f t="shared" si="54"/>
        <v>-10101768.16</v>
      </c>
      <c r="Q136" s="613">
        <f t="shared" si="54"/>
        <v>-8840261.5994738638</v>
      </c>
      <c r="R136" s="613">
        <f t="shared" si="54"/>
        <v>-7065858.4727529632</v>
      </c>
      <c r="S136" s="613">
        <f t="shared" si="54"/>
        <v>-5062088.1498826267</v>
      </c>
      <c r="T136" s="613">
        <f t="shared" si="54"/>
        <v>-5538745.4480138542</v>
      </c>
      <c r="U136" s="613">
        <f t="shared" si="54"/>
        <v>-5512003.3215236291</v>
      </c>
      <c r="V136" s="613">
        <f t="shared" si="54"/>
        <v>-5464545.997461712</v>
      </c>
      <c r="W136" s="613">
        <f t="shared" si="54"/>
        <v>-5394190.4739614036</v>
      </c>
      <c r="X136" s="613">
        <f t="shared" si="54"/>
        <v>-5298576.2824233258</v>
      </c>
      <c r="Y136" s="613">
        <f t="shared" si="54"/>
        <v>-5175152.5697554685</v>
      </c>
      <c r="Z136" s="613">
        <f t="shared" si="54"/>
        <v>-5021164.2964965124</v>
      </c>
      <c r="AA136" s="613">
        <f t="shared" si="54"/>
        <v>-4833637.4926458132</v>
      </c>
      <c r="AB136" s="613">
        <f t="shared" si="54"/>
        <v>-4609363.5092984447</v>
      </c>
      <c r="AC136" s="613">
        <f t="shared" si="54"/>
        <v>-4344882.2002249733</v>
      </c>
      <c r="AD136" s="613">
        <f t="shared" si="54"/>
        <v>-4036463.9633287117</v>
      </c>
      <c r="AE136" s="613">
        <f t="shared" si="54"/>
        <v>-3680090.5674426556</v>
      </c>
      <c r="AF136" s="613">
        <f t="shared" si="54"/>
        <v>-3271434.6851780959</v>
      </c>
      <c r="AG136" s="613">
        <f t="shared" si="54"/>
        <v>-2805838.0474895043</v>
      </c>
      <c r="AH136" s="613">
        <f t="shared" si="54"/>
        <v>-2278288.1302576456</v>
      </c>
      <c r="AI136" s="613">
        <f t="shared" si="54"/>
        <v>-1683393.2774953244</v>
      </c>
      <c r="AJ136" s="613">
        <f t="shared" si="54"/>
        <v>16049072.327881193</v>
      </c>
      <c r="AK136" s="613">
        <f t="shared" si="54"/>
        <v>0</v>
      </c>
      <c r="AL136" s="613">
        <f t="shared" si="54"/>
        <v>-73866906.157225326</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2523803000</v>
      </c>
      <c r="O138" s="615">
        <f>SUMIF('10. Inputs &amp; Calcs'!$D$763:$D$768,$E$10,'10. Inputs &amp; Calcs'!G$763:G$768)</f>
        <v>2392718000</v>
      </c>
      <c r="P138" s="615">
        <f>SUMIF('10. Inputs &amp; Calcs'!$D$763:$D$768,$E$10,'10. Inputs &amp; Calcs'!H$763:H$768)</f>
        <v>2462372000</v>
      </c>
      <c r="Q138" s="615">
        <f>SUMIF('10. Inputs &amp; Calcs'!$D$763:$D$768,$E$10,'10. Inputs &amp; Calcs'!I$763:I$768)</f>
        <v>2462372000</v>
      </c>
      <c r="R138" s="615">
        <f>SUMIF('10. Inputs &amp; Calcs'!$D$763:$D$768,$E$10,'10. Inputs &amp; Calcs'!J$763:J$768)</f>
        <v>2462372000</v>
      </c>
      <c r="S138" s="615">
        <f>SUMIF('10. Inputs &amp; Calcs'!$D$763:$D$768,$E$10,'10. Inputs &amp; Calcs'!K$763:K$768)</f>
        <v>2462372000</v>
      </c>
      <c r="T138" s="615">
        <f>SUMIF('10. Inputs &amp; Calcs'!$D$763:$D$768,$E$10,'10. Inputs &amp; Calcs'!L$763:L$768)</f>
        <v>2462372000</v>
      </c>
      <c r="U138" s="615">
        <f>SUMIF('10. Inputs &amp; Calcs'!$D$763:$D$768,$E$10,'10. Inputs &amp; Calcs'!M$763:M$768)</f>
        <v>2462372000</v>
      </c>
      <c r="V138" s="615">
        <f>SUMIF('10. Inputs &amp; Calcs'!$D$763:$D$768,$E$10,'10. Inputs &amp; Calcs'!N$763:N$768)</f>
        <v>2462372000</v>
      </c>
      <c r="W138" s="615">
        <f>SUMIF('10. Inputs &amp; Calcs'!$D$763:$D$768,$E$10,'10. Inputs &amp; Calcs'!O$763:O$768)</f>
        <v>2462372000</v>
      </c>
      <c r="X138" s="615">
        <f>SUMIF('10. Inputs &amp; Calcs'!$D$763:$D$768,$E$10,'10. Inputs &amp; Calcs'!P$763:P$768)</f>
        <v>2462372000</v>
      </c>
      <c r="Y138" s="615">
        <f>SUMIF('10. Inputs &amp; Calcs'!$D$763:$D$768,$E$10,'10. Inputs &amp; Calcs'!Q$763:Q$768)</f>
        <v>2462372000</v>
      </c>
      <c r="Z138" s="615">
        <f>SUMIF('10. Inputs &amp; Calcs'!$D$763:$D$768,$E$10,'10. Inputs &amp; Calcs'!R$763:R$768)</f>
        <v>2462372000</v>
      </c>
      <c r="AA138" s="615">
        <f>SUMIF('10. Inputs &amp; Calcs'!$D$763:$D$768,$E$10,'10. Inputs &amp; Calcs'!S$763:S$768)</f>
        <v>2462372000</v>
      </c>
      <c r="AB138" s="615">
        <f>SUMIF('10. Inputs &amp; Calcs'!$D$763:$D$768,$E$10,'10. Inputs &amp; Calcs'!T$763:T$768)</f>
        <v>2462372000</v>
      </c>
      <c r="AC138" s="615">
        <f>SUMIF('10. Inputs &amp; Calcs'!$D$763:$D$768,$E$10,'10. Inputs &amp; Calcs'!U$763:U$768)</f>
        <v>2462372000</v>
      </c>
      <c r="AD138" s="615">
        <f>SUMIF('10. Inputs &amp; Calcs'!$D$763:$D$768,$E$10,'10. Inputs &amp; Calcs'!V$763:V$768)</f>
        <v>2462372000</v>
      </c>
      <c r="AE138" s="615">
        <f>SUMIF('10. Inputs &amp; Calcs'!$D$763:$D$768,$E$10,'10. Inputs &amp; Calcs'!W$763:W$768)</f>
        <v>2462372000</v>
      </c>
      <c r="AF138" s="615">
        <f>SUMIF('10. Inputs &amp; Calcs'!$D$763:$D$768,$E$10,'10. Inputs &amp; Calcs'!X$763:X$768)</f>
        <v>2462372000</v>
      </c>
      <c r="AG138" s="615">
        <f>SUMIF('10. Inputs &amp; Calcs'!$D$763:$D$768,$E$10,'10. Inputs &amp; Calcs'!Y$763:Y$768)</f>
        <v>2462372000</v>
      </c>
      <c r="AH138" s="615">
        <f>SUMIF('10. Inputs &amp; Calcs'!$D$763:$D$768,$E$10,'10. Inputs &amp; Calcs'!Z$763:Z$768)</f>
        <v>2462372000</v>
      </c>
      <c r="AI138" s="615">
        <f>SUMIF('10. Inputs &amp; Calcs'!$D$763:$D$768,$E$10,'10. Inputs &amp; Calcs'!AA$763:AA$768)</f>
        <v>2462372000</v>
      </c>
      <c r="AJ138" s="615">
        <f>SUMIF('10. Inputs &amp; Calcs'!$D$763:$D$768,$E$10,'10. Inputs &amp; Calcs'!AB$763:AB$768)</f>
        <v>2462372000</v>
      </c>
      <c r="AK138" s="615">
        <f>SUMIF('10. Inputs &amp; Calcs'!$D$763:$D$768,$E$10,'10. Inputs &amp; Calcs'!AC$763:AC$768)</f>
        <v>2462372000</v>
      </c>
      <c r="AL138" s="615">
        <f>SUMIF('10. Inputs &amp; Calcs'!$D$763:$D$768,$E$10,'10. Inputs &amp; Calcs'!AD$763:AD$768)</f>
        <v>59088705000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55">N136/N138</f>
        <v>-1.4972374904063434E-3</v>
      </c>
      <c r="O140" s="789">
        <f t="shared" si="55"/>
        <v>-3.7552792514621448E-3</v>
      </c>
      <c r="P140" s="789">
        <f t="shared" si="55"/>
        <v>-4.1024541214731165E-3</v>
      </c>
      <c r="Q140" s="789">
        <f t="shared" si="55"/>
        <v>-3.5901405634379629E-3</v>
      </c>
      <c r="R140" s="789">
        <f t="shared" si="55"/>
        <v>-2.8695333088391856E-3</v>
      </c>
      <c r="S140" s="789">
        <f t="shared" si="55"/>
        <v>-2.0557771733444932E-3</v>
      </c>
      <c r="T140" s="789">
        <f t="shared" si="55"/>
        <v>-2.2493536508756003E-3</v>
      </c>
      <c r="U140" s="789">
        <f t="shared" si="55"/>
        <v>-2.238493339561865E-3</v>
      </c>
      <c r="V140" s="789">
        <f t="shared" si="55"/>
        <v>-2.2192203279852566E-3</v>
      </c>
      <c r="W140" s="789">
        <f t="shared" si="55"/>
        <v>-2.190648071843492E-3</v>
      </c>
      <c r="X140" s="789">
        <f t="shared" si="55"/>
        <v>-2.1518179553793359E-3</v>
      </c>
      <c r="Y140" s="789">
        <f t="shared" si="55"/>
        <v>-2.1016940453170638E-3</v>
      </c>
      <c r="Z140" s="789">
        <f t="shared" si="55"/>
        <v>-2.0391574857480969E-3</v>
      </c>
      <c r="AA140" s="789">
        <f t="shared" si="55"/>
        <v>-1.9630005103395479E-3</v>
      </c>
      <c r="AB140" s="789">
        <f t="shared" si="55"/>
        <v>-1.8719200467266703E-3</v>
      </c>
      <c r="AC140" s="789">
        <f t="shared" si="55"/>
        <v>-1.7645108863425076E-3</v>
      </c>
      <c r="AD140" s="789">
        <f t="shared" si="55"/>
        <v>-1.6392583912295589E-3</v>
      </c>
      <c r="AE140" s="789">
        <f t="shared" si="55"/>
        <v>-1.4945307075627304E-3</v>
      </c>
      <c r="AF140" s="789">
        <f t="shared" si="55"/>
        <v>-1.3285704536837228E-3</v>
      </c>
      <c r="AG140" s="789">
        <f t="shared" si="55"/>
        <v>-1.1394858483971977E-3</v>
      </c>
      <c r="AH140" s="789">
        <f t="shared" si="55"/>
        <v>-9.2524124310122333E-4</v>
      </c>
      <c r="AI140" s="789">
        <f t="shared" si="55"/>
        <v>-6.8364701901066306E-4</v>
      </c>
      <c r="AJ140" s="789">
        <f t="shared" si="55"/>
        <v>6.5177285673656106E-3</v>
      </c>
      <c r="AK140" s="789">
        <f t="shared" si="55"/>
        <v>0</v>
      </c>
      <c r="AL140" s="789">
        <f t="shared" si="55"/>
        <v>-1.2501019637716773E-3</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56">O$12</f>
        <v>0</v>
      </c>
      <c r="P145" s="785">
        <f t="shared" si="56"/>
        <v>114</v>
      </c>
      <c r="Q145" s="785">
        <f t="shared" si="56"/>
        <v>132</v>
      </c>
      <c r="R145" s="785">
        <f t="shared" si="56"/>
        <v>150</v>
      </c>
      <c r="S145" s="785">
        <f t="shared" si="56"/>
        <v>168</v>
      </c>
      <c r="T145" s="785">
        <f t="shared" si="56"/>
        <v>170</v>
      </c>
      <c r="U145" s="785">
        <f t="shared" si="56"/>
        <v>172</v>
      </c>
      <c r="V145" s="785">
        <f t="shared" si="56"/>
        <v>174</v>
      </c>
      <c r="W145" s="785">
        <f t="shared" si="56"/>
        <v>176</v>
      </c>
      <c r="X145" s="785">
        <f t="shared" si="56"/>
        <v>178</v>
      </c>
      <c r="Y145" s="785">
        <f t="shared" si="56"/>
        <v>180</v>
      </c>
      <c r="Z145" s="785">
        <f t="shared" si="56"/>
        <v>182</v>
      </c>
      <c r="AA145" s="785">
        <f t="shared" si="56"/>
        <v>184</v>
      </c>
      <c r="AB145" s="785">
        <f t="shared" si="56"/>
        <v>186</v>
      </c>
      <c r="AC145" s="785">
        <f t="shared" si="56"/>
        <v>188</v>
      </c>
      <c r="AD145" s="785">
        <f t="shared" si="56"/>
        <v>190</v>
      </c>
      <c r="AE145" s="785">
        <f t="shared" si="56"/>
        <v>192</v>
      </c>
      <c r="AF145" s="785">
        <f t="shared" si="56"/>
        <v>194</v>
      </c>
      <c r="AG145" s="785">
        <f t="shared" si="56"/>
        <v>196</v>
      </c>
      <c r="AH145" s="785">
        <f t="shared" si="56"/>
        <v>198</v>
      </c>
      <c r="AI145" s="785">
        <f t="shared" si="56"/>
        <v>200</v>
      </c>
      <c r="AJ145" s="785">
        <f t="shared" si="56"/>
        <v>204</v>
      </c>
      <c r="AK145" s="785">
        <f t="shared" si="56"/>
        <v>0</v>
      </c>
    </row>
    <row r="146" spans="4:37" x14ac:dyDescent="0.45">
      <c r="D146" s="451"/>
      <c r="N146" s="536" t="str">
        <f>N$5</f>
        <v>2013/14</v>
      </c>
      <c r="O146" s="536" t="str">
        <f t="shared" ref="O146:AK146" si="57">O$5</f>
        <v>2014/15</v>
      </c>
      <c r="P146" s="536" t="str">
        <f t="shared" si="57"/>
        <v>2015/16</v>
      </c>
      <c r="Q146" s="536" t="str">
        <f t="shared" si="57"/>
        <v>2016/17</v>
      </c>
      <c r="R146" s="536" t="str">
        <f t="shared" si="57"/>
        <v>2017/18</v>
      </c>
      <c r="S146" s="536" t="str">
        <f t="shared" si="57"/>
        <v>2018/19</v>
      </c>
      <c r="T146" s="536" t="str">
        <f t="shared" si="57"/>
        <v>2019/20</v>
      </c>
      <c r="U146" s="536" t="str">
        <f t="shared" si="57"/>
        <v>2020/21</v>
      </c>
      <c r="V146" s="536" t="str">
        <f t="shared" si="57"/>
        <v>2021/22</v>
      </c>
      <c r="W146" s="536" t="str">
        <f t="shared" si="57"/>
        <v>2022/23</v>
      </c>
      <c r="X146" s="536" t="str">
        <f t="shared" si="57"/>
        <v>2023/24</v>
      </c>
      <c r="Y146" s="536" t="str">
        <f t="shared" si="57"/>
        <v>2024/25</v>
      </c>
      <c r="Z146" s="536" t="str">
        <f t="shared" si="57"/>
        <v>2025/26</v>
      </c>
      <c r="AA146" s="536" t="str">
        <f t="shared" si="57"/>
        <v>2026/27</v>
      </c>
      <c r="AB146" s="536" t="str">
        <f t="shared" si="57"/>
        <v>2027/28</v>
      </c>
      <c r="AC146" s="536" t="str">
        <f t="shared" si="57"/>
        <v>2028/29</v>
      </c>
      <c r="AD146" s="536" t="str">
        <f t="shared" si="57"/>
        <v>2029/30</v>
      </c>
      <c r="AE146" s="536" t="str">
        <f t="shared" si="57"/>
        <v>2030/31</v>
      </c>
      <c r="AF146" s="536" t="str">
        <f t="shared" si="57"/>
        <v>2031/32</v>
      </c>
      <c r="AG146" s="536" t="str">
        <f t="shared" si="57"/>
        <v>3032/33</v>
      </c>
      <c r="AH146" s="536" t="str">
        <f t="shared" si="57"/>
        <v>2033/34</v>
      </c>
      <c r="AI146" s="536" t="str">
        <f t="shared" si="57"/>
        <v>2034/35</v>
      </c>
      <c r="AJ146" s="536" t="str">
        <f t="shared" si="57"/>
        <v>2035/36</v>
      </c>
      <c r="AK146" s="536" t="str">
        <f t="shared" si="5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58">O$13</f>
        <v>0</v>
      </c>
      <c r="P147" s="785">
        <f t="shared" si="58"/>
        <v>90</v>
      </c>
      <c r="Q147" s="785">
        <f t="shared" si="58"/>
        <v>72</v>
      </c>
      <c r="R147" s="785">
        <f t="shared" si="58"/>
        <v>54</v>
      </c>
      <c r="S147" s="785">
        <f t="shared" si="58"/>
        <v>36</v>
      </c>
      <c r="T147" s="785">
        <f t="shared" si="58"/>
        <v>34</v>
      </c>
      <c r="U147" s="785">
        <f t="shared" si="58"/>
        <v>32</v>
      </c>
      <c r="V147" s="785">
        <f t="shared" si="58"/>
        <v>30</v>
      </c>
      <c r="W147" s="785">
        <f t="shared" si="58"/>
        <v>28</v>
      </c>
      <c r="X147" s="785">
        <f t="shared" si="58"/>
        <v>26</v>
      </c>
      <c r="Y147" s="785">
        <f t="shared" si="58"/>
        <v>24</v>
      </c>
      <c r="Z147" s="785">
        <f t="shared" si="58"/>
        <v>22</v>
      </c>
      <c r="AA147" s="785">
        <f t="shared" si="58"/>
        <v>20</v>
      </c>
      <c r="AB147" s="785">
        <f t="shared" si="58"/>
        <v>18</v>
      </c>
      <c r="AC147" s="785">
        <f t="shared" si="58"/>
        <v>16</v>
      </c>
      <c r="AD147" s="785">
        <f t="shared" si="58"/>
        <v>14</v>
      </c>
      <c r="AE147" s="785">
        <f t="shared" si="58"/>
        <v>12</v>
      </c>
      <c r="AF147" s="785">
        <f t="shared" si="58"/>
        <v>10</v>
      </c>
      <c r="AG147" s="785">
        <f t="shared" si="58"/>
        <v>8</v>
      </c>
      <c r="AH147" s="785">
        <f t="shared" si="58"/>
        <v>6</v>
      </c>
      <c r="AI147" s="785">
        <f t="shared" si="58"/>
        <v>4</v>
      </c>
      <c r="AJ147" s="785">
        <f t="shared" si="58"/>
        <v>0</v>
      </c>
      <c r="AK147" s="785">
        <f t="shared" si="58"/>
        <v>0</v>
      </c>
    </row>
    <row r="148" spans="4:37" x14ac:dyDescent="0.45">
      <c r="D148" s="451"/>
      <c r="E148" s="803" t="str">
        <f>D$12</f>
        <v>No. of Sales Accounts</v>
      </c>
      <c r="F148" s="803"/>
      <c r="G148" s="803"/>
      <c r="H148" s="803"/>
      <c r="I148" s="803"/>
      <c r="J148" s="803"/>
      <c r="K148" s="803"/>
      <c r="L148" s="803"/>
      <c r="M148" s="803"/>
      <c r="N148" s="785">
        <f>N$12</f>
        <v>0</v>
      </c>
      <c r="O148" s="785">
        <f t="shared" si="56"/>
        <v>0</v>
      </c>
      <c r="P148" s="785">
        <f t="shared" si="56"/>
        <v>114</v>
      </c>
      <c r="Q148" s="785">
        <f t="shared" si="56"/>
        <v>132</v>
      </c>
      <c r="R148" s="785">
        <f t="shared" si="56"/>
        <v>150</v>
      </c>
      <c r="S148" s="785">
        <f t="shared" si="56"/>
        <v>168</v>
      </c>
      <c r="T148" s="785">
        <f t="shared" si="56"/>
        <v>170</v>
      </c>
      <c r="U148" s="785">
        <f t="shared" si="56"/>
        <v>172</v>
      </c>
      <c r="V148" s="785">
        <f t="shared" si="56"/>
        <v>174</v>
      </c>
      <c r="W148" s="785">
        <f t="shared" si="56"/>
        <v>176</v>
      </c>
      <c r="X148" s="785">
        <f t="shared" si="56"/>
        <v>178</v>
      </c>
      <c r="Y148" s="785">
        <f t="shared" si="56"/>
        <v>180</v>
      </c>
      <c r="Z148" s="785">
        <f t="shared" si="56"/>
        <v>182</v>
      </c>
      <c r="AA148" s="785">
        <f t="shared" si="56"/>
        <v>184</v>
      </c>
      <c r="AB148" s="785">
        <f t="shared" si="56"/>
        <v>186</v>
      </c>
      <c r="AC148" s="785">
        <f t="shared" si="56"/>
        <v>188</v>
      </c>
      <c r="AD148" s="785">
        <f t="shared" si="56"/>
        <v>190</v>
      </c>
      <c r="AE148" s="785">
        <f t="shared" si="56"/>
        <v>192</v>
      </c>
      <c r="AF148" s="785">
        <f t="shared" si="56"/>
        <v>194</v>
      </c>
      <c r="AG148" s="785">
        <f t="shared" si="56"/>
        <v>196</v>
      </c>
      <c r="AH148" s="785">
        <f t="shared" si="56"/>
        <v>198</v>
      </c>
      <c r="AI148" s="785">
        <f t="shared" si="56"/>
        <v>200</v>
      </c>
      <c r="AJ148" s="785">
        <f t="shared" si="56"/>
        <v>204</v>
      </c>
      <c r="AK148" s="785">
        <f t="shared" si="5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9">O$5</f>
        <v>2014/15</v>
      </c>
      <c r="P170" s="536" t="str">
        <f t="shared" si="59"/>
        <v>2015/16</v>
      </c>
      <c r="Q170" s="536" t="str">
        <f t="shared" si="59"/>
        <v>2016/17</v>
      </c>
      <c r="R170" s="536" t="str">
        <f t="shared" si="59"/>
        <v>2017/18</v>
      </c>
      <c r="S170" s="536" t="str">
        <f t="shared" si="59"/>
        <v>2018/19</v>
      </c>
      <c r="T170" s="536" t="str">
        <f t="shared" si="59"/>
        <v>2019/20</v>
      </c>
      <c r="U170" s="536" t="str">
        <f t="shared" si="59"/>
        <v>2020/21</v>
      </c>
      <c r="V170" s="536" t="str">
        <f t="shared" si="59"/>
        <v>2021/22</v>
      </c>
      <c r="W170" s="536" t="str">
        <f t="shared" si="59"/>
        <v>2022/23</v>
      </c>
      <c r="X170" s="536" t="str">
        <f t="shared" si="59"/>
        <v>2023/24</v>
      </c>
      <c r="Y170" s="536" t="str">
        <f t="shared" si="59"/>
        <v>2024/25</v>
      </c>
      <c r="Z170" s="536" t="str">
        <f t="shared" si="59"/>
        <v>2025/26</v>
      </c>
      <c r="AA170" s="536" t="str">
        <f t="shared" si="59"/>
        <v>2026/27</v>
      </c>
      <c r="AB170" s="536" t="str">
        <f t="shared" si="59"/>
        <v>2027/28</v>
      </c>
      <c r="AC170" s="536" t="str">
        <f t="shared" si="59"/>
        <v>2028/29</v>
      </c>
      <c r="AD170" s="536" t="str">
        <f t="shared" si="59"/>
        <v>2029/30</v>
      </c>
      <c r="AE170" s="536" t="str">
        <f t="shared" si="59"/>
        <v>2030/31</v>
      </c>
      <c r="AF170" s="536" t="str">
        <f t="shared" si="59"/>
        <v>2031/32</v>
      </c>
      <c r="AG170" s="536" t="str">
        <f t="shared" si="59"/>
        <v>3032/33</v>
      </c>
      <c r="AH170" s="536" t="str">
        <f t="shared" si="59"/>
        <v>2033/34</v>
      </c>
      <c r="AI170" s="536" t="str">
        <f t="shared" si="59"/>
        <v>2034/35</v>
      </c>
      <c r="AJ170" s="536" t="str">
        <f t="shared" si="59"/>
        <v>2035/36</v>
      </c>
      <c r="AK170" s="536" t="str">
        <f t="shared" si="59"/>
        <v>2036/37</v>
      </c>
    </row>
    <row r="171" spans="4:37" x14ac:dyDescent="0.45">
      <c r="E171" s="803" t="str">
        <f>D48</f>
        <v>Net Surplus / (Deficit)</v>
      </c>
      <c r="F171" s="803"/>
      <c r="G171" s="803"/>
      <c r="H171" s="803"/>
      <c r="I171" s="803"/>
      <c r="J171" s="803"/>
      <c r="K171" s="803"/>
      <c r="L171" s="803"/>
      <c r="M171" s="803"/>
      <c r="N171" s="533">
        <f t="shared" ref="N171:AK171" si="60">N48</f>
        <v>-9354796.4700000007</v>
      </c>
      <c r="O171" s="533">
        <f t="shared" si="60"/>
        <v>-10229237.26</v>
      </c>
      <c r="P171" s="533">
        <f t="shared" si="60"/>
        <v>-10415188.16</v>
      </c>
      <c r="Q171" s="579">
        <f t="shared" si="60"/>
        <v>-9050671.484040793</v>
      </c>
      <c r="R171" s="579">
        <f t="shared" si="60"/>
        <v>-7276268.3573198924</v>
      </c>
      <c r="S171" s="579">
        <f t="shared" si="60"/>
        <v>-5272498.0344495559</v>
      </c>
      <c r="T171" s="533">
        <f t="shared" si="60"/>
        <v>-5562124.3240768462</v>
      </c>
      <c r="U171" s="533">
        <f t="shared" si="60"/>
        <v>-5535382.1975866212</v>
      </c>
      <c r="V171" s="533">
        <f t="shared" si="60"/>
        <v>-5487924.873524704</v>
      </c>
      <c r="W171" s="533">
        <f t="shared" si="60"/>
        <v>-5417569.3500243956</v>
      </c>
      <c r="X171" s="533">
        <f t="shared" si="60"/>
        <v>-5321955.1584863178</v>
      </c>
      <c r="Y171" s="533">
        <f t="shared" si="60"/>
        <v>-5198531.4458184605</v>
      </c>
      <c r="Z171" s="533">
        <f t="shared" si="60"/>
        <v>-5044543.1725595053</v>
      </c>
      <c r="AA171" s="533">
        <f t="shared" si="60"/>
        <v>-4857016.3687088052</v>
      </c>
      <c r="AB171" s="533">
        <f t="shared" si="60"/>
        <v>-4632742.3853614368</v>
      </c>
      <c r="AC171" s="533">
        <f t="shared" si="60"/>
        <v>-4368261.0762879653</v>
      </c>
      <c r="AD171" s="533">
        <f t="shared" si="60"/>
        <v>-4059842.8393917042</v>
      </c>
      <c r="AE171" s="533">
        <f t="shared" si="60"/>
        <v>-3703469.4435056476</v>
      </c>
      <c r="AF171" s="533">
        <f t="shared" si="60"/>
        <v>-3294813.561241088</v>
      </c>
      <c r="AG171" s="533">
        <f t="shared" si="60"/>
        <v>-2829216.9235524968</v>
      </c>
      <c r="AH171" s="533">
        <f t="shared" si="60"/>
        <v>-2301667.0063206377</v>
      </c>
      <c r="AI171" s="533">
        <f t="shared" si="60"/>
        <v>-1706772.1535583164</v>
      </c>
      <c r="AJ171" s="533">
        <f t="shared" si="60"/>
        <v>28144.297004007109</v>
      </c>
      <c r="AK171" s="533">
        <f t="shared" si="60"/>
        <v>0</v>
      </c>
    </row>
    <row r="172" spans="4:37" x14ac:dyDescent="0.45">
      <c r="E172" s="803" t="str">
        <f>D47</f>
        <v>Total Expenditure</v>
      </c>
      <c r="F172" s="803"/>
      <c r="G172" s="803"/>
      <c r="H172" s="803"/>
      <c r="I172" s="803"/>
      <c r="J172" s="803"/>
      <c r="K172" s="803"/>
      <c r="L172" s="803"/>
      <c r="M172" s="803"/>
      <c r="N172" s="533">
        <f t="shared" ref="N172:AK172" si="61">N47</f>
        <v>10341549.390000001</v>
      </c>
      <c r="O172" s="533">
        <f t="shared" si="61"/>
        <v>11126424.74</v>
      </c>
      <c r="P172" s="533">
        <f t="shared" si="61"/>
        <v>11189539.09</v>
      </c>
      <c r="Q172" s="579">
        <f t="shared" si="61"/>
        <v>9701626.2512849998</v>
      </c>
      <c r="R172" s="579">
        <f t="shared" si="61"/>
        <v>7883264.6445640996</v>
      </c>
      <c r="S172" s="579">
        <f t="shared" si="61"/>
        <v>5835535.8416937636</v>
      </c>
      <c r="T172" s="533">
        <f t="shared" si="61"/>
        <v>5697948.2137706475</v>
      </c>
      <c r="U172" s="533">
        <f t="shared" si="61"/>
        <v>5666321.8117248667</v>
      </c>
      <c r="V172" s="533">
        <f t="shared" si="61"/>
        <v>5613980.2121073939</v>
      </c>
      <c r="W172" s="533">
        <f t="shared" si="61"/>
        <v>5538740.4130515298</v>
      </c>
      <c r="X172" s="533">
        <f t="shared" si="61"/>
        <v>5438241.9459578963</v>
      </c>
      <c r="Y172" s="533">
        <f t="shared" si="61"/>
        <v>5309933.9577344833</v>
      </c>
      <c r="Z172" s="533">
        <f t="shared" si="61"/>
        <v>5151061.4089199724</v>
      </c>
      <c r="AA172" s="533">
        <f t="shared" si="61"/>
        <v>4958650.3295137174</v>
      </c>
      <c r="AB172" s="533">
        <f t="shared" si="61"/>
        <v>4729492.0706107933</v>
      </c>
      <c r="AC172" s="533">
        <f t="shared" si="61"/>
        <v>4460126.4859817661</v>
      </c>
      <c r="AD172" s="533">
        <f t="shared" si="61"/>
        <v>4146823.9735299493</v>
      </c>
      <c r="AE172" s="533">
        <f t="shared" si="61"/>
        <v>3785566.3020883375</v>
      </c>
      <c r="AF172" s="533">
        <f t="shared" si="61"/>
        <v>3372026.1442682222</v>
      </c>
      <c r="AG172" s="533">
        <f t="shared" si="61"/>
        <v>2901545.2310240753</v>
      </c>
      <c r="AH172" s="533">
        <f t="shared" si="61"/>
        <v>2369111.0382366609</v>
      </c>
      <c r="AI172" s="533">
        <f t="shared" si="61"/>
        <v>1769331.9099187839</v>
      </c>
      <c r="AJ172" s="533">
        <f t="shared" si="61"/>
        <v>77438.113494705685</v>
      </c>
      <c r="AK172" s="533">
        <f t="shared" si="61"/>
        <v>0</v>
      </c>
    </row>
    <row r="173" spans="4:37" x14ac:dyDescent="0.45">
      <c r="E173" s="803" t="str">
        <f>D28</f>
        <v>Total Income</v>
      </c>
      <c r="F173" s="803"/>
      <c r="G173" s="803"/>
      <c r="H173" s="803"/>
      <c r="I173" s="803"/>
      <c r="J173" s="803"/>
      <c r="K173" s="803"/>
      <c r="L173" s="803"/>
      <c r="M173" s="803"/>
      <c r="N173" s="533">
        <f t="shared" ref="N173:AK173" si="62">N28</f>
        <v>986752.92000000016</v>
      </c>
      <c r="O173" s="533">
        <f t="shared" si="62"/>
        <v>897187.48</v>
      </c>
      <c r="P173" s="533">
        <f t="shared" si="62"/>
        <v>774350.93</v>
      </c>
      <c r="Q173" s="579">
        <f t="shared" si="62"/>
        <v>650954.76724420744</v>
      </c>
      <c r="R173" s="579">
        <f t="shared" si="62"/>
        <v>606996.28724420746</v>
      </c>
      <c r="S173" s="579">
        <f t="shared" si="62"/>
        <v>563037.80724420748</v>
      </c>
      <c r="T173" s="533">
        <f t="shared" si="62"/>
        <v>135823.88969380083</v>
      </c>
      <c r="U173" s="533">
        <f t="shared" si="62"/>
        <v>130939.61413824529</v>
      </c>
      <c r="V173" s="533">
        <f t="shared" si="62"/>
        <v>126055.33858268973</v>
      </c>
      <c r="W173" s="533">
        <f t="shared" si="62"/>
        <v>121171.06302713418</v>
      </c>
      <c r="X173" s="533">
        <f t="shared" si="62"/>
        <v>116286.78747157862</v>
      </c>
      <c r="Y173" s="533">
        <f t="shared" si="62"/>
        <v>111402.51191602307</v>
      </c>
      <c r="Z173" s="533">
        <f t="shared" si="62"/>
        <v>106518.2363604675</v>
      </c>
      <c r="AA173" s="533">
        <f t="shared" si="62"/>
        <v>101633.96080491194</v>
      </c>
      <c r="AB173" s="533">
        <f t="shared" si="62"/>
        <v>96749.685249356393</v>
      </c>
      <c r="AC173" s="533">
        <f t="shared" si="62"/>
        <v>91865.409693800844</v>
      </c>
      <c r="AD173" s="533">
        <f t="shared" si="62"/>
        <v>86981.134138245281</v>
      </c>
      <c r="AE173" s="533">
        <f t="shared" si="62"/>
        <v>82096.858582689732</v>
      </c>
      <c r="AF173" s="533">
        <f t="shared" si="62"/>
        <v>77212.583027134169</v>
      </c>
      <c r="AG173" s="533">
        <f t="shared" si="62"/>
        <v>72328.307471578621</v>
      </c>
      <c r="AH173" s="533">
        <f t="shared" si="62"/>
        <v>67444.031916023057</v>
      </c>
      <c r="AI173" s="533">
        <f t="shared" si="62"/>
        <v>62559.756360467509</v>
      </c>
      <c r="AJ173" s="533">
        <f t="shared" si="62"/>
        <v>105582.41049871279</v>
      </c>
      <c r="AK173" s="533">
        <f t="shared" si="62"/>
        <v>0</v>
      </c>
    </row>
    <row r="195" spans="5:37" x14ac:dyDescent="0.45">
      <c r="N195" s="536" t="str">
        <f>N$170</f>
        <v>2013/14</v>
      </c>
      <c r="O195" s="536" t="str">
        <f t="shared" ref="O195:AK195" si="63">O$170</f>
        <v>2014/15</v>
      </c>
      <c r="P195" s="536" t="str">
        <f t="shared" si="63"/>
        <v>2015/16</v>
      </c>
      <c r="Q195" s="536" t="str">
        <f t="shared" si="63"/>
        <v>2016/17</v>
      </c>
      <c r="R195" s="536" t="str">
        <f t="shared" si="63"/>
        <v>2017/18</v>
      </c>
      <c r="S195" s="536" t="str">
        <f t="shared" si="63"/>
        <v>2018/19</v>
      </c>
      <c r="T195" s="536" t="str">
        <f t="shared" si="63"/>
        <v>2019/20</v>
      </c>
      <c r="U195" s="536" t="str">
        <f t="shared" si="63"/>
        <v>2020/21</v>
      </c>
      <c r="V195" s="536" t="str">
        <f t="shared" si="63"/>
        <v>2021/22</v>
      </c>
      <c r="W195" s="536" t="str">
        <f t="shared" si="63"/>
        <v>2022/23</v>
      </c>
      <c r="X195" s="536" t="str">
        <f t="shared" si="63"/>
        <v>2023/24</v>
      </c>
      <c r="Y195" s="536" t="str">
        <f t="shared" si="63"/>
        <v>2024/25</v>
      </c>
      <c r="Z195" s="536" t="str">
        <f t="shared" si="63"/>
        <v>2025/26</v>
      </c>
      <c r="AA195" s="536" t="str">
        <f t="shared" si="63"/>
        <v>2026/27</v>
      </c>
      <c r="AB195" s="536" t="str">
        <f t="shared" si="63"/>
        <v>2027/28</v>
      </c>
      <c r="AC195" s="536" t="str">
        <f t="shared" si="63"/>
        <v>2028/29</v>
      </c>
      <c r="AD195" s="536" t="str">
        <f t="shared" si="63"/>
        <v>2029/30</v>
      </c>
      <c r="AE195" s="536" t="str">
        <f t="shared" si="63"/>
        <v>2030/31</v>
      </c>
      <c r="AF195" s="536" t="str">
        <f t="shared" si="63"/>
        <v>2031/32</v>
      </c>
      <c r="AG195" s="536" t="str">
        <f t="shared" si="63"/>
        <v>3032/33</v>
      </c>
      <c r="AH195" s="536" t="str">
        <f t="shared" si="63"/>
        <v>2033/34</v>
      </c>
      <c r="AI195" s="536" t="str">
        <f t="shared" si="63"/>
        <v>2034/35</v>
      </c>
      <c r="AJ195" s="536" t="str">
        <f t="shared" si="63"/>
        <v>2035/36</v>
      </c>
      <c r="AK195" s="536" t="str">
        <f t="shared" si="63"/>
        <v>2036/37</v>
      </c>
    </row>
    <row r="196" spans="5:37" x14ac:dyDescent="0.45">
      <c r="E196" s="803" t="str">
        <f>D104</f>
        <v>Sales &amp; Loans Collections/Sales &amp; Loans Raised</v>
      </c>
      <c r="F196" s="803"/>
      <c r="G196" s="803"/>
      <c r="H196" s="803"/>
      <c r="I196" s="803"/>
      <c r="J196" s="803"/>
      <c r="K196" s="803"/>
      <c r="L196" s="803"/>
      <c r="M196" s="803"/>
      <c r="N196" s="813">
        <f t="shared" ref="N196:AK196" si="64">N104</f>
        <v>8.2142341369943306E-2</v>
      </c>
      <c r="O196" s="813">
        <f t="shared" si="64"/>
        <v>0.53381492294990063</v>
      </c>
      <c r="P196" s="813">
        <f t="shared" si="64"/>
        <v>0.39757553272276625</v>
      </c>
      <c r="Q196" s="813">
        <f t="shared" si="64"/>
        <v>0.34269458893714638</v>
      </c>
      <c r="R196" s="813">
        <f t="shared" si="64"/>
        <v>0.34269458893714638</v>
      </c>
      <c r="S196" s="813">
        <f t="shared" si="64"/>
        <v>0.34269458893714638</v>
      </c>
      <c r="T196" s="813">
        <f t="shared" si="64"/>
        <v>0.34269458893714638</v>
      </c>
      <c r="U196" s="813">
        <f t="shared" si="64"/>
        <v>0.34269458893714638</v>
      </c>
      <c r="V196" s="813">
        <f t="shared" si="64"/>
        <v>0.34269458893714638</v>
      </c>
      <c r="W196" s="813">
        <f t="shared" si="64"/>
        <v>0.34269458893714638</v>
      </c>
      <c r="X196" s="813">
        <f t="shared" si="64"/>
        <v>0.34269458893714638</v>
      </c>
      <c r="Y196" s="813">
        <f t="shared" si="64"/>
        <v>0.34269458893714638</v>
      </c>
      <c r="Z196" s="813">
        <f t="shared" si="64"/>
        <v>0.34269458893714638</v>
      </c>
      <c r="AA196" s="813">
        <f t="shared" si="64"/>
        <v>0.34269458893714638</v>
      </c>
      <c r="AB196" s="813">
        <f t="shared" si="64"/>
        <v>0.34269458893714638</v>
      </c>
      <c r="AC196" s="813">
        <f t="shared" si="64"/>
        <v>0.34269458893714638</v>
      </c>
      <c r="AD196" s="813">
        <f t="shared" si="64"/>
        <v>0.34269458893714638</v>
      </c>
      <c r="AE196" s="813">
        <f t="shared" si="64"/>
        <v>0.34269458893714638</v>
      </c>
      <c r="AF196" s="813">
        <f t="shared" si="64"/>
        <v>0.34269458893714638</v>
      </c>
      <c r="AG196" s="813">
        <f t="shared" si="64"/>
        <v>0.34269458893714638</v>
      </c>
      <c r="AH196" s="813">
        <f t="shared" si="64"/>
        <v>0.34269458893714638</v>
      </c>
      <c r="AI196" s="813">
        <f t="shared" si="64"/>
        <v>0.34269458893714638</v>
      </c>
      <c r="AJ196" s="813">
        <f t="shared" si="64"/>
        <v>0.34269458893714638</v>
      </c>
      <c r="AK196" s="813">
        <f t="shared" si="64"/>
        <v>0</v>
      </c>
    </row>
    <row r="219" spans="5:37" x14ac:dyDescent="0.45">
      <c r="N219" s="536" t="str">
        <f>N$170</f>
        <v>2013/14</v>
      </c>
      <c r="O219" s="536" t="str">
        <f t="shared" ref="O219:AK219" si="65">O$170</f>
        <v>2014/15</v>
      </c>
      <c r="P219" s="536" t="str">
        <f t="shared" si="65"/>
        <v>2015/16</v>
      </c>
      <c r="Q219" s="536" t="str">
        <f t="shared" si="65"/>
        <v>2016/17</v>
      </c>
      <c r="R219" s="536" t="str">
        <f t="shared" si="65"/>
        <v>2017/18</v>
      </c>
      <c r="S219" s="536" t="str">
        <f t="shared" si="65"/>
        <v>2018/19</v>
      </c>
      <c r="T219" s="536" t="str">
        <f t="shared" si="65"/>
        <v>2019/20</v>
      </c>
      <c r="U219" s="536" t="str">
        <f t="shared" si="65"/>
        <v>2020/21</v>
      </c>
      <c r="V219" s="536" t="str">
        <f t="shared" si="65"/>
        <v>2021/22</v>
      </c>
      <c r="W219" s="536" t="str">
        <f t="shared" si="65"/>
        <v>2022/23</v>
      </c>
      <c r="X219" s="536" t="str">
        <f t="shared" si="65"/>
        <v>2023/24</v>
      </c>
      <c r="Y219" s="536" t="str">
        <f t="shared" si="65"/>
        <v>2024/25</v>
      </c>
      <c r="Z219" s="536" t="str">
        <f t="shared" si="65"/>
        <v>2025/26</v>
      </c>
      <c r="AA219" s="536" t="str">
        <f t="shared" si="65"/>
        <v>2026/27</v>
      </c>
      <c r="AB219" s="536" t="str">
        <f t="shared" si="65"/>
        <v>2027/28</v>
      </c>
      <c r="AC219" s="536" t="str">
        <f t="shared" si="65"/>
        <v>2028/29</v>
      </c>
      <c r="AD219" s="536" t="str">
        <f t="shared" si="65"/>
        <v>2029/30</v>
      </c>
      <c r="AE219" s="536" t="str">
        <f t="shared" si="65"/>
        <v>2030/31</v>
      </c>
      <c r="AF219" s="536" t="str">
        <f t="shared" si="65"/>
        <v>2031/32</v>
      </c>
      <c r="AG219" s="536" t="str">
        <f t="shared" si="65"/>
        <v>3032/33</v>
      </c>
      <c r="AH219" s="536" t="str">
        <f t="shared" si="65"/>
        <v>2033/34</v>
      </c>
      <c r="AI219" s="536" t="str">
        <f t="shared" si="65"/>
        <v>2034/35</v>
      </c>
      <c r="AJ219" s="536" t="str">
        <f t="shared" si="65"/>
        <v>2035/36</v>
      </c>
      <c r="AK219" s="536" t="str">
        <f t="shared" si="65"/>
        <v>2036/37</v>
      </c>
    </row>
    <row r="220" spans="5:37" x14ac:dyDescent="0.45">
      <c r="E220" s="803" t="str">
        <f>D105</f>
        <v>Rental Collections/Rentals Raised</v>
      </c>
      <c r="F220" s="803"/>
      <c r="G220" s="803"/>
      <c r="H220" s="803"/>
      <c r="I220" s="803"/>
      <c r="J220" s="803"/>
      <c r="K220" s="803"/>
      <c r="L220" s="803"/>
      <c r="M220" s="803"/>
      <c r="N220" s="813">
        <f>N105</f>
        <v>0.58054868799097703</v>
      </c>
      <c r="O220" s="813">
        <f t="shared" ref="O220:AK220" si="66">O105</f>
        <v>0.44324765713763226</v>
      </c>
      <c r="P220" s="813">
        <f t="shared" si="66"/>
        <v>0.64104385848248757</v>
      </c>
      <c r="Q220" s="813">
        <f t="shared" si="66"/>
        <v>0.64104385848248757</v>
      </c>
      <c r="R220" s="813">
        <f t="shared" si="66"/>
        <v>0.64104385848248757</v>
      </c>
      <c r="S220" s="813">
        <f t="shared" si="66"/>
        <v>0.64104385848248757</v>
      </c>
      <c r="T220" s="813">
        <f t="shared" si="66"/>
        <v>0.64104385848248757</v>
      </c>
      <c r="U220" s="813">
        <f t="shared" si="66"/>
        <v>0.64104385848248768</v>
      </c>
      <c r="V220" s="813">
        <f t="shared" si="66"/>
        <v>0.64104385848248757</v>
      </c>
      <c r="W220" s="813">
        <f t="shared" si="66"/>
        <v>0.64104385848248768</v>
      </c>
      <c r="X220" s="813">
        <f t="shared" si="66"/>
        <v>0.64104385848248757</v>
      </c>
      <c r="Y220" s="813">
        <f t="shared" si="66"/>
        <v>0.64104385848248757</v>
      </c>
      <c r="Z220" s="813">
        <f t="shared" si="66"/>
        <v>0.64104385848248757</v>
      </c>
      <c r="AA220" s="813">
        <f t="shared" si="66"/>
        <v>0.64104385848248757</v>
      </c>
      <c r="AB220" s="813">
        <f t="shared" si="66"/>
        <v>0.64104385848248757</v>
      </c>
      <c r="AC220" s="813">
        <f t="shared" si="66"/>
        <v>0.64104385848248757</v>
      </c>
      <c r="AD220" s="813">
        <f t="shared" si="66"/>
        <v>0.64104385848248757</v>
      </c>
      <c r="AE220" s="813">
        <f t="shared" si="66"/>
        <v>0.64104385848248757</v>
      </c>
      <c r="AF220" s="813">
        <f t="shared" si="66"/>
        <v>0.64104385848248757</v>
      </c>
      <c r="AG220" s="813">
        <f t="shared" si="66"/>
        <v>0.64104385848248768</v>
      </c>
      <c r="AH220" s="813">
        <f t="shared" si="66"/>
        <v>0.64104385848248757</v>
      </c>
      <c r="AI220" s="813">
        <f t="shared" si="66"/>
        <v>0.64104385848248768</v>
      </c>
      <c r="AJ220" s="813">
        <f t="shared" si="66"/>
        <v>0</v>
      </c>
      <c r="AK220" s="813">
        <f t="shared" si="66"/>
        <v>0</v>
      </c>
    </row>
    <row r="243" spans="5:37" x14ac:dyDescent="0.45">
      <c r="N243" s="536" t="str">
        <f>N$170</f>
        <v>2013/14</v>
      </c>
      <c r="O243" s="536" t="str">
        <f t="shared" ref="O243:AK243" si="67">O$170</f>
        <v>2014/15</v>
      </c>
      <c r="P243" s="536" t="str">
        <f t="shared" si="67"/>
        <v>2015/16</v>
      </c>
      <c r="Q243" s="536" t="str">
        <f t="shared" si="67"/>
        <v>2016/17</v>
      </c>
      <c r="R243" s="536" t="str">
        <f t="shared" si="67"/>
        <v>2017/18</v>
      </c>
      <c r="S243" s="536" t="str">
        <f t="shared" si="67"/>
        <v>2018/19</v>
      </c>
      <c r="T243" s="536" t="str">
        <f t="shared" si="67"/>
        <v>2019/20</v>
      </c>
      <c r="U243" s="536" t="str">
        <f t="shared" si="67"/>
        <v>2020/21</v>
      </c>
      <c r="V243" s="536" t="str">
        <f t="shared" si="67"/>
        <v>2021/22</v>
      </c>
      <c r="W243" s="536" t="str">
        <f t="shared" si="67"/>
        <v>2022/23</v>
      </c>
      <c r="X243" s="536" t="str">
        <f t="shared" si="67"/>
        <v>2023/24</v>
      </c>
      <c r="Y243" s="536" t="str">
        <f t="shared" si="67"/>
        <v>2024/25</v>
      </c>
      <c r="Z243" s="536" t="str">
        <f t="shared" si="67"/>
        <v>2025/26</v>
      </c>
      <c r="AA243" s="536" t="str">
        <f t="shared" si="67"/>
        <v>2026/27</v>
      </c>
      <c r="AB243" s="536" t="str">
        <f t="shared" si="67"/>
        <v>2027/28</v>
      </c>
      <c r="AC243" s="536" t="str">
        <f t="shared" si="67"/>
        <v>2028/29</v>
      </c>
      <c r="AD243" s="536" t="str">
        <f t="shared" si="67"/>
        <v>2029/30</v>
      </c>
      <c r="AE243" s="536" t="str">
        <f t="shared" si="67"/>
        <v>2030/31</v>
      </c>
      <c r="AF243" s="536" t="str">
        <f t="shared" si="67"/>
        <v>2031/32</v>
      </c>
      <c r="AG243" s="536" t="str">
        <f t="shared" si="67"/>
        <v>3032/33</v>
      </c>
      <c r="AH243" s="536" t="str">
        <f t="shared" si="67"/>
        <v>2033/34</v>
      </c>
      <c r="AI243" s="536" t="str">
        <f t="shared" si="67"/>
        <v>2034/35</v>
      </c>
      <c r="AJ243" s="536" t="str">
        <f t="shared" si="67"/>
        <v>2035/36</v>
      </c>
      <c r="AK243" s="536" t="str">
        <f t="shared" si="67"/>
        <v>2036/37</v>
      </c>
    </row>
    <row r="244" spans="5:37" x14ac:dyDescent="0.45">
      <c r="E244" s="803" t="str">
        <f>D110</f>
        <v>Cost to Income Ratio</v>
      </c>
      <c r="F244" s="803"/>
      <c r="G244" s="803"/>
      <c r="H244" s="803"/>
      <c r="I244" s="803"/>
      <c r="J244" s="803"/>
      <c r="K244" s="803"/>
      <c r="L244" s="803"/>
      <c r="M244" s="803"/>
      <c r="N244" s="813">
        <f>N110</f>
        <v>1.5829116337490683</v>
      </c>
      <c r="O244" s="813">
        <f t="shared" ref="O244:AK244" si="68">O110</f>
        <v>5.1965915863976644</v>
      </c>
      <c r="P244" s="813">
        <f t="shared" si="68"/>
        <v>10.286667956766635</v>
      </c>
      <c r="Q244" s="813">
        <f t="shared" si="68"/>
        <v>14.903687229078097</v>
      </c>
      <c r="R244" s="813">
        <f t="shared" si="68"/>
        <v>12.987335853987679</v>
      </c>
      <c r="S244" s="813">
        <f t="shared" si="68"/>
        <v>10.364376542058224</v>
      </c>
      <c r="T244" s="813">
        <f t="shared" si="68"/>
        <v>41.951001599321074</v>
      </c>
      <c r="U244" s="813">
        <f t="shared" si="68"/>
        <v>43.274312735811158</v>
      </c>
      <c r="V244" s="813">
        <f t="shared" si="68"/>
        <v>44.535838586675467</v>
      </c>
      <c r="W244" s="813">
        <f t="shared" si="68"/>
        <v>45.710091788261558</v>
      </c>
      <c r="X244" s="813">
        <f t="shared" si="68"/>
        <v>46.765776785148908</v>
      </c>
      <c r="Y244" s="813">
        <f t="shared" si="68"/>
        <v>47.664400617260711</v>
      </c>
      <c r="Z244" s="813">
        <f t="shared" si="68"/>
        <v>48.358493201936867</v>
      </c>
      <c r="AA244" s="813">
        <f t="shared" si="68"/>
        <v>48.78930517164364</v>
      </c>
      <c r="AB244" s="813">
        <f t="shared" si="68"/>
        <v>48.883798003283481</v>
      </c>
      <c r="AC244" s="813">
        <f t="shared" si="68"/>
        <v>48.550662331425265</v>
      </c>
      <c r="AD244" s="813">
        <f t="shared" si="68"/>
        <v>47.674981645319868</v>
      </c>
      <c r="AE244" s="813">
        <f t="shared" si="68"/>
        <v>46.110976320432933</v>
      </c>
      <c r="AF244" s="813">
        <f t="shared" si="68"/>
        <v>43.671976924839043</v>
      </c>
      <c r="AG244" s="813">
        <f t="shared" si="68"/>
        <v>40.116315899749715</v>
      </c>
      <c r="AH244" s="813">
        <f t="shared" si="68"/>
        <v>35.127067153792417</v>
      </c>
      <c r="AI244" s="813">
        <f t="shared" si="68"/>
        <v>28.282269830527227</v>
      </c>
      <c r="AJ244" s="813">
        <f t="shared" si="68"/>
        <v>0.73343763538766493</v>
      </c>
      <c r="AK244" s="813">
        <f t="shared" si="68"/>
        <v>0</v>
      </c>
    </row>
    <row r="269" spans="5:37" x14ac:dyDescent="0.45">
      <c r="N269" s="536" t="str">
        <f>N$170</f>
        <v>2013/14</v>
      </c>
      <c r="O269" s="536" t="str">
        <f t="shared" ref="O269:AK269" si="69">O$170</f>
        <v>2014/15</v>
      </c>
      <c r="P269" s="536" t="str">
        <f t="shared" si="69"/>
        <v>2015/16</v>
      </c>
      <c r="Q269" s="536" t="str">
        <f t="shared" si="69"/>
        <v>2016/17</v>
      </c>
      <c r="R269" s="536" t="str">
        <f t="shared" si="69"/>
        <v>2017/18</v>
      </c>
      <c r="S269" s="536" t="str">
        <f t="shared" si="69"/>
        <v>2018/19</v>
      </c>
      <c r="T269" s="536" t="str">
        <f t="shared" si="69"/>
        <v>2019/20</v>
      </c>
      <c r="U269" s="536" t="str">
        <f t="shared" si="69"/>
        <v>2020/21</v>
      </c>
      <c r="V269" s="536" t="str">
        <f t="shared" si="69"/>
        <v>2021/22</v>
      </c>
      <c r="W269" s="536" t="str">
        <f t="shared" si="69"/>
        <v>2022/23</v>
      </c>
      <c r="X269" s="536" t="str">
        <f t="shared" si="69"/>
        <v>2023/24</v>
      </c>
      <c r="Y269" s="536" t="str">
        <f t="shared" si="69"/>
        <v>2024/25</v>
      </c>
      <c r="Z269" s="536" t="str">
        <f t="shared" si="69"/>
        <v>2025/26</v>
      </c>
      <c r="AA269" s="536" t="str">
        <f t="shared" si="69"/>
        <v>2026/27</v>
      </c>
      <c r="AB269" s="536" t="str">
        <f t="shared" si="69"/>
        <v>2027/28</v>
      </c>
      <c r="AC269" s="536" t="str">
        <f t="shared" si="69"/>
        <v>2028/29</v>
      </c>
      <c r="AD269" s="536" t="str">
        <f t="shared" si="69"/>
        <v>2029/30</v>
      </c>
      <c r="AE269" s="536" t="str">
        <f t="shared" si="69"/>
        <v>2030/31</v>
      </c>
      <c r="AF269" s="536" t="str">
        <f t="shared" si="69"/>
        <v>2031/32</v>
      </c>
      <c r="AG269" s="536" t="str">
        <f t="shared" si="69"/>
        <v>3032/33</v>
      </c>
      <c r="AH269" s="536" t="str">
        <f t="shared" si="69"/>
        <v>2033/34</v>
      </c>
      <c r="AI269" s="536" t="str">
        <f t="shared" si="69"/>
        <v>2034/35</v>
      </c>
      <c r="AJ269" s="536" t="str">
        <f t="shared" si="69"/>
        <v>2035/36</v>
      </c>
      <c r="AK269" s="536" t="str">
        <f t="shared" si="69"/>
        <v>2036/37</v>
      </c>
    </row>
    <row r="270" spans="5:37" x14ac:dyDescent="0.45">
      <c r="E270" s="803" t="str">
        <f>D111</f>
        <v>Maintenance as % of Expenses</v>
      </c>
      <c r="F270" s="803"/>
      <c r="G270" s="803"/>
      <c r="H270" s="803"/>
      <c r="I270" s="803"/>
      <c r="J270" s="803"/>
      <c r="K270" s="803"/>
      <c r="L270" s="803"/>
      <c r="M270" s="803"/>
      <c r="N270" s="813">
        <f>N111</f>
        <v>0</v>
      </c>
      <c r="O270" s="813">
        <f t="shared" ref="O270:AK270" si="70">O111</f>
        <v>0</v>
      </c>
      <c r="P270" s="813">
        <f t="shared" si="70"/>
        <v>0</v>
      </c>
      <c r="Q270" s="813">
        <f t="shared" si="70"/>
        <v>0</v>
      </c>
      <c r="R270" s="813">
        <f t="shared" si="70"/>
        <v>0</v>
      </c>
      <c r="S270" s="813">
        <f t="shared" si="70"/>
        <v>0</v>
      </c>
      <c r="T270" s="813">
        <f t="shared" si="70"/>
        <v>0</v>
      </c>
      <c r="U270" s="813">
        <f t="shared" si="70"/>
        <v>0</v>
      </c>
      <c r="V270" s="813">
        <f t="shared" si="70"/>
        <v>0</v>
      </c>
      <c r="W270" s="813">
        <f t="shared" si="70"/>
        <v>0</v>
      </c>
      <c r="X270" s="813">
        <f t="shared" si="70"/>
        <v>0</v>
      </c>
      <c r="Y270" s="813">
        <f t="shared" si="70"/>
        <v>0</v>
      </c>
      <c r="Z270" s="813">
        <f t="shared" si="70"/>
        <v>0</v>
      </c>
      <c r="AA270" s="813">
        <f t="shared" si="70"/>
        <v>0</v>
      </c>
      <c r="AB270" s="813">
        <f t="shared" si="70"/>
        <v>0</v>
      </c>
      <c r="AC270" s="813">
        <f t="shared" si="70"/>
        <v>0</v>
      </c>
      <c r="AD270" s="813">
        <f t="shared" si="70"/>
        <v>0</v>
      </c>
      <c r="AE270" s="813">
        <f t="shared" si="70"/>
        <v>0</v>
      </c>
      <c r="AF270" s="813">
        <f t="shared" si="70"/>
        <v>0</v>
      </c>
      <c r="AG270" s="813">
        <f t="shared" si="70"/>
        <v>0</v>
      </c>
      <c r="AH270" s="813">
        <f t="shared" si="70"/>
        <v>0</v>
      </c>
      <c r="AI270" s="813">
        <f t="shared" si="70"/>
        <v>0</v>
      </c>
      <c r="AJ270" s="813">
        <f t="shared" si="70"/>
        <v>0</v>
      </c>
      <c r="AK270" s="813">
        <f t="shared" si="70"/>
        <v>0</v>
      </c>
    </row>
    <row r="293" spans="5:37" x14ac:dyDescent="0.45">
      <c r="N293" s="536" t="str">
        <f>N$170</f>
        <v>2013/14</v>
      </c>
      <c r="O293" s="536" t="str">
        <f t="shared" ref="O293:AK293" si="71">O$170</f>
        <v>2014/15</v>
      </c>
      <c r="P293" s="536" t="str">
        <f t="shared" si="71"/>
        <v>2015/16</v>
      </c>
      <c r="Q293" s="536" t="str">
        <f t="shared" si="71"/>
        <v>2016/17</v>
      </c>
      <c r="R293" s="536" t="str">
        <f t="shared" si="71"/>
        <v>2017/18</v>
      </c>
      <c r="S293" s="536" t="str">
        <f t="shared" si="71"/>
        <v>2018/19</v>
      </c>
      <c r="T293" s="536" t="str">
        <f t="shared" si="71"/>
        <v>2019/20</v>
      </c>
      <c r="U293" s="536" t="str">
        <f t="shared" si="71"/>
        <v>2020/21</v>
      </c>
      <c r="V293" s="536" t="str">
        <f t="shared" si="71"/>
        <v>2021/22</v>
      </c>
      <c r="W293" s="536" t="str">
        <f t="shared" si="71"/>
        <v>2022/23</v>
      </c>
      <c r="X293" s="536" t="str">
        <f t="shared" si="71"/>
        <v>2023/24</v>
      </c>
      <c r="Y293" s="536" t="str">
        <f t="shared" si="71"/>
        <v>2024/25</v>
      </c>
      <c r="Z293" s="536" t="str">
        <f t="shared" si="71"/>
        <v>2025/26</v>
      </c>
      <c r="AA293" s="536" t="str">
        <f t="shared" si="71"/>
        <v>2026/27</v>
      </c>
      <c r="AB293" s="536" t="str">
        <f t="shared" si="71"/>
        <v>2027/28</v>
      </c>
      <c r="AC293" s="536" t="str">
        <f t="shared" si="71"/>
        <v>2028/29</v>
      </c>
      <c r="AD293" s="536" t="str">
        <f t="shared" si="71"/>
        <v>2029/30</v>
      </c>
      <c r="AE293" s="536" t="str">
        <f t="shared" si="71"/>
        <v>2030/31</v>
      </c>
      <c r="AF293" s="536" t="str">
        <f t="shared" si="71"/>
        <v>2031/32</v>
      </c>
      <c r="AG293" s="536" t="str">
        <f t="shared" si="71"/>
        <v>3032/33</v>
      </c>
      <c r="AH293" s="536" t="str">
        <f t="shared" si="71"/>
        <v>2033/34</v>
      </c>
      <c r="AI293" s="536" t="str">
        <f t="shared" si="71"/>
        <v>2034/35</v>
      </c>
      <c r="AJ293" s="536" t="str">
        <f t="shared" si="71"/>
        <v>2035/36</v>
      </c>
      <c r="AK293" s="536" t="str">
        <f t="shared" si="71"/>
        <v>2036/37</v>
      </c>
    </row>
    <row r="294" spans="5:37" x14ac:dyDescent="0.45">
      <c r="E294" s="803" t="str">
        <f>D112</f>
        <v>Maintenance Cost per Unit</v>
      </c>
      <c r="F294" s="803"/>
      <c r="G294" s="803"/>
      <c r="H294" s="803"/>
      <c r="I294" s="803"/>
      <c r="J294" s="803"/>
      <c r="K294" s="803"/>
      <c r="L294" s="803"/>
      <c r="M294" s="803"/>
      <c r="N294" s="818">
        <f>N112</f>
        <v>0</v>
      </c>
      <c r="O294" s="818">
        <f t="shared" ref="O294:AK294" si="72">O112</f>
        <v>0</v>
      </c>
      <c r="P294" s="818">
        <f t="shared" si="72"/>
        <v>0</v>
      </c>
      <c r="Q294" s="818">
        <f t="shared" si="72"/>
        <v>0</v>
      </c>
      <c r="R294" s="818">
        <f t="shared" si="72"/>
        <v>0</v>
      </c>
      <c r="S294" s="818">
        <f t="shared" si="72"/>
        <v>0</v>
      </c>
      <c r="T294" s="818">
        <f t="shared" si="72"/>
        <v>0</v>
      </c>
      <c r="U294" s="818">
        <f t="shared" si="72"/>
        <v>0</v>
      </c>
      <c r="V294" s="818">
        <f t="shared" si="72"/>
        <v>0</v>
      </c>
      <c r="W294" s="818">
        <f t="shared" si="72"/>
        <v>0</v>
      </c>
      <c r="X294" s="818">
        <f t="shared" si="72"/>
        <v>0</v>
      </c>
      <c r="Y294" s="818">
        <f t="shared" si="72"/>
        <v>0</v>
      </c>
      <c r="Z294" s="818">
        <f t="shared" si="72"/>
        <v>0</v>
      </c>
      <c r="AA294" s="818">
        <f t="shared" si="72"/>
        <v>0</v>
      </c>
      <c r="AB294" s="818">
        <f t="shared" si="72"/>
        <v>0</v>
      </c>
      <c r="AC294" s="818">
        <f t="shared" si="72"/>
        <v>0</v>
      </c>
      <c r="AD294" s="818">
        <f t="shared" si="72"/>
        <v>0</v>
      </c>
      <c r="AE294" s="818">
        <f t="shared" si="72"/>
        <v>0</v>
      </c>
      <c r="AF294" s="818">
        <f t="shared" si="72"/>
        <v>0</v>
      </c>
      <c r="AG294" s="818">
        <f t="shared" si="72"/>
        <v>0</v>
      </c>
      <c r="AH294" s="818">
        <f t="shared" si="72"/>
        <v>0</v>
      </c>
      <c r="AI294" s="818">
        <f t="shared" si="72"/>
        <v>0</v>
      </c>
      <c r="AJ294" s="818">
        <f t="shared" si="72"/>
        <v>0</v>
      </c>
      <c r="AK294" s="818">
        <f t="shared" si="72"/>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3.4563440450780035E-3</v>
      </c>
      <c r="O317" s="813">
        <f t="shared" ref="O317:AK317" si="74">O113</f>
        <v>3.9721327001343244E-3</v>
      </c>
      <c r="P317" s="813">
        <f t="shared" si="74"/>
        <v>0</v>
      </c>
      <c r="Q317" s="813">
        <f t="shared" si="74"/>
        <v>3.6755906435099136E-3</v>
      </c>
      <c r="R317" s="813">
        <f t="shared" si="74"/>
        <v>2.9549833889111364E-3</v>
      </c>
      <c r="S317" s="813">
        <f t="shared" si="74"/>
        <v>2.141227253416444E-3</v>
      </c>
      <c r="T317" s="813">
        <f t="shared" si="74"/>
        <v>2.2588481042169284E-3</v>
      </c>
      <c r="U317" s="813">
        <f t="shared" si="74"/>
        <v>2.2479877929031931E-3</v>
      </c>
      <c r="V317" s="813">
        <f t="shared" si="74"/>
        <v>2.2287147813265843E-3</v>
      </c>
      <c r="W317" s="813">
        <f t="shared" si="74"/>
        <v>2.2001425251848201E-3</v>
      </c>
      <c r="X317" s="813">
        <f t="shared" si="74"/>
        <v>2.1613124087206635E-3</v>
      </c>
      <c r="Y317" s="813">
        <f t="shared" si="74"/>
        <v>2.1111884986583914E-3</v>
      </c>
      <c r="Z317" s="813">
        <f t="shared" si="74"/>
        <v>2.048651939089425E-3</v>
      </c>
      <c r="AA317" s="813">
        <f t="shared" si="74"/>
        <v>1.9724949636808755E-3</v>
      </c>
      <c r="AB317" s="813">
        <f t="shared" si="74"/>
        <v>1.8814145000679982E-3</v>
      </c>
      <c r="AC317" s="813">
        <f t="shared" si="74"/>
        <v>1.7740053396838355E-3</v>
      </c>
      <c r="AD317" s="813">
        <f t="shared" si="74"/>
        <v>1.648752844570887E-3</v>
      </c>
      <c r="AE317" s="813">
        <f t="shared" si="74"/>
        <v>1.5040251609040583E-3</v>
      </c>
      <c r="AF317" s="813">
        <f t="shared" si="74"/>
        <v>1.3380649070250507E-3</v>
      </c>
      <c r="AG317" s="813">
        <f t="shared" si="74"/>
        <v>1.1489803017385256E-3</v>
      </c>
      <c r="AH317" s="813">
        <f t="shared" si="74"/>
        <v>9.3473569644255121E-4</v>
      </c>
      <c r="AI317" s="813">
        <f t="shared" si="74"/>
        <v>6.9314147235199084E-4</v>
      </c>
      <c r="AJ317" s="813">
        <f t="shared" si="74"/>
        <v>-1.1429750258696537E-5</v>
      </c>
      <c r="AK317" s="813">
        <f t="shared" si="74"/>
        <v>0</v>
      </c>
    </row>
    <row r="339" spans="5:37" x14ac:dyDescent="0.45">
      <c r="N339" s="536" t="str">
        <f>N$170</f>
        <v>2013/14</v>
      </c>
      <c r="O339" s="536" t="str">
        <f t="shared" ref="O339:AK339" si="75">O$170</f>
        <v>2014/15</v>
      </c>
      <c r="P339" s="536" t="str">
        <f t="shared" si="75"/>
        <v>2015/16</v>
      </c>
      <c r="Q339" s="536" t="str">
        <f t="shared" si="75"/>
        <v>2016/17</v>
      </c>
      <c r="R339" s="536" t="str">
        <f t="shared" si="75"/>
        <v>2017/18</v>
      </c>
      <c r="S339" s="536" t="str">
        <f t="shared" si="75"/>
        <v>2018/19</v>
      </c>
      <c r="T339" s="536" t="str">
        <f t="shared" si="75"/>
        <v>2019/20</v>
      </c>
      <c r="U339" s="536" t="str">
        <f t="shared" si="75"/>
        <v>2020/21</v>
      </c>
      <c r="V339" s="536" t="str">
        <f t="shared" si="75"/>
        <v>2021/22</v>
      </c>
      <c r="W339" s="536" t="str">
        <f t="shared" si="75"/>
        <v>2022/23</v>
      </c>
      <c r="X339" s="536" t="str">
        <f t="shared" si="75"/>
        <v>2023/24</v>
      </c>
      <c r="Y339" s="536" t="str">
        <f t="shared" si="75"/>
        <v>2024/25</v>
      </c>
      <c r="Z339" s="536" t="str">
        <f t="shared" si="75"/>
        <v>2025/26</v>
      </c>
      <c r="AA339" s="536" t="str">
        <f t="shared" si="75"/>
        <v>2026/27</v>
      </c>
      <c r="AB339" s="536" t="str">
        <f t="shared" si="75"/>
        <v>2027/28</v>
      </c>
      <c r="AC339" s="536" t="str">
        <f t="shared" si="75"/>
        <v>2028/29</v>
      </c>
      <c r="AD339" s="536" t="str">
        <f t="shared" si="75"/>
        <v>2029/30</v>
      </c>
      <c r="AE339" s="536" t="str">
        <f t="shared" si="75"/>
        <v>2030/31</v>
      </c>
      <c r="AF339" s="536" t="str">
        <f t="shared" si="75"/>
        <v>2031/32</v>
      </c>
      <c r="AG339" s="536" t="str">
        <f t="shared" si="75"/>
        <v>3032/33</v>
      </c>
      <c r="AH339" s="536" t="str">
        <f t="shared" si="75"/>
        <v>2033/34</v>
      </c>
      <c r="AI339" s="536" t="str">
        <f t="shared" si="75"/>
        <v>2034/35</v>
      </c>
      <c r="AJ339" s="536" t="str">
        <f t="shared" si="75"/>
        <v>2035/36</v>
      </c>
      <c r="AK339" s="536" t="str">
        <f t="shared" si="75"/>
        <v>2036/37</v>
      </c>
    </row>
    <row r="340" spans="5:37" x14ac:dyDescent="0.45">
      <c r="E340" s="803" t="str">
        <f>D115</f>
        <v>EEDBS as % of HSDG</v>
      </c>
      <c r="F340" s="803"/>
      <c r="G340" s="803"/>
      <c r="H340" s="803"/>
      <c r="I340" s="803"/>
      <c r="J340" s="803"/>
      <c r="K340" s="803"/>
      <c r="L340" s="803"/>
      <c r="M340" s="803"/>
      <c r="N340" s="813">
        <f>N115</f>
        <v>2.2093895601201837E-3</v>
      </c>
      <c r="O340" s="813">
        <f t="shared" ref="O340:AK340" si="76">O115</f>
        <v>5.1987446911838338E-4</v>
      </c>
      <c r="P340" s="813">
        <f t="shared" si="76"/>
        <v>1.2728377353218767E-4</v>
      </c>
      <c r="Q340" s="813">
        <f t="shared" si="76"/>
        <v>8.5450080071950579E-5</v>
      </c>
      <c r="R340" s="813">
        <f t="shared" si="76"/>
        <v>8.5450080071950579E-5</v>
      </c>
      <c r="S340" s="813">
        <f t="shared" si="76"/>
        <v>8.5450080071950579E-5</v>
      </c>
      <c r="T340" s="813">
        <f t="shared" si="76"/>
        <v>9.4944533413278436E-6</v>
      </c>
      <c r="U340" s="813">
        <f t="shared" si="76"/>
        <v>9.4944533413278436E-6</v>
      </c>
      <c r="V340" s="813">
        <f t="shared" si="76"/>
        <v>9.4944533413278436E-6</v>
      </c>
      <c r="W340" s="813">
        <f t="shared" si="76"/>
        <v>9.4944533413278436E-6</v>
      </c>
      <c r="X340" s="813">
        <f t="shared" si="76"/>
        <v>9.4944533413278436E-6</v>
      </c>
      <c r="Y340" s="813">
        <f t="shared" si="76"/>
        <v>9.4944533413278436E-6</v>
      </c>
      <c r="Z340" s="813">
        <f t="shared" si="76"/>
        <v>9.4944533413278436E-6</v>
      </c>
      <c r="AA340" s="813">
        <f t="shared" si="76"/>
        <v>9.4944533413278436E-6</v>
      </c>
      <c r="AB340" s="813">
        <f t="shared" si="76"/>
        <v>9.4944533413278436E-6</v>
      </c>
      <c r="AC340" s="813">
        <f t="shared" si="76"/>
        <v>9.4944533413278436E-6</v>
      </c>
      <c r="AD340" s="813">
        <f t="shared" si="76"/>
        <v>9.4944533413278436E-6</v>
      </c>
      <c r="AE340" s="813">
        <f t="shared" si="76"/>
        <v>9.4944533413278436E-6</v>
      </c>
      <c r="AF340" s="813">
        <f t="shared" si="76"/>
        <v>9.4944533413278436E-6</v>
      </c>
      <c r="AG340" s="813">
        <f t="shared" si="76"/>
        <v>9.4944533413278436E-6</v>
      </c>
      <c r="AH340" s="813">
        <f t="shared" si="76"/>
        <v>9.4944533413278436E-6</v>
      </c>
      <c r="AI340" s="813">
        <f t="shared" si="76"/>
        <v>9.4944533413278436E-6</v>
      </c>
      <c r="AJ340" s="813">
        <f t="shared" si="76"/>
        <v>6.4001665926913618E-3</v>
      </c>
      <c r="AK340" s="813">
        <f t="shared" si="76"/>
        <v>0</v>
      </c>
    </row>
    <row r="363" spans="5:37" x14ac:dyDescent="0.45">
      <c r="N363" s="536" t="str">
        <f>N$170</f>
        <v>2013/14</v>
      </c>
      <c r="O363" s="536" t="str">
        <f t="shared" ref="O363:AK363" si="77">O$170</f>
        <v>2014/15</v>
      </c>
      <c r="P363" s="536" t="str">
        <f t="shared" si="77"/>
        <v>2015/16</v>
      </c>
      <c r="Q363" s="536" t="str">
        <f t="shared" si="77"/>
        <v>2016/17</v>
      </c>
      <c r="R363" s="536" t="str">
        <f t="shared" si="77"/>
        <v>2017/18</v>
      </c>
      <c r="S363" s="536" t="str">
        <f t="shared" si="77"/>
        <v>2018/19</v>
      </c>
      <c r="T363" s="536" t="str">
        <f t="shared" si="77"/>
        <v>2019/20</v>
      </c>
      <c r="U363" s="536" t="str">
        <f t="shared" si="77"/>
        <v>2020/21</v>
      </c>
      <c r="V363" s="536" t="str">
        <f t="shared" si="77"/>
        <v>2021/22</v>
      </c>
      <c r="W363" s="536" t="str">
        <f t="shared" si="77"/>
        <v>2022/23</v>
      </c>
      <c r="X363" s="536" t="str">
        <f t="shared" si="77"/>
        <v>2023/24</v>
      </c>
      <c r="Y363" s="536" t="str">
        <f t="shared" si="77"/>
        <v>2024/25</v>
      </c>
      <c r="Z363" s="536" t="str">
        <f t="shared" si="77"/>
        <v>2025/26</v>
      </c>
      <c r="AA363" s="536" t="str">
        <f t="shared" si="77"/>
        <v>2026/27</v>
      </c>
      <c r="AB363" s="536" t="str">
        <f t="shared" si="77"/>
        <v>2027/28</v>
      </c>
      <c r="AC363" s="536" t="str">
        <f t="shared" si="77"/>
        <v>2028/29</v>
      </c>
      <c r="AD363" s="536" t="str">
        <f t="shared" si="77"/>
        <v>2029/30</v>
      </c>
      <c r="AE363" s="536" t="str">
        <f t="shared" si="77"/>
        <v>2030/31</v>
      </c>
      <c r="AF363" s="536" t="str">
        <f t="shared" si="77"/>
        <v>2031/32</v>
      </c>
      <c r="AG363" s="536" t="str">
        <f t="shared" si="77"/>
        <v>3032/33</v>
      </c>
      <c r="AH363" s="536" t="str">
        <f t="shared" si="77"/>
        <v>2033/34</v>
      </c>
      <c r="AI363" s="536" t="str">
        <f t="shared" si="77"/>
        <v>2034/35</v>
      </c>
      <c r="AJ363" s="536" t="str">
        <f t="shared" si="77"/>
        <v>2035/36</v>
      </c>
      <c r="AK363" s="536" t="str">
        <f t="shared" si="77"/>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78">O117</f>
        <v>0</v>
      </c>
      <c r="P364" s="818">
        <f t="shared" si="78"/>
        <v>10360.684342592593</v>
      </c>
      <c r="Q364" s="818">
        <f t="shared" si="78"/>
        <v>11228.734087135417</v>
      </c>
      <c r="R364" s="818">
        <f t="shared" si="78"/>
        <v>12165.531858895216</v>
      </c>
      <c r="S364" s="818">
        <f t="shared" si="78"/>
        <v>13508.184818735564</v>
      </c>
      <c r="T364" s="818">
        <f t="shared" si="78"/>
        <v>13965.559347477078</v>
      </c>
      <c r="U364" s="818">
        <f t="shared" si="78"/>
        <v>14756.046384700174</v>
      </c>
      <c r="V364" s="818">
        <f t="shared" si="78"/>
        <v>15594.389478076095</v>
      </c>
      <c r="W364" s="818">
        <f t="shared" si="78"/>
        <v>16484.346467415267</v>
      </c>
      <c r="X364" s="818">
        <f t="shared" si="78"/>
        <v>17430.262647300948</v>
      </c>
      <c r="Y364" s="818">
        <f t="shared" si="78"/>
        <v>18437.270686578067</v>
      </c>
      <c r="Z364" s="818">
        <f t="shared" si="78"/>
        <v>19511.596245908986</v>
      </c>
      <c r="AA364" s="818">
        <f t="shared" si="78"/>
        <v>20661.043039640488</v>
      </c>
      <c r="AB364" s="818">
        <f t="shared" si="78"/>
        <v>21895.796623198115</v>
      </c>
      <c r="AC364" s="818">
        <f t="shared" si="78"/>
        <v>23229.825447821699</v>
      </c>
      <c r="AD364" s="818">
        <f t="shared" si="78"/>
        <v>24683.476032916366</v>
      </c>
      <c r="AE364" s="818">
        <f t="shared" si="78"/>
        <v>26288.654875613454</v>
      </c>
      <c r="AF364" s="818">
        <f t="shared" si="78"/>
        <v>28100.217868901851</v>
      </c>
      <c r="AG364" s="818">
        <f t="shared" si="78"/>
        <v>30224.429489834118</v>
      </c>
      <c r="AH364" s="818">
        <f t="shared" si="78"/>
        <v>32904.319975509177</v>
      </c>
      <c r="AI364" s="818">
        <f t="shared" si="78"/>
        <v>36861.081456641332</v>
      </c>
      <c r="AJ364" s="818">
        <f t="shared" si="78"/>
        <v>0</v>
      </c>
      <c r="AK364" s="818">
        <f t="shared" si="78"/>
        <v>0</v>
      </c>
    </row>
    <row r="387" spans="5:37" x14ac:dyDescent="0.45">
      <c r="N387" s="536" t="str">
        <f>N$170</f>
        <v>2013/14</v>
      </c>
      <c r="O387" s="536" t="str">
        <f t="shared" ref="O387:AK387" si="79">O$170</f>
        <v>2014/15</v>
      </c>
      <c r="P387" s="536" t="str">
        <f t="shared" si="79"/>
        <v>2015/16</v>
      </c>
      <c r="Q387" s="536" t="str">
        <f t="shared" si="79"/>
        <v>2016/17</v>
      </c>
      <c r="R387" s="536" t="str">
        <f t="shared" si="79"/>
        <v>2017/18</v>
      </c>
      <c r="S387" s="536" t="str">
        <f t="shared" si="79"/>
        <v>2018/19</v>
      </c>
      <c r="T387" s="536" t="str">
        <f t="shared" si="79"/>
        <v>2019/20</v>
      </c>
      <c r="U387" s="536" t="str">
        <f t="shared" si="79"/>
        <v>2020/21</v>
      </c>
      <c r="V387" s="536" t="str">
        <f t="shared" si="79"/>
        <v>2021/22</v>
      </c>
      <c r="W387" s="536" t="str">
        <f t="shared" si="79"/>
        <v>2022/23</v>
      </c>
      <c r="X387" s="536" t="str">
        <f t="shared" si="79"/>
        <v>2023/24</v>
      </c>
      <c r="Y387" s="536" t="str">
        <f t="shared" si="79"/>
        <v>2024/25</v>
      </c>
      <c r="Z387" s="536" t="str">
        <f t="shared" si="79"/>
        <v>2025/26</v>
      </c>
      <c r="AA387" s="536" t="str">
        <f t="shared" si="79"/>
        <v>2026/27</v>
      </c>
      <c r="AB387" s="536" t="str">
        <f t="shared" si="79"/>
        <v>2027/28</v>
      </c>
      <c r="AC387" s="536" t="str">
        <f t="shared" si="79"/>
        <v>2028/29</v>
      </c>
      <c r="AD387" s="536" t="str">
        <f t="shared" si="79"/>
        <v>2029/30</v>
      </c>
      <c r="AE387" s="536" t="str">
        <f t="shared" si="79"/>
        <v>2030/31</v>
      </c>
      <c r="AF387" s="536" t="str">
        <f t="shared" si="79"/>
        <v>2031/32</v>
      </c>
      <c r="AG387" s="536" t="str">
        <f t="shared" si="79"/>
        <v>3032/33</v>
      </c>
      <c r="AH387" s="536" t="str">
        <f t="shared" si="79"/>
        <v>2033/34</v>
      </c>
      <c r="AI387" s="536" t="str">
        <f t="shared" si="79"/>
        <v>2034/35</v>
      </c>
      <c r="AJ387" s="536" t="str">
        <f t="shared" si="79"/>
        <v>2035/36</v>
      </c>
      <c r="AK387" s="536" t="str">
        <f t="shared" si="79"/>
        <v>2036/37</v>
      </c>
    </row>
    <row r="388" spans="5:37" x14ac:dyDescent="0.45">
      <c r="E388" s="803" t="str">
        <f>D118</f>
        <v>Net Surplus/Deficit p.u.p.m.</v>
      </c>
      <c r="F388" s="803"/>
      <c r="G388" s="803"/>
      <c r="H388" s="803"/>
      <c r="I388" s="803"/>
      <c r="J388" s="803"/>
      <c r="K388" s="803"/>
      <c r="L388" s="803"/>
      <c r="M388" s="803"/>
      <c r="N388" s="818">
        <f>N118</f>
        <v>0</v>
      </c>
      <c r="O388" s="818">
        <f t="shared" ref="O388:AK388" si="80">O118</f>
        <v>0</v>
      </c>
      <c r="P388" s="818">
        <f t="shared" si="80"/>
        <v>-9353.4889722222215</v>
      </c>
      <c r="Q388" s="818">
        <f t="shared" si="80"/>
        <v>-10475.314217639807</v>
      </c>
      <c r="R388" s="818">
        <f t="shared" si="80"/>
        <v>-11228.809193394896</v>
      </c>
      <c r="S388" s="818">
        <f t="shared" si="80"/>
        <v>-12204.856561225824</v>
      </c>
      <c r="T388" s="818">
        <f t="shared" si="80"/>
        <v>-13632.657657051093</v>
      </c>
      <c r="U388" s="818">
        <f t="shared" si="80"/>
        <v>-14415.05780621516</v>
      </c>
      <c r="V388" s="818">
        <f t="shared" si="80"/>
        <v>-15244.235759790843</v>
      </c>
      <c r="W388" s="818">
        <f t="shared" si="80"/>
        <v>-16123.718303644035</v>
      </c>
      <c r="X388" s="818">
        <f t="shared" si="80"/>
        <v>-17057.548584892043</v>
      </c>
      <c r="Y388" s="818">
        <f t="shared" si="80"/>
        <v>-18050.456409091876</v>
      </c>
      <c r="Z388" s="818">
        <f t="shared" si="80"/>
        <v>-19108.118077876916</v>
      </c>
      <c r="AA388" s="818">
        <f t="shared" si="80"/>
        <v>-20237.568202953353</v>
      </c>
      <c r="AB388" s="818">
        <f t="shared" si="80"/>
        <v>-21447.881413710355</v>
      </c>
      <c r="AC388" s="818">
        <f t="shared" si="80"/>
        <v>-22751.359772333151</v>
      </c>
      <c r="AD388" s="818">
        <f t="shared" si="80"/>
        <v>-24165.731186855381</v>
      </c>
      <c r="AE388" s="818">
        <f t="shared" si="80"/>
        <v>-25718.537802122552</v>
      </c>
      <c r="AF388" s="818">
        <f t="shared" si="80"/>
        <v>-27456.779677009064</v>
      </c>
      <c r="AG388" s="818">
        <f t="shared" si="80"/>
        <v>-29471.009620338507</v>
      </c>
      <c r="AH388" s="818">
        <f t="shared" si="80"/>
        <v>-31967.597310008856</v>
      </c>
      <c r="AI388" s="818">
        <f t="shared" si="80"/>
        <v>-35557.753199131592</v>
      </c>
      <c r="AJ388" s="818">
        <f t="shared" si="80"/>
        <v>0</v>
      </c>
      <c r="AK388" s="818">
        <f t="shared" si="80"/>
        <v>0</v>
      </c>
    </row>
  </sheetData>
  <sheetProtection formatCells="0" formatColumns="0" formatRows="0"/>
  <mergeCells count="4">
    <mergeCell ref="F3:G3"/>
    <mergeCell ref="I3:L3"/>
    <mergeCell ref="N3:P3"/>
    <mergeCell ref="Q3:A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Select Province" prompt="Select province from the list, or select Total to see the national view. " xr:uid="{DBE390A8-4B04-4256-B549-8C552EAC56A2}">
          <x14:formula1>
            <xm:f>'14. Permanent Info'!$C$7:$C$12</xm:f>
          </x14:formula1>
          <xm:sqref>E10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FF2BF-86EA-4ABE-9954-F1C10C27F5C3}">
  <sheetPr codeName="Sheet13">
    <tabColor theme="5" tint="0.59999389629810485"/>
  </sheetPr>
  <dimension ref="A1:BM388"/>
  <sheetViews>
    <sheetView showGridLines="0" view="pageBreakPreview" topLeftCell="D1" zoomScale="75" zoomScaleNormal="100" zoomScaleSheetLayoutView="75" workbookViewId="0">
      <selection activeCell="D8" sqref="D8"/>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FS 2013/14</v>
      </c>
      <c r="O1" s="803" t="str">
        <f t="shared" si="0"/>
        <v>FS 2014/15</v>
      </c>
      <c r="P1" s="803" t="str">
        <f t="shared" si="0"/>
        <v>FS 2015/16</v>
      </c>
      <c r="Q1" s="803" t="str">
        <f t="shared" si="0"/>
        <v>FS 2016/17</v>
      </c>
      <c r="R1" s="803" t="str">
        <f t="shared" si="0"/>
        <v>FS 2017/18</v>
      </c>
      <c r="S1" s="803" t="str">
        <f t="shared" si="0"/>
        <v>FS 2018/19</v>
      </c>
      <c r="T1" s="803" t="str">
        <f t="shared" si="0"/>
        <v>FS 2019/20</v>
      </c>
      <c r="U1" s="803" t="str">
        <f t="shared" si="0"/>
        <v>FS 2020/21</v>
      </c>
      <c r="V1" s="803" t="str">
        <f t="shared" si="0"/>
        <v>FS 2021/22</v>
      </c>
      <c r="W1" s="803" t="str">
        <f t="shared" si="0"/>
        <v>FS 2022/23</v>
      </c>
      <c r="X1" s="803" t="str">
        <f t="shared" si="0"/>
        <v>FS 2023/24</v>
      </c>
      <c r="Y1" s="803" t="str">
        <f t="shared" si="0"/>
        <v>FS 2024/25</v>
      </c>
      <c r="Z1" s="803"/>
      <c r="AA1" s="803"/>
      <c r="AB1" s="803"/>
      <c r="AC1" s="803"/>
      <c r="AD1" s="803"/>
      <c r="AE1" s="803"/>
      <c r="AF1" s="803"/>
      <c r="AG1" s="803"/>
      <c r="AH1" s="803"/>
      <c r="AI1" s="803"/>
      <c r="AJ1" s="803" t="str">
        <f>$E$10&amp;" "&amp;AJ5</f>
        <v>FS 2035/36</v>
      </c>
      <c r="AK1" s="803" t="str">
        <f>$E$10&amp;" "&amp;AK5</f>
        <v>FS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FS</v>
      </c>
      <c r="E3" s="60"/>
      <c r="F3" s="1361" t="s">
        <v>1460</v>
      </c>
      <c r="G3" s="1361"/>
      <c r="I3" s="1344" t="s">
        <v>1457</v>
      </c>
      <c r="J3" s="1350"/>
      <c r="K3" s="1350"/>
      <c r="L3" s="134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841" t="s">
        <v>1328</v>
      </c>
      <c r="J4" s="841" t="s">
        <v>1405</v>
      </c>
      <c r="K4" s="841" t="s">
        <v>1453</v>
      </c>
      <c r="L4" s="841"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890" t="str">
        <f>'7. Scenario Detailed'!E12</f>
        <v>BC</v>
      </c>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-ROUND('9c. Forecast Results - FS'!AL127,0)</f>
        <v>-17026220</v>
      </c>
      <c r="M6" s="783"/>
      <c r="N6" s="781">
        <f>-'9c. Forecast Results - FS'!N127</f>
        <v>-157500</v>
      </c>
      <c r="O6" s="781">
        <f>-'9c. Forecast Results - FS'!O127</f>
        <v>-135000</v>
      </c>
      <c r="P6" s="781">
        <f>-'9c. Forecast Results - FS'!P127</f>
        <v>0</v>
      </c>
      <c r="Q6" s="781">
        <f>-'9c. Forecast Results - FS'!Q127</f>
        <v>-210409.8845669291</v>
      </c>
      <c r="R6" s="781">
        <f>-'9c. Forecast Results - FS'!R127</f>
        <v>-210409.8845669291</v>
      </c>
      <c r="S6" s="781">
        <f>-'9c. Forecast Results - FS'!S127</f>
        <v>-210409.8845669291</v>
      </c>
      <c r="T6" s="781">
        <f>-'9c. Forecast Results - FS'!T127</f>
        <v>-23378.876062992123</v>
      </c>
      <c r="U6" s="781">
        <f>-'9c. Forecast Results - FS'!U127</f>
        <v>-23378.876062992123</v>
      </c>
      <c r="V6" s="781">
        <f>-'9c. Forecast Results - FS'!V127</f>
        <v>-23378.876062992123</v>
      </c>
      <c r="W6" s="781">
        <f>-'9c. Forecast Results - FS'!W127</f>
        <v>-23378.876062992123</v>
      </c>
      <c r="X6" s="781">
        <f>-'9c. Forecast Results - FS'!X127</f>
        <v>-23378.876062992123</v>
      </c>
      <c r="Y6" s="781">
        <f>-'9c. Forecast Results - FS'!Y127</f>
        <v>-23378.876062992123</v>
      </c>
      <c r="Z6" s="781">
        <f>-'9c. Forecast Results - FS'!Z127</f>
        <v>-23378.876062992123</v>
      </c>
      <c r="AA6" s="781">
        <f>-'9c. Forecast Results - FS'!AA127</f>
        <v>-23378.876062992123</v>
      </c>
      <c r="AB6" s="781">
        <f>-'9c. Forecast Results - FS'!AB127</f>
        <v>-23378.876062992123</v>
      </c>
      <c r="AC6" s="781">
        <f>-'9c. Forecast Results - FS'!AC127</f>
        <v>-23378.876062992123</v>
      </c>
      <c r="AD6" s="781">
        <f>-'9c. Forecast Results - FS'!AD127</f>
        <v>-23378.876062992123</v>
      </c>
      <c r="AE6" s="781">
        <f>-'9c. Forecast Results - FS'!AE127</f>
        <v>-23378.876062992123</v>
      </c>
      <c r="AF6" s="781">
        <f>-'9c. Forecast Results - FS'!AF127</f>
        <v>-23378.876062992123</v>
      </c>
      <c r="AG6" s="781">
        <f>-'9c. Forecast Results - FS'!AG127</f>
        <v>-23378.876062992123</v>
      </c>
      <c r="AH6" s="781">
        <f>-'9c. Forecast Results - FS'!AH127</f>
        <v>-23378.876062992123</v>
      </c>
      <c r="AI6" s="781">
        <f>-'9c. Forecast Results - FS'!AI127</f>
        <v>-23378.876062992123</v>
      </c>
      <c r="AJ6" s="781">
        <f>-'9c. Forecast Results - FS'!AJ127</f>
        <v>-16020928.030877186</v>
      </c>
      <c r="AK6" s="781">
        <f>-'9c. Forecast Results - FS'!AK127</f>
        <v>0</v>
      </c>
      <c r="AL6" s="781">
        <f>-'9c. Forecast Results - FS'!AL127</f>
        <v>-17026219.701585848</v>
      </c>
    </row>
    <row r="7" spans="1:38" outlineLevel="1" x14ac:dyDescent="0.45">
      <c r="D7" s="1102" t="s">
        <v>1324</v>
      </c>
      <c r="E7" s="781">
        <f ca="1">ROUND('9c. Forecast Results - FS'!AL51,0)</f>
        <v>-20043635</v>
      </c>
      <c r="M7" s="783"/>
      <c r="N7" s="781">
        <f>'9c. Forecast Results - FS'!N51</f>
        <v>-1045602.6333333334</v>
      </c>
      <c r="O7" s="781">
        <f>'9c. Forecast Results - FS'!O51</f>
        <v>-1083676.8533333333</v>
      </c>
      <c r="P7" s="781">
        <f>'9c. Forecast Results - FS'!P51</f>
        <v>-1121225.8400000001</v>
      </c>
      <c r="Q7" s="781">
        <f ca="1">'9c. Forecast Results - FS'!Q51</f>
        <v>-1137125.8709217389</v>
      </c>
      <c r="R7" s="781">
        <f ca="1">'9c. Forecast Results - FS'!R51</f>
        <v>-1148247.342709739</v>
      </c>
      <c r="S7" s="781">
        <f ca="1">'9c. Forecast Results - FS'!S51</f>
        <v>-1157120.2852056089</v>
      </c>
      <c r="T7" s="781">
        <f ca="1">'9c. Forecast Results - FS'!T51</f>
        <v>-1163463.7177350558</v>
      </c>
      <c r="U7" s="781">
        <f ca="1">'9c. Forecast Results - FS'!U51</f>
        <v>-1166972.553550723</v>
      </c>
      <c r="V7" s="781">
        <f ca="1">'9c. Forecast Results - FS'!V51</f>
        <v>-1167315.7981306934</v>
      </c>
      <c r="W7" s="781">
        <f ca="1">'9c. Forecast Results - FS'!W51</f>
        <v>-1164134.622210698</v>
      </c>
      <c r="X7" s="781">
        <f ca="1">'9c. Forecast Results - FS'!X51</f>
        <v>-1157040.3012208862</v>
      </c>
      <c r="Y7" s="781">
        <f ca="1">'9c. Forecast Results - FS'!Y51</f>
        <v>-1145612.012260736</v>
      </c>
      <c r="Z7" s="781">
        <f ca="1">'9c. Forecast Results - FS'!Z51</f>
        <v>-1129394.4791745041</v>
      </c>
      <c r="AA7" s="781">
        <f ca="1">'9c. Forecast Results - FS'!AA51</f>
        <v>-1107895.4556824262</v>
      </c>
      <c r="AB7" s="781">
        <f ca="1">'9c. Forecast Results - FS'!AB51</f>
        <v>-1080583.0358774455</v>
      </c>
      <c r="AC7" s="781">
        <f ca="1">'9c. Forecast Results - FS'!AC51</f>
        <v>-1046882.7807112056</v>
      </c>
      <c r="AD7" s="781">
        <f ca="1">'9c. Forecast Results - FS'!AD51</f>
        <v>-1006174.6483638785</v>
      </c>
      <c r="AE7" s="781">
        <f ca="1">'9c. Forecast Results - FS'!AE51</f>
        <v>-957789.71561742201</v>
      </c>
      <c r="AF7" s="781">
        <f ca="1">'9c. Forecast Results - FS'!AF51</f>
        <v>-901006.67652828305</v>
      </c>
      <c r="AG7" s="781">
        <f ca="1">'9c. Forecast Results - FS'!AG51</f>
        <v>-835048.10382032429</v>
      </c>
      <c r="AH7" s="781">
        <f ca="1">'9c. Forecast Results - FS'!AH51</f>
        <v>-759076.45748872019</v>
      </c>
      <c r="AI7" s="781">
        <f ca="1">'9c. Forecast Results - FS'!AI51</f>
        <v>-672189.82411731151</v>
      </c>
      <c r="AJ7" s="781">
        <f ca="1">'9c. Forecast Results - FS'!AJ51</f>
        <v>-140561.51634545988</v>
      </c>
      <c r="AK7" s="781">
        <f ca="1">'9c. Forecast Results - FS'!AK51</f>
        <v>0</v>
      </c>
      <c r="AL7" s="781">
        <f ca="1">'9c. Forecast Results - FS'!AL48</f>
        <v>-20043635.197672863</v>
      </c>
    </row>
    <row r="8" spans="1:38" outlineLevel="1" x14ac:dyDescent="0.45">
      <c r="D8" s="1102" t="s">
        <v>1311</v>
      </c>
      <c r="E8" s="781">
        <f>'9c. Forecast Results - FS'!$AL$20+'9c. Forecast Results - FS'!$AL$24</f>
        <v>-2864673.2465217384</v>
      </c>
      <c r="M8" s="783"/>
      <c r="N8" s="781">
        <f>'9c. Forecast Results - FS'!N20+'9c. Forecast Results - FS'!N24</f>
        <v>-182981.43</v>
      </c>
      <c r="O8" s="781">
        <f>'9c. Forecast Results - FS'!O20+'9c. Forecast Results - FS'!O24</f>
        <v>-130856.7</v>
      </c>
      <c r="P8" s="781">
        <f>'9c. Forecast Results - FS'!P20+'9c. Forecast Results - FS'!P24</f>
        <v>-129412.52</v>
      </c>
      <c r="Q8" s="781">
        <f>'9c. Forecast Results - FS'!Q20+'9c. Forecast Results - FS'!Q24</f>
        <v>-183680.46152173914</v>
      </c>
      <c r="R8" s="781">
        <f>'9c. Forecast Results - FS'!R20+'9c. Forecast Results - FS'!R24</f>
        <v>-178283.05652173911</v>
      </c>
      <c r="S8" s="781">
        <f>'9c. Forecast Results - FS'!S20+'9c. Forecast Results - FS'!S24</f>
        <v>-172885.65152173911</v>
      </c>
      <c r="T8" s="781">
        <f>'9c. Forecast Results - FS'!T20+'9c. Forecast Results - FS'!T24</f>
        <v>-167488.24652173911</v>
      </c>
      <c r="U8" s="781">
        <f>'9c. Forecast Results - FS'!U20+'9c. Forecast Results - FS'!U24</f>
        <v>-162090.84152173909</v>
      </c>
      <c r="V8" s="781">
        <f>'9c. Forecast Results - FS'!V20+'9c. Forecast Results - FS'!V24</f>
        <v>-156693.43652173912</v>
      </c>
      <c r="W8" s="781">
        <f>'9c. Forecast Results - FS'!W20+'9c. Forecast Results - FS'!W24</f>
        <v>-151296.03152173909</v>
      </c>
      <c r="X8" s="781">
        <f>'9c. Forecast Results - FS'!X20+'9c. Forecast Results - FS'!X24</f>
        <v>-145898.62652173912</v>
      </c>
      <c r="Y8" s="781">
        <f>'9c. Forecast Results - FS'!Y20+'9c. Forecast Results - FS'!Y24</f>
        <v>-140501.22152173909</v>
      </c>
      <c r="Z8" s="781">
        <f>'9c. Forecast Results - FS'!Z20+'9c. Forecast Results - FS'!Z24</f>
        <v>-135103.81652173912</v>
      </c>
      <c r="AA8" s="781">
        <f>'9c. Forecast Results - FS'!AA20+'9c. Forecast Results - FS'!AA24</f>
        <v>-129706.41152173911</v>
      </c>
      <c r="AB8" s="781">
        <f>'9c. Forecast Results - FS'!AB20+'9c. Forecast Results - FS'!AB24</f>
        <v>-124309.00652173911</v>
      </c>
      <c r="AC8" s="781">
        <f>'9c. Forecast Results - FS'!AC20+'9c. Forecast Results - FS'!AC24</f>
        <v>-118911.60152173911</v>
      </c>
      <c r="AD8" s="781">
        <f>'9c. Forecast Results - FS'!AD20+'9c. Forecast Results - FS'!AD24</f>
        <v>-113514.1965217391</v>
      </c>
      <c r="AE8" s="781">
        <f>'9c. Forecast Results - FS'!AE20+'9c. Forecast Results - FS'!AE24</f>
        <v>-108116.7915217391</v>
      </c>
      <c r="AF8" s="781">
        <f>'9c. Forecast Results - FS'!AF20+'9c. Forecast Results - FS'!AF24</f>
        <v>-102719.3865217391</v>
      </c>
      <c r="AG8" s="781">
        <f>'9c. Forecast Results - FS'!AG20+'9c. Forecast Results - FS'!AG24</f>
        <v>-97321.981521739101</v>
      </c>
      <c r="AH8" s="781">
        <f>'9c. Forecast Results - FS'!AH20+'9c. Forecast Results - FS'!AH24</f>
        <v>-91924.576521739102</v>
      </c>
      <c r="AI8" s="781">
        <f>'9c. Forecast Results - FS'!AI20+'9c. Forecast Results - FS'!AI24</f>
        <v>-86527.171521739117</v>
      </c>
      <c r="AJ8" s="781">
        <f>'9c. Forecast Results - FS'!AJ20+'9c. Forecast Results - FS'!AJ24</f>
        <v>-297700.73260869563</v>
      </c>
      <c r="AK8" s="781">
        <f>'9c. Forecast Results - FS'!AK20+'9c. Forecast Results - FS'!AK24</f>
        <v>0</v>
      </c>
      <c r="AL8" s="781">
        <f>'9c. Forecast Results - FS'!AL20+'9c. Forecast Results - FS'!AL24</f>
        <v>-2864673.2465217384</v>
      </c>
    </row>
    <row r="9" spans="1:38" outlineLevel="1" x14ac:dyDescent="0.45">
      <c r="D9" s="1102" t="s">
        <v>1322</v>
      </c>
      <c r="E9" s="1110">
        <f>-(SUMIF('10. Inputs &amp; Calcs'!$D$396:$D$400,$E$10,'10. Inputs &amp; Calcs'!AC$396:AC$400)+SUMIF('10. Inputs &amp; Calcs'!$D$628:$D$633,$E$10,'10. Inputs &amp; Calcs'!AC$628:AC$633))</f>
        <v>0</v>
      </c>
      <c r="M9" s="1029"/>
      <c r="N9" s="780"/>
      <c r="O9" s="780"/>
      <c r="P9" s="781">
        <f>-('10. Inputs &amp; Calcs'!H$191+SUMIF('10. Inputs &amp; Calcs'!$D$628:$D$633,$E$10,'10. Inputs &amp; Calcs'!H$628:H$633))</f>
        <v>-10294178.039999999</v>
      </c>
      <c r="Q9" s="781">
        <f>-('10. Inputs &amp; Calcs'!I$191+SUMIF('10. Inputs &amp; Calcs'!$D$628:$D$633,$E$10,'10. Inputs &amp; Calcs'!I$628:I$633))</f>
        <v>-11741683.273377193</v>
      </c>
      <c r="R9" s="781">
        <f>-('10. Inputs &amp; Calcs'!J$191+SUMIF('10. Inputs &amp; Calcs'!$D$628:$D$633,$E$10,'10. Inputs &amp; Calcs'!J$628:J$633))</f>
        <v>-13178393.696754385</v>
      </c>
      <c r="S9" s="781">
        <f>-('10. Inputs &amp; Calcs'!K$191+SUMIF('10. Inputs &amp; Calcs'!$D$628:$D$633,$E$10,'10. Inputs &amp; Calcs'!K$628:K$633))</f>
        <v>-14604309.310131576</v>
      </c>
      <c r="T9" s="781">
        <f>-('10. Inputs &amp; Calcs'!L$191+SUMIF('10. Inputs &amp; Calcs'!$D$628:$D$633,$E$10,'10. Inputs &amp; Calcs'!L$628:L$633))</f>
        <v>-14781653.629210524</v>
      </c>
      <c r="U9" s="781">
        <f>-('10. Inputs &amp; Calcs'!M$191+SUMIF('10. Inputs &amp; Calcs'!$D$628:$D$633,$E$10,'10. Inputs &amp; Calcs'!M$628:M$633))</f>
        <v>-14948203.13828947</v>
      </c>
      <c r="V9" s="781">
        <f>-('10. Inputs &amp; Calcs'!N$191+SUMIF('10. Inputs &amp; Calcs'!$D$628:$D$633,$E$10,'10. Inputs &amp; Calcs'!N$628:N$633))</f>
        <v>-15103957.837368418</v>
      </c>
      <c r="W9" s="781">
        <f>-('10. Inputs &amp; Calcs'!O$191+SUMIF('10. Inputs &amp; Calcs'!$D$628:$D$633,$E$10,'10. Inputs &amp; Calcs'!O$628:O$633))</f>
        <v>-15254315.131447366</v>
      </c>
      <c r="X9" s="781">
        <f>-('10. Inputs &amp; Calcs'!P$191+SUMIF('10. Inputs &amp; Calcs'!$D$628:$D$633,$E$10,'10. Inputs &amp; Calcs'!P$628:P$633))</f>
        <v>-15393877.615526311</v>
      </c>
      <c r="Y9" s="781">
        <f>-('10. Inputs &amp; Calcs'!Q$191+SUMIF('10. Inputs &amp; Calcs'!$D$628:$D$633,$E$10,'10. Inputs &amp; Calcs'!Q$628:Q$633))</f>
        <v>-15522645.28960526</v>
      </c>
      <c r="Z9" s="781">
        <f>-('10. Inputs &amp; Calcs'!R$191+SUMIF('10. Inputs &amp; Calcs'!$D$628:$D$633,$E$10,'10. Inputs &amp; Calcs'!R$628:R$633))</f>
        <v>-15640618.153684206</v>
      </c>
      <c r="AA9" s="781">
        <f>-('10. Inputs &amp; Calcs'!S$191+SUMIF('10. Inputs &amp; Calcs'!$D$628:$D$633,$E$10,'10. Inputs &amp; Calcs'!S$628:S$633))</f>
        <v>-15747796.207763154</v>
      </c>
      <c r="AB9" s="781">
        <f>-('10. Inputs &amp; Calcs'!T$191+SUMIF('10. Inputs &amp; Calcs'!$D$628:$D$633,$E$10,'10. Inputs &amp; Calcs'!T$628:T$633))</f>
        <v>-15844179.451842099</v>
      </c>
      <c r="AC9" s="781">
        <f>-('10. Inputs &amp; Calcs'!U$191+SUMIF('10. Inputs &amp; Calcs'!$D$628:$D$633,$E$10,'10. Inputs &amp; Calcs'!U$628:U$633))</f>
        <v>-15929767.885921046</v>
      </c>
      <c r="AD9" s="781">
        <f>-('10. Inputs &amp; Calcs'!V$191+SUMIF('10. Inputs &amp; Calcs'!$D$628:$D$633,$E$10,'10. Inputs &amp; Calcs'!V$628:V$633))</f>
        <v>-16004561.509999994</v>
      </c>
      <c r="AE9" s="781">
        <f>-('10. Inputs &amp; Calcs'!W$191+SUMIF('10. Inputs &amp; Calcs'!$D$628:$D$633,$E$10,'10. Inputs &amp; Calcs'!W$628:W$633))</f>
        <v>-16068560.324078942</v>
      </c>
      <c r="AF9" s="781">
        <f>-('10. Inputs &amp; Calcs'!X$191+SUMIF('10. Inputs &amp; Calcs'!$D$628:$D$633,$E$10,'10. Inputs &amp; Calcs'!X$628:X$633))</f>
        <v>-16121764.328157889</v>
      </c>
      <c r="AG9" s="781">
        <f>-('10. Inputs &amp; Calcs'!Y$191+SUMIF('10. Inputs &amp; Calcs'!$D$628:$D$633,$E$10,'10. Inputs &amp; Calcs'!Y$628:Y$633))</f>
        <v>-16164173.522236835</v>
      </c>
      <c r="AH9" s="781">
        <f>-('10. Inputs &amp; Calcs'!Z$191+SUMIF('10. Inputs &amp; Calcs'!$D$628:$D$633,$E$10,'10. Inputs &amp; Calcs'!Z$628:Z$633))</f>
        <v>-16195787.906315783</v>
      </c>
      <c r="AI9" s="781">
        <f>-('10. Inputs &amp; Calcs'!AA$191+SUMIF('10. Inputs &amp; Calcs'!$D$628:$D$633,$E$10,'10. Inputs &amp; Calcs'!AA$628:AA$633))</f>
        <v>-16216607.480394728</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
        <v>2</v>
      </c>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99" t="str">
        <f>'5. Dashboard Live'!C13</f>
        <v>BC</v>
      </c>
      <c r="M11" s="542"/>
    </row>
    <row r="12" spans="1:38" x14ac:dyDescent="0.45">
      <c r="D12" t="s">
        <v>1330</v>
      </c>
      <c r="N12" s="578"/>
      <c r="O12" s="578"/>
      <c r="P12" s="784">
        <f>SUMIF('10. Inputs &amp; Calcs'!$D$78:$D$83,$E$10,'10. Inputs &amp; Calcs'!H$78:H$83)</f>
        <v>1</v>
      </c>
      <c r="Q12" s="784">
        <f>SUMIF('10. Inputs &amp; Calcs'!$D$78:$D$83,$E$10,'10. Inputs &amp; Calcs'!I$78:I$83)</f>
        <v>3</v>
      </c>
      <c r="R12" s="784">
        <f>SUMIF('10. Inputs &amp; Calcs'!$D$78:$D$83,$E$10,'10. Inputs &amp; Calcs'!J$78:J$83)</f>
        <v>5</v>
      </c>
      <c r="S12" s="784">
        <f>SUMIF('10. Inputs &amp; Calcs'!$D$78:$D$83,$E$10,'10. Inputs &amp; Calcs'!K$78:K$83)</f>
        <v>7</v>
      </c>
      <c r="T12" s="784">
        <f>SUMIF('10. Inputs &amp; Calcs'!$D$78:$D$83,$E$10,'10. Inputs &amp; Calcs'!L$78:L$83)</f>
        <v>9</v>
      </c>
      <c r="U12" s="784">
        <f>SUMIF('10. Inputs &amp; Calcs'!$D$78:$D$83,$E$10,'10. Inputs &amp; Calcs'!M$78:M$83)</f>
        <v>11</v>
      </c>
      <c r="V12" s="784">
        <f>SUMIF('10. Inputs &amp; Calcs'!$D$78:$D$83,$E$10,'10. Inputs &amp; Calcs'!N$78:N$83)</f>
        <v>13</v>
      </c>
      <c r="W12" s="784">
        <f>SUMIF('10. Inputs &amp; Calcs'!$D$78:$D$83,$E$10,'10. Inputs &amp; Calcs'!O$78:O$83)</f>
        <v>15</v>
      </c>
      <c r="X12" s="784">
        <f>SUMIF('10. Inputs &amp; Calcs'!$D$78:$D$83,$E$10,'10. Inputs &amp; Calcs'!P$78:P$83)</f>
        <v>17</v>
      </c>
      <c r="Y12" s="784">
        <f>SUMIF('10. Inputs &amp; Calcs'!$D$78:$D$83,$E$10,'10. Inputs &amp; Calcs'!Q$78:Q$83)</f>
        <v>19</v>
      </c>
      <c r="Z12" s="784">
        <f>SUMIF('10. Inputs &amp; Calcs'!$D$78:$D$83,$E$10,'10. Inputs &amp; Calcs'!R$78:R$83)</f>
        <v>21</v>
      </c>
      <c r="AA12" s="784">
        <f>SUMIF('10. Inputs &amp; Calcs'!$D$78:$D$83,$E$10,'10. Inputs &amp; Calcs'!S$78:S$83)</f>
        <v>23</v>
      </c>
      <c r="AB12" s="784">
        <f>SUMIF('10. Inputs &amp; Calcs'!$D$78:$D$83,$E$10,'10. Inputs &amp; Calcs'!T$78:T$83)</f>
        <v>25</v>
      </c>
      <c r="AC12" s="784">
        <f>SUMIF('10. Inputs &amp; Calcs'!$D$78:$D$83,$E$10,'10. Inputs &amp; Calcs'!U$78:U$83)</f>
        <v>27</v>
      </c>
      <c r="AD12" s="784">
        <f>SUMIF('10. Inputs &amp; Calcs'!$D$78:$D$83,$E$10,'10. Inputs &amp; Calcs'!V$78:V$83)</f>
        <v>29</v>
      </c>
      <c r="AE12" s="784">
        <f>SUMIF('10. Inputs &amp; Calcs'!$D$78:$D$83,$E$10,'10. Inputs &amp; Calcs'!W$78:W$83)</f>
        <v>31</v>
      </c>
      <c r="AF12" s="784">
        <f>SUMIF('10. Inputs &amp; Calcs'!$D$78:$D$83,$E$10,'10. Inputs &amp; Calcs'!X$78:X$83)</f>
        <v>33</v>
      </c>
      <c r="AG12" s="784">
        <f>SUMIF('10. Inputs &amp; Calcs'!$D$78:$D$83,$E$10,'10. Inputs &amp; Calcs'!Y$78:Y$83)</f>
        <v>35</v>
      </c>
      <c r="AH12" s="784">
        <f>SUMIF('10. Inputs &amp; Calcs'!$D$78:$D$83,$E$10,'10. Inputs &amp; Calcs'!Z$78:Z$83)</f>
        <v>37</v>
      </c>
      <c r="AI12" s="784">
        <f>SUMIF('10. Inputs &amp; Calcs'!$D$78:$D$83,$E$10,'10. Inputs &amp; Calcs'!AA$78:AA$83)</f>
        <v>39</v>
      </c>
      <c r="AJ12" s="784">
        <f>SUMIF('10. Inputs &amp; Calcs'!$D$78:$D$83,$E$10,'10. Inputs &amp; Calcs'!AB$78:AB$83)</f>
        <v>49</v>
      </c>
      <c r="AK12" s="784">
        <f>SUMIF('10. Inputs &amp; Calcs'!$D$78:$D$83,$E$10,'10. Inputs &amp; Calcs'!AC$78:AC$83)</f>
        <v>0</v>
      </c>
      <c r="AL12" s="536"/>
    </row>
    <row r="13" spans="1:38" x14ac:dyDescent="0.45">
      <c r="D13" t="s">
        <v>1329</v>
      </c>
      <c r="N13" s="578"/>
      <c r="O13" s="578"/>
      <c r="P13" s="784">
        <f>SUMIF('10. Inputs &amp; Calcs'!$D$520:$D$525,$E$10,'10. Inputs &amp; Calcs'!H$520:H$525)</f>
        <v>48</v>
      </c>
      <c r="Q13" s="784">
        <f>SUMIF('10. Inputs &amp; Calcs'!$D$520:$D$525,$E$10,'10. Inputs &amp; Calcs'!I$520:I$525)</f>
        <v>46</v>
      </c>
      <c r="R13" s="784">
        <f>SUMIF('10. Inputs &amp; Calcs'!$D$520:$D$525,$E$10,'10. Inputs &amp; Calcs'!J$520:J$525)</f>
        <v>44</v>
      </c>
      <c r="S13" s="784">
        <f>SUMIF('10. Inputs &amp; Calcs'!$D$520:$D$525,$E$10,'10. Inputs &amp; Calcs'!K$520:K$525)</f>
        <v>42</v>
      </c>
      <c r="T13" s="784">
        <f>SUMIF('10. Inputs &amp; Calcs'!$D$520:$D$525,$E$10,'10. Inputs &amp; Calcs'!L$520:L$525)</f>
        <v>40</v>
      </c>
      <c r="U13" s="784">
        <f>SUMIF('10. Inputs &amp; Calcs'!$D$520:$D$525,$E$10,'10. Inputs &amp; Calcs'!M$520:M$525)</f>
        <v>38</v>
      </c>
      <c r="V13" s="784">
        <f>SUMIF('10. Inputs &amp; Calcs'!$D$520:$D$525,$E$10,'10. Inputs &amp; Calcs'!N$520:N$525)</f>
        <v>36</v>
      </c>
      <c r="W13" s="784">
        <f>SUMIF('10. Inputs &amp; Calcs'!$D$520:$D$525,$E$10,'10. Inputs &amp; Calcs'!O$520:O$525)</f>
        <v>34</v>
      </c>
      <c r="X13" s="784">
        <f>SUMIF('10. Inputs &amp; Calcs'!$D$520:$D$525,$E$10,'10. Inputs &amp; Calcs'!P$520:P$525)</f>
        <v>32</v>
      </c>
      <c r="Y13" s="784">
        <f>SUMIF('10. Inputs &amp; Calcs'!$D$520:$D$525,$E$10,'10. Inputs &amp; Calcs'!Q$520:Q$525)</f>
        <v>30</v>
      </c>
      <c r="Z13" s="784">
        <f>SUMIF('10. Inputs &amp; Calcs'!$D$520:$D$525,$E$10,'10. Inputs &amp; Calcs'!R$520:R$525)</f>
        <v>28</v>
      </c>
      <c r="AA13" s="784">
        <f>SUMIF('10. Inputs &amp; Calcs'!$D$520:$D$525,$E$10,'10. Inputs &amp; Calcs'!S$520:S$525)</f>
        <v>26</v>
      </c>
      <c r="AB13" s="784">
        <f>SUMIF('10. Inputs &amp; Calcs'!$D$520:$D$525,$E$10,'10. Inputs &amp; Calcs'!T$520:T$525)</f>
        <v>24</v>
      </c>
      <c r="AC13" s="784">
        <f>SUMIF('10. Inputs &amp; Calcs'!$D$520:$D$525,$E$10,'10. Inputs &amp; Calcs'!U$520:U$525)</f>
        <v>22</v>
      </c>
      <c r="AD13" s="784">
        <f>SUMIF('10. Inputs &amp; Calcs'!$D$520:$D$525,$E$10,'10. Inputs &amp; Calcs'!V$520:V$525)</f>
        <v>20</v>
      </c>
      <c r="AE13" s="784">
        <f>SUMIF('10. Inputs &amp; Calcs'!$D$520:$D$525,$E$10,'10. Inputs &amp; Calcs'!W$520:W$525)</f>
        <v>18</v>
      </c>
      <c r="AF13" s="784">
        <f>SUMIF('10. Inputs &amp; Calcs'!$D$520:$D$525,$E$10,'10. Inputs &amp; Calcs'!X$520:X$525)</f>
        <v>16</v>
      </c>
      <c r="AG13" s="784">
        <f>SUMIF('10. Inputs &amp; Calcs'!$D$520:$D$525,$E$10,'10. Inputs &amp; Calcs'!Y$520:Y$525)</f>
        <v>14</v>
      </c>
      <c r="AH13" s="784">
        <f>SUMIF('10. Inputs &amp; Calcs'!$D$520:$D$525,$E$10,'10. Inputs &amp; Calcs'!Z$520:Z$525)</f>
        <v>12</v>
      </c>
      <c r="AI13" s="784">
        <f>SUMIF('10. Inputs &amp; Calcs'!$D$520:$D$525,$E$10,'10. Inputs &amp; Calcs'!AA$520:AA$525)</f>
        <v>10</v>
      </c>
      <c r="AJ13" s="784">
        <f>SUMIF('10. Inputs &amp; Calcs'!$D$520:$D$525,$E$10,'10. Inputs &amp; Calcs'!AB$520:AB$525)</f>
        <v>0</v>
      </c>
      <c r="AK13" s="784">
        <f>SUMIF('10. Inputs &amp; Calcs'!$D$520:$D$525,$E$10,'10. Inputs &amp; Calcs'!AC$520:AC$525)</f>
        <v>0</v>
      </c>
      <c r="AL13" s="536"/>
    </row>
    <row r="14" spans="1: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M16" s="451"/>
    </row>
    <row r="18" spans="2:65" ht="5.25"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753">
        <f>AL19</f>
        <v>1683525.5999999999</v>
      </c>
      <c r="J19" s="899">
        <v>1683525.5999999999</v>
      </c>
      <c r="K19" s="753">
        <f t="shared" ref="K19:K28" si="1">I19-J19</f>
        <v>0</v>
      </c>
      <c r="L19" s="885">
        <f t="shared" ref="L19:L28" si="2">IF(J19&lt;&gt;0,K19/J19,0)</f>
        <v>0</v>
      </c>
      <c r="N19" s="763">
        <f>SUMIF('10. Inputs &amp; Calcs'!$D$423:$D$428,$E$10,'10. Inputs &amp; Calcs'!F$423:F$428)</f>
        <v>414</v>
      </c>
      <c r="O19" s="567">
        <f>SUMIF('10. Inputs &amp; Calcs'!$D$423:$D$428,$E$10,'10. Inputs &amp; Calcs'!G$423:G$428)</f>
        <v>414</v>
      </c>
      <c r="P19" s="764">
        <f>SUMIF('10. Inputs &amp; Calcs'!$D$423:$D$428,$E$10,'10. Inputs &amp; Calcs'!H$423:H$428)</f>
        <v>0</v>
      </c>
      <c r="Q19" s="748">
        <f>SUMIF('10. Inputs &amp; Calcs'!$D$423:$D$428,$E$10,'10. Inputs &amp; Calcs'!I$423:I$428)</f>
        <v>70146.899999999994</v>
      </c>
      <c r="R19" s="535">
        <f>SUMIF('10. Inputs &amp; Calcs'!$D$423:$D$428,$E$10,'10. Inputs &amp; Calcs'!J$423:J$428)</f>
        <v>70146.899999999994</v>
      </c>
      <c r="S19" s="535">
        <f>SUMIF('10. Inputs &amp; Calcs'!$D$423:$D$428,$E$10,'10. Inputs &amp; Calcs'!K$423:K$428)</f>
        <v>70146.899999999994</v>
      </c>
      <c r="T19" s="535">
        <f>SUMIF('10. Inputs &amp; Calcs'!$D$423:$D$428,$E$10,'10. Inputs &amp; Calcs'!L$423:L$428)</f>
        <v>70146.899999999994</v>
      </c>
      <c r="U19" s="535">
        <f>SUMIF('10. Inputs &amp; Calcs'!$D$423:$D$428,$E$10,'10. Inputs &amp; Calcs'!M$423:M$428)</f>
        <v>70146.899999999994</v>
      </c>
      <c r="V19" s="535">
        <f>SUMIF('10. Inputs &amp; Calcs'!$D$423:$D$428,$E$10,'10. Inputs &amp; Calcs'!N$423:N$428)</f>
        <v>70146.899999999994</v>
      </c>
      <c r="W19" s="535">
        <f>SUMIF('10. Inputs &amp; Calcs'!$D$423:$D$428,$E$10,'10. Inputs &amp; Calcs'!O$423:O$428)</f>
        <v>70146.899999999994</v>
      </c>
      <c r="X19" s="535">
        <f>SUMIF('10. Inputs &amp; Calcs'!$D$423:$D$428,$E$10,'10. Inputs &amp; Calcs'!P$423:P$428)</f>
        <v>70146.899999999994</v>
      </c>
      <c r="Y19" s="535">
        <f>SUMIF('10. Inputs &amp; Calcs'!$D$423:$D$428,$E$10,'10. Inputs &amp; Calcs'!Q$423:Q$428)</f>
        <v>70146.899999999994</v>
      </c>
      <c r="Z19" s="535">
        <f>SUMIF('10. Inputs &amp; Calcs'!$D$423:$D$428,$E$10,'10. Inputs &amp; Calcs'!R$423:R$428)</f>
        <v>70146.899999999994</v>
      </c>
      <c r="AA19" s="535">
        <f>SUMIF('10. Inputs &amp; Calcs'!$D$423:$D$428,$E$10,'10. Inputs &amp; Calcs'!S$423:S$428)</f>
        <v>70146.899999999994</v>
      </c>
      <c r="AB19" s="535">
        <f>SUMIF('10. Inputs &amp; Calcs'!$D$423:$D$428,$E$10,'10. Inputs &amp; Calcs'!T$423:T$428)</f>
        <v>70146.899999999994</v>
      </c>
      <c r="AC19" s="535">
        <f>SUMIF('10. Inputs &amp; Calcs'!$D$423:$D$428,$E$10,'10. Inputs &amp; Calcs'!U$423:U$428)</f>
        <v>70146.899999999994</v>
      </c>
      <c r="AD19" s="535">
        <f>SUMIF('10. Inputs &amp; Calcs'!$D$423:$D$428,$E$10,'10. Inputs &amp; Calcs'!V$423:V$428)</f>
        <v>70146.899999999994</v>
      </c>
      <c r="AE19" s="535">
        <f>SUMIF('10. Inputs &amp; Calcs'!$D$423:$D$428,$E$10,'10. Inputs &amp; Calcs'!W$423:W$428)</f>
        <v>70146.899999999994</v>
      </c>
      <c r="AF19" s="535">
        <f>SUMIF('10. Inputs &amp; Calcs'!$D$423:$D$428,$E$10,'10. Inputs &amp; Calcs'!X$423:X$428)</f>
        <v>70146.899999999994</v>
      </c>
      <c r="AG19" s="535">
        <f>SUMIF('10. Inputs &amp; Calcs'!$D$423:$D$428,$E$10,'10. Inputs &amp; Calcs'!Y$423:Y$428)</f>
        <v>70146.899999999994</v>
      </c>
      <c r="AH19" s="535">
        <f>SUMIF('10. Inputs &amp; Calcs'!$D$423:$D$428,$E$10,'10. Inputs &amp; Calcs'!Z$423:Z$428)</f>
        <v>70146.899999999994</v>
      </c>
      <c r="AI19" s="535">
        <f>SUMIF('10. Inputs &amp; Calcs'!$D$423:$D$428,$E$10,'10. Inputs &amp; Calcs'!AA$423:AA$428)</f>
        <v>70146.899999999994</v>
      </c>
      <c r="AJ19" s="535">
        <f>SUMIF('10. Inputs &amp; Calcs'!$D$423:$D$428,$E$10,'10. Inputs &amp; Calcs'!AB$423:AB$428)</f>
        <v>350734.5</v>
      </c>
      <c r="AK19" s="749">
        <f>SUMIF('10. Inputs &amp; Calcs'!$D$423:$D$428,$E$10,'10. Inputs &amp; Calcs'!AC$423:AC$428)</f>
        <v>0</v>
      </c>
      <c r="AL19" s="753">
        <f>SUM(Q19:AK19)</f>
        <v>1683525.5999999999</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754">
        <f>AL20</f>
        <v>-1428963.5165217388</v>
      </c>
      <c r="J20" s="900">
        <v>-1428963.5165217388</v>
      </c>
      <c r="K20" s="754">
        <f t="shared" si="1"/>
        <v>0</v>
      </c>
      <c r="L20" s="886">
        <f t="shared" si="2"/>
        <v>0</v>
      </c>
      <c r="N20" s="765">
        <f t="shared" ref="N20:AK20" si="4">N21-N19</f>
        <v>-414</v>
      </c>
      <c r="O20" s="766">
        <f t="shared" si="4"/>
        <v>-414</v>
      </c>
      <c r="P20" s="767">
        <f t="shared" si="4"/>
        <v>125.2</v>
      </c>
      <c r="Q20" s="750">
        <f t="shared" si="4"/>
        <v>-59540.146521739123</v>
      </c>
      <c r="R20" s="751">
        <f t="shared" si="4"/>
        <v>-59540.146521739123</v>
      </c>
      <c r="S20" s="751">
        <f t="shared" si="4"/>
        <v>-59540.146521739123</v>
      </c>
      <c r="T20" s="751">
        <f t="shared" si="4"/>
        <v>-59540.146521739123</v>
      </c>
      <c r="U20" s="751">
        <f t="shared" si="4"/>
        <v>-59540.146521739123</v>
      </c>
      <c r="V20" s="751">
        <f t="shared" si="4"/>
        <v>-59540.146521739123</v>
      </c>
      <c r="W20" s="751">
        <f t="shared" si="4"/>
        <v>-59540.146521739123</v>
      </c>
      <c r="X20" s="751">
        <f t="shared" si="4"/>
        <v>-59540.146521739123</v>
      </c>
      <c r="Y20" s="751">
        <f t="shared" si="4"/>
        <v>-59540.146521739123</v>
      </c>
      <c r="Z20" s="751">
        <f t="shared" si="4"/>
        <v>-59540.146521739123</v>
      </c>
      <c r="AA20" s="751">
        <f t="shared" si="4"/>
        <v>-59540.146521739123</v>
      </c>
      <c r="AB20" s="751">
        <f t="shared" si="4"/>
        <v>-59540.146521739123</v>
      </c>
      <c r="AC20" s="751">
        <f t="shared" si="4"/>
        <v>-59540.146521739123</v>
      </c>
      <c r="AD20" s="751">
        <f t="shared" si="4"/>
        <v>-59540.146521739123</v>
      </c>
      <c r="AE20" s="751">
        <f t="shared" si="4"/>
        <v>-59540.146521739123</v>
      </c>
      <c r="AF20" s="751">
        <f t="shared" si="4"/>
        <v>-59540.146521739123</v>
      </c>
      <c r="AG20" s="751">
        <f t="shared" si="4"/>
        <v>-59540.146521739123</v>
      </c>
      <c r="AH20" s="751">
        <f t="shared" si="4"/>
        <v>-59540.146521739123</v>
      </c>
      <c r="AI20" s="751">
        <f t="shared" si="4"/>
        <v>-59540.146521739123</v>
      </c>
      <c r="AJ20" s="751">
        <f t="shared" si="4"/>
        <v>-297700.73260869563</v>
      </c>
      <c r="AK20" s="752">
        <f t="shared" si="4"/>
        <v>0</v>
      </c>
      <c r="AL20" s="754">
        <f>SUM(Q20:AK20)</f>
        <v>-1428963.5165217388</v>
      </c>
      <c r="AO20" s="803" t="s">
        <v>1538</v>
      </c>
      <c r="AP20" s="533">
        <f>N51</f>
        <v>-1045602.6333333334</v>
      </c>
      <c r="AQ20" s="533">
        <f t="shared" ref="AQ20:BM20" si="5">O51</f>
        <v>-1083676.8533333333</v>
      </c>
      <c r="AR20" s="533">
        <f t="shared" si="5"/>
        <v>-1121225.8400000001</v>
      </c>
      <c r="AS20" s="533">
        <f t="shared" ca="1" si="5"/>
        <v>-1137125.8709217389</v>
      </c>
      <c r="AT20" s="533">
        <f t="shared" ca="1" si="5"/>
        <v>-1148247.342709739</v>
      </c>
      <c r="AU20" s="533">
        <f t="shared" ca="1" si="5"/>
        <v>-1157120.2852056089</v>
      </c>
      <c r="AV20" s="533">
        <f t="shared" ca="1" si="5"/>
        <v>-1163463.7177350558</v>
      </c>
      <c r="AW20" s="533">
        <f t="shared" ca="1" si="5"/>
        <v>-1166972.553550723</v>
      </c>
      <c r="AX20" s="533">
        <f t="shared" ca="1" si="5"/>
        <v>-1167315.7981306934</v>
      </c>
      <c r="AY20" s="533">
        <f t="shared" ca="1" si="5"/>
        <v>-1164134.622210698</v>
      </c>
      <c r="AZ20" s="533">
        <f t="shared" ca="1" si="5"/>
        <v>-1157040.3012208862</v>
      </c>
      <c r="BA20" s="533">
        <f t="shared" ca="1" si="5"/>
        <v>-1145612.012260736</v>
      </c>
      <c r="BB20" s="533">
        <f t="shared" ca="1" si="5"/>
        <v>-1129394.4791745041</v>
      </c>
      <c r="BC20" s="533">
        <f t="shared" ca="1" si="5"/>
        <v>-1107895.4556824262</v>
      </c>
      <c r="BD20" s="533">
        <f t="shared" ca="1" si="5"/>
        <v>-1080583.0358774455</v>
      </c>
      <c r="BE20" s="533">
        <f t="shared" ca="1" si="5"/>
        <v>-1046882.7807112056</v>
      </c>
      <c r="BF20" s="533">
        <f t="shared" ca="1" si="5"/>
        <v>-1006174.6483638785</v>
      </c>
      <c r="BG20" s="533">
        <f t="shared" ca="1" si="5"/>
        <v>-957789.71561742201</v>
      </c>
      <c r="BH20" s="533">
        <f t="shared" ca="1" si="5"/>
        <v>-901006.67652828305</v>
      </c>
      <c r="BI20" s="533">
        <f t="shared" ca="1" si="5"/>
        <v>-835048.10382032429</v>
      </c>
      <c r="BJ20" s="533">
        <f t="shared" ca="1" si="5"/>
        <v>-759076.45748872019</v>
      </c>
      <c r="BK20" s="533">
        <f t="shared" ca="1" si="5"/>
        <v>-672189.82411731151</v>
      </c>
      <c r="BL20" s="533">
        <f t="shared" ca="1" si="5"/>
        <v>-140561.51634545988</v>
      </c>
      <c r="BM20" s="533">
        <f t="shared" ca="1" si="5"/>
        <v>0</v>
      </c>
    </row>
    <row r="21" spans="2:65" x14ac:dyDescent="0.45">
      <c r="D21" s="18" t="s">
        <v>1307</v>
      </c>
      <c r="F21" s="852">
        <f>P21/P$28</f>
        <v>1</v>
      </c>
      <c r="G21" s="852">
        <f ca="1">AL21/AL$28</f>
        <v>1</v>
      </c>
      <c r="I21" s="533">
        <f>AL21</f>
        <v>254562.08347826102</v>
      </c>
      <c r="J21" s="898">
        <v>254562.08347826102</v>
      </c>
      <c r="K21" s="533">
        <f t="shared" si="1"/>
        <v>0</v>
      </c>
      <c r="L21" s="813">
        <f t="shared" si="2"/>
        <v>0</v>
      </c>
      <c r="N21" s="566">
        <f>SUMIF('10. Inputs &amp; Calcs'!$D$432:$D$437,$E$10,'10. Inputs &amp; Calcs'!F$432:F$437)</f>
        <v>0</v>
      </c>
      <c r="O21" s="566">
        <f>SUMIF('10. Inputs &amp; Calcs'!$D$432:$D$437,$E$10,'10. Inputs &amp; Calcs'!G$432:G$437)</f>
        <v>0</v>
      </c>
      <c r="P21" s="566">
        <f>SUMIF('10. Inputs &amp; Calcs'!$D$432:$D$437,$E$10,'10. Inputs &amp; Calcs'!H$432:H$437)</f>
        <v>125.2</v>
      </c>
      <c r="Q21" s="566">
        <f>SUMIF('10. Inputs &amp; Calcs'!$D$432:$D$437,$E$10,'10. Inputs &amp; Calcs'!I$432:I$437)</f>
        <v>10606.753478260869</v>
      </c>
      <c r="R21" s="566">
        <f>SUMIF('10. Inputs &amp; Calcs'!$D$432:$D$437,$E$10,'10. Inputs &amp; Calcs'!J$432:J$437)</f>
        <v>10606.753478260869</v>
      </c>
      <c r="S21" s="566">
        <f>SUMIF('10. Inputs &amp; Calcs'!$D$432:$D$437,$E$10,'10. Inputs &amp; Calcs'!K$432:K$437)</f>
        <v>10606.753478260869</v>
      </c>
      <c r="T21" s="566">
        <f>SUMIF('10. Inputs &amp; Calcs'!$D$432:$D$437,$E$10,'10. Inputs &amp; Calcs'!L$432:L$437)</f>
        <v>10606.753478260869</v>
      </c>
      <c r="U21" s="566">
        <f>SUMIF('10. Inputs &amp; Calcs'!$D$432:$D$437,$E$10,'10. Inputs &amp; Calcs'!M$432:M$437)</f>
        <v>10606.753478260869</v>
      </c>
      <c r="V21" s="566">
        <f>SUMIF('10. Inputs &amp; Calcs'!$D$432:$D$437,$E$10,'10. Inputs &amp; Calcs'!N$432:N$437)</f>
        <v>10606.753478260869</v>
      </c>
      <c r="W21" s="566">
        <f>SUMIF('10. Inputs &amp; Calcs'!$D$432:$D$437,$E$10,'10. Inputs &amp; Calcs'!O$432:O$437)</f>
        <v>10606.753478260869</v>
      </c>
      <c r="X21" s="566">
        <f>SUMIF('10. Inputs &amp; Calcs'!$D$432:$D$437,$E$10,'10. Inputs &amp; Calcs'!P$432:P$437)</f>
        <v>10606.753478260869</v>
      </c>
      <c r="Y21" s="566">
        <f>SUMIF('10. Inputs &amp; Calcs'!$D$432:$D$437,$E$10,'10. Inputs &amp; Calcs'!Q$432:Q$437)</f>
        <v>10606.753478260869</v>
      </c>
      <c r="Z21" s="566">
        <f>SUMIF('10. Inputs &amp; Calcs'!$D$432:$D$437,$E$10,'10. Inputs &amp; Calcs'!R$432:R$437)</f>
        <v>10606.753478260869</v>
      </c>
      <c r="AA21" s="566">
        <f>SUMIF('10. Inputs &amp; Calcs'!$D$432:$D$437,$E$10,'10. Inputs &amp; Calcs'!S$432:S$437)</f>
        <v>10606.753478260869</v>
      </c>
      <c r="AB21" s="566">
        <f>SUMIF('10. Inputs &amp; Calcs'!$D$432:$D$437,$E$10,'10. Inputs &amp; Calcs'!T$432:T$437)</f>
        <v>10606.753478260869</v>
      </c>
      <c r="AC21" s="566">
        <f>SUMIF('10. Inputs &amp; Calcs'!$D$432:$D$437,$E$10,'10. Inputs &amp; Calcs'!U$432:U$437)</f>
        <v>10606.753478260869</v>
      </c>
      <c r="AD21" s="566">
        <f>SUMIF('10. Inputs &amp; Calcs'!$D$432:$D$437,$E$10,'10. Inputs &amp; Calcs'!V$432:V$437)</f>
        <v>10606.753478260869</v>
      </c>
      <c r="AE21" s="566">
        <f>SUMIF('10. Inputs &amp; Calcs'!$D$432:$D$437,$E$10,'10. Inputs &amp; Calcs'!W$432:W$437)</f>
        <v>10606.753478260869</v>
      </c>
      <c r="AF21" s="566">
        <f>SUMIF('10. Inputs &amp; Calcs'!$D$432:$D$437,$E$10,'10. Inputs &amp; Calcs'!X$432:X$437)</f>
        <v>10606.753478260869</v>
      </c>
      <c r="AG21" s="566">
        <f>SUMIF('10. Inputs &amp; Calcs'!$D$432:$D$437,$E$10,'10. Inputs &amp; Calcs'!Y$432:Y$437)</f>
        <v>10606.753478260869</v>
      </c>
      <c r="AH21" s="566">
        <f>SUMIF('10. Inputs &amp; Calcs'!$D$432:$D$437,$E$10,'10. Inputs &amp; Calcs'!Z$432:Z$437)</f>
        <v>10606.753478260869</v>
      </c>
      <c r="AI21" s="566">
        <f>SUMIF('10. Inputs &amp; Calcs'!$D$432:$D$437,$E$10,'10. Inputs &amp; Calcs'!AA$432:AA$437)</f>
        <v>10606.753478260869</v>
      </c>
      <c r="AJ21" s="566">
        <f>SUMIF('10. Inputs &amp; Calcs'!$D$432:$D$437,$E$10,'10. Inputs &amp; Calcs'!AB$432:AB$437)</f>
        <v>53033.767391304347</v>
      </c>
      <c r="AK21" s="566">
        <f>SUMIF('10. Inputs &amp; Calcs'!$D$432:$D$437,$E$10,'10. Inputs &amp; Calcs'!AC$432:AC$437)</f>
        <v>0</v>
      </c>
      <c r="AL21" s="533">
        <f>SUM(AL19:AL20)</f>
        <v>254562.08347826102</v>
      </c>
      <c r="AO21" s="803" t="str">
        <f>'10. Inputs &amp; Calcs'!D190</f>
        <v>EEDBS utilised to settle Existing Sales Debtors Balances Owing</v>
      </c>
      <c r="AP21" s="533">
        <f t="shared" ref="AP21:BM21" si="6">N53</f>
        <v>-157500</v>
      </c>
      <c r="AQ21" s="533">
        <f t="shared" si="6"/>
        <v>-135000</v>
      </c>
      <c r="AR21" s="533">
        <f t="shared" si="6"/>
        <v>0</v>
      </c>
      <c r="AS21" s="533">
        <f t="shared" ca="1" si="6"/>
        <v>-39429</v>
      </c>
      <c r="AT21" s="533">
        <f t="shared" ca="1" si="6"/>
        <v>-39429</v>
      </c>
      <c r="AU21" s="533">
        <f t="shared" ca="1" si="6"/>
        <v>-39429</v>
      </c>
      <c r="AV21" s="533">
        <f t="shared" ca="1" si="6"/>
        <v>-39429</v>
      </c>
      <c r="AW21" s="533">
        <f t="shared" ca="1" si="6"/>
        <v>-39429</v>
      </c>
      <c r="AX21" s="533">
        <f t="shared" ca="1" si="6"/>
        <v>-39429</v>
      </c>
      <c r="AY21" s="533">
        <f t="shared" ca="1" si="6"/>
        <v>-39429</v>
      </c>
      <c r="AZ21" s="533">
        <f t="shared" ca="1" si="6"/>
        <v>-39429</v>
      </c>
      <c r="BA21" s="533">
        <f t="shared" ca="1" si="6"/>
        <v>-39429</v>
      </c>
      <c r="BB21" s="533">
        <f t="shared" ca="1" si="6"/>
        <v>-39429</v>
      </c>
      <c r="BC21" s="533">
        <f t="shared" ca="1" si="6"/>
        <v>-39429</v>
      </c>
      <c r="BD21" s="533">
        <f t="shared" ca="1" si="6"/>
        <v>-39429</v>
      </c>
      <c r="BE21" s="533">
        <f t="shared" ca="1" si="6"/>
        <v>-39429</v>
      </c>
      <c r="BF21" s="533">
        <f t="shared" ca="1" si="6"/>
        <v>-39429</v>
      </c>
      <c r="BG21" s="533">
        <f t="shared" ca="1" si="6"/>
        <v>-39429</v>
      </c>
      <c r="BH21" s="533">
        <f t="shared" ca="1" si="6"/>
        <v>-39429</v>
      </c>
      <c r="BI21" s="533">
        <f t="shared" ca="1" si="6"/>
        <v>-39429</v>
      </c>
      <c r="BJ21" s="533">
        <f t="shared" ca="1" si="6"/>
        <v>-39429</v>
      </c>
      <c r="BK21" s="533">
        <f t="shared" ca="1" si="6"/>
        <v>-39429</v>
      </c>
      <c r="BL21" s="533">
        <f t="shared" ca="1" si="6"/>
        <v>-1915744.05</v>
      </c>
      <c r="BM21" s="533">
        <f t="shared" ca="1" si="6"/>
        <v>0</v>
      </c>
    </row>
    <row r="22" spans="2:65" ht="21.75" customHeight="1" x14ac:dyDescent="0.45">
      <c r="D22" s="18"/>
      <c r="E22" s="18"/>
      <c r="F22" s="852"/>
      <c r="G22" s="852"/>
      <c r="I22" s="533"/>
      <c r="J22" s="898"/>
      <c r="K22" s="533"/>
      <c r="L22" s="813"/>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753">
        <f>AL23</f>
        <v>1435709.7299999997</v>
      </c>
      <c r="J23" s="899">
        <v>1435709.7299999997</v>
      </c>
      <c r="K23" s="753">
        <f t="shared" si="1"/>
        <v>0</v>
      </c>
      <c r="L23" s="885">
        <f t="shared" si="2"/>
        <v>0</v>
      </c>
      <c r="N23" s="763">
        <f>SUMIF('10. Inputs &amp; Calcs'!$D$538:$D$543,$E$10,'10. Inputs &amp; Calcs'!F$538:F$543)</f>
        <v>190624.53</v>
      </c>
      <c r="O23" s="567">
        <f>SUMIF('10. Inputs &amp; Calcs'!$D$538:$D$543,$E$10,'10. Inputs &amp; Calcs'!G$538:G$543)</f>
        <v>134455.9</v>
      </c>
      <c r="P23" s="764">
        <f>SUMIF('10. Inputs &amp; Calcs'!$D$538:$D$543,$E$10,'10. Inputs &amp; Calcs'!H$538:H$543)</f>
        <v>129537.72</v>
      </c>
      <c r="Q23" s="748">
        <f>SUMIF('10. Inputs &amp; Calcs'!$D$538:$D$543,$E$10,'10. Inputs &amp; Calcs'!I$538:I$543)</f>
        <v>124140.315</v>
      </c>
      <c r="R23" s="535">
        <f>SUMIF('10. Inputs &amp; Calcs'!$D$538:$D$543,$E$10,'10. Inputs &amp; Calcs'!J$538:J$543)</f>
        <v>118742.91</v>
      </c>
      <c r="S23" s="535">
        <f>SUMIF('10. Inputs &amp; Calcs'!$D$538:$D$543,$E$10,'10. Inputs &amp; Calcs'!K$538:K$543)</f>
        <v>113345.50499999999</v>
      </c>
      <c r="T23" s="535">
        <f>SUMIF('10. Inputs &amp; Calcs'!$D$538:$D$543,$E$10,'10. Inputs &amp; Calcs'!L$538:L$543)</f>
        <v>107948.09999999998</v>
      </c>
      <c r="U23" s="535">
        <f>SUMIF('10. Inputs &amp; Calcs'!$D$538:$D$543,$E$10,'10. Inputs &amp; Calcs'!M$538:M$543)</f>
        <v>102550.69499999998</v>
      </c>
      <c r="V23" s="535">
        <f>SUMIF('10. Inputs &amp; Calcs'!$D$538:$D$543,$E$10,'10. Inputs &amp; Calcs'!N$538:N$543)</f>
        <v>97153.289999999979</v>
      </c>
      <c r="W23" s="535">
        <f>SUMIF('10. Inputs &amp; Calcs'!$D$538:$D$543,$E$10,'10. Inputs &amp; Calcs'!O$538:O$543)</f>
        <v>91755.88499999998</v>
      </c>
      <c r="X23" s="535">
        <f>SUMIF('10. Inputs &amp; Calcs'!$D$538:$D$543,$E$10,'10. Inputs &amp; Calcs'!P$538:P$543)</f>
        <v>86358.479999999981</v>
      </c>
      <c r="Y23" s="535">
        <f>SUMIF('10. Inputs &amp; Calcs'!$D$538:$D$543,$E$10,'10. Inputs &amp; Calcs'!Q$538:Q$543)</f>
        <v>80961.074999999983</v>
      </c>
      <c r="Z23" s="535">
        <f>SUMIF('10. Inputs &amp; Calcs'!$D$538:$D$543,$E$10,'10. Inputs &amp; Calcs'!R$538:R$543)</f>
        <v>75563.669999999984</v>
      </c>
      <c r="AA23" s="535">
        <f>SUMIF('10. Inputs &amp; Calcs'!$D$538:$D$543,$E$10,'10. Inputs &amp; Calcs'!S$538:S$543)</f>
        <v>70166.264999999985</v>
      </c>
      <c r="AB23" s="535">
        <f>SUMIF('10. Inputs &amp; Calcs'!$D$538:$D$543,$E$10,'10. Inputs &amp; Calcs'!T$538:T$543)</f>
        <v>64768.859999999986</v>
      </c>
      <c r="AC23" s="535">
        <f>SUMIF('10. Inputs &amp; Calcs'!$D$538:$D$543,$E$10,'10. Inputs &amp; Calcs'!U$538:U$543)</f>
        <v>59371.454999999987</v>
      </c>
      <c r="AD23" s="535">
        <f>SUMIF('10. Inputs &amp; Calcs'!$D$538:$D$543,$E$10,'10. Inputs &amp; Calcs'!V$538:V$543)</f>
        <v>53974.049999999981</v>
      </c>
      <c r="AE23" s="535">
        <f>SUMIF('10. Inputs &amp; Calcs'!$D$538:$D$543,$E$10,'10. Inputs &amp; Calcs'!W$538:W$543)</f>
        <v>48576.644999999982</v>
      </c>
      <c r="AF23" s="535">
        <f>SUMIF('10. Inputs &amp; Calcs'!$D$538:$D$543,$E$10,'10. Inputs &amp; Calcs'!X$538:X$543)</f>
        <v>43179.239999999983</v>
      </c>
      <c r="AG23" s="535">
        <f>SUMIF('10. Inputs &amp; Calcs'!$D$538:$D$543,$E$10,'10. Inputs &amp; Calcs'!Y$538:Y$543)</f>
        <v>37781.834999999985</v>
      </c>
      <c r="AH23" s="535">
        <f>SUMIF('10. Inputs &amp; Calcs'!$D$538:$D$543,$E$10,'10. Inputs &amp; Calcs'!Z$538:Z$543)</f>
        <v>32384.429999999986</v>
      </c>
      <c r="AI23" s="535">
        <f>SUMIF('10. Inputs &amp; Calcs'!$D$538:$D$543,$E$10,'10. Inputs &amp; Calcs'!AA$538:AA$543)</f>
        <v>26987.024999999991</v>
      </c>
      <c r="AJ23" s="535">
        <f>SUMIF('10. Inputs &amp; Calcs'!$D$538:$D$543,$E$10,'10. Inputs &amp; Calcs'!AB$538:AB$543)</f>
        <v>0</v>
      </c>
      <c r="AK23" s="749">
        <f>SUMIF('10. Inputs &amp; Calcs'!$D$538:$D$543,$E$10,'10. Inputs &amp; Calcs'!AC$538:AC$543)</f>
        <v>0</v>
      </c>
      <c r="AL23" s="753">
        <f>SUM(Q23:AK23)</f>
        <v>1435709.7299999997</v>
      </c>
    </row>
    <row r="24" spans="2:65" x14ac:dyDescent="0.45">
      <c r="B24" t="s">
        <v>59</v>
      </c>
      <c r="D24" s="18" t="s">
        <v>1306</v>
      </c>
      <c r="F24" s="852"/>
      <c r="G24" s="852"/>
      <c r="I24" s="754">
        <f>AL24</f>
        <v>-1435709.7299999997</v>
      </c>
      <c r="J24" s="900">
        <v>-1435709.7299999997</v>
      </c>
      <c r="K24" s="754">
        <f t="shared" si="1"/>
        <v>0</v>
      </c>
      <c r="L24" s="886">
        <f t="shared" si="2"/>
        <v>0</v>
      </c>
      <c r="N24" s="765">
        <f t="shared" ref="N24:AK24" si="7">N25-N23</f>
        <v>-182567.43</v>
      </c>
      <c r="O24" s="766">
        <f t="shared" si="7"/>
        <v>-130442.7</v>
      </c>
      <c r="P24" s="767">
        <f t="shared" si="7"/>
        <v>-129537.72</v>
      </c>
      <c r="Q24" s="750">
        <f t="shared" si="7"/>
        <v>-124140.315</v>
      </c>
      <c r="R24" s="751">
        <f t="shared" si="7"/>
        <v>-118742.91</v>
      </c>
      <c r="S24" s="751">
        <f t="shared" si="7"/>
        <v>-113345.50499999999</v>
      </c>
      <c r="T24" s="751">
        <f t="shared" si="7"/>
        <v>-107948.09999999998</v>
      </c>
      <c r="U24" s="751">
        <f t="shared" si="7"/>
        <v>-102550.69499999998</v>
      </c>
      <c r="V24" s="751">
        <f t="shared" si="7"/>
        <v>-97153.289999999979</v>
      </c>
      <c r="W24" s="751">
        <f t="shared" si="7"/>
        <v>-91755.88499999998</v>
      </c>
      <c r="X24" s="751">
        <f t="shared" si="7"/>
        <v>-86358.479999999981</v>
      </c>
      <c r="Y24" s="751">
        <f t="shared" si="7"/>
        <v>-80961.074999999983</v>
      </c>
      <c r="Z24" s="751">
        <f t="shared" si="7"/>
        <v>-75563.669999999984</v>
      </c>
      <c r="AA24" s="751">
        <f t="shared" si="7"/>
        <v>-70166.264999999985</v>
      </c>
      <c r="AB24" s="751">
        <f t="shared" si="7"/>
        <v>-64768.859999999986</v>
      </c>
      <c r="AC24" s="751">
        <f t="shared" si="7"/>
        <v>-59371.454999999987</v>
      </c>
      <c r="AD24" s="751">
        <f t="shared" si="7"/>
        <v>-53974.049999999981</v>
      </c>
      <c r="AE24" s="751">
        <f t="shared" si="7"/>
        <v>-48576.644999999982</v>
      </c>
      <c r="AF24" s="751">
        <f t="shared" si="7"/>
        <v>-43179.239999999983</v>
      </c>
      <c r="AG24" s="751">
        <f t="shared" si="7"/>
        <v>-37781.834999999985</v>
      </c>
      <c r="AH24" s="751">
        <f t="shared" si="7"/>
        <v>-32384.429999999986</v>
      </c>
      <c r="AI24" s="751">
        <f t="shared" si="7"/>
        <v>-26987.024999999991</v>
      </c>
      <c r="AJ24" s="751">
        <f t="shared" si="7"/>
        <v>0</v>
      </c>
      <c r="AK24" s="752">
        <f t="shared" si="7"/>
        <v>0</v>
      </c>
      <c r="AL24" s="754">
        <f>SUM(Q24:AK24)</f>
        <v>-1435709.7299999997</v>
      </c>
    </row>
    <row r="25" spans="2:65" x14ac:dyDescent="0.45">
      <c r="D25" s="18" t="str">
        <f>'10. Inputs &amp; Calcs'!D573</f>
        <v>Total Rental Collected p.a.</v>
      </c>
      <c r="F25" s="852">
        <f>P25/P$28</f>
        <v>0</v>
      </c>
      <c r="G25" s="852">
        <f ca="1">AL25/AL$28</f>
        <v>0</v>
      </c>
      <c r="I25" s="533">
        <f>AL25</f>
        <v>0</v>
      </c>
      <c r="J25" s="898">
        <v>0</v>
      </c>
      <c r="K25" s="533">
        <f t="shared" si="1"/>
        <v>0</v>
      </c>
      <c r="L25" s="813">
        <f t="shared" si="2"/>
        <v>0</v>
      </c>
      <c r="N25" s="566">
        <f>SUMIF('10. Inputs &amp; Calcs'!$D$574:$D$579,$E$10,'10. Inputs &amp; Calcs'!F$574:F$579)</f>
        <v>8057.1</v>
      </c>
      <c r="O25" s="566">
        <f>SUMIF('10. Inputs &amp; Calcs'!$D$574:$D$579,$E$10,'10. Inputs &amp; Calcs'!G$574:G$579)</f>
        <v>4013.2</v>
      </c>
      <c r="P25" s="566">
        <f>SUMIF('10. Inputs &amp; Calcs'!$D$574:$D$579,$E$10,'10. Inputs &amp; Calcs'!H$574:H$579)</f>
        <v>0</v>
      </c>
      <c r="Q25" s="535">
        <f>SUMIF('10. Inputs &amp; Calcs'!$D$574:$D$579,$E$10,'10. Inputs &amp; Calcs'!I$574:I$579)</f>
        <v>0</v>
      </c>
      <c r="R25" s="535">
        <f>SUMIF('10. Inputs &amp; Calcs'!$D$574:$D$579,$E$10,'10. Inputs &amp; Calcs'!J$574:J$579)</f>
        <v>0</v>
      </c>
      <c r="S25" s="535">
        <f>SUMIF('10. Inputs &amp; Calcs'!$D$574:$D$579,$E$10,'10. Inputs &amp; Calcs'!K$574:K$579)</f>
        <v>0</v>
      </c>
      <c r="T25" s="535">
        <f>SUMIF('10. Inputs &amp; Calcs'!$D$574:$D$579,$E$10,'10. Inputs &amp; Calcs'!L$574:L$579)</f>
        <v>0</v>
      </c>
      <c r="U25" s="535">
        <f>SUMIF('10. Inputs &amp; Calcs'!$D$574:$D$579,$E$10,'10. Inputs &amp; Calcs'!M$574:M$579)</f>
        <v>0</v>
      </c>
      <c r="V25" s="535">
        <f>SUMIF('10. Inputs &amp; Calcs'!$D$574:$D$579,$E$10,'10. Inputs &amp; Calcs'!N$574:N$579)</f>
        <v>0</v>
      </c>
      <c r="W25" s="535">
        <f>SUMIF('10. Inputs &amp; Calcs'!$D$574:$D$579,$E$10,'10. Inputs &amp; Calcs'!O$574:O$579)</f>
        <v>0</v>
      </c>
      <c r="X25" s="535">
        <f>SUMIF('10. Inputs &amp; Calcs'!$D$574:$D$579,$E$10,'10. Inputs &amp; Calcs'!P$574:P$579)</f>
        <v>0</v>
      </c>
      <c r="Y25" s="535">
        <f>SUMIF('10. Inputs &amp; Calcs'!$D$574:$D$579,$E$10,'10. Inputs &amp; Calcs'!Q$574:Q$579)</f>
        <v>0</v>
      </c>
      <c r="Z25" s="535">
        <f>SUMIF('10. Inputs &amp; Calcs'!$D$574:$D$579,$E$10,'10. Inputs &amp; Calcs'!R$574:R$579)</f>
        <v>0</v>
      </c>
      <c r="AA25" s="535">
        <f>SUMIF('10. Inputs &amp; Calcs'!$D$574:$D$579,$E$10,'10. Inputs &amp; Calcs'!S$574:S$579)</f>
        <v>0</v>
      </c>
      <c r="AB25" s="535">
        <f>SUMIF('10. Inputs &amp; Calcs'!$D$574:$D$579,$E$10,'10. Inputs &amp; Calcs'!T$574:T$579)</f>
        <v>0</v>
      </c>
      <c r="AC25" s="535">
        <f>SUMIF('10. Inputs &amp; Calcs'!$D$574:$D$579,$E$10,'10. Inputs &amp; Calcs'!U$574:U$579)</f>
        <v>0</v>
      </c>
      <c r="AD25" s="535">
        <f>SUMIF('10. Inputs &amp; Calcs'!$D$574:$D$579,$E$10,'10. Inputs &amp; Calcs'!V$574:V$579)</f>
        <v>0</v>
      </c>
      <c r="AE25" s="535">
        <f>SUMIF('10. Inputs &amp; Calcs'!$D$574:$D$579,$E$10,'10. Inputs &amp; Calcs'!W$574:W$579)</f>
        <v>0</v>
      </c>
      <c r="AF25" s="535">
        <f>SUMIF('10. Inputs &amp; Calcs'!$D$574:$D$579,$E$10,'10. Inputs &amp; Calcs'!X$574:X$579)</f>
        <v>0</v>
      </c>
      <c r="AG25" s="535">
        <f>SUMIF('10. Inputs &amp; Calcs'!$D$574:$D$579,$E$10,'10. Inputs &amp; Calcs'!Y$574:Y$579)</f>
        <v>0</v>
      </c>
      <c r="AH25" s="535">
        <f>SUMIF('10. Inputs &amp; Calcs'!$D$574:$D$579,$E$10,'10. Inputs &amp; Calcs'!Z$574:Z$579)</f>
        <v>0</v>
      </c>
      <c r="AI25" s="535">
        <f>SUMIF('10. Inputs &amp; Calcs'!$D$574:$D$579,$E$10,'10. Inputs &amp; Calcs'!AA$574:AA$579)</f>
        <v>0</v>
      </c>
      <c r="AJ25" s="535">
        <f>SUMIF('10. Inputs &amp; Calcs'!$D$574:$D$579,$E$10,'10. Inputs &amp; Calcs'!AB$574:AB$579)</f>
        <v>0</v>
      </c>
      <c r="AK25" s="535">
        <f>SUMIF('10. Inputs &amp; Calcs'!$D$574:$D$579,$E$10,'10. Inputs &amp; Calcs'!AC$574:AC$579)</f>
        <v>0</v>
      </c>
      <c r="AL25" s="533">
        <f>SUM(Q25:AK25)</f>
        <v>0</v>
      </c>
    </row>
    <row r="26" spans="2:65" ht="6"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533">
        <f>AL27</f>
        <v>0</v>
      </c>
      <c r="J27" s="898">
        <v>0</v>
      </c>
      <c r="K27" s="533">
        <f t="shared" si="1"/>
        <v>0</v>
      </c>
      <c r="L27" s="813">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 ca="1">AL28/AL$28</f>
        <v>1</v>
      </c>
      <c r="I28" s="535">
        <f ca="1">AL28</f>
        <v>254562.08347826102</v>
      </c>
      <c r="J28" s="901">
        <v>254562.08347826102</v>
      </c>
      <c r="K28" s="535">
        <f t="shared" ca="1" si="1"/>
        <v>0</v>
      </c>
      <c r="L28" s="884">
        <f t="shared" ca="1" si="2"/>
        <v>0</v>
      </c>
      <c r="N28" s="992">
        <f t="shared" ref="N28:AL28" si="8">N25+N67*0+N21+N27</f>
        <v>8057.1</v>
      </c>
      <c r="O28" s="992">
        <f t="shared" si="8"/>
        <v>4013.2</v>
      </c>
      <c r="P28" s="992">
        <f t="shared" si="8"/>
        <v>125.2</v>
      </c>
      <c r="Q28" s="992">
        <f t="shared" ca="1" si="8"/>
        <v>10606.753478260869</v>
      </c>
      <c r="R28" s="992">
        <f t="shared" ca="1" si="8"/>
        <v>10606.753478260869</v>
      </c>
      <c r="S28" s="992">
        <f t="shared" ca="1" si="8"/>
        <v>10606.753478260869</v>
      </c>
      <c r="T28" s="992">
        <f t="shared" ca="1" si="8"/>
        <v>10606.753478260869</v>
      </c>
      <c r="U28" s="992">
        <f t="shared" ca="1" si="8"/>
        <v>10606.753478260869</v>
      </c>
      <c r="V28" s="992">
        <f t="shared" ca="1" si="8"/>
        <v>10606.753478260869</v>
      </c>
      <c r="W28" s="992">
        <f t="shared" ca="1" si="8"/>
        <v>10606.753478260869</v>
      </c>
      <c r="X28" s="992">
        <f t="shared" ca="1" si="8"/>
        <v>10606.753478260869</v>
      </c>
      <c r="Y28" s="992">
        <f t="shared" ca="1" si="8"/>
        <v>10606.753478260869</v>
      </c>
      <c r="Z28" s="992">
        <f t="shared" ca="1" si="8"/>
        <v>10606.753478260869</v>
      </c>
      <c r="AA28" s="992">
        <f t="shared" ca="1" si="8"/>
        <v>10606.753478260869</v>
      </c>
      <c r="AB28" s="992">
        <f t="shared" ca="1" si="8"/>
        <v>10606.753478260869</v>
      </c>
      <c r="AC28" s="992">
        <f t="shared" ca="1" si="8"/>
        <v>10606.753478260869</v>
      </c>
      <c r="AD28" s="992">
        <f t="shared" ca="1" si="8"/>
        <v>10606.753478260869</v>
      </c>
      <c r="AE28" s="992">
        <f t="shared" ca="1" si="8"/>
        <v>10606.753478260869</v>
      </c>
      <c r="AF28" s="992">
        <f t="shared" ca="1" si="8"/>
        <v>10606.753478260869</v>
      </c>
      <c r="AG28" s="992">
        <f t="shared" ca="1" si="8"/>
        <v>10606.753478260869</v>
      </c>
      <c r="AH28" s="992">
        <f t="shared" ca="1" si="8"/>
        <v>10606.753478260869</v>
      </c>
      <c r="AI28" s="992">
        <f t="shared" ca="1" si="8"/>
        <v>10606.753478260869</v>
      </c>
      <c r="AJ28" s="992">
        <f t="shared" ca="1" si="8"/>
        <v>53033.767391304347</v>
      </c>
      <c r="AK28" s="992">
        <f t="shared" ca="1" si="8"/>
        <v>0</v>
      </c>
      <c r="AL28" s="992">
        <f t="shared" ca="1" si="8"/>
        <v>254562.08347826102</v>
      </c>
    </row>
    <row r="29" spans="2:65" x14ac:dyDescent="0.45">
      <c r="J29" s="902"/>
      <c r="N29" s="533"/>
      <c r="O29" s="533"/>
      <c r="P29" s="533"/>
      <c r="AL29" s="533"/>
    </row>
    <row r="30" spans="2:65" x14ac:dyDescent="0.45">
      <c r="D30" s="451" t="s">
        <v>934</v>
      </c>
      <c r="E30" s="451"/>
      <c r="J30" s="902"/>
      <c r="M30" s="451"/>
      <c r="N30" s="533"/>
      <c r="O30" s="533"/>
      <c r="P30" s="533"/>
    </row>
    <row r="31" spans="2:65" x14ac:dyDescent="0.45">
      <c r="B31" t="s">
        <v>59</v>
      </c>
      <c r="D31" t="str">
        <f>'11. Table - Expenditure Review'!E177</f>
        <v>Rates &amp; Taxes</v>
      </c>
      <c r="F31" s="885">
        <f t="shared" ref="F31:F47" si="9">P31/P$47</f>
        <v>0</v>
      </c>
      <c r="G31" s="885">
        <f t="shared" ref="G31:G47" si="10">AL31/AL$47</f>
        <v>0</v>
      </c>
      <c r="I31" s="753">
        <f t="shared" ref="I31:I48" si="11">AL31</f>
        <v>0</v>
      </c>
      <c r="J31" s="899">
        <v>0</v>
      </c>
      <c r="K31" s="753">
        <f t="shared" ref="K31:K48" si="12">I31-J31</f>
        <v>0</v>
      </c>
      <c r="L31" s="885">
        <f t="shared" ref="L31:L48" si="13">IF(J31&lt;&gt;0,K31/J31,0)</f>
        <v>0</v>
      </c>
      <c r="N31" s="566">
        <f>SUMIF('10. Inputs &amp; Calcs'!$D$650:$D$655,$E$10,'10. Inputs &amp; Calcs'!F$650:F$655)</f>
        <v>0</v>
      </c>
      <c r="O31" s="566">
        <f>SUMIF('10. Inputs &amp; Calcs'!$D$650:$D$655,$E$10,'10. Inputs &amp; Calcs'!G$650:G$655)</f>
        <v>0</v>
      </c>
      <c r="P31" s="566">
        <f>SUMIF('10. Inputs &amp; Calcs'!$D$650:$D$655,$E$10,'10. Inputs &amp; Calcs'!H$650:H$655)</f>
        <v>0</v>
      </c>
      <c r="Q31" s="533">
        <f>SUMIF('10. Inputs &amp; Calcs'!$D$650:$D$655,$E$10,'10. Inputs &amp; Calcs'!I$650:I$655)</f>
        <v>0</v>
      </c>
      <c r="R31" s="533">
        <f>SUMIF('10. Inputs &amp; Calcs'!$D$650:$D$655,$E$10,'10. Inputs &amp; Calcs'!J$650:J$655)</f>
        <v>0</v>
      </c>
      <c r="S31" s="533">
        <f>SUMIF('10. Inputs &amp; Calcs'!$D$650:$D$655,$E$10,'10. Inputs &amp; Calcs'!K$650:K$655)</f>
        <v>0</v>
      </c>
      <c r="T31" s="533">
        <f>SUMIF('10. Inputs &amp; Calcs'!$D$650:$D$655,$E$10,'10. Inputs &amp; Calcs'!L$650:L$655)</f>
        <v>0</v>
      </c>
      <c r="U31" s="533">
        <f>SUMIF('10. Inputs &amp; Calcs'!$D$650:$D$655,$E$10,'10. Inputs &amp; Calcs'!M$650:M$655)</f>
        <v>0</v>
      </c>
      <c r="V31" s="533">
        <f>SUMIF('10. Inputs &amp; Calcs'!$D$650:$D$655,$E$10,'10. Inputs &amp; Calcs'!N$650:N$655)</f>
        <v>0</v>
      </c>
      <c r="W31" s="533">
        <f>SUMIF('10. Inputs &amp; Calcs'!$D$650:$D$655,$E$10,'10. Inputs &amp; Calcs'!O$650:O$655)</f>
        <v>0</v>
      </c>
      <c r="X31" s="533">
        <f>SUMIF('10. Inputs &amp; Calcs'!$D$650:$D$655,$E$10,'10. Inputs &amp; Calcs'!P$650:P$655)</f>
        <v>0</v>
      </c>
      <c r="Y31" s="533">
        <f>SUMIF('10. Inputs &amp; Calcs'!$D$650:$D$655,$E$10,'10. Inputs &amp; Calcs'!Q$650:Q$655)</f>
        <v>0</v>
      </c>
      <c r="Z31" s="533">
        <f>SUMIF('10. Inputs &amp; Calcs'!$D$650:$D$655,$E$10,'10. Inputs &amp; Calcs'!R$650:R$655)</f>
        <v>0</v>
      </c>
      <c r="AA31" s="533">
        <f>SUMIF('10. Inputs &amp; Calcs'!$D$650:$D$655,$E$10,'10. Inputs &amp; Calcs'!S$650:S$655)</f>
        <v>0</v>
      </c>
      <c r="AB31" s="533">
        <f>SUMIF('10. Inputs &amp; Calcs'!$D$650:$D$655,$E$10,'10. Inputs &amp; Calcs'!T$650:T$655)</f>
        <v>0</v>
      </c>
      <c r="AC31" s="533">
        <f>SUMIF('10. Inputs &amp; Calcs'!$D$650:$D$655,$E$10,'10. Inputs &amp; Calcs'!U$650:U$655)</f>
        <v>0</v>
      </c>
      <c r="AD31" s="533">
        <f>SUMIF('10. Inputs &amp; Calcs'!$D$650:$D$655,$E$10,'10. Inputs &amp; Calcs'!V$650:V$655)</f>
        <v>0</v>
      </c>
      <c r="AE31" s="533">
        <f>SUMIF('10. Inputs &amp; Calcs'!$D$650:$D$655,$E$10,'10. Inputs &amp; Calcs'!W$650:W$655)</f>
        <v>0</v>
      </c>
      <c r="AF31" s="533">
        <f>SUMIF('10. Inputs &amp; Calcs'!$D$650:$D$655,$E$10,'10. Inputs &amp; Calcs'!X$650:X$655)</f>
        <v>0</v>
      </c>
      <c r="AG31" s="533">
        <f>SUMIF('10. Inputs &amp; Calcs'!$D$650:$D$655,$E$10,'10. Inputs &amp; Calcs'!Y$650:Y$655)</f>
        <v>0</v>
      </c>
      <c r="AH31" s="533">
        <f>SUMIF('10. Inputs &amp; Calcs'!$D$650:$D$655,$E$10,'10. Inputs &amp; Calcs'!Z$650:Z$655)</f>
        <v>0</v>
      </c>
      <c r="AI31" s="533">
        <f>SUMIF('10. Inputs &amp; Calcs'!$D$650:$D$655,$E$10,'10. Inputs &amp; Calcs'!AA$650:AA$655)</f>
        <v>0</v>
      </c>
      <c r="AJ31" s="533">
        <f>SUMIF('10. Inputs &amp; Calcs'!$D$650:$D$655,$E$10,'10. Inputs &amp; Calcs'!AB$650:AB$655)</f>
        <v>0</v>
      </c>
      <c r="AK31" s="533">
        <f>SUMIF('10. Inputs &amp; Calcs'!$D$650:$D$655,$E$10,'10. Inputs &amp; Calcs'!AC$650:AC$655)</f>
        <v>0</v>
      </c>
      <c r="AL31" s="533">
        <f t="shared" ref="AL31:AL46" si="14">SUM(Q31:AK31)</f>
        <v>0</v>
      </c>
    </row>
    <row r="32" spans="2:65" x14ac:dyDescent="0.45">
      <c r="B32" t="s">
        <v>59</v>
      </c>
      <c r="D32" t="str">
        <f>'11. Table - Expenditure Review'!E178</f>
        <v>Municipal Charges</v>
      </c>
      <c r="F32" s="889">
        <f t="shared" si="9"/>
        <v>0</v>
      </c>
      <c r="G32" s="889">
        <f t="shared" si="10"/>
        <v>0</v>
      </c>
      <c r="I32" s="888">
        <f t="shared" si="11"/>
        <v>0</v>
      </c>
      <c r="J32" s="903">
        <v>0</v>
      </c>
      <c r="K32" s="888">
        <f t="shared" si="12"/>
        <v>0</v>
      </c>
      <c r="L32" s="889">
        <f t="shared" si="13"/>
        <v>0</v>
      </c>
      <c r="N32" s="566">
        <f>SUMIF('10. Inputs &amp; Calcs'!$D$659:$D$664,$E$10,'10. Inputs &amp; Calcs'!F$659:F$664)</f>
        <v>0</v>
      </c>
      <c r="O32" s="566">
        <f>SUMIF('10. Inputs &amp; Calcs'!$D$659:$D$664,$E$10,'10. Inputs &amp; Calcs'!G$659:G$664)</f>
        <v>0</v>
      </c>
      <c r="P32" s="566">
        <f>SUMIF('10. Inputs &amp; Calcs'!$D$659:$D$664,$E$10,'10. Inputs &amp; Calcs'!H$659:H$664)</f>
        <v>0</v>
      </c>
      <c r="Q32" s="533">
        <f>SUMIF('10. Inputs &amp; Calcs'!$D$659:$D$664,$E$10,'10. Inputs &amp; Calcs'!I$659:I$664)</f>
        <v>0</v>
      </c>
      <c r="R32" s="533">
        <f>SUMIF('10. Inputs &amp; Calcs'!$D$659:$D$664,$E$10,'10. Inputs &amp; Calcs'!J$659:J$664)</f>
        <v>0</v>
      </c>
      <c r="S32" s="533">
        <f>SUMIF('10. Inputs &amp; Calcs'!$D$659:$D$664,$E$10,'10. Inputs &amp; Calcs'!K$659:K$664)</f>
        <v>0</v>
      </c>
      <c r="T32" s="533">
        <f>SUMIF('10. Inputs &amp; Calcs'!$D$659:$D$664,$E$10,'10. Inputs &amp; Calcs'!L$659:L$664)</f>
        <v>0</v>
      </c>
      <c r="U32" s="533">
        <f>SUMIF('10. Inputs &amp; Calcs'!$D$659:$D$664,$E$10,'10. Inputs &amp; Calcs'!M$659:M$664)</f>
        <v>0</v>
      </c>
      <c r="V32" s="533">
        <f>SUMIF('10. Inputs &amp; Calcs'!$D$659:$D$664,$E$10,'10. Inputs &amp; Calcs'!N$659:N$664)</f>
        <v>0</v>
      </c>
      <c r="W32" s="533">
        <f>SUMIF('10. Inputs &amp; Calcs'!$D$659:$D$664,$E$10,'10. Inputs &amp; Calcs'!O$659:O$664)</f>
        <v>0</v>
      </c>
      <c r="X32" s="533">
        <f>SUMIF('10. Inputs &amp; Calcs'!$D$659:$D$664,$E$10,'10. Inputs &amp; Calcs'!P$659:P$664)</f>
        <v>0</v>
      </c>
      <c r="Y32" s="533">
        <f>SUMIF('10. Inputs &amp; Calcs'!$D$659:$D$664,$E$10,'10. Inputs &amp; Calcs'!Q$659:Q$664)</f>
        <v>0</v>
      </c>
      <c r="Z32" s="533">
        <f>SUMIF('10. Inputs &amp; Calcs'!$D$659:$D$664,$E$10,'10. Inputs &amp; Calcs'!R$659:R$664)</f>
        <v>0</v>
      </c>
      <c r="AA32" s="533">
        <f>SUMIF('10. Inputs &amp; Calcs'!$D$659:$D$664,$E$10,'10. Inputs &amp; Calcs'!S$659:S$664)</f>
        <v>0</v>
      </c>
      <c r="AB32" s="533">
        <f>SUMIF('10. Inputs &amp; Calcs'!$D$659:$D$664,$E$10,'10. Inputs &amp; Calcs'!T$659:T$664)</f>
        <v>0</v>
      </c>
      <c r="AC32" s="533">
        <f>SUMIF('10. Inputs &amp; Calcs'!$D$659:$D$664,$E$10,'10. Inputs &amp; Calcs'!U$659:U$664)</f>
        <v>0</v>
      </c>
      <c r="AD32" s="533">
        <f>SUMIF('10. Inputs &amp; Calcs'!$D$659:$D$664,$E$10,'10. Inputs &amp; Calcs'!V$659:V$664)</f>
        <v>0</v>
      </c>
      <c r="AE32" s="533">
        <f>SUMIF('10. Inputs &amp; Calcs'!$D$659:$D$664,$E$10,'10. Inputs &amp; Calcs'!W$659:W$664)</f>
        <v>0</v>
      </c>
      <c r="AF32" s="533">
        <f>SUMIF('10. Inputs &amp; Calcs'!$D$659:$D$664,$E$10,'10. Inputs &amp; Calcs'!X$659:X$664)</f>
        <v>0</v>
      </c>
      <c r="AG32" s="533">
        <f>SUMIF('10. Inputs &amp; Calcs'!$D$659:$D$664,$E$10,'10. Inputs &amp; Calcs'!Y$659:Y$664)</f>
        <v>0</v>
      </c>
      <c r="AH32" s="533">
        <f>SUMIF('10. Inputs &amp; Calcs'!$D$659:$D$664,$E$10,'10. Inputs &amp; Calcs'!Z$659:Z$664)</f>
        <v>0</v>
      </c>
      <c r="AI32" s="533">
        <f>SUMIF('10. Inputs &amp; Calcs'!$D$659:$D$664,$E$10,'10. Inputs &amp; Calcs'!AA$659:AA$664)</f>
        <v>0</v>
      </c>
      <c r="AJ32" s="533">
        <f>SUMIF('10. Inputs &amp; Calcs'!$D$659:$D$664,$E$10,'10. Inputs &amp; Calcs'!AB$659:AB$664)</f>
        <v>0</v>
      </c>
      <c r="AK32" s="533">
        <f>SUMIF('10. Inputs &amp; Calcs'!$D$659:$D$664,$E$10,'10. Inputs &amp; Calcs'!AC$659:AC$664)</f>
        <v>0</v>
      </c>
      <c r="AL32" s="533">
        <f t="shared" si="14"/>
        <v>0</v>
      </c>
    </row>
    <row r="33" spans="2:38" x14ac:dyDescent="0.45">
      <c r="B33" t="s">
        <v>59</v>
      </c>
      <c r="D33" t="str">
        <f>'11. Table - Expenditure Review'!E179</f>
        <v>Maintenance</v>
      </c>
      <c r="F33" s="889">
        <f t="shared" si="9"/>
        <v>0</v>
      </c>
      <c r="G33" s="889">
        <f t="shared" si="10"/>
        <v>0</v>
      </c>
      <c r="I33" s="888">
        <f t="shared" si="11"/>
        <v>0</v>
      </c>
      <c r="J33" s="903">
        <v>0</v>
      </c>
      <c r="K33" s="888">
        <f t="shared" si="12"/>
        <v>0</v>
      </c>
      <c r="L33" s="889">
        <f t="shared" si="13"/>
        <v>0</v>
      </c>
      <c r="N33" s="566">
        <f>SUMIF('10. Inputs &amp; Calcs'!$D$668:$D$673,$E$10,'10. Inputs &amp; Calcs'!F$668:F$673)</f>
        <v>0</v>
      </c>
      <c r="O33" s="566">
        <f>SUMIF('10. Inputs &amp; Calcs'!$D$668:$D$673,$E$10,'10. Inputs &amp; Calcs'!G$668:G$673)</f>
        <v>0</v>
      </c>
      <c r="P33" s="566">
        <f>SUMIF('10. Inputs &amp; Calcs'!$D$668:$D$673,$E$10,'10. Inputs &amp; Calcs'!H$668:H$673)</f>
        <v>0</v>
      </c>
      <c r="Q33" s="533">
        <f>SUMIF('10. Inputs &amp; Calcs'!$D$668:$D$673,$E$10,'10. Inputs &amp; Calcs'!I$668:I$673)</f>
        <v>0</v>
      </c>
      <c r="R33" s="533">
        <f>SUMIF('10. Inputs &amp; Calcs'!$D$668:$D$673,$E$10,'10. Inputs &amp; Calcs'!J$668:J$673)</f>
        <v>0</v>
      </c>
      <c r="S33" s="533">
        <f>SUMIF('10. Inputs &amp; Calcs'!$D$668:$D$673,$E$10,'10. Inputs &amp; Calcs'!K$668:K$673)</f>
        <v>0</v>
      </c>
      <c r="T33" s="533">
        <f>SUMIF('10. Inputs &amp; Calcs'!$D$668:$D$673,$E$10,'10. Inputs &amp; Calcs'!L$668:L$673)</f>
        <v>0</v>
      </c>
      <c r="U33" s="533">
        <f>SUMIF('10. Inputs &amp; Calcs'!$D$668:$D$673,$E$10,'10. Inputs &amp; Calcs'!M$668:M$673)</f>
        <v>0</v>
      </c>
      <c r="V33" s="533">
        <f>SUMIF('10. Inputs &amp; Calcs'!$D$668:$D$673,$E$10,'10. Inputs &amp; Calcs'!N$668:N$673)</f>
        <v>0</v>
      </c>
      <c r="W33" s="533">
        <f>SUMIF('10. Inputs &amp; Calcs'!$D$668:$D$673,$E$10,'10. Inputs &amp; Calcs'!O$668:O$673)</f>
        <v>0</v>
      </c>
      <c r="X33" s="533">
        <f>SUMIF('10. Inputs &amp; Calcs'!$D$668:$D$673,$E$10,'10. Inputs &amp; Calcs'!P$668:P$673)</f>
        <v>0</v>
      </c>
      <c r="Y33" s="533">
        <f>SUMIF('10. Inputs &amp; Calcs'!$D$668:$D$673,$E$10,'10. Inputs &amp; Calcs'!Q$668:Q$673)</f>
        <v>0</v>
      </c>
      <c r="Z33" s="533">
        <f>SUMIF('10. Inputs &amp; Calcs'!$D$668:$D$673,$E$10,'10. Inputs &amp; Calcs'!R$668:R$673)</f>
        <v>0</v>
      </c>
      <c r="AA33" s="533">
        <f>SUMIF('10. Inputs &amp; Calcs'!$D$668:$D$673,$E$10,'10. Inputs &amp; Calcs'!S$668:S$673)</f>
        <v>0</v>
      </c>
      <c r="AB33" s="533">
        <f>SUMIF('10. Inputs &amp; Calcs'!$D$668:$D$673,$E$10,'10. Inputs &amp; Calcs'!T$668:T$673)</f>
        <v>0</v>
      </c>
      <c r="AC33" s="533">
        <f>SUMIF('10. Inputs &amp; Calcs'!$D$668:$D$673,$E$10,'10. Inputs &amp; Calcs'!U$668:U$673)</f>
        <v>0</v>
      </c>
      <c r="AD33" s="533">
        <f>SUMIF('10. Inputs &amp; Calcs'!$D$668:$D$673,$E$10,'10. Inputs &amp; Calcs'!V$668:V$673)</f>
        <v>0</v>
      </c>
      <c r="AE33" s="533">
        <f>SUMIF('10. Inputs &amp; Calcs'!$D$668:$D$673,$E$10,'10. Inputs &amp; Calcs'!W$668:W$673)</f>
        <v>0</v>
      </c>
      <c r="AF33" s="533">
        <f>SUMIF('10. Inputs &amp; Calcs'!$D$668:$D$673,$E$10,'10. Inputs &amp; Calcs'!X$668:X$673)</f>
        <v>0</v>
      </c>
      <c r="AG33" s="533">
        <f>SUMIF('10. Inputs &amp; Calcs'!$D$668:$D$673,$E$10,'10. Inputs &amp; Calcs'!Y$668:Y$673)</f>
        <v>0</v>
      </c>
      <c r="AH33" s="533">
        <f>SUMIF('10. Inputs &amp; Calcs'!$D$668:$D$673,$E$10,'10. Inputs &amp; Calcs'!Z$668:Z$673)</f>
        <v>0</v>
      </c>
      <c r="AI33" s="533">
        <f>SUMIF('10. Inputs &amp; Calcs'!$D$668:$D$673,$E$10,'10. Inputs &amp; Calcs'!AA$668:AA$673)</f>
        <v>0</v>
      </c>
      <c r="AJ33" s="533">
        <f>SUMIF('10. Inputs &amp; Calcs'!$D$668:$D$673,$E$10,'10. Inputs &amp; Calcs'!AB$668:AB$673)</f>
        <v>0</v>
      </c>
      <c r="AK33" s="533">
        <f>SUMIF('10. Inputs &amp; Calcs'!$D$668:$D$673,$E$10,'10. Inputs &amp; Calcs'!AC$668:AC$673)</f>
        <v>0</v>
      </c>
      <c r="AL33" s="533">
        <f t="shared" si="14"/>
        <v>0</v>
      </c>
    </row>
    <row r="34" spans="2:38" x14ac:dyDescent="0.45">
      <c r="B34" t="s">
        <v>59</v>
      </c>
      <c r="D34" t="str">
        <f>'11. Table - Expenditure Review'!E180</f>
        <v>Property Payments</v>
      </c>
      <c r="F34" s="889">
        <f t="shared" si="9"/>
        <v>0</v>
      </c>
      <c r="G34" s="889">
        <f t="shared" si="10"/>
        <v>0</v>
      </c>
      <c r="I34" s="888">
        <f t="shared" si="11"/>
        <v>0</v>
      </c>
      <c r="J34" s="903">
        <v>0</v>
      </c>
      <c r="K34" s="888">
        <f t="shared" si="12"/>
        <v>0</v>
      </c>
      <c r="L34" s="889">
        <f t="shared" si="13"/>
        <v>0</v>
      </c>
      <c r="N34" s="566">
        <f>SUMIF('10. Inputs &amp; Calcs'!$D$677:$D$682,$E$10,'10. Inputs &amp; Calcs'!F$677:F$682)</f>
        <v>0</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4"/>
        <v>0</v>
      </c>
    </row>
    <row r="35" spans="2:38" x14ac:dyDescent="0.45">
      <c r="B35" t="s">
        <v>1077</v>
      </c>
      <c r="D35" t="str">
        <f>'11. Table - Expenditure Review'!E181</f>
        <v>Administering Assets</v>
      </c>
      <c r="F35" s="889">
        <f t="shared" si="9"/>
        <v>0</v>
      </c>
      <c r="G35" s="889">
        <f t="shared" si="10"/>
        <v>0</v>
      </c>
      <c r="I35" s="888">
        <f t="shared" si="11"/>
        <v>0</v>
      </c>
      <c r="J35" s="903">
        <v>0</v>
      </c>
      <c r="K35" s="888">
        <f t="shared" si="12"/>
        <v>0</v>
      </c>
      <c r="L35" s="889">
        <f t="shared" si="13"/>
        <v>0</v>
      </c>
      <c r="N35" s="566">
        <f>SUMIF('10. Inputs &amp; Calcs'!$D$686:$D$691,$E$10,'10. Inputs &amp; Calcs'!F$686:F$691)</f>
        <v>0</v>
      </c>
      <c r="O35" s="566">
        <f>SUMIF('10. Inputs &amp; Calcs'!$D$686:$D$691,$E$10,'10. Inputs &amp; Calcs'!G$686:G$691)</f>
        <v>0</v>
      </c>
      <c r="P35" s="566">
        <f>SUMIF('10. Inputs &amp; Calcs'!$D$686:$D$691,$E$10,'10. Inputs &amp; Calcs'!H$686:H$691)</f>
        <v>0</v>
      </c>
      <c r="Q35" s="533">
        <f>SUMIF('10. Inputs &amp; Calcs'!$D$686:$D$691,$E$10,'10. Inputs &amp; Calcs'!I$686:I$691)</f>
        <v>0</v>
      </c>
      <c r="R35" s="533">
        <f>SUMIF('10. Inputs &amp; Calcs'!$D$686:$D$691,$E$10,'10. Inputs &amp; Calcs'!J$686:J$691)</f>
        <v>0</v>
      </c>
      <c r="S35" s="533">
        <f>SUMIF('10. Inputs &amp; Calcs'!$D$686:$D$691,$E$10,'10. Inputs &amp; Calcs'!K$686:K$691)</f>
        <v>0</v>
      </c>
      <c r="T35" s="533">
        <f>SUMIF('10. Inputs &amp; Calcs'!$D$686:$D$691,$E$10,'10. Inputs &amp; Calcs'!L$686:L$691)</f>
        <v>0</v>
      </c>
      <c r="U35" s="533">
        <f>SUMIF('10. Inputs &amp; Calcs'!$D$686:$D$691,$E$10,'10. Inputs &amp; Calcs'!M$686:M$691)</f>
        <v>0</v>
      </c>
      <c r="V35" s="533">
        <f>SUMIF('10. Inputs &amp; Calcs'!$D$686:$D$691,$E$10,'10. Inputs &amp; Calcs'!N$686:N$691)</f>
        <v>0</v>
      </c>
      <c r="W35" s="533">
        <f>SUMIF('10. Inputs &amp; Calcs'!$D$686:$D$691,$E$10,'10. Inputs &amp; Calcs'!O$686:O$691)</f>
        <v>0</v>
      </c>
      <c r="X35" s="533">
        <f>SUMIF('10. Inputs &amp; Calcs'!$D$686:$D$691,$E$10,'10. Inputs &amp; Calcs'!P$686:P$691)</f>
        <v>0</v>
      </c>
      <c r="Y35" s="533">
        <f>SUMIF('10. Inputs &amp; Calcs'!$D$686:$D$691,$E$10,'10. Inputs &amp; Calcs'!Q$686:Q$691)</f>
        <v>0</v>
      </c>
      <c r="Z35" s="533">
        <f>SUMIF('10. Inputs &amp; Calcs'!$D$686:$D$691,$E$10,'10. Inputs &amp; Calcs'!R$686:R$691)</f>
        <v>0</v>
      </c>
      <c r="AA35" s="533">
        <f>SUMIF('10. Inputs &amp; Calcs'!$D$686:$D$691,$E$10,'10. Inputs &amp; Calcs'!S$686:S$691)</f>
        <v>0</v>
      </c>
      <c r="AB35" s="533">
        <f>SUMIF('10. Inputs &amp; Calcs'!$D$686:$D$691,$E$10,'10. Inputs &amp; Calcs'!T$686:T$691)</f>
        <v>0</v>
      </c>
      <c r="AC35" s="533">
        <f>SUMIF('10. Inputs &amp; Calcs'!$D$686:$D$691,$E$10,'10. Inputs &amp; Calcs'!U$686:U$691)</f>
        <v>0</v>
      </c>
      <c r="AD35" s="533">
        <f>SUMIF('10. Inputs &amp; Calcs'!$D$686:$D$691,$E$10,'10. Inputs &amp; Calcs'!V$686:V$691)</f>
        <v>0</v>
      </c>
      <c r="AE35" s="533">
        <f>SUMIF('10. Inputs &amp; Calcs'!$D$686:$D$691,$E$10,'10. Inputs &amp; Calcs'!W$686:W$691)</f>
        <v>0</v>
      </c>
      <c r="AF35" s="533">
        <f>SUMIF('10. Inputs &amp; Calcs'!$D$686:$D$691,$E$10,'10. Inputs &amp; Calcs'!X$686:X$691)</f>
        <v>0</v>
      </c>
      <c r="AG35" s="533">
        <f>SUMIF('10. Inputs &amp; Calcs'!$D$686:$D$691,$E$10,'10. Inputs &amp; Calcs'!Y$686:Y$691)</f>
        <v>0</v>
      </c>
      <c r="AH35" s="533">
        <f>SUMIF('10. Inputs &amp; Calcs'!$D$686:$D$691,$E$10,'10. Inputs &amp; Calcs'!Z$686:Z$691)</f>
        <v>0</v>
      </c>
      <c r="AI35" s="533">
        <f>SUMIF('10. Inputs &amp; Calcs'!$D$686:$D$691,$E$10,'10. Inputs &amp; Calcs'!AA$686:AA$691)</f>
        <v>0</v>
      </c>
      <c r="AJ35" s="533">
        <f>SUMIF('10. Inputs &amp; Calcs'!$D$686:$D$691,$E$10,'10. Inputs &amp; Calcs'!AB$686:AB$691)</f>
        <v>0</v>
      </c>
      <c r="AK35" s="533">
        <f>SUMIF('10. Inputs &amp; Calcs'!$D$686:$D$691,$E$10,'10. Inputs &amp; Calcs'!AC$686:AC$691)</f>
        <v>0</v>
      </c>
      <c r="AL35" s="533">
        <f t="shared" si="14"/>
        <v>0</v>
      </c>
    </row>
    <row r="36" spans="2:38" x14ac:dyDescent="0.45">
      <c r="B36" t="s">
        <v>1075</v>
      </c>
      <c r="D36" t="str">
        <f>'10. Inputs &amp; Calcs'!D507</f>
        <v>Total Disposal Costs</v>
      </c>
      <c r="F36" s="889">
        <f t="shared" si="9"/>
        <v>0</v>
      </c>
      <c r="G36" s="889">
        <f t="shared" si="10"/>
        <v>3.1679299902178958E-2</v>
      </c>
      <c r="I36" s="888">
        <f t="shared" si="11"/>
        <v>643032.67914317991</v>
      </c>
      <c r="J36" s="903">
        <v>643032.67914317991</v>
      </c>
      <c r="K36" s="888">
        <f t="shared" si="12"/>
        <v>0</v>
      </c>
      <c r="L36" s="889">
        <f t="shared" si="13"/>
        <v>0</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14000</v>
      </c>
      <c r="R36" s="533">
        <f>SUMIF('10. Inputs &amp; Calcs'!$D$508:$D$513,$E$10,'10. Inputs &amp; Calcs'!J$508:J$513)</f>
        <v>14770</v>
      </c>
      <c r="S36" s="533">
        <f>SUMIF('10. Inputs &amp; Calcs'!$D$508:$D$513,$E$10,'10. Inputs &amp; Calcs'!K$508:K$513)</f>
        <v>15582.35</v>
      </c>
      <c r="T36" s="533">
        <f>SUMIF('10. Inputs &amp; Calcs'!$D$508:$D$513,$E$10,'10. Inputs &amp; Calcs'!L$508:L$513)</f>
        <v>16439.379249999998</v>
      </c>
      <c r="U36" s="533">
        <f>SUMIF('10. Inputs &amp; Calcs'!$D$508:$D$513,$E$10,'10. Inputs &amp; Calcs'!M$508:M$513)</f>
        <v>17343.545108750001</v>
      </c>
      <c r="V36" s="533">
        <f>SUMIF('10. Inputs &amp; Calcs'!$D$508:$D$513,$E$10,'10. Inputs &amp; Calcs'!N$508:N$513)</f>
        <v>18297.440089731248</v>
      </c>
      <c r="W36" s="533">
        <f>SUMIF('10. Inputs &amp; Calcs'!$D$508:$D$513,$E$10,'10. Inputs &amp; Calcs'!O$508:O$513)</f>
        <v>19303.799294666467</v>
      </c>
      <c r="X36" s="533">
        <f>SUMIF('10. Inputs &amp; Calcs'!$D$508:$D$513,$E$10,'10. Inputs &amp; Calcs'!P$508:P$513)</f>
        <v>20365.508255873123</v>
      </c>
      <c r="Y36" s="533">
        <f>SUMIF('10. Inputs &amp; Calcs'!$D$508:$D$513,$E$10,'10. Inputs &amp; Calcs'!Q$508:Q$513)</f>
        <v>21485.611209946139</v>
      </c>
      <c r="Z36" s="533">
        <f>SUMIF('10. Inputs &amp; Calcs'!$D$508:$D$513,$E$10,'10. Inputs &amp; Calcs'!R$508:R$513)</f>
        <v>22667.319826493178</v>
      </c>
      <c r="AA36" s="533">
        <f>SUMIF('10. Inputs &amp; Calcs'!$D$508:$D$513,$E$10,'10. Inputs &amp; Calcs'!S$508:S$513)</f>
        <v>23914.022416950298</v>
      </c>
      <c r="AB36" s="533">
        <f>SUMIF('10. Inputs &amp; Calcs'!$D$508:$D$513,$E$10,'10. Inputs &amp; Calcs'!T$508:T$513)</f>
        <v>25229.293649882566</v>
      </c>
      <c r="AC36" s="533">
        <f>SUMIF('10. Inputs &amp; Calcs'!$D$508:$D$513,$E$10,'10. Inputs &amp; Calcs'!U$508:U$513)</f>
        <v>26616.904800626107</v>
      </c>
      <c r="AD36" s="533">
        <f>SUMIF('10. Inputs &amp; Calcs'!$D$508:$D$513,$E$10,'10. Inputs &amp; Calcs'!V$508:V$513)</f>
        <v>28080.834564660538</v>
      </c>
      <c r="AE36" s="533">
        <f>SUMIF('10. Inputs &amp; Calcs'!$D$508:$D$513,$E$10,'10. Inputs &amp; Calcs'!W$508:W$513)</f>
        <v>29625.280465716867</v>
      </c>
      <c r="AF36" s="533">
        <f>SUMIF('10. Inputs &amp; Calcs'!$D$508:$D$513,$E$10,'10. Inputs &amp; Calcs'!X$508:X$513)</f>
        <v>31254.670891331298</v>
      </c>
      <c r="AG36" s="533">
        <f>SUMIF('10. Inputs &amp; Calcs'!$D$508:$D$513,$E$10,'10. Inputs &amp; Calcs'!Y$508:Y$513)</f>
        <v>32973.677790354515</v>
      </c>
      <c r="AH36" s="533">
        <f>SUMIF('10. Inputs &amp; Calcs'!$D$508:$D$513,$E$10,'10. Inputs &amp; Calcs'!Z$508:Z$513)</f>
        <v>34787.230068824014</v>
      </c>
      <c r="AI36" s="533">
        <f>SUMIF('10. Inputs &amp; Calcs'!$D$508:$D$513,$E$10,'10. Inputs &amp; Calcs'!AA$508:AA$513)</f>
        <v>36700.527722609331</v>
      </c>
      <c r="AJ36" s="533">
        <f>SUMIF('10. Inputs &amp; Calcs'!$D$508:$D$513,$E$10,'10. Inputs &amp; Calcs'!AB$508:AB$513)</f>
        <v>193595.28373676422</v>
      </c>
      <c r="AK36" s="533">
        <f>SUMIF('10. Inputs &amp; Calcs'!$D$508:$D$513,$E$10,'10. Inputs &amp; Calcs'!AC$508:AC$513)</f>
        <v>0</v>
      </c>
      <c r="AL36" s="533">
        <f t="shared" si="14"/>
        <v>643032.67914317991</v>
      </c>
    </row>
    <row r="37" spans="2:38" x14ac:dyDescent="0.45">
      <c r="B37" t="s">
        <v>59</v>
      </c>
      <c r="C37" t="str">
        <f>'10. Inputs &amp; Calcs'!E15</f>
        <v>Sc1</v>
      </c>
      <c r="D37" t="str">
        <f>'10. Inputs &amp; Calcs'!D703</f>
        <v>Management Costs Paid to Outsourced Rental Property Manager p.a.</v>
      </c>
      <c r="F37" s="889">
        <f t="shared" si="9"/>
        <v>0</v>
      </c>
      <c r="G37" s="889">
        <f t="shared" si="10"/>
        <v>0</v>
      </c>
      <c r="I37" s="888">
        <f t="shared" si="11"/>
        <v>0</v>
      </c>
      <c r="J37" s="903">
        <v>0</v>
      </c>
      <c r="K37" s="888">
        <f t="shared" si="12"/>
        <v>0</v>
      </c>
      <c r="L37" s="889">
        <f t="shared" si="13"/>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4"/>
        <v>0</v>
      </c>
    </row>
    <row r="38" spans="2:38" outlineLevel="1" x14ac:dyDescent="0.45">
      <c r="D38">
        <f>'11. Table - Expenditure Review'!E184</f>
        <v>0</v>
      </c>
      <c r="F38" s="889">
        <f t="shared" si="9"/>
        <v>0</v>
      </c>
      <c r="G38" s="889">
        <f t="shared" si="10"/>
        <v>0</v>
      </c>
      <c r="I38" s="888">
        <f t="shared" si="11"/>
        <v>0</v>
      </c>
      <c r="J38" s="903">
        <v>0</v>
      </c>
      <c r="K38" s="888">
        <f t="shared" si="12"/>
        <v>0</v>
      </c>
      <c r="L38" s="889">
        <f t="shared" si="13"/>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4"/>
        <v>0</v>
      </c>
    </row>
    <row r="39" spans="2:38" outlineLevel="1" x14ac:dyDescent="0.45">
      <c r="D39">
        <f>'11. Table - Expenditure Review'!E185</f>
        <v>0</v>
      </c>
      <c r="F39" s="889">
        <f t="shared" si="9"/>
        <v>0</v>
      </c>
      <c r="G39" s="889">
        <f t="shared" si="10"/>
        <v>0</v>
      </c>
      <c r="I39" s="888">
        <f t="shared" si="11"/>
        <v>0</v>
      </c>
      <c r="J39" s="903">
        <v>0</v>
      </c>
      <c r="K39" s="888">
        <f t="shared" si="12"/>
        <v>0</v>
      </c>
      <c r="L39" s="889">
        <f t="shared" si="13"/>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4"/>
        <v>0</v>
      </c>
    </row>
    <row r="40" spans="2:38" outlineLevel="1" x14ac:dyDescent="0.45">
      <c r="D40">
        <f>'11. Table - Expenditure Review'!E186</f>
        <v>0</v>
      </c>
      <c r="F40" s="889">
        <f t="shared" si="9"/>
        <v>0</v>
      </c>
      <c r="G40" s="889">
        <f t="shared" si="10"/>
        <v>0</v>
      </c>
      <c r="I40" s="888">
        <f t="shared" si="11"/>
        <v>0</v>
      </c>
      <c r="J40" s="903">
        <v>0</v>
      </c>
      <c r="K40" s="888">
        <f t="shared" si="12"/>
        <v>0</v>
      </c>
      <c r="L40" s="889">
        <f t="shared" si="13"/>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4"/>
        <v>0</v>
      </c>
    </row>
    <row r="41" spans="2:38" x14ac:dyDescent="0.45">
      <c r="B41" t="s">
        <v>59</v>
      </c>
      <c r="D41" t="str">
        <f>'11. Table - Expenditure Review'!E187</f>
        <v>Unallocated Expenses</v>
      </c>
      <c r="F41" s="889">
        <f t="shared" si="9"/>
        <v>0.62513876118579248</v>
      </c>
      <c r="G41" s="889">
        <f t="shared" si="10"/>
        <v>0.60533480288971109</v>
      </c>
      <c r="I41" s="888">
        <f t="shared" si="11"/>
        <v>12287205.250202084</v>
      </c>
      <c r="J41" s="903">
        <v>12287205.250202084</v>
      </c>
      <c r="K41" s="888">
        <f t="shared" si="12"/>
        <v>0</v>
      </c>
      <c r="L41" s="889">
        <f t="shared" si="13"/>
        <v>0</v>
      </c>
      <c r="N41" s="566">
        <f>SUMIF('10. Inputs &amp; Calcs'!$D$713:$D$718,$E$10,'10. Inputs &amp; Calcs'!F$713:F$718)</f>
        <v>701000</v>
      </c>
      <c r="O41" s="566">
        <f>SUMIF('10. Inputs &amp; Calcs'!$D$713:$D$718,$E$10,'10. Inputs &amp; Calcs'!G$713:G$718)</f>
        <v>701000</v>
      </c>
      <c r="P41" s="566">
        <f>SUMIF('10. Inputs &amp; Calcs'!$D$713:$D$718,$E$10,'10. Inputs &amp; Calcs'!H$713:H$718)</f>
        <v>701000</v>
      </c>
      <c r="Q41" s="533">
        <f>SUMIF('10. Inputs &amp; Calcs'!$D$713:$D$718,$E$10,'10. Inputs &amp; Calcs'!I$713:I$718)</f>
        <v>708740.20833333326</v>
      </c>
      <c r="R41" s="533">
        <f>SUMIF('10. Inputs &amp; Calcs'!$D$713:$D$718,$E$10,'10. Inputs &amp; Calcs'!J$713:J$718)</f>
        <v>715211.31458333321</v>
      </c>
      <c r="S41" s="533">
        <f>SUMIF('10. Inputs &amp; Calcs'!$D$713:$D$718,$E$10,'10. Inputs &amp; Calcs'!K$713:K$718)</f>
        <v>720250.30339062482</v>
      </c>
      <c r="T41" s="533">
        <f>SUMIF('10. Inputs &amp; Calcs'!$D$713:$D$718,$E$10,'10. Inputs &amp; Calcs'!L$713:L$718)</f>
        <v>723680.06674010388</v>
      </c>
      <c r="U41" s="533">
        <f>SUMIF('10. Inputs &amp; Calcs'!$D$713:$D$718,$E$10,'10. Inputs &amp; Calcs'!M$713:M$718)</f>
        <v>725308.34689026896</v>
      </c>
      <c r="V41" s="533">
        <f>SUMIF('10. Inputs &amp; Calcs'!$D$713:$D$718,$E$10,'10. Inputs &amp; Calcs'!N$713:N$718)</f>
        <v>724926.60565506341</v>
      </c>
      <c r="W41" s="533">
        <f>SUMIF('10. Inputs &amp; Calcs'!$D$713:$D$718,$E$10,'10. Inputs &amp; Calcs'!O$713:O$718)</f>
        <v>722308.8151346423</v>
      </c>
      <c r="X41" s="533">
        <f>SUMIF('10. Inputs &amp; Calcs'!$D$713:$D$718,$E$10,'10. Inputs &amp; Calcs'!P$713:P$718)</f>
        <v>717210.16467486834</v>
      </c>
      <c r="Y41" s="533">
        <f>SUMIF('10. Inputs &amp; Calcs'!$D$713:$D$718,$E$10,'10. Inputs &amp; Calcs'!Q$713:Q$718)</f>
        <v>709365.67849873693</v>
      </c>
      <c r="Z41" s="533">
        <f>SUMIF('10. Inputs &amp; Calcs'!$D$713:$D$718,$E$10,'10. Inputs &amp; Calcs'!R$713:R$718)</f>
        <v>698488.73809508968</v>
      </c>
      <c r="AA41" s="533">
        <f>SUMIF('10. Inputs &amp; Calcs'!$D$713:$D$718,$E$10,'10. Inputs &amp; Calcs'!S$713:S$718)</f>
        <v>684269.50306958251</v>
      </c>
      <c r="AB41" s="533">
        <f>SUMIF('10. Inputs &amp; Calcs'!$D$713:$D$718,$E$10,'10. Inputs &amp; Calcs'!T$713:T$718)</f>
        <v>666373.22375853185</v>
      </c>
      <c r="AC41" s="533">
        <f>SUMIF('10. Inputs &amp; Calcs'!$D$713:$D$718,$E$10,'10. Inputs &amp; Calcs'!U$713:U$718)</f>
        <v>644438.43847648008</v>
      </c>
      <c r="AD41" s="533">
        <f>SUMIF('10. Inputs &amp; Calcs'!$D$713:$D$718,$E$10,'10. Inputs &amp; Calcs'!V$713:V$718)</f>
        <v>618075.04781153321</v>
      </c>
      <c r="AE41" s="533">
        <f>SUMIF('10. Inputs &amp; Calcs'!$D$713:$D$718,$E$10,'10. Inputs &amp; Calcs'!W$713:W$718)</f>
        <v>586862.25789705082</v>
      </c>
      <c r="AF41" s="533">
        <f>SUMIF('10. Inputs &amp; Calcs'!$D$713:$D$718,$E$10,'10. Inputs &amp; Calcs'!X$713:X$718)</f>
        <v>550346.38407234545</v>
      </c>
      <c r="AG41" s="533">
        <f>SUMIF('10. Inputs &amp; Calcs'!$D$713:$D$718,$E$10,'10. Inputs &amp; Calcs'!Y$713:Y$718)</f>
        <v>508038.50579678384</v>
      </c>
      <c r="AH41" s="533">
        <f>SUMIF('10. Inputs &amp; Calcs'!$D$713:$D$718,$E$10,'10. Inputs &amp; Calcs'!Z$713:Z$718)</f>
        <v>459411.96309909166</v>
      </c>
      <c r="AI41" s="533">
        <f>SUMIF('10. Inputs &amp; Calcs'!$D$713:$D$718,$E$10,'10. Inputs &amp; Calcs'!AA$713:AA$718)</f>
        <v>403899.68422461807</v>
      </c>
      <c r="AJ41" s="533">
        <f>SUMIF('10. Inputs &amp; Calcs'!$D$713:$D$718,$E$10,'10. Inputs &amp; Calcs'!AB$713:AB$718)</f>
        <v>0</v>
      </c>
      <c r="AK41" s="533">
        <f>SUMIF('10. Inputs &amp; Calcs'!$D$713:$D$718,$E$10,'10. Inputs &amp; Calcs'!AC$713:AC$718)</f>
        <v>0</v>
      </c>
      <c r="AL41" s="533">
        <f t="shared" si="14"/>
        <v>12287205.250202084</v>
      </c>
    </row>
    <row r="42" spans="2:38" x14ac:dyDescent="0.45">
      <c r="D42" t="str">
        <f>'11. Table - Expenditure Review'!E188</f>
        <v>Overheads</v>
      </c>
      <c r="F42" s="889">
        <f t="shared" si="9"/>
        <v>0</v>
      </c>
      <c r="G42" s="889">
        <f t="shared" si="10"/>
        <v>0</v>
      </c>
      <c r="I42" s="888">
        <f t="shared" si="11"/>
        <v>0</v>
      </c>
      <c r="J42" s="903">
        <v>0</v>
      </c>
      <c r="K42" s="888">
        <f t="shared" si="12"/>
        <v>0</v>
      </c>
      <c r="L42" s="889">
        <f t="shared" si="13"/>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4"/>
        <v>0</v>
      </c>
    </row>
    <row r="43" spans="2:38" x14ac:dyDescent="0.45">
      <c r="B43" t="s">
        <v>1077</v>
      </c>
      <c r="D43" t="str">
        <f>'11. Table - Expenditure Review'!E189</f>
        <v>Staff</v>
      </c>
      <c r="F43" s="889">
        <f t="shared" si="9"/>
        <v>0.37486123881420752</v>
      </c>
      <c r="G43" s="889">
        <f t="shared" si="10"/>
        <v>0.36298589720811003</v>
      </c>
      <c r="I43" s="888">
        <f t="shared" si="11"/>
        <v>7367959.3518058602</v>
      </c>
      <c r="J43" s="903">
        <v>7367959.3518058602</v>
      </c>
      <c r="K43" s="888">
        <f t="shared" si="12"/>
        <v>0</v>
      </c>
      <c r="L43" s="889">
        <f t="shared" si="13"/>
        <v>0</v>
      </c>
      <c r="N43" s="566">
        <f>SUMIF('10. Inputs &amp; Calcs'!$D$733:$D$738,$E$10,'10. Inputs &amp; Calcs'!F$733:F$738)</f>
        <v>352659.73333333334</v>
      </c>
      <c r="O43" s="566">
        <f>SUMIF('10. Inputs &amp; Calcs'!$D$733:$D$738,$E$10,'10. Inputs &amp; Calcs'!G$733:G$738)</f>
        <v>386690.05333333334</v>
      </c>
      <c r="P43" s="566">
        <f>SUMIF('10. Inputs &amp; Calcs'!$D$733:$D$738,$E$10,'10. Inputs &amp; Calcs'!H$733:H$738)</f>
        <v>420351.04</v>
      </c>
      <c r="Q43" s="533">
        <f>SUMIF('10. Inputs &amp; Calcs'!$D$733:$D$738,$E$10,'10. Inputs &amp; Calcs'!I$733:I$738)</f>
        <v>424992.41606666666</v>
      </c>
      <c r="R43" s="533">
        <f>SUMIF('10. Inputs &amp; Calcs'!$D$733:$D$738,$E$10,'10. Inputs &amp; Calcs'!J$733:J$738)</f>
        <v>428872.78160466661</v>
      </c>
      <c r="S43" s="533">
        <f>SUMIF('10. Inputs &amp; Calcs'!$D$733:$D$738,$E$10,'10. Inputs &amp; Calcs'!K$733:K$738)</f>
        <v>431894.38529324491</v>
      </c>
      <c r="T43" s="533">
        <f>SUMIF('10. Inputs &amp; Calcs'!$D$733:$D$738,$E$10,'10. Inputs &amp; Calcs'!L$733:L$738)</f>
        <v>433951.02522321278</v>
      </c>
      <c r="U43" s="533">
        <f>SUMIF('10. Inputs &amp; Calcs'!$D$733:$D$738,$E$10,'10. Inputs &amp; Calcs'!M$733:M$738)</f>
        <v>434927.41502996499</v>
      </c>
      <c r="V43" s="533">
        <f>SUMIF('10. Inputs &amp; Calcs'!$D$733:$D$738,$E$10,'10. Inputs &amp; Calcs'!N$733:N$738)</f>
        <v>434698.50586415973</v>
      </c>
      <c r="W43" s="533">
        <f>SUMIF('10. Inputs &amp; Calcs'!$D$733:$D$738,$E$10,'10. Inputs &amp; Calcs'!O$733:O$738)</f>
        <v>433128.76125965029</v>
      </c>
      <c r="X43" s="533">
        <f>SUMIF('10. Inputs &amp; Calcs'!$D$733:$D$738,$E$10,'10. Inputs &amp; Calcs'!P$733:P$738)</f>
        <v>430071.38176840567</v>
      </c>
      <c r="Y43" s="533">
        <f>SUMIF('10. Inputs &amp; Calcs'!$D$733:$D$738,$E$10,'10. Inputs &amp; Calcs'!Q$733:Q$738)</f>
        <v>425367.4760303137</v>
      </c>
      <c r="Z43" s="533">
        <f>SUMIF('10. Inputs &amp; Calcs'!$D$733:$D$738,$E$10,'10. Inputs &amp; Calcs'!R$733:R$738)</f>
        <v>418845.17473118217</v>
      </c>
      <c r="AA43" s="533">
        <f>SUMIF('10. Inputs &amp; Calcs'!$D$733:$D$738,$E$10,'10. Inputs &amp; Calcs'!S$733:S$738)</f>
        <v>410318.68367415445</v>
      </c>
      <c r="AB43" s="533">
        <f>SUMIF('10. Inputs &amp; Calcs'!$D$733:$D$738,$E$10,'10. Inputs &amp; Calcs'!T$733:T$738)</f>
        <v>399587.27194729197</v>
      </c>
      <c r="AC43" s="533">
        <f>SUMIF('10. Inputs &amp; Calcs'!$D$733:$D$738,$E$10,'10. Inputs &amp; Calcs'!U$733:U$738)</f>
        <v>386434.19091236021</v>
      </c>
      <c r="AD43" s="533">
        <f>SUMIF('10. Inputs &amp; Calcs'!$D$733:$D$738,$E$10,'10. Inputs &amp; Calcs'!V$733:V$738)</f>
        <v>370625.51946594549</v>
      </c>
      <c r="AE43" s="533">
        <f>SUMIF('10. Inputs &amp; Calcs'!$D$733:$D$738,$E$10,'10. Inputs &amp; Calcs'!W$733:W$738)</f>
        <v>351908.93073291524</v>
      </c>
      <c r="AF43" s="533">
        <f>SUMIF('10. Inputs &amp; Calcs'!$D$733:$D$738,$E$10,'10. Inputs &amp; Calcs'!X$733:X$738)</f>
        <v>330012.37504286721</v>
      </c>
      <c r="AG43" s="533">
        <f>SUMIF('10. Inputs &amp; Calcs'!$D$733:$D$738,$E$10,'10. Inputs &amp; Calcs'!Y$733:Y$738)</f>
        <v>304642.67371144675</v>
      </c>
      <c r="AH43" s="533">
        <f>SUMIF('10. Inputs &amp; Calcs'!$D$733:$D$738,$E$10,'10. Inputs &amp; Calcs'!Z$733:Z$738)</f>
        <v>275484.01779906539</v>
      </c>
      <c r="AI43" s="533">
        <f>SUMIF('10. Inputs &amp; Calcs'!$D$733:$D$738,$E$10,'10. Inputs &amp; Calcs'!AA$733:AA$738)</f>
        <v>242196.36564834497</v>
      </c>
      <c r="AJ43" s="533">
        <f>SUMIF('10. Inputs &amp; Calcs'!$D$733:$D$738,$E$10,'10. Inputs &amp; Calcs'!AB$733:AB$738)</f>
        <v>0</v>
      </c>
      <c r="AK43" s="533">
        <f>SUMIF('10. Inputs &amp; Calcs'!$D$733:$D$738,$E$10,'10. Inputs &amp; Calcs'!AC$733:AC$738)</f>
        <v>0</v>
      </c>
      <c r="AL43" s="533">
        <f t="shared" si="14"/>
        <v>7367959.3518058602</v>
      </c>
    </row>
    <row r="44" spans="2:38" x14ac:dyDescent="0.45">
      <c r="D44" t="str">
        <f>'11. Table - Expenditure Review'!E190</f>
        <v>Office</v>
      </c>
      <c r="F44" s="889">
        <f t="shared" si="9"/>
        <v>0</v>
      </c>
      <c r="G44" s="889">
        <f t="shared" si="10"/>
        <v>0</v>
      </c>
      <c r="I44" s="888">
        <f t="shared" si="11"/>
        <v>0</v>
      </c>
      <c r="J44" s="903">
        <v>0</v>
      </c>
      <c r="K44" s="888">
        <f t="shared" si="12"/>
        <v>0</v>
      </c>
      <c r="L44" s="889">
        <f t="shared" si="13"/>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4"/>
        <v>0</v>
      </c>
    </row>
    <row r="45" spans="2:38" x14ac:dyDescent="0.45">
      <c r="D45">
        <f>'11. Table - Expenditure Review'!E191</f>
        <v>0</v>
      </c>
      <c r="F45" s="889">
        <f t="shared" si="9"/>
        <v>0</v>
      </c>
      <c r="G45" s="889">
        <f t="shared" si="10"/>
        <v>0</v>
      </c>
      <c r="I45" s="888">
        <f t="shared" si="11"/>
        <v>0</v>
      </c>
      <c r="J45" s="903">
        <v>0</v>
      </c>
      <c r="K45" s="888">
        <f t="shared" si="12"/>
        <v>0</v>
      </c>
      <c r="L45" s="889">
        <f t="shared" si="13"/>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4"/>
        <v>0</v>
      </c>
    </row>
    <row r="46" spans="2:38" x14ac:dyDescent="0.45">
      <c r="D46" s="794" t="str">
        <f>D133</f>
        <v>Total Expenditure for Rental Operations</v>
      </c>
      <c r="F46" s="886">
        <f t="shared" si="9"/>
        <v>1</v>
      </c>
      <c r="G46" s="886">
        <f t="shared" si="10"/>
        <v>0.96832070009782112</v>
      </c>
      <c r="I46" s="754">
        <f t="shared" si="11"/>
        <v>19655164.602007944</v>
      </c>
      <c r="J46" s="900">
        <v>19655164.602007944</v>
      </c>
      <c r="K46" s="754">
        <f t="shared" si="12"/>
        <v>0</v>
      </c>
      <c r="L46" s="886">
        <f t="shared" si="13"/>
        <v>0</v>
      </c>
      <c r="N46" s="793">
        <f>SUMIF('10. Inputs &amp; Calcs'!$D$742:$D$747,$E$10,'10. Inputs &amp; Calcs'!F$742:F$747)</f>
        <v>1053659.7333333334</v>
      </c>
      <c r="O46" s="793">
        <f>SUMIF('10. Inputs &amp; Calcs'!$D$742:$D$747,$E$10,'10. Inputs &amp; Calcs'!G$742:G$747)</f>
        <v>1087690.0533333332</v>
      </c>
      <c r="P46" s="793">
        <f>SUMIF('10. Inputs &amp; Calcs'!$D$742:$D$747,$E$10,'10. Inputs &amp; Calcs'!H$742:H$747)</f>
        <v>1121351.04</v>
      </c>
      <c r="Q46" s="793">
        <f>SUMIF('10. Inputs &amp; Calcs'!$D$742:$D$747,$E$10,'10. Inputs &amp; Calcs'!I$742:I$747)</f>
        <v>1133732.6243999999</v>
      </c>
      <c r="R46" s="793">
        <f>SUMIF('10. Inputs &amp; Calcs'!$D$742:$D$747,$E$10,'10. Inputs &amp; Calcs'!J$742:J$747)</f>
        <v>1144084.0961879999</v>
      </c>
      <c r="S46" s="793">
        <f>SUMIF('10. Inputs &amp; Calcs'!$D$742:$D$747,$E$10,'10. Inputs &amp; Calcs'!K$742:K$747)</f>
        <v>1152144.6886838698</v>
      </c>
      <c r="T46" s="793">
        <f>SUMIF('10. Inputs &amp; Calcs'!$D$742:$D$747,$E$10,'10. Inputs &amp; Calcs'!L$742:L$747)</f>
        <v>1157631.0919633168</v>
      </c>
      <c r="U46" s="793">
        <f>SUMIF('10. Inputs &amp; Calcs'!$D$742:$D$747,$E$10,'10. Inputs &amp; Calcs'!M$742:M$747)</f>
        <v>1160235.761920234</v>
      </c>
      <c r="V46" s="793">
        <f>SUMIF('10. Inputs &amp; Calcs'!$D$742:$D$747,$E$10,'10. Inputs &amp; Calcs'!N$742:N$747)</f>
        <v>1159625.1115192231</v>
      </c>
      <c r="W46" s="793">
        <f>SUMIF('10. Inputs &amp; Calcs'!$D$742:$D$747,$E$10,'10. Inputs &amp; Calcs'!O$742:O$747)</f>
        <v>1155437.5763942925</v>
      </c>
      <c r="X46" s="793">
        <f>SUMIF('10. Inputs &amp; Calcs'!$D$742:$D$747,$E$10,'10. Inputs &amp; Calcs'!P$742:P$747)</f>
        <v>1147281.546443274</v>
      </c>
      <c r="Y46" s="793">
        <f>SUMIF('10. Inputs &amp; Calcs'!$D$742:$D$747,$E$10,'10. Inputs &amp; Calcs'!Q$742:Q$747)</f>
        <v>1134733.1545290507</v>
      </c>
      <c r="Z46" s="793">
        <f>SUMIF('10. Inputs &amp; Calcs'!$D$742:$D$747,$E$10,'10. Inputs &amp; Calcs'!R$742:R$747)</f>
        <v>1117333.9128262717</v>
      </c>
      <c r="AA46" s="793">
        <f>SUMIF('10. Inputs &amp; Calcs'!$D$742:$D$747,$E$10,'10. Inputs &amp; Calcs'!S$742:S$747)</f>
        <v>1094588.186743737</v>
      </c>
      <c r="AB46" s="793">
        <f>SUMIF('10. Inputs &amp; Calcs'!$D$742:$D$747,$E$10,'10. Inputs &amp; Calcs'!T$742:T$747)</f>
        <v>1065960.4957058239</v>
      </c>
      <c r="AC46" s="793">
        <f>SUMIF('10. Inputs &amp; Calcs'!$D$742:$D$747,$E$10,'10. Inputs &amp; Calcs'!U$742:U$747)</f>
        <v>1030872.6293888403</v>
      </c>
      <c r="AD46" s="793">
        <f>SUMIF('10. Inputs &amp; Calcs'!$D$742:$D$747,$E$10,'10. Inputs &amp; Calcs'!V$742:V$747)</f>
        <v>988700.56727747875</v>
      </c>
      <c r="AE46" s="793">
        <f>SUMIF('10. Inputs &amp; Calcs'!$D$742:$D$747,$E$10,'10. Inputs &amp; Calcs'!W$742:W$747)</f>
        <v>938771.188629966</v>
      </c>
      <c r="AF46" s="793">
        <f>SUMIF('10. Inputs &amp; Calcs'!$D$742:$D$747,$E$10,'10. Inputs &amp; Calcs'!X$742:X$747)</f>
        <v>880358.7591152126</v>
      </c>
      <c r="AG46" s="793">
        <f>SUMIF('10. Inputs &amp; Calcs'!$D$742:$D$747,$E$10,'10. Inputs &amp; Calcs'!Y$742:Y$747)</f>
        <v>812681.17950823065</v>
      </c>
      <c r="AH46" s="793">
        <f>SUMIF('10. Inputs &amp; Calcs'!$D$742:$D$747,$E$10,'10. Inputs &amp; Calcs'!Z$742:Z$747)</f>
        <v>734895.98089815699</v>
      </c>
      <c r="AI46" s="793">
        <f>SUMIF('10. Inputs &amp; Calcs'!$D$742:$D$747,$E$10,'10. Inputs &amp; Calcs'!AA$742:AA$747)</f>
        <v>646096.04987296299</v>
      </c>
      <c r="AJ46" s="793">
        <f>SUMIF('10. Inputs &amp; Calcs'!$D$742:$D$747,$E$10,'10. Inputs &amp; Calcs'!AB$742:AB$747)</f>
        <v>0</v>
      </c>
      <c r="AK46" s="793">
        <f>SUMIF('10. Inputs &amp; Calcs'!$D$742:$D$747,$E$10,'10. Inputs &amp; Calcs'!AC$742:AC$747)</f>
        <v>0</v>
      </c>
      <c r="AL46" s="793">
        <f t="shared" si="14"/>
        <v>19655164.602007944</v>
      </c>
    </row>
    <row r="47" spans="2:38" x14ac:dyDescent="0.45">
      <c r="D47" t="str">
        <f>'11. Table - Expenditure Review'!E193</f>
        <v>Total Expenditure</v>
      </c>
      <c r="F47" s="884">
        <f t="shared" si="9"/>
        <v>1</v>
      </c>
      <c r="G47" s="884">
        <f t="shared" si="10"/>
        <v>1</v>
      </c>
      <c r="I47" s="535">
        <f t="shared" si="11"/>
        <v>20298197.281151123</v>
      </c>
      <c r="J47" s="901">
        <v>20298197.281151123</v>
      </c>
      <c r="K47" s="535">
        <f t="shared" si="12"/>
        <v>0</v>
      </c>
      <c r="L47" s="884">
        <f t="shared" si="13"/>
        <v>0</v>
      </c>
      <c r="N47" s="567">
        <f>N46+N36</f>
        <v>1053659.7333333334</v>
      </c>
      <c r="O47" s="567">
        <f t="shared" ref="O47:AL47" si="15">O46+O36</f>
        <v>1087690.0533333332</v>
      </c>
      <c r="P47" s="567">
        <f t="shared" si="15"/>
        <v>1121351.04</v>
      </c>
      <c r="Q47" s="535">
        <f t="shared" si="15"/>
        <v>1147732.6243999999</v>
      </c>
      <c r="R47" s="535">
        <f>R46+R36</f>
        <v>1158854.0961879999</v>
      </c>
      <c r="S47" s="535">
        <f t="shared" si="15"/>
        <v>1167727.0386838699</v>
      </c>
      <c r="T47" s="535">
        <f t="shared" si="15"/>
        <v>1174070.4712133168</v>
      </c>
      <c r="U47" s="535">
        <f t="shared" si="15"/>
        <v>1177579.307028984</v>
      </c>
      <c r="V47" s="535">
        <f t="shared" si="15"/>
        <v>1177922.5516089543</v>
      </c>
      <c r="W47" s="535">
        <f t="shared" si="15"/>
        <v>1174741.3756889589</v>
      </c>
      <c r="X47" s="535">
        <f t="shared" si="15"/>
        <v>1167647.0546991471</v>
      </c>
      <c r="Y47" s="535">
        <f t="shared" si="15"/>
        <v>1156218.7657389969</v>
      </c>
      <c r="Z47" s="535">
        <f t="shared" si="15"/>
        <v>1140001.232652765</v>
      </c>
      <c r="AA47" s="535">
        <f t="shared" si="15"/>
        <v>1118502.2091606872</v>
      </c>
      <c r="AB47" s="535">
        <f t="shared" si="15"/>
        <v>1091189.7893557064</v>
      </c>
      <c r="AC47" s="535">
        <f t="shared" si="15"/>
        <v>1057489.5341894664</v>
      </c>
      <c r="AD47" s="535">
        <f t="shared" si="15"/>
        <v>1016781.4018421393</v>
      </c>
      <c r="AE47" s="535">
        <f t="shared" si="15"/>
        <v>968396.46909568284</v>
      </c>
      <c r="AF47" s="535">
        <f t="shared" si="15"/>
        <v>911613.43000654387</v>
      </c>
      <c r="AG47" s="535">
        <f t="shared" si="15"/>
        <v>845654.85729858512</v>
      </c>
      <c r="AH47" s="535">
        <f t="shared" si="15"/>
        <v>769683.21096698102</v>
      </c>
      <c r="AI47" s="535">
        <f t="shared" si="15"/>
        <v>682796.57759557234</v>
      </c>
      <c r="AJ47" s="535">
        <f t="shared" si="15"/>
        <v>193595.28373676422</v>
      </c>
      <c r="AK47" s="535">
        <f t="shared" si="15"/>
        <v>0</v>
      </c>
      <c r="AL47" s="535">
        <f t="shared" si="15"/>
        <v>20298197.281151123</v>
      </c>
    </row>
    <row r="48" spans="2:38" ht="14.65" thickBot="1" x14ac:dyDescent="0.5">
      <c r="D48" t="str">
        <f>'11. Table - Expenditure Review'!E194</f>
        <v>Net Surplus / (Deficit)</v>
      </c>
      <c r="I48" s="554">
        <f t="shared" ca="1" si="11"/>
        <v>-20043635.197672863</v>
      </c>
      <c r="J48" s="904">
        <v>-20043635.197672863</v>
      </c>
      <c r="K48" s="554">
        <f t="shared" ca="1" si="12"/>
        <v>0</v>
      </c>
      <c r="L48" s="887">
        <f t="shared" ca="1" si="13"/>
        <v>0</v>
      </c>
      <c r="N48" s="568">
        <f t="shared" ref="N48:AL48" si="16">N28-N47</f>
        <v>-1045602.6333333334</v>
      </c>
      <c r="O48" s="568">
        <f t="shared" si="16"/>
        <v>-1083676.8533333333</v>
      </c>
      <c r="P48" s="568">
        <f t="shared" si="16"/>
        <v>-1121225.8400000001</v>
      </c>
      <c r="Q48" s="554">
        <f t="shared" ca="1" si="16"/>
        <v>-1137125.8709217389</v>
      </c>
      <c r="R48" s="554">
        <f t="shared" ca="1" si="16"/>
        <v>-1148247.342709739</v>
      </c>
      <c r="S48" s="554">
        <f t="shared" ca="1" si="16"/>
        <v>-1157120.2852056089</v>
      </c>
      <c r="T48" s="554">
        <f t="shared" ca="1" si="16"/>
        <v>-1163463.7177350558</v>
      </c>
      <c r="U48" s="554">
        <f t="shared" ca="1" si="16"/>
        <v>-1166972.553550723</v>
      </c>
      <c r="V48" s="554">
        <f t="shared" ca="1" si="16"/>
        <v>-1167315.7981306934</v>
      </c>
      <c r="W48" s="554">
        <f t="shared" ca="1" si="16"/>
        <v>-1164134.622210698</v>
      </c>
      <c r="X48" s="554">
        <f t="shared" ca="1" si="16"/>
        <v>-1157040.3012208862</v>
      </c>
      <c r="Y48" s="554">
        <f t="shared" ca="1" si="16"/>
        <v>-1145612.012260736</v>
      </c>
      <c r="Z48" s="554">
        <f t="shared" ca="1" si="16"/>
        <v>-1129394.4791745041</v>
      </c>
      <c r="AA48" s="554">
        <f t="shared" ca="1" si="16"/>
        <v>-1107895.4556824262</v>
      </c>
      <c r="AB48" s="554">
        <f t="shared" ca="1" si="16"/>
        <v>-1080583.0358774455</v>
      </c>
      <c r="AC48" s="554">
        <f t="shared" ca="1" si="16"/>
        <v>-1046882.7807112056</v>
      </c>
      <c r="AD48" s="554">
        <f t="shared" ca="1" si="16"/>
        <v>-1006174.6483638785</v>
      </c>
      <c r="AE48" s="554">
        <f t="shared" ca="1" si="16"/>
        <v>-957789.71561742201</v>
      </c>
      <c r="AF48" s="554">
        <f t="shared" ca="1" si="16"/>
        <v>-901006.67652828305</v>
      </c>
      <c r="AG48" s="554">
        <f t="shared" ca="1" si="16"/>
        <v>-835048.10382032429</v>
      </c>
      <c r="AH48" s="554">
        <f t="shared" ca="1" si="16"/>
        <v>-759076.45748872019</v>
      </c>
      <c r="AI48" s="554">
        <f t="shared" ca="1" si="16"/>
        <v>-672189.82411731151</v>
      </c>
      <c r="AJ48" s="554">
        <f t="shared" ca="1" si="16"/>
        <v>-140561.51634545988</v>
      </c>
      <c r="AK48" s="554">
        <f t="shared" ca="1" si="16"/>
        <v>0</v>
      </c>
      <c r="AL48" s="768">
        <f t="shared" ca="1" si="16"/>
        <v>-20043635.197672863</v>
      </c>
    </row>
    <row r="49" spans="4:38" ht="14.65" thickTop="1" x14ac:dyDescent="0.45"/>
    <row r="50" spans="4:38" x14ac:dyDescent="0.45">
      <c r="D50" s="451" t="s">
        <v>1327</v>
      </c>
    </row>
    <row r="51" spans="4:38" x14ac:dyDescent="0.45">
      <c r="D51" t="s">
        <v>1326</v>
      </c>
      <c r="I51" s="753">
        <f ca="1">AL51</f>
        <v>-20043635.197672859</v>
      </c>
      <c r="J51" s="899">
        <v>-20043635.197672859</v>
      </c>
      <c r="K51" s="753">
        <f ca="1">I51-J51</f>
        <v>0</v>
      </c>
      <c r="L51" s="885">
        <f ca="1">IF(J51&lt;&gt;0,K51/J51,0)</f>
        <v>0</v>
      </c>
      <c r="N51" s="566">
        <f>IF(N48&gt;0,0,N48)</f>
        <v>-1045602.6333333334</v>
      </c>
      <c r="O51" s="566">
        <f t="shared" ref="O51:AK51" si="17">IF(O48&gt;0,0,O48)</f>
        <v>-1083676.8533333333</v>
      </c>
      <c r="P51" s="566">
        <f t="shared" si="17"/>
        <v>-1121225.8400000001</v>
      </c>
      <c r="Q51" s="566">
        <f t="shared" ca="1" si="17"/>
        <v>-1137125.8709217389</v>
      </c>
      <c r="R51" s="566">
        <f t="shared" ca="1" si="17"/>
        <v>-1148247.342709739</v>
      </c>
      <c r="S51" s="566">
        <f t="shared" ca="1" si="17"/>
        <v>-1157120.2852056089</v>
      </c>
      <c r="T51" s="566">
        <f t="shared" ca="1" si="17"/>
        <v>-1163463.7177350558</v>
      </c>
      <c r="U51" s="566">
        <f t="shared" ca="1" si="17"/>
        <v>-1166972.553550723</v>
      </c>
      <c r="V51" s="566">
        <f t="shared" ca="1" si="17"/>
        <v>-1167315.7981306934</v>
      </c>
      <c r="W51" s="566">
        <f t="shared" ca="1" si="17"/>
        <v>-1164134.622210698</v>
      </c>
      <c r="X51" s="566">
        <f t="shared" ca="1" si="17"/>
        <v>-1157040.3012208862</v>
      </c>
      <c r="Y51" s="566">
        <f t="shared" ca="1" si="17"/>
        <v>-1145612.012260736</v>
      </c>
      <c r="Z51" s="566">
        <f t="shared" ca="1" si="17"/>
        <v>-1129394.4791745041</v>
      </c>
      <c r="AA51" s="566">
        <f t="shared" ca="1" si="17"/>
        <v>-1107895.4556824262</v>
      </c>
      <c r="AB51" s="566">
        <f t="shared" ca="1" si="17"/>
        <v>-1080583.0358774455</v>
      </c>
      <c r="AC51" s="566">
        <f t="shared" ca="1" si="17"/>
        <v>-1046882.7807112056</v>
      </c>
      <c r="AD51" s="566">
        <f t="shared" ca="1" si="17"/>
        <v>-1006174.6483638785</v>
      </c>
      <c r="AE51" s="566">
        <f t="shared" ca="1" si="17"/>
        <v>-957789.71561742201</v>
      </c>
      <c r="AF51" s="566">
        <f t="shared" ca="1" si="17"/>
        <v>-901006.67652828305</v>
      </c>
      <c r="AG51" s="566">
        <f t="shared" ca="1" si="17"/>
        <v>-835048.10382032429</v>
      </c>
      <c r="AH51" s="566">
        <f t="shared" ca="1" si="17"/>
        <v>-759076.45748872019</v>
      </c>
      <c r="AI51" s="566">
        <f t="shared" ca="1" si="17"/>
        <v>-672189.82411731151</v>
      </c>
      <c r="AJ51" s="566">
        <f t="shared" ca="1" si="17"/>
        <v>-140561.51634545988</v>
      </c>
      <c r="AK51" s="566">
        <f t="shared" ca="1" si="17"/>
        <v>0</v>
      </c>
      <c r="AL51" s="566">
        <f ca="1">SUM(Q51:AK51)</f>
        <v>-20043635.197672859</v>
      </c>
    </row>
    <row r="52" spans="4:38" x14ac:dyDescent="0.45">
      <c r="D52" t="s">
        <v>1562</v>
      </c>
      <c r="I52" s="888">
        <f>AL52</f>
        <v>0</v>
      </c>
      <c r="J52" s="903">
        <v>0</v>
      </c>
      <c r="K52" s="888">
        <f>I52-J52</f>
        <v>0</v>
      </c>
      <c r="L52" s="889">
        <f>IF(J52&lt;&gt;0,K52/J52,0)</f>
        <v>0</v>
      </c>
      <c r="N52" s="533">
        <f t="shared" ref="N52:AK53" si="18">-N66</f>
        <v>0</v>
      </c>
      <c r="O52" s="533">
        <f t="shared" si="18"/>
        <v>0</v>
      </c>
      <c r="P52" s="533">
        <f t="shared" si="18"/>
        <v>0</v>
      </c>
      <c r="Q52" s="533">
        <f t="shared" si="18"/>
        <v>0</v>
      </c>
      <c r="R52" s="533">
        <f t="shared" si="18"/>
        <v>0</v>
      </c>
      <c r="S52" s="533">
        <f t="shared" si="18"/>
        <v>0</v>
      </c>
      <c r="T52" s="533">
        <f t="shared" si="18"/>
        <v>0</v>
      </c>
      <c r="U52" s="533">
        <f t="shared" si="18"/>
        <v>0</v>
      </c>
      <c r="V52" s="533">
        <f t="shared" si="18"/>
        <v>0</v>
      </c>
      <c r="W52" s="533">
        <f t="shared" si="18"/>
        <v>0</v>
      </c>
      <c r="X52" s="533">
        <f t="shared" si="18"/>
        <v>0</v>
      </c>
      <c r="Y52" s="533">
        <f t="shared" si="18"/>
        <v>0</v>
      </c>
      <c r="Z52" s="533">
        <f t="shared" si="18"/>
        <v>0</v>
      </c>
      <c r="AA52" s="533">
        <f t="shared" si="18"/>
        <v>0</v>
      </c>
      <c r="AB52" s="533">
        <f t="shared" si="18"/>
        <v>0</v>
      </c>
      <c r="AC52" s="533">
        <f t="shared" si="18"/>
        <v>0</v>
      </c>
      <c r="AD52" s="533">
        <f t="shared" si="18"/>
        <v>0</v>
      </c>
      <c r="AE52" s="533">
        <f t="shared" si="18"/>
        <v>0</v>
      </c>
      <c r="AF52" s="533">
        <f t="shared" si="18"/>
        <v>0</v>
      </c>
      <c r="AG52" s="533">
        <f t="shared" si="18"/>
        <v>0</v>
      </c>
      <c r="AH52" s="533">
        <f t="shared" si="18"/>
        <v>0</v>
      </c>
      <c r="AI52" s="533">
        <f t="shared" si="18"/>
        <v>0</v>
      </c>
      <c r="AJ52" s="533">
        <f t="shared" si="18"/>
        <v>0</v>
      </c>
      <c r="AK52" s="533">
        <f t="shared" si="18"/>
        <v>0</v>
      </c>
      <c r="AL52" s="533">
        <f>SUM(Q52:AK52)</f>
        <v>0</v>
      </c>
    </row>
    <row r="53" spans="4:38" x14ac:dyDescent="0.45">
      <c r="D53" t="s">
        <v>1537</v>
      </c>
      <c r="I53" s="754">
        <f ca="1">AL53</f>
        <v>-2664895.0499999998</v>
      </c>
      <c r="J53" s="1097">
        <v>-2664895.0499999998</v>
      </c>
      <c r="K53" s="754">
        <f ca="1">I53-J53</f>
        <v>0</v>
      </c>
      <c r="L53" s="886">
        <f ca="1">IF(J53&lt;&gt;0,K53/J53,0)</f>
        <v>0</v>
      </c>
      <c r="N53" s="533">
        <f t="shared" si="18"/>
        <v>-157500</v>
      </c>
      <c r="O53" s="533">
        <f t="shared" si="18"/>
        <v>-135000</v>
      </c>
      <c r="P53" s="533">
        <f t="shared" si="18"/>
        <v>0</v>
      </c>
      <c r="Q53" s="533">
        <f t="shared" ca="1" si="18"/>
        <v>-39429</v>
      </c>
      <c r="R53" s="533">
        <f t="shared" ca="1" si="18"/>
        <v>-39429</v>
      </c>
      <c r="S53" s="533">
        <f t="shared" ca="1" si="18"/>
        <v>-39429</v>
      </c>
      <c r="T53" s="533">
        <f t="shared" ca="1" si="18"/>
        <v>-39429</v>
      </c>
      <c r="U53" s="533">
        <f t="shared" ca="1" si="18"/>
        <v>-39429</v>
      </c>
      <c r="V53" s="533">
        <f t="shared" ca="1" si="18"/>
        <v>-39429</v>
      </c>
      <c r="W53" s="533">
        <f t="shared" ca="1" si="18"/>
        <v>-39429</v>
      </c>
      <c r="X53" s="533">
        <f t="shared" ca="1" si="18"/>
        <v>-39429</v>
      </c>
      <c r="Y53" s="533">
        <f t="shared" ca="1" si="18"/>
        <v>-39429</v>
      </c>
      <c r="Z53" s="533">
        <f t="shared" ca="1" si="18"/>
        <v>-39429</v>
      </c>
      <c r="AA53" s="533">
        <f t="shared" ca="1" si="18"/>
        <v>-39429</v>
      </c>
      <c r="AB53" s="533">
        <f t="shared" ca="1" si="18"/>
        <v>-39429</v>
      </c>
      <c r="AC53" s="533">
        <f t="shared" ca="1" si="18"/>
        <v>-39429</v>
      </c>
      <c r="AD53" s="533">
        <f t="shared" ca="1" si="18"/>
        <v>-39429</v>
      </c>
      <c r="AE53" s="533">
        <f t="shared" ca="1" si="18"/>
        <v>-39429</v>
      </c>
      <c r="AF53" s="533">
        <f t="shared" ca="1" si="18"/>
        <v>-39429</v>
      </c>
      <c r="AG53" s="533">
        <f t="shared" ca="1" si="18"/>
        <v>-39429</v>
      </c>
      <c r="AH53" s="533">
        <f t="shared" ca="1" si="18"/>
        <v>-39429</v>
      </c>
      <c r="AI53" s="533">
        <f t="shared" ca="1" si="18"/>
        <v>-39429</v>
      </c>
      <c r="AJ53" s="533">
        <f t="shared" ca="1" si="18"/>
        <v>-1915744.05</v>
      </c>
      <c r="AK53" s="533">
        <f t="shared" ca="1" si="18"/>
        <v>0</v>
      </c>
      <c r="AL53" s="533">
        <f ca="1">SUM(Q53:AK53)</f>
        <v>-2664895.0499999998</v>
      </c>
    </row>
    <row r="54" spans="4:38" ht="14.65" thickBot="1" x14ac:dyDescent="0.5">
      <c r="D54" t="s">
        <v>1331</v>
      </c>
      <c r="I54" s="554">
        <f ca="1">AL54</f>
        <v>-22708530.24767286</v>
      </c>
      <c r="J54" s="904">
        <f>SUM(J51:J53)</f>
        <v>-22708530.24767286</v>
      </c>
      <c r="K54" s="554">
        <f ca="1">I54-J54</f>
        <v>0</v>
      </c>
      <c r="L54" s="887">
        <f ca="1">IF(J54&lt;&gt;0,K54/J54,0)</f>
        <v>0</v>
      </c>
      <c r="N54" s="535">
        <f>SUM(N51:N53)</f>
        <v>-1203102.6333333333</v>
      </c>
      <c r="O54" s="535">
        <f t="shared" ref="O54:AL54" si="19">SUM(O51:O53)</f>
        <v>-1218676.8533333333</v>
      </c>
      <c r="P54" s="535">
        <f t="shared" si="19"/>
        <v>-1121225.8400000001</v>
      </c>
      <c r="Q54" s="535">
        <f t="shared" ca="1" si="19"/>
        <v>-1176554.8709217389</v>
      </c>
      <c r="R54" s="535">
        <f t="shared" ca="1" si="19"/>
        <v>-1187676.342709739</v>
      </c>
      <c r="S54" s="535">
        <f t="shared" ca="1" si="19"/>
        <v>-1196549.2852056089</v>
      </c>
      <c r="T54" s="535">
        <f t="shared" ca="1" si="19"/>
        <v>-1202892.7177350558</v>
      </c>
      <c r="U54" s="535">
        <f t="shared" ca="1" si="19"/>
        <v>-1206401.553550723</v>
      </c>
      <c r="V54" s="535">
        <f t="shared" ca="1" si="19"/>
        <v>-1206744.7981306934</v>
      </c>
      <c r="W54" s="535">
        <f t="shared" ca="1" si="19"/>
        <v>-1203563.622210698</v>
      </c>
      <c r="X54" s="535">
        <f t="shared" ca="1" si="19"/>
        <v>-1196469.3012208862</v>
      </c>
      <c r="Y54" s="535">
        <f t="shared" ca="1" si="19"/>
        <v>-1185041.012260736</v>
      </c>
      <c r="Z54" s="535">
        <f t="shared" ca="1" si="19"/>
        <v>-1168823.4791745041</v>
      </c>
      <c r="AA54" s="535">
        <f t="shared" ca="1" si="19"/>
        <v>-1147324.4556824262</v>
      </c>
      <c r="AB54" s="535">
        <f t="shared" ca="1" si="19"/>
        <v>-1120012.0358774455</v>
      </c>
      <c r="AC54" s="535">
        <f t="shared" ca="1" si="19"/>
        <v>-1086311.7807112057</v>
      </c>
      <c r="AD54" s="535">
        <f t="shared" ca="1" si="19"/>
        <v>-1045603.6483638785</v>
      </c>
      <c r="AE54" s="535">
        <f t="shared" ca="1" si="19"/>
        <v>-997218.71561742201</v>
      </c>
      <c r="AF54" s="535">
        <f t="shared" ca="1" si="19"/>
        <v>-940435.67652828305</v>
      </c>
      <c r="AG54" s="535">
        <f t="shared" ca="1" si="19"/>
        <v>-874477.10382032429</v>
      </c>
      <c r="AH54" s="535">
        <f t="shared" ca="1" si="19"/>
        <v>-798505.45748872019</v>
      </c>
      <c r="AI54" s="535">
        <f t="shared" ca="1" si="19"/>
        <v>-711618.82411731151</v>
      </c>
      <c r="AJ54" s="535">
        <f t="shared" ca="1" si="19"/>
        <v>-2056305.56634546</v>
      </c>
      <c r="AK54" s="535">
        <f t="shared" ca="1" si="19"/>
        <v>0</v>
      </c>
      <c r="AL54" s="535">
        <f t="shared" ca="1" si="19"/>
        <v>-22708530.24767286</v>
      </c>
    </row>
    <row r="55" spans="4:38"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38"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38" x14ac:dyDescent="0.45">
      <c r="D57" t="s">
        <v>1038</v>
      </c>
      <c r="I57" s="748">
        <f ca="1">AL57</f>
        <v>-5819006.9768327791</v>
      </c>
      <c r="J57" s="899">
        <v>-5819006.9768327791</v>
      </c>
      <c r="K57" s="753">
        <f ca="1">I57-J57</f>
        <v>0</v>
      </c>
      <c r="N57" s="552"/>
      <c r="O57" s="552"/>
      <c r="P57" s="552"/>
      <c r="Q57" s="552"/>
      <c r="R57" s="552"/>
      <c r="S57" s="552">
        <f ca="1">S51</f>
        <v>-1157120.2852056089</v>
      </c>
      <c r="T57" s="552">
        <f ca="1">T51</f>
        <v>-1163463.7177350558</v>
      </c>
      <c r="U57" s="552">
        <f ca="1">U51</f>
        <v>-1166972.553550723</v>
      </c>
      <c r="V57" s="552">
        <f ca="1">V51</f>
        <v>-1167315.7981306934</v>
      </c>
      <c r="W57" s="552">
        <f ca="1">W51</f>
        <v>-1164134.622210698</v>
      </c>
      <c r="X57" s="552"/>
      <c r="Y57" s="552"/>
      <c r="Z57" s="552"/>
      <c r="AA57" s="552"/>
      <c r="AB57" s="552"/>
      <c r="AC57" s="552"/>
      <c r="AD57" s="552"/>
      <c r="AE57" s="552"/>
      <c r="AF57" s="552"/>
      <c r="AG57" s="552"/>
      <c r="AH57" s="552"/>
      <c r="AI57" s="552"/>
      <c r="AJ57" s="552"/>
      <c r="AK57" s="552"/>
      <c r="AL57" s="533">
        <f ca="1">SUM(Q57:AK57)</f>
        <v>-5819006.9768327791</v>
      </c>
    </row>
    <row r="58" spans="4:38" x14ac:dyDescent="0.45">
      <c r="D58" t="s">
        <v>233</v>
      </c>
      <c r="I58" s="750">
        <f ca="1">AL58</f>
        <v>-197145</v>
      </c>
      <c r="J58" s="1097">
        <v>-197145</v>
      </c>
      <c r="K58" s="754">
        <f ca="1">I58-J58</f>
        <v>0</v>
      </c>
      <c r="N58" s="552"/>
      <c r="O58" s="552"/>
      <c r="P58" s="552"/>
      <c r="Q58" s="552"/>
      <c r="R58" s="552"/>
      <c r="S58" s="552">
        <f ca="1">S53</f>
        <v>-39429</v>
      </c>
      <c r="T58" s="552">
        <f ca="1">T53</f>
        <v>-39429</v>
      </c>
      <c r="U58" s="552">
        <f ca="1">U53</f>
        <v>-39429</v>
      </c>
      <c r="V58" s="552">
        <f ca="1">V53</f>
        <v>-39429</v>
      </c>
      <c r="W58" s="552">
        <f ca="1">W53</f>
        <v>-39429</v>
      </c>
      <c r="X58" s="552"/>
      <c r="Y58" s="552"/>
      <c r="Z58" s="552"/>
      <c r="AA58" s="552"/>
      <c r="AB58" s="552"/>
      <c r="AC58" s="552"/>
      <c r="AD58" s="552"/>
      <c r="AE58" s="552"/>
      <c r="AF58" s="552"/>
      <c r="AG58" s="552"/>
      <c r="AH58" s="552"/>
      <c r="AI58" s="552"/>
      <c r="AJ58" s="552"/>
      <c r="AK58" s="552"/>
      <c r="AL58" s="533">
        <f ca="1">SUM(Q58:AK58)</f>
        <v>-197145</v>
      </c>
    </row>
    <row r="59" spans="4:38" ht="14.65" thickBot="1" x14ac:dyDescent="0.5">
      <c r="I59" s="554">
        <f ca="1">SUM(S59:W59)</f>
        <v>-6016151.9768327791</v>
      </c>
      <c r="J59" s="904">
        <f>SUM(J57:J58)</f>
        <v>-6016151.9768327791</v>
      </c>
      <c r="K59" s="554">
        <f ca="1">I59-J59</f>
        <v>0</v>
      </c>
      <c r="N59" s="552"/>
      <c r="O59" s="552"/>
      <c r="P59" s="552"/>
      <c r="Q59" s="552"/>
      <c r="R59" s="552"/>
      <c r="S59" s="535">
        <f ca="1">SUM(S57:S58)</f>
        <v>-1196549.2852056089</v>
      </c>
      <c r="T59" s="535">
        <f ca="1">SUM(T57:T58)</f>
        <v>-1202892.7177350558</v>
      </c>
      <c r="U59" s="535">
        <f ca="1">SUM(U57:U58)</f>
        <v>-1206401.553550723</v>
      </c>
      <c r="V59" s="535">
        <f ca="1">SUM(V57:V58)</f>
        <v>-1206744.7981306934</v>
      </c>
      <c r="W59" s="535">
        <f ca="1">SUM(W57:W58)</f>
        <v>-1203563.622210698</v>
      </c>
      <c r="X59" s="552"/>
      <c r="Y59" s="552"/>
      <c r="Z59" s="552"/>
      <c r="AA59" s="552"/>
      <c r="AB59" s="552"/>
      <c r="AC59" s="552"/>
      <c r="AD59" s="552"/>
      <c r="AE59" s="552"/>
      <c r="AF59" s="552"/>
      <c r="AG59" s="552"/>
      <c r="AH59" s="552"/>
      <c r="AI59" s="552"/>
      <c r="AJ59" s="552"/>
      <c r="AK59" s="552"/>
      <c r="AL59" s="535">
        <f ca="1">SUM(Q59:AK59)</f>
        <v>-6016151.9768327791</v>
      </c>
    </row>
    <row r="60" spans="4:38"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38"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38" x14ac:dyDescent="0.45">
      <c r="D62" t="s">
        <v>1319</v>
      </c>
      <c r="N62" s="533">
        <f t="shared" ref="N62:AK62" si="20">-N20</f>
        <v>414</v>
      </c>
      <c r="O62" s="533">
        <f t="shared" si="20"/>
        <v>414</v>
      </c>
      <c r="P62" s="533">
        <f t="shared" si="20"/>
        <v>-125.2</v>
      </c>
      <c r="Q62" s="533">
        <f t="shared" si="20"/>
        <v>59540.146521739123</v>
      </c>
      <c r="R62" s="533">
        <f t="shared" si="20"/>
        <v>59540.146521739123</v>
      </c>
      <c r="S62" s="533">
        <f t="shared" si="20"/>
        <v>59540.146521739123</v>
      </c>
      <c r="T62" s="533">
        <f t="shared" si="20"/>
        <v>59540.146521739123</v>
      </c>
      <c r="U62" s="533">
        <f t="shared" si="20"/>
        <v>59540.146521739123</v>
      </c>
      <c r="V62" s="533">
        <f t="shared" si="20"/>
        <v>59540.146521739123</v>
      </c>
      <c r="W62" s="533">
        <f t="shared" si="20"/>
        <v>59540.146521739123</v>
      </c>
      <c r="X62" s="533">
        <f t="shared" si="20"/>
        <v>59540.146521739123</v>
      </c>
      <c r="Y62" s="533">
        <f t="shared" si="20"/>
        <v>59540.146521739123</v>
      </c>
      <c r="Z62" s="533">
        <f t="shared" si="20"/>
        <v>59540.146521739123</v>
      </c>
      <c r="AA62" s="533">
        <f t="shared" si="20"/>
        <v>59540.146521739123</v>
      </c>
      <c r="AB62" s="533">
        <f t="shared" si="20"/>
        <v>59540.146521739123</v>
      </c>
      <c r="AC62" s="533">
        <f t="shared" si="20"/>
        <v>59540.146521739123</v>
      </c>
      <c r="AD62" s="533">
        <f t="shared" si="20"/>
        <v>59540.146521739123</v>
      </c>
      <c r="AE62" s="533">
        <f t="shared" si="20"/>
        <v>59540.146521739123</v>
      </c>
      <c r="AF62" s="533">
        <f t="shared" si="20"/>
        <v>59540.146521739123</v>
      </c>
      <c r="AG62" s="533">
        <f t="shared" si="20"/>
        <v>59540.146521739123</v>
      </c>
      <c r="AH62" s="533">
        <f t="shared" si="20"/>
        <v>59540.146521739123</v>
      </c>
      <c r="AI62" s="533">
        <f t="shared" si="20"/>
        <v>59540.146521739123</v>
      </c>
      <c r="AJ62" s="533">
        <f t="shared" si="20"/>
        <v>297700.73260869563</v>
      </c>
      <c r="AK62" s="533">
        <f t="shared" si="20"/>
        <v>0</v>
      </c>
      <c r="AL62" s="533">
        <f>SUM(Q62:AK62)</f>
        <v>1428963.5165217388</v>
      </c>
    </row>
    <row r="63" spans="4:38" x14ac:dyDescent="0.45">
      <c r="D63" t="s">
        <v>1320</v>
      </c>
      <c r="N63" s="533">
        <f t="shared" ref="N63:AK63" si="21">-N24</f>
        <v>182567.43</v>
      </c>
      <c r="O63" s="533">
        <f t="shared" si="21"/>
        <v>130442.7</v>
      </c>
      <c r="P63" s="533">
        <f t="shared" si="21"/>
        <v>129537.72</v>
      </c>
      <c r="Q63" s="533">
        <f t="shared" si="21"/>
        <v>124140.315</v>
      </c>
      <c r="R63" s="533">
        <f t="shared" si="21"/>
        <v>118742.91</v>
      </c>
      <c r="S63" s="533">
        <f t="shared" si="21"/>
        <v>113345.50499999999</v>
      </c>
      <c r="T63" s="533">
        <f t="shared" si="21"/>
        <v>107948.09999999998</v>
      </c>
      <c r="U63" s="533">
        <f t="shared" si="21"/>
        <v>102550.69499999998</v>
      </c>
      <c r="V63" s="533">
        <f t="shared" si="21"/>
        <v>97153.289999999979</v>
      </c>
      <c r="W63" s="533">
        <f t="shared" si="21"/>
        <v>91755.88499999998</v>
      </c>
      <c r="X63" s="533">
        <f t="shared" si="21"/>
        <v>86358.479999999981</v>
      </c>
      <c r="Y63" s="533">
        <f t="shared" si="21"/>
        <v>80961.074999999983</v>
      </c>
      <c r="Z63" s="533">
        <f t="shared" si="21"/>
        <v>75563.669999999984</v>
      </c>
      <c r="AA63" s="533">
        <f t="shared" si="21"/>
        <v>70166.264999999985</v>
      </c>
      <c r="AB63" s="533">
        <f t="shared" si="21"/>
        <v>64768.859999999986</v>
      </c>
      <c r="AC63" s="533">
        <f t="shared" si="21"/>
        <v>59371.454999999987</v>
      </c>
      <c r="AD63" s="533">
        <f t="shared" si="21"/>
        <v>53974.049999999981</v>
      </c>
      <c r="AE63" s="533">
        <f t="shared" si="21"/>
        <v>48576.644999999982</v>
      </c>
      <c r="AF63" s="533">
        <f t="shared" si="21"/>
        <v>43179.239999999983</v>
      </c>
      <c r="AG63" s="533">
        <f t="shared" si="21"/>
        <v>37781.834999999985</v>
      </c>
      <c r="AH63" s="533">
        <f t="shared" si="21"/>
        <v>32384.429999999986</v>
      </c>
      <c r="AI63" s="533">
        <f t="shared" si="21"/>
        <v>26987.024999999991</v>
      </c>
      <c r="AJ63" s="533">
        <f t="shared" si="21"/>
        <v>0</v>
      </c>
      <c r="AK63" s="533">
        <f t="shared" si="21"/>
        <v>0</v>
      </c>
      <c r="AL63" s="533">
        <f>SUM(Q63:AK63)</f>
        <v>1435709.7299999997</v>
      </c>
    </row>
    <row r="64" spans="4:38" x14ac:dyDescent="0.45">
      <c r="N64" s="535">
        <f>SUM(N62:N63)</f>
        <v>182981.43</v>
      </c>
      <c r="O64" s="535">
        <f t="shared" ref="O64:AL64" si="22">SUM(O62:O63)</f>
        <v>130856.7</v>
      </c>
      <c r="P64" s="535">
        <f t="shared" si="22"/>
        <v>129412.52</v>
      </c>
      <c r="Q64" s="535">
        <f t="shared" si="22"/>
        <v>183680.46152173914</v>
      </c>
      <c r="R64" s="535">
        <f t="shared" si="22"/>
        <v>178283.05652173911</v>
      </c>
      <c r="S64" s="535">
        <f t="shared" si="22"/>
        <v>172885.65152173911</v>
      </c>
      <c r="T64" s="535">
        <f t="shared" si="22"/>
        <v>167488.24652173911</v>
      </c>
      <c r="U64" s="535">
        <f t="shared" si="22"/>
        <v>162090.84152173909</v>
      </c>
      <c r="V64" s="535">
        <f t="shared" si="22"/>
        <v>156693.43652173912</v>
      </c>
      <c r="W64" s="535">
        <f t="shared" si="22"/>
        <v>151296.03152173909</v>
      </c>
      <c r="X64" s="535">
        <f t="shared" si="22"/>
        <v>145898.62652173912</v>
      </c>
      <c r="Y64" s="535">
        <f t="shared" si="22"/>
        <v>140501.22152173909</v>
      </c>
      <c r="Z64" s="535">
        <f t="shared" si="22"/>
        <v>135103.81652173912</v>
      </c>
      <c r="AA64" s="535">
        <f t="shared" si="22"/>
        <v>129706.41152173911</v>
      </c>
      <c r="AB64" s="535">
        <f t="shared" si="22"/>
        <v>124309.00652173911</v>
      </c>
      <c r="AC64" s="535">
        <f t="shared" si="22"/>
        <v>118911.60152173911</v>
      </c>
      <c r="AD64" s="535">
        <f t="shared" si="22"/>
        <v>113514.1965217391</v>
      </c>
      <c r="AE64" s="535">
        <f t="shared" si="22"/>
        <v>108116.7915217391</v>
      </c>
      <c r="AF64" s="535">
        <f t="shared" si="22"/>
        <v>102719.3865217391</v>
      </c>
      <c r="AG64" s="535">
        <f t="shared" si="22"/>
        <v>97321.981521739101</v>
      </c>
      <c r="AH64" s="535">
        <f t="shared" si="22"/>
        <v>91924.576521739102</v>
      </c>
      <c r="AI64" s="535">
        <f t="shared" si="22"/>
        <v>86527.171521739117</v>
      </c>
      <c r="AJ64" s="535">
        <f t="shared" si="22"/>
        <v>297700.73260869563</v>
      </c>
      <c r="AK64" s="535">
        <f t="shared" si="22"/>
        <v>0</v>
      </c>
      <c r="AL64" s="535">
        <f t="shared" si="22"/>
        <v>2864673.2465217384</v>
      </c>
    </row>
    <row r="65" spans="2:46" x14ac:dyDescent="0.45">
      <c r="N65" s="533"/>
    </row>
    <row r="66" spans="2:46" x14ac:dyDescent="0.45">
      <c r="I66" s="533"/>
      <c r="J66" s="801"/>
      <c r="K66" s="533"/>
      <c r="L66" s="813"/>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32.621302919002517</v>
      </c>
      <c r="G67" s="852">
        <f ca="1">AL67/AL$28</f>
        <v>10.468546664875076</v>
      </c>
      <c r="I67" s="533">
        <f ca="1">AL67</f>
        <v>2664895.0499999998</v>
      </c>
      <c r="J67" s="898">
        <f>-J53</f>
        <v>2664895.0499999998</v>
      </c>
      <c r="K67" s="533">
        <f ca="1">I67-J67</f>
        <v>0</v>
      </c>
      <c r="L67" s="813">
        <f ca="1">IF(J67&lt;&gt;0,K67/J67,0)</f>
        <v>0</v>
      </c>
      <c r="N67" s="566">
        <f>SUMIF('10. Inputs &amp; Calcs'!$D$143:$D$148,$E$10,'10. Inputs &amp; Calcs'!F$143:F$148)</f>
        <v>157500</v>
      </c>
      <c r="O67" s="566">
        <f>SUMIF('10. Inputs &amp; Calcs'!$D$143:$D$148,$E$10,'10. Inputs &amp; Calcs'!G$143:G$148)</f>
        <v>135000</v>
      </c>
      <c r="P67" s="566">
        <f>SUMIF('10. Inputs &amp; Calcs'!$D$143:$D$148,$E$10,'10. Inputs &amp; Calcs'!H$143:H$148)</f>
        <v>0</v>
      </c>
      <c r="Q67" s="997">
        <f ca="1">-SUMIF('10. Inputs &amp; Calcs'!$D$279:$D$284,$E$10,'10. Inputs &amp; Calcs'!I$279:I$284)</f>
        <v>39429</v>
      </c>
      <c r="R67" s="997">
        <f ca="1">-SUMIF('10. Inputs &amp; Calcs'!$D$279:$D$284,$E$10,'10. Inputs &amp; Calcs'!J$279:J$284)</f>
        <v>39429</v>
      </c>
      <c r="S67" s="997">
        <f ca="1">-SUMIF('10. Inputs &amp; Calcs'!$D$279:$D$284,$E$10,'10. Inputs &amp; Calcs'!K$279:K$284)</f>
        <v>39429</v>
      </c>
      <c r="T67" s="533">
        <f ca="1">-SUMIF('10. Inputs &amp; Calcs'!$D$279:$D$284,$E$10,'10. Inputs &amp; Calcs'!L$279:L$284)</f>
        <v>39429</v>
      </c>
      <c r="U67" s="533">
        <f ca="1">-SUMIF('10. Inputs &amp; Calcs'!$D$279:$D$284,$E$10,'10. Inputs &amp; Calcs'!M$279:M$284)</f>
        <v>39429</v>
      </c>
      <c r="V67" s="533">
        <f ca="1">-SUMIF('10. Inputs &amp; Calcs'!$D$279:$D$284,$E$10,'10. Inputs &amp; Calcs'!N$279:N$284)</f>
        <v>39429</v>
      </c>
      <c r="W67" s="533">
        <f ca="1">-SUMIF('10. Inputs &amp; Calcs'!$D$279:$D$284,$E$10,'10. Inputs &amp; Calcs'!O$279:O$284)</f>
        <v>39429</v>
      </c>
      <c r="X67" s="533">
        <f ca="1">-SUMIF('10. Inputs &amp; Calcs'!$D$279:$D$284,$E$10,'10. Inputs &amp; Calcs'!P$279:P$284)</f>
        <v>39429</v>
      </c>
      <c r="Y67" s="533">
        <f ca="1">-SUMIF('10. Inputs &amp; Calcs'!$D$279:$D$284,$E$10,'10. Inputs &amp; Calcs'!Q$279:Q$284)</f>
        <v>39429</v>
      </c>
      <c r="Z67" s="533">
        <f ca="1">-SUMIF('10. Inputs &amp; Calcs'!$D$279:$D$284,$E$10,'10. Inputs &amp; Calcs'!R$279:R$284)</f>
        <v>39429</v>
      </c>
      <c r="AA67" s="533">
        <f ca="1">-SUMIF('10. Inputs &amp; Calcs'!$D$279:$D$284,$E$10,'10. Inputs &amp; Calcs'!S$279:S$284)</f>
        <v>39429</v>
      </c>
      <c r="AB67" s="533">
        <f ca="1">-SUMIF('10. Inputs &amp; Calcs'!$D$279:$D$284,$E$10,'10. Inputs &amp; Calcs'!T$279:T$284)</f>
        <v>39429</v>
      </c>
      <c r="AC67" s="533">
        <f ca="1">-SUMIF('10. Inputs &amp; Calcs'!$D$279:$D$284,$E$10,'10. Inputs &amp; Calcs'!U$279:U$284)</f>
        <v>39429</v>
      </c>
      <c r="AD67" s="533">
        <f ca="1">-SUMIF('10. Inputs &amp; Calcs'!$D$279:$D$284,$E$10,'10. Inputs &amp; Calcs'!V$279:V$284)</f>
        <v>39429</v>
      </c>
      <c r="AE67" s="533">
        <f ca="1">-SUMIF('10. Inputs &amp; Calcs'!$D$279:$D$284,$E$10,'10. Inputs &amp; Calcs'!W$279:W$284)</f>
        <v>39429</v>
      </c>
      <c r="AF67" s="533">
        <f ca="1">-SUMIF('10. Inputs &amp; Calcs'!$D$279:$D$284,$E$10,'10. Inputs &amp; Calcs'!X$279:X$284)</f>
        <v>39429</v>
      </c>
      <c r="AG67" s="533">
        <f ca="1">-SUMIF('10. Inputs &amp; Calcs'!$D$279:$D$284,$E$10,'10. Inputs &amp; Calcs'!Y$279:Y$284)</f>
        <v>39429</v>
      </c>
      <c r="AH67" s="533">
        <f ca="1">-SUMIF('10. Inputs &amp; Calcs'!$D$279:$D$284,$E$10,'10. Inputs &amp; Calcs'!Z$279:Z$284)</f>
        <v>39429</v>
      </c>
      <c r="AI67" s="533">
        <f ca="1">-SUMIF('10. Inputs &amp; Calcs'!$D$279:$D$284,$E$10,'10. Inputs &amp; Calcs'!AA$279:AA$284)</f>
        <v>39429</v>
      </c>
      <c r="AJ67" s="533">
        <f ca="1">-SUMIF('10. Inputs &amp; Calcs'!$D$279:$D$284,$E$10,'10. Inputs &amp; Calcs'!AB$279:AB$284)</f>
        <v>1915744.05</v>
      </c>
      <c r="AK67" s="533">
        <f ca="1">-SUMIF('10. Inputs &amp; Calcs'!$D$279:$D$284,$E$10,'10. Inputs &amp; Calcs'!AC$279:AC$284)</f>
        <v>0</v>
      </c>
      <c r="AL67" s="533">
        <f ca="1">SUM(Q67:AK67)</f>
        <v>2664895.0499999998</v>
      </c>
    </row>
    <row r="68" spans="2:46" x14ac:dyDescent="0.45">
      <c r="N68" s="533"/>
    </row>
    <row r="69" spans="2:46" x14ac:dyDescent="0.45">
      <c r="N69" s="533"/>
    </row>
    <row r="71" spans="2:46" x14ac:dyDescent="0.45">
      <c r="D71" t="s">
        <v>1038</v>
      </c>
      <c r="N71" s="533">
        <f>SUMIF('10. Inputs &amp; Calcs'!$D$763:$D$768,$E$10,'10. Inputs &amp; Calcs'!F$763:F$768)</f>
        <v>1350936000</v>
      </c>
      <c r="O71" s="533">
        <f>SUMIF('10. Inputs &amp; Calcs'!$D$763:$D$768,$E$10,'10. Inputs &amp; Calcs'!G$763:G$768)</f>
        <v>1061756000</v>
      </c>
      <c r="P71" s="533">
        <f>SUMIF('10. Inputs &amp; Calcs'!$D$763:$D$768,$E$10,'10. Inputs &amp; Calcs'!H$763:H$768)</f>
        <v>1057284000</v>
      </c>
      <c r="Q71" s="801">
        <f>SUMIF('10. Inputs &amp; Calcs'!$D$763:$D$768,$E$10,'10. Inputs &amp; Calcs'!I$763:I$768)</f>
        <v>1057284000</v>
      </c>
      <c r="R71" s="801">
        <f>SUMIF('10. Inputs &amp; Calcs'!$D$763:$D$768,$E$10,'10. Inputs &amp; Calcs'!J$763:J$768)</f>
        <v>1057284000</v>
      </c>
      <c r="S71" s="801">
        <f>SUMIF('10. Inputs &amp; Calcs'!$D$763:$D$768,$E$10,'10. Inputs &amp; Calcs'!K$763:K$768)</f>
        <v>1057284000</v>
      </c>
      <c r="T71" s="801">
        <f>SUMIF('10. Inputs &amp; Calcs'!$D$763:$D$768,$E$10,'10. Inputs &amp; Calcs'!L$763:L$768)</f>
        <v>1057284000</v>
      </c>
      <c r="U71" s="801">
        <f>SUMIF('10. Inputs &amp; Calcs'!$D$763:$D$768,$E$10,'10. Inputs &amp; Calcs'!M$763:M$768)</f>
        <v>1057284000</v>
      </c>
      <c r="V71" s="801">
        <f>SUMIF('10. Inputs &amp; Calcs'!$D$763:$D$768,$E$10,'10. Inputs &amp; Calcs'!N$763:N$768)</f>
        <v>1057284000</v>
      </c>
      <c r="W71" s="801">
        <f>SUMIF('10. Inputs &amp; Calcs'!$D$763:$D$768,$E$10,'10. Inputs &amp; Calcs'!O$763:O$768)</f>
        <v>1057284000</v>
      </c>
      <c r="X71" s="801">
        <f>SUMIF('10. Inputs &amp; Calcs'!$D$763:$D$768,$E$10,'10. Inputs &amp; Calcs'!P$763:P$768)</f>
        <v>1057284000</v>
      </c>
      <c r="Y71" s="801">
        <f>SUMIF('10. Inputs &amp; Calcs'!$D$763:$D$768,$E$10,'10. Inputs &amp; Calcs'!Q$763:Q$768)</f>
        <v>1057284000</v>
      </c>
      <c r="Z71" s="801">
        <f>SUMIF('10. Inputs &amp; Calcs'!$D$763:$D$768,$E$10,'10. Inputs &amp; Calcs'!R$763:R$768)</f>
        <v>1057284000</v>
      </c>
      <c r="AA71" s="801">
        <f>SUMIF('10. Inputs &amp; Calcs'!$D$763:$D$768,$E$10,'10. Inputs &amp; Calcs'!S$763:S$768)</f>
        <v>1057284000</v>
      </c>
      <c r="AB71" s="801">
        <f>SUMIF('10. Inputs &amp; Calcs'!$D$763:$D$768,$E$10,'10. Inputs &amp; Calcs'!T$763:T$768)</f>
        <v>1057284000</v>
      </c>
      <c r="AC71" s="801">
        <f>SUMIF('10. Inputs &amp; Calcs'!$D$763:$D$768,$E$10,'10. Inputs &amp; Calcs'!U$763:U$768)</f>
        <v>1057284000</v>
      </c>
      <c r="AD71" s="801">
        <f>SUMIF('10. Inputs &amp; Calcs'!$D$763:$D$768,$E$10,'10. Inputs &amp; Calcs'!V$763:V$768)</f>
        <v>1057284000</v>
      </c>
      <c r="AE71" s="801">
        <f>SUMIF('10. Inputs &amp; Calcs'!$D$763:$D$768,$E$10,'10. Inputs &amp; Calcs'!W$763:W$768)</f>
        <v>1057284000</v>
      </c>
      <c r="AF71" s="533">
        <f>SUMIF('10. Inputs &amp; Calcs'!$D$763:$D$768,$E$10,'10. Inputs &amp; Calcs'!X$763:X$768)</f>
        <v>1057284000</v>
      </c>
      <c r="AG71" s="533">
        <f>SUMIF('10. Inputs &amp; Calcs'!$D$763:$D$768,$E$10,'10. Inputs &amp; Calcs'!Y$763:Y$768)</f>
        <v>1057284000</v>
      </c>
      <c r="AH71" s="533">
        <f>SUMIF('10. Inputs &amp; Calcs'!$D$763:$D$768,$E$10,'10. Inputs &amp; Calcs'!Z$763:Z$768)</f>
        <v>1057284000</v>
      </c>
      <c r="AI71" s="533">
        <f>SUMIF('10. Inputs &amp; Calcs'!$D$763:$D$768,$E$10,'10. Inputs &amp; Calcs'!AA$763:AA$768)</f>
        <v>1057284000</v>
      </c>
      <c r="AJ71" s="533">
        <f>SUMIF('10. Inputs &amp; Calcs'!$D$763:$D$768,$E$10,'10. Inputs &amp; Calcs'!AB$763:AB$768)</f>
        <v>1057284000</v>
      </c>
      <c r="AK71" s="533">
        <f>SUMIF('10. Inputs &amp; Calcs'!$D$763:$D$768,$E$10,'10. Inputs &amp; Calcs'!AC$763:AC$768)</f>
        <v>1057284000</v>
      </c>
      <c r="AL71" s="533">
        <f>SUM(Q71:AK71)</f>
        <v>22202964000</v>
      </c>
    </row>
    <row r="72" spans="2:46" x14ac:dyDescent="0.45">
      <c r="D72" t="s">
        <v>233</v>
      </c>
      <c r="N72" s="533">
        <f t="shared" ref="N72:AL72" si="23">N67</f>
        <v>157500</v>
      </c>
      <c r="O72" s="533">
        <f t="shared" si="23"/>
        <v>135000</v>
      </c>
      <c r="P72" s="533">
        <f t="shared" si="23"/>
        <v>0</v>
      </c>
      <c r="Q72" s="801">
        <f t="shared" ca="1" si="23"/>
        <v>39429</v>
      </c>
      <c r="R72" s="801">
        <f t="shared" ca="1" si="23"/>
        <v>39429</v>
      </c>
      <c r="S72" s="801">
        <f t="shared" ca="1" si="23"/>
        <v>39429</v>
      </c>
      <c r="T72" s="801">
        <f t="shared" ca="1" si="23"/>
        <v>39429</v>
      </c>
      <c r="U72" s="801">
        <f t="shared" ca="1" si="23"/>
        <v>39429</v>
      </c>
      <c r="V72" s="801">
        <f t="shared" ca="1" si="23"/>
        <v>39429</v>
      </c>
      <c r="W72" s="801">
        <f t="shared" ca="1" si="23"/>
        <v>39429</v>
      </c>
      <c r="X72" s="801">
        <f t="shared" ca="1" si="23"/>
        <v>39429</v>
      </c>
      <c r="Y72" s="801">
        <f t="shared" ca="1" si="23"/>
        <v>39429</v>
      </c>
      <c r="Z72" s="801">
        <f t="shared" ca="1" si="23"/>
        <v>39429</v>
      </c>
      <c r="AA72" s="801">
        <f t="shared" ca="1" si="23"/>
        <v>39429</v>
      </c>
      <c r="AB72" s="801">
        <f t="shared" ca="1" si="23"/>
        <v>39429</v>
      </c>
      <c r="AC72" s="801">
        <f t="shared" ca="1" si="23"/>
        <v>39429</v>
      </c>
      <c r="AD72" s="801">
        <f t="shared" ca="1" si="23"/>
        <v>39429</v>
      </c>
      <c r="AE72" s="801">
        <f t="shared" ca="1" si="23"/>
        <v>39429</v>
      </c>
      <c r="AF72" s="533">
        <f t="shared" ca="1" si="23"/>
        <v>39429</v>
      </c>
      <c r="AG72" s="533">
        <f t="shared" ca="1" si="23"/>
        <v>39429</v>
      </c>
      <c r="AH72" s="533">
        <f t="shared" ca="1" si="23"/>
        <v>39429</v>
      </c>
      <c r="AI72" s="533">
        <f t="shared" ca="1" si="23"/>
        <v>39429</v>
      </c>
      <c r="AJ72" s="533">
        <f t="shared" ca="1" si="23"/>
        <v>1915744.05</v>
      </c>
      <c r="AK72" s="533">
        <f t="shared" ca="1" si="23"/>
        <v>0</v>
      </c>
      <c r="AL72" s="533">
        <f t="shared" ca="1" si="23"/>
        <v>2664895.0499999998</v>
      </c>
    </row>
    <row r="73" spans="2:46" x14ac:dyDescent="0.45">
      <c r="D73" t="s">
        <v>1037</v>
      </c>
      <c r="N73" s="559">
        <f>N48/N71</f>
        <v>-7.7398384033983353E-4</v>
      </c>
      <c r="O73" s="559">
        <f t="shared" ref="O73:AL73" si="24">O48/O71</f>
        <v>-1.0206458483242226E-3</v>
      </c>
      <c r="P73" s="559">
        <f t="shared" si="24"/>
        <v>-1.0604774497675177E-3</v>
      </c>
      <c r="Q73" s="581">
        <f ca="1">Q48/Q71</f>
        <v>-1.0755160117071089E-3</v>
      </c>
      <c r="R73" s="581">
        <f t="shared" ca="1" si="24"/>
        <v>-1.0860349184417233E-3</v>
      </c>
      <c r="S73" s="581">
        <f t="shared" ca="1" si="24"/>
        <v>-1.0944271219517263E-3</v>
      </c>
      <c r="T73" s="581">
        <f t="shared" ca="1" si="24"/>
        <v>-1.1004268651895383E-3</v>
      </c>
      <c r="U73" s="581">
        <f t="shared" ca="1" si="24"/>
        <v>-1.1037455911096007E-3</v>
      </c>
      <c r="V73" s="581">
        <f t="shared" ca="1" si="24"/>
        <v>-1.1040702385836667E-3</v>
      </c>
      <c r="W73" s="581">
        <f t="shared" ca="1" si="24"/>
        <v>-1.1010614198367686E-3</v>
      </c>
      <c r="X73" s="581">
        <f t="shared" ca="1" si="24"/>
        <v>-1.0943514715259913E-3</v>
      </c>
      <c r="Y73" s="581">
        <f t="shared" ca="1" si="24"/>
        <v>-1.0835423710760174E-3</v>
      </c>
      <c r="Z73" s="581">
        <f t="shared" ca="1" si="24"/>
        <v>-1.068203509345175E-3</v>
      </c>
      <c r="AA73" s="581">
        <f t="shared" ca="1" si="24"/>
        <v>-1.0478693101214302E-3</v>
      </c>
      <c r="AB73" s="581">
        <f t="shared" ca="1" si="24"/>
        <v>-1.0220366863372995E-3</v>
      </c>
      <c r="AC73" s="581">
        <f t="shared" ca="1" si="24"/>
        <v>-9.9016232224379214E-4</v>
      </c>
      <c r="AD73" s="581">
        <f t="shared" ca="1" si="24"/>
        <v>-9.5165977009382388E-4</v>
      </c>
      <c r="AE73" s="581">
        <f t="shared" ca="1" si="24"/>
        <v>-9.0589634915256645E-4</v>
      </c>
      <c r="AF73" s="559">
        <f t="shared" ca="1" si="24"/>
        <v>-8.5218983407323197E-4</v>
      </c>
      <c r="AG73" s="559">
        <f t="shared" ca="1" si="24"/>
        <v>-7.898049188489794E-4</v>
      </c>
      <c r="AH73" s="559">
        <f t="shared" ca="1" si="24"/>
        <v>-7.1794944167198236E-4</v>
      </c>
      <c r="AI73" s="559">
        <f t="shared" ca="1" si="24"/>
        <v>-6.3577035509599267E-4</v>
      </c>
      <c r="AJ73" s="559">
        <f t="shared" ca="1" si="24"/>
        <v>-1.3294584647593257E-4</v>
      </c>
      <c r="AK73" s="559">
        <f t="shared" ca="1" si="24"/>
        <v>0</v>
      </c>
      <c r="AL73" s="559">
        <f t="shared" ca="1" si="24"/>
        <v>-9.0274592156582619E-4</v>
      </c>
    </row>
    <row r="74" spans="2:46" x14ac:dyDescent="0.45">
      <c r="Q74" s="581"/>
      <c r="R74" s="581"/>
      <c r="S74" s="581"/>
      <c r="T74" s="581"/>
      <c r="U74" s="581"/>
      <c r="V74" s="581"/>
      <c r="W74" s="582"/>
      <c r="X74" s="18"/>
      <c r="Y74" s="18"/>
      <c r="Z74" s="18"/>
      <c r="AA74" s="18"/>
      <c r="AB74" s="18"/>
      <c r="AC74" s="18"/>
      <c r="AD74" s="18"/>
      <c r="AE74" s="18"/>
    </row>
    <row r="75" spans="2:46" hidden="1"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hidden="1" outlineLevel="1" x14ac:dyDescent="0.45">
      <c r="D76" t="s">
        <v>1539</v>
      </c>
      <c r="F76" s="18"/>
      <c r="G76" s="18"/>
      <c r="I76" s="18"/>
      <c r="J76" s="18"/>
      <c r="K76" s="18"/>
      <c r="L76" s="18"/>
      <c r="O76" s="533"/>
      <c r="P76" s="533">
        <f>SUMIF('10. Inputs &amp; Calcs'!$D$628:$D$633,$E$10,'10. Inputs &amp; Calcs'!$H$628:$H$633)</f>
        <v>1513477.1</v>
      </c>
      <c r="Q76" s="801">
        <f t="shared" ref="Q76:AK76" si="25">P83</f>
        <v>1513477.1</v>
      </c>
      <c r="R76" s="801">
        <f t="shared" ca="1" si="25"/>
        <v>1574555.8691666664</v>
      </c>
      <c r="S76" s="801">
        <f t="shared" ca="1" si="25"/>
        <v>1624839.8283333329</v>
      </c>
      <c r="T76" s="801">
        <f t="shared" ca="1" si="25"/>
        <v>1664328.9774999996</v>
      </c>
      <c r="U76" s="801">
        <f t="shared" ca="1" si="25"/>
        <v>1687625.9116666664</v>
      </c>
      <c r="V76" s="801">
        <f t="shared" ca="1" si="25"/>
        <v>1700128.0358333332</v>
      </c>
      <c r="W76" s="801">
        <f t="shared" ca="1" si="25"/>
        <v>1701835.3499999999</v>
      </c>
      <c r="X76" s="801">
        <f t="shared" ca="1" si="25"/>
        <v>1698145.2591666665</v>
      </c>
      <c r="Y76" s="801">
        <f t="shared" ca="1" si="25"/>
        <v>1683660.3583333332</v>
      </c>
      <c r="Z76" s="801">
        <f t="shared" ca="1" si="25"/>
        <v>1658380.6474999997</v>
      </c>
      <c r="AA76" s="801">
        <f t="shared" ca="1" si="25"/>
        <v>1622306.1266666665</v>
      </c>
      <c r="AB76" s="801">
        <f t="shared" ca="1" si="25"/>
        <v>1575436.7958333332</v>
      </c>
      <c r="AC76" s="801">
        <f t="shared" ca="1" si="25"/>
        <v>1517772.6549999998</v>
      </c>
      <c r="AD76" s="801">
        <f t="shared" ca="1" si="25"/>
        <v>1449313.7041666664</v>
      </c>
      <c r="AE76" s="801">
        <f t="shared" ca="1" si="25"/>
        <v>1370059.9433333331</v>
      </c>
      <c r="AF76" s="533">
        <f t="shared" ca="1" si="25"/>
        <v>1280011.3724999998</v>
      </c>
      <c r="AG76" s="533">
        <f t="shared" ca="1" si="25"/>
        <v>1179167.9916666665</v>
      </c>
      <c r="AH76" s="533">
        <f t="shared" ca="1" si="25"/>
        <v>1067529.8008333331</v>
      </c>
      <c r="AI76" s="533">
        <f t="shared" ca="1" si="25"/>
        <v>945096.8</v>
      </c>
      <c r="AJ76" s="533">
        <f t="shared" ca="1" si="25"/>
        <v>811868.98916666664</v>
      </c>
      <c r="AK76" s="533">
        <f t="shared" ca="1" si="25"/>
        <v>0</v>
      </c>
      <c r="AL76" s="533">
        <f>P76</f>
        <v>1513477.1</v>
      </c>
      <c r="AM76" s="18"/>
      <c r="AN76" s="18"/>
      <c r="AO76" s="18"/>
      <c r="AP76" s="18"/>
      <c r="AQ76" s="18"/>
      <c r="AR76" s="18"/>
      <c r="AS76" s="18"/>
      <c r="AT76" s="18"/>
    </row>
    <row r="77" spans="2:46" hidden="1" outlineLevel="1" x14ac:dyDescent="0.45">
      <c r="D77" t="s">
        <v>1546</v>
      </c>
      <c r="F77" s="18"/>
      <c r="G77" s="18"/>
      <c r="I77" s="18"/>
      <c r="J77" s="18"/>
      <c r="K77" s="18"/>
      <c r="L77" s="18"/>
      <c r="N77" s="533"/>
      <c r="O77" s="533"/>
      <c r="P77" s="533">
        <f>IF(P84&gt;P76,P84-P76,0)</f>
        <v>0</v>
      </c>
      <c r="Q77" s="801">
        <f>IF(Q84&gt;Q76,Q84-Q76,0)</f>
        <v>61078.769166666549</v>
      </c>
      <c r="R77" s="801">
        <f ca="1">IF(R84&gt;R76,R84-R76,0)</f>
        <v>50283.959166666726</v>
      </c>
      <c r="S77" s="801">
        <f t="shared" ref="S77:AK77" ca="1" si="26">IF(S84&gt;S76,S84-S76,0)</f>
        <v>39489.149166666903</v>
      </c>
      <c r="T77" s="801">
        <f t="shared" ca="1" si="26"/>
        <v>23296.934166667052</v>
      </c>
      <c r="U77" s="801">
        <f t="shared" ca="1" si="26"/>
        <v>12502.124166666996</v>
      </c>
      <c r="V77" s="801">
        <f t="shared" ca="1" si="26"/>
        <v>1707.3141666669399</v>
      </c>
      <c r="W77" s="801">
        <f t="shared" ca="1" si="26"/>
        <v>0</v>
      </c>
      <c r="X77" s="801">
        <f t="shared" ca="1" si="26"/>
        <v>0</v>
      </c>
      <c r="Y77" s="801">
        <f t="shared" ca="1" si="26"/>
        <v>0</v>
      </c>
      <c r="Z77" s="801">
        <f t="shared" ca="1" si="26"/>
        <v>0</v>
      </c>
      <c r="AA77" s="801">
        <f t="shared" ca="1" si="26"/>
        <v>0</v>
      </c>
      <c r="AB77" s="801">
        <f t="shared" ca="1" si="26"/>
        <v>0</v>
      </c>
      <c r="AC77" s="801">
        <f t="shared" ca="1" si="26"/>
        <v>0</v>
      </c>
      <c r="AD77" s="801">
        <f t="shared" ca="1" si="26"/>
        <v>0</v>
      </c>
      <c r="AE77" s="801">
        <f t="shared" ca="1" si="26"/>
        <v>0</v>
      </c>
      <c r="AF77" s="533">
        <f t="shared" ca="1" si="26"/>
        <v>0</v>
      </c>
      <c r="AG77" s="533">
        <f t="shared" ca="1" si="26"/>
        <v>0</v>
      </c>
      <c r="AH77" s="533">
        <f t="shared" ca="1" si="26"/>
        <v>0</v>
      </c>
      <c r="AI77" s="533">
        <f t="shared" ca="1" si="26"/>
        <v>0</v>
      </c>
      <c r="AJ77" s="533">
        <f t="shared" ca="1" si="26"/>
        <v>0</v>
      </c>
      <c r="AK77" s="533">
        <f t="shared" ca="1" si="26"/>
        <v>0</v>
      </c>
      <c r="AL77" s="533">
        <f ca="1">SUM(P77:AK77)</f>
        <v>188358.25000000116</v>
      </c>
      <c r="AM77" s="18"/>
      <c r="AN77" s="18"/>
      <c r="AO77" s="18"/>
      <c r="AP77" s="18"/>
      <c r="AQ77" s="18"/>
      <c r="AR77" s="18"/>
      <c r="AS77" s="18"/>
      <c r="AT77" s="18"/>
    </row>
    <row r="78" spans="2:46" hidden="1" outlineLevel="1" x14ac:dyDescent="0.45">
      <c r="D78" t="s">
        <v>1547</v>
      </c>
      <c r="F78" s="18"/>
      <c r="G78" s="18"/>
      <c r="I78" s="18"/>
      <c r="J78" s="18"/>
      <c r="K78" s="18"/>
      <c r="L78" s="18"/>
      <c r="N78" s="533"/>
      <c r="O78" s="533"/>
      <c r="P78" s="533">
        <f>IF(P84&lt;P76,P84-P76,0)</f>
        <v>0</v>
      </c>
      <c r="Q78" s="801">
        <f>IF(Q84&lt;Q76,Q84-Q76,0)</f>
        <v>0</v>
      </c>
      <c r="R78" s="801">
        <f ca="1">IF(R84&lt;R76,R84-R76,0)</f>
        <v>0</v>
      </c>
      <c r="S78" s="801">
        <f t="shared" ref="S78:AK78" ca="1" si="27">IF(S84&lt;S76,S84-S76,0)</f>
        <v>0</v>
      </c>
      <c r="T78" s="801">
        <f t="shared" ca="1" si="27"/>
        <v>0</v>
      </c>
      <c r="U78" s="801">
        <f t="shared" ca="1" si="27"/>
        <v>0</v>
      </c>
      <c r="V78" s="801">
        <f t="shared" ca="1" si="27"/>
        <v>0</v>
      </c>
      <c r="W78" s="801">
        <f t="shared" ca="1" si="27"/>
        <v>-3690.0908333330881</v>
      </c>
      <c r="X78" s="801">
        <f t="shared" ca="1" si="27"/>
        <v>-14484.900833333144</v>
      </c>
      <c r="Y78" s="801">
        <f t="shared" ca="1" si="27"/>
        <v>-25279.7108333332</v>
      </c>
      <c r="Z78" s="801">
        <f t="shared" ca="1" si="27"/>
        <v>-36074.520833333023</v>
      </c>
      <c r="AA78" s="801">
        <f t="shared" ca="1" si="27"/>
        <v>-46869.330833333079</v>
      </c>
      <c r="AB78" s="801">
        <f t="shared" ca="1" si="27"/>
        <v>-57664.140833333135</v>
      </c>
      <c r="AC78" s="801">
        <f t="shared" ca="1" si="27"/>
        <v>-68458.950833333191</v>
      </c>
      <c r="AD78" s="801">
        <f t="shared" ca="1" si="27"/>
        <v>-79253.760833333014</v>
      </c>
      <c r="AE78" s="801">
        <f t="shared" ca="1" si="27"/>
        <v>-90048.570833333069</v>
      </c>
      <c r="AF78" s="533">
        <f t="shared" ca="1" si="27"/>
        <v>-100843.38083333313</v>
      </c>
      <c r="AG78" s="533">
        <f t="shared" ca="1" si="27"/>
        <v>-111638.19083333318</v>
      </c>
      <c r="AH78" s="533">
        <f t="shared" ca="1" si="27"/>
        <v>-122433.00083333312</v>
      </c>
      <c r="AI78" s="533">
        <f t="shared" ca="1" si="27"/>
        <v>-133227.81083333353</v>
      </c>
      <c r="AJ78" s="533">
        <f t="shared" ca="1" si="27"/>
        <v>-811868.98916666664</v>
      </c>
      <c r="AK78" s="533">
        <f t="shared" ca="1" si="27"/>
        <v>0</v>
      </c>
      <c r="AL78" s="533">
        <f ca="1">SUM(P78:AK78)</f>
        <v>-1701835.3499999975</v>
      </c>
      <c r="AM78" s="18"/>
      <c r="AN78" s="18"/>
      <c r="AO78" s="18"/>
      <c r="AP78" s="18"/>
      <c r="AQ78" s="18"/>
      <c r="AR78" s="18"/>
      <c r="AS78" s="18"/>
      <c r="AT78" s="18"/>
    </row>
    <row r="79" spans="2:46" hidden="1" outlineLevel="1" x14ac:dyDescent="0.45">
      <c r="D79" t="s">
        <v>1537</v>
      </c>
      <c r="F79" s="18"/>
      <c r="G79" s="18"/>
      <c r="I79" s="18"/>
      <c r="J79" s="18"/>
      <c r="K79" s="18"/>
      <c r="L79" s="18"/>
      <c r="N79" s="533"/>
      <c r="O79" s="533"/>
      <c r="P79" s="533"/>
      <c r="Q79" s="801">
        <f ca="1">'10. Inputs &amp; Calcs'!I148*0</f>
        <v>0</v>
      </c>
      <c r="R79" s="801">
        <f ca="1">'10. Inputs &amp; Calcs'!J148*0</f>
        <v>0</v>
      </c>
      <c r="S79" s="801">
        <f ca="1">'10. Inputs &amp; Calcs'!K148*0</f>
        <v>0</v>
      </c>
      <c r="T79" s="801"/>
      <c r="U79" s="801"/>
      <c r="V79" s="801"/>
      <c r="W79" s="801"/>
      <c r="X79" s="801"/>
      <c r="Y79" s="801"/>
      <c r="Z79" s="801"/>
      <c r="AA79" s="801"/>
      <c r="AB79" s="801"/>
      <c r="AC79" s="801"/>
      <c r="AD79" s="801"/>
      <c r="AE79" s="801"/>
      <c r="AF79" s="533"/>
      <c r="AG79" s="533"/>
      <c r="AH79" s="533"/>
      <c r="AI79" s="533"/>
      <c r="AJ79" s="533"/>
      <c r="AK79" s="533"/>
      <c r="AL79" s="533">
        <f ca="1">SUM(P79:AK79)</f>
        <v>0</v>
      </c>
      <c r="AM79" s="18"/>
      <c r="AN79" s="18"/>
      <c r="AO79" s="18"/>
      <c r="AP79" s="18"/>
      <c r="AQ79" s="18"/>
      <c r="AR79" s="18"/>
      <c r="AS79" s="18"/>
      <c r="AT79" s="18"/>
    </row>
    <row r="80" spans="2:46" hidden="1" outlineLevel="1" x14ac:dyDescent="0.45">
      <c r="D80" t="s">
        <v>1540</v>
      </c>
      <c r="F80" s="18"/>
      <c r="G80" s="18"/>
      <c r="I80" s="18"/>
      <c r="J80" s="18"/>
      <c r="K80" s="18"/>
      <c r="L80" s="18"/>
      <c r="N80" s="533"/>
      <c r="O80" s="533"/>
      <c r="P80" s="533">
        <f t="shared" ref="P80:AL80" si="28">P19</f>
        <v>0</v>
      </c>
      <c r="Q80" s="801">
        <f t="shared" si="28"/>
        <v>70146.899999999994</v>
      </c>
      <c r="R80" s="801">
        <f t="shared" si="28"/>
        <v>70146.899999999994</v>
      </c>
      <c r="S80" s="801">
        <f t="shared" si="28"/>
        <v>70146.899999999994</v>
      </c>
      <c r="T80" s="801">
        <f t="shared" si="28"/>
        <v>70146.899999999994</v>
      </c>
      <c r="U80" s="801">
        <f t="shared" si="28"/>
        <v>70146.899999999994</v>
      </c>
      <c r="V80" s="801">
        <f t="shared" si="28"/>
        <v>70146.899999999994</v>
      </c>
      <c r="W80" s="801">
        <f t="shared" si="28"/>
        <v>70146.899999999994</v>
      </c>
      <c r="X80" s="801">
        <f t="shared" si="28"/>
        <v>70146.899999999994</v>
      </c>
      <c r="Y80" s="801">
        <f t="shared" si="28"/>
        <v>70146.899999999994</v>
      </c>
      <c r="Z80" s="801">
        <f t="shared" si="28"/>
        <v>70146.899999999994</v>
      </c>
      <c r="AA80" s="801">
        <f t="shared" si="28"/>
        <v>70146.899999999994</v>
      </c>
      <c r="AB80" s="801">
        <f t="shared" si="28"/>
        <v>70146.899999999994</v>
      </c>
      <c r="AC80" s="801">
        <f t="shared" si="28"/>
        <v>70146.899999999994</v>
      </c>
      <c r="AD80" s="801">
        <f t="shared" si="28"/>
        <v>70146.899999999994</v>
      </c>
      <c r="AE80" s="801">
        <f t="shared" si="28"/>
        <v>70146.899999999994</v>
      </c>
      <c r="AF80" s="533">
        <f t="shared" si="28"/>
        <v>70146.899999999994</v>
      </c>
      <c r="AG80" s="533">
        <f t="shared" si="28"/>
        <v>70146.899999999994</v>
      </c>
      <c r="AH80" s="533">
        <f t="shared" si="28"/>
        <v>70146.899999999994</v>
      </c>
      <c r="AI80" s="533">
        <f t="shared" si="28"/>
        <v>70146.899999999994</v>
      </c>
      <c r="AJ80" s="533">
        <f t="shared" si="28"/>
        <v>350734.5</v>
      </c>
      <c r="AK80" s="533">
        <f t="shared" si="28"/>
        <v>0</v>
      </c>
      <c r="AL80" s="533">
        <f t="shared" si="28"/>
        <v>1683525.5999999999</v>
      </c>
      <c r="AM80" s="18"/>
      <c r="AN80" s="18"/>
      <c r="AO80" s="18"/>
      <c r="AP80" s="18"/>
      <c r="AQ80" s="18"/>
      <c r="AR80" s="18"/>
      <c r="AS80" s="18"/>
      <c r="AT80" s="18"/>
    </row>
    <row r="81" spans="1:46" hidden="1" outlineLevel="1" x14ac:dyDescent="0.45">
      <c r="D81" t="s">
        <v>379</v>
      </c>
      <c r="F81" s="18"/>
      <c r="G81" s="18"/>
      <c r="I81" s="18"/>
      <c r="J81" s="18"/>
      <c r="K81" s="18"/>
      <c r="L81" s="18"/>
      <c r="N81" s="533"/>
      <c r="O81" s="533"/>
      <c r="P81" s="533">
        <f t="shared" ref="P81:AL81" si="29">-P21</f>
        <v>-125.2</v>
      </c>
      <c r="Q81" s="801">
        <f t="shared" si="29"/>
        <v>-10606.753478260869</v>
      </c>
      <c r="R81" s="801">
        <f t="shared" si="29"/>
        <v>-10606.753478260869</v>
      </c>
      <c r="S81" s="801">
        <f t="shared" si="29"/>
        <v>-10606.753478260869</v>
      </c>
      <c r="T81" s="801">
        <f t="shared" si="29"/>
        <v>-10606.753478260869</v>
      </c>
      <c r="U81" s="801">
        <f t="shared" si="29"/>
        <v>-10606.753478260869</v>
      </c>
      <c r="V81" s="801">
        <f t="shared" si="29"/>
        <v>-10606.753478260869</v>
      </c>
      <c r="W81" s="801">
        <f t="shared" si="29"/>
        <v>-10606.753478260869</v>
      </c>
      <c r="X81" s="801">
        <f t="shared" si="29"/>
        <v>-10606.753478260869</v>
      </c>
      <c r="Y81" s="801">
        <f t="shared" si="29"/>
        <v>-10606.753478260869</v>
      </c>
      <c r="Z81" s="801">
        <f t="shared" si="29"/>
        <v>-10606.753478260869</v>
      </c>
      <c r="AA81" s="801">
        <f t="shared" si="29"/>
        <v>-10606.753478260869</v>
      </c>
      <c r="AB81" s="801">
        <f t="shared" si="29"/>
        <v>-10606.753478260869</v>
      </c>
      <c r="AC81" s="801">
        <f t="shared" si="29"/>
        <v>-10606.753478260869</v>
      </c>
      <c r="AD81" s="801">
        <f t="shared" si="29"/>
        <v>-10606.753478260869</v>
      </c>
      <c r="AE81" s="801">
        <f t="shared" si="29"/>
        <v>-10606.753478260869</v>
      </c>
      <c r="AF81" s="533">
        <f t="shared" si="29"/>
        <v>-10606.753478260869</v>
      </c>
      <c r="AG81" s="533">
        <f t="shared" si="29"/>
        <v>-10606.753478260869</v>
      </c>
      <c r="AH81" s="533">
        <f t="shared" si="29"/>
        <v>-10606.753478260869</v>
      </c>
      <c r="AI81" s="533">
        <f t="shared" si="29"/>
        <v>-10606.753478260869</v>
      </c>
      <c r="AJ81" s="533">
        <f t="shared" si="29"/>
        <v>-53033.767391304347</v>
      </c>
      <c r="AK81" s="533">
        <f t="shared" si="29"/>
        <v>0</v>
      </c>
      <c r="AL81" s="533">
        <f t="shared" si="29"/>
        <v>-254562.08347826102</v>
      </c>
      <c r="AM81" s="18"/>
      <c r="AN81" s="18"/>
      <c r="AO81" s="18"/>
      <c r="AP81" s="18"/>
      <c r="AQ81" s="18"/>
      <c r="AR81" s="18"/>
      <c r="AS81" s="18"/>
      <c r="AT81" s="18"/>
    </row>
    <row r="82" spans="1:46" hidden="1" outlineLevel="1" x14ac:dyDescent="0.45">
      <c r="D82" t="s">
        <v>1545</v>
      </c>
      <c r="F82" s="18"/>
      <c r="G82" s="18"/>
      <c r="I82" s="18"/>
      <c r="J82" s="18"/>
      <c r="K82" s="18"/>
      <c r="L82" s="18"/>
      <c r="N82" s="533"/>
      <c r="O82" s="533"/>
      <c r="P82" s="533">
        <f t="shared" ref="P82:AL82" si="30">-P80-P81</f>
        <v>125.2</v>
      </c>
      <c r="Q82" s="801">
        <f t="shared" si="30"/>
        <v>-59540.146521739123</v>
      </c>
      <c r="R82" s="801">
        <f t="shared" si="30"/>
        <v>-59540.146521739123</v>
      </c>
      <c r="S82" s="801">
        <f t="shared" si="30"/>
        <v>-59540.146521739123</v>
      </c>
      <c r="T82" s="801">
        <f t="shared" si="30"/>
        <v>-59540.146521739123</v>
      </c>
      <c r="U82" s="801">
        <f t="shared" si="30"/>
        <v>-59540.146521739123</v>
      </c>
      <c r="V82" s="801">
        <f t="shared" si="30"/>
        <v>-59540.146521739123</v>
      </c>
      <c r="W82" s="801">
        <f t="shared" si="30"/>
        <v>-59540.146521739123</v>
      </c>
      <c r="X82" s="801">
        <f t="shared" si="30"/>
        <v>-59540.146521739123</v>
      </c>
      <c r="Y82" s="801">
        <f t="shared" si="30"/>
        <v>-59540.146521739123</v>
      </c>
      <c r="Z82" s="801">
        <f t="shared" si="30"/>
        <v>-59540.146521739123</v>
      </c>
      <c r="AA82" s="801">
        <f t="shared" si="30"/>
        <v>-59540.146521739123</v>
      </c>
      <c r="AB82" s="801">
        <f t="shared" si="30"/>
        <v>-59540.146521739123</v>
      </c>
      <c r="AC82" s="801">
        <f t="shared" si="30"/>
        <v>-59540.146521739123</v>
      </c>
      <c r="AD82" s="801">
        <f t="shared" si="30"/>
        <v>-59540.146521739123</v>
      </c>
      <c r="AE82" s="801">
        <f t="shared" si="30"/>
        <v>-59540.146521739123</v>
      </c>
      <c r="AF82" s="533">
        <f t="shared" si="30"/>
        <v>-59540.146521739123</v>
      </c>
      <c r="AG82" s="533">
        <f t="shared" si="30"/>
        <v>-59540.146521739123</v>
      </c>
      <c r="AH82" s="533">
        <f t="shared" si="30"/>
        <v>-59540.146521739123</v>
      </c>
      <c r="AI82" s="533">
        <f t="shared" si="30"/>
        <v>-59540.146521739123</v>
      </c>
      <c r="AJ82" s="533">
        <f t="shared" si="30"/>
        <v>-297700.73260869563</v>
      </c>
      <c r="AK82" s="533">
        <f t="shared" si="30"/>
        <v>0</v>
      </c>
      <c r="AL82" s="533">
        <f t="shared" si="30"/>
        <v>-1428963.5165217388</v>
      </c>
      <c r="AM82" s="18"/>
      <c r="AN82" s="18"/>
      <c r="AO82" s="18"/>
      <c r="AP82" s="18"/>
      <c r="AQ82" s="18"/>
      <c r="AR82" s="18"/>
      <c r="AS82" s="18"/>
      <c r="AT82" s="18"/>
    </row>
    <row r="83" spans="1:46" hidden="1" outlineLevel="1" x14ac:dyDescent="0.45">
      <c r="D83" t="s">
        <v>1544</v>
      </c>
      <c r="F83" s="18"/>
      <c r="G83" s="18"/>
      <c r="I83" s="18"/>
      <c r="J83" s="18"/>
      <c r="K83" s="18"/>
      <c r="L83" s="18"/>
      <c r="N83" s="535"/>
      <c r="O83" s="535"/>
      <c r="P83" s="535">
        <f>SUM(P76:P82)</f>
        <v>1513477.1</v>
      </c>
      <c r="Q83" s="1135">
        <f t="shared" ref="Q83:AL83" ca="1" si="31">SUM(Q76:Q82)</f>
        <v>1574555.8691666664</v>
      </c>
      <c r="R83" s="1135">
        <f ca="1">SUM(R76:R82)</f>
        <v>1624839.8283333329</v>
      </c>
      <c r="S83" s="1135">
        <f t="shared" ca="1" si="31"/>
        <v>1664328.9774999996</v>
      </c>
      <c r="T83" s="1135">
        <f t="shared" ca="1" si="31"/>
        <v>1687625.9116666664</v>
      </c>
      <c r="U83" s="1135">
        <f t="shared" ca="1" si="31"/>
        <v>1700128.0358333332</v>
      </c>
      <c r="V83" s="1135">
        <f t="shared" ca="1" si="31"/>
        <v>1701835.3499999999</v>
      </c>
      <c r="W83" s="1135">
        <f t="shared" ca="1" si="31"/>
        <v>1698145.2591666665</v>
      </c>
      <c r="X83" s="1135">
        <f t="shared" ca="1" si="31"/>
        <v>1683660.3583333332</v>
      </c>
      <c r="Y83" s="1135">
        <f t="shared" ca="1" si="31"/>
        <v>1658380.6474999997</v>
      </c>
      <c r="Z83" s="1135">
        <f t="shared" ca="1" si="31"/>
        <v>1622306.1266666665</v>
      </c>
      <c r="AA83" s="1135">
        <f t="shared" ca="1" si="31"/>
        <v>1575436.7958333332</v>
      </c>
      <c r="AB83" s="1135">
        <f t="shared" ca="1" si="31"/>
        <v>1517772.6549999998</v>
      </c>
      <c r="AC83" s="1135">
        <f t="shared" ca="1" si="31"/>
        <v>1449313.7041666664</v>
      </c>
      <c r="AD83" s="1135">
        <f t="shared" ca="1" si="31"/>
        <v>1370059.9433333331</v>
      </c>
      <c r="AE83" s="1135">
        <f t="shared" ca="1" si="31"/>
        <v>1280011.3724999998</v>
      </c>
      <c r="AF83" s="535">
        <f t="shared" ca="1" si="31"/>
        <v>1179167.9916666665</v>
      </c>
      <c r="AG83" s="535">
        <f t="shared" ca="1" si="31"/>
        <v>1067529.8008333331</v>
      </c>
      <c r="AH83" s="535">
        <f t="shared" ca="1" si="31"/>
        <v>945096.8</v>
      </c>
      <c r="AI83" s="535">
        <f t="shared" ca="1" si="31"/>
        <v>811868.98916666664</v>
      </c>
      <c r="AJ83" s="535">
        <f t="shared" ca="1" si="31"/>
        <v>0</v>
      </c>
      <c r="AK83" s="535">
        <f t="shared" ca="1" si="31"/>
        <v>0</v>
      </c>
      <c r="AL83" s="535">
        <f t="shared" ca="1" si="31"/>
        <v>3.7252902984619141E-9</v>
      </c>
      <c r="AM83" s="18"/>
      <c r="AN83" s="18"/>
      <c r="AO83" s="18"/>
      <c r="AP83" s="18"/>
      <c r="AQ83" s="18"/>
      <c r="AR83" s="18"/>
      <c r="AS83" s="18"/>
      <c r="AT83" s="18"/>
    </row>
    <row r="84" spans="1:46" hidden="1" outlineLevel="1" x14ac:dyDescent="0.45">
      <c r="F84" s="18"/>
      <c r="G84" s="18"/>
      <c r="I84" s="18"/>
      <c r="J84" s="18"/>
      <c r="K84" s="18"/>
      <c r="L84" s="18"/>
      <c r="P84" s="533">
        <f>SUMIF('10. Inputs &amp; Calcs'!$D$628:$D$633,$E$10,'10. Inputs &amp; Calcs'!H$628:H$633)</f>
        <v>1513477.1</v>
      </c>
      <c r="Q84" s="801">
        <f>SUMIF('10. Inputs &amp; Calcs'!$D$628:$D$633,$E$10,'10. Inputs &amp; Calcs'!I$628:I$633)</f>
        <v>1574555.8691666666</v>
      </c>
      <c r="R84" s="801">
        <f>SUMIF('10. Inputs &amp; Calcs'!$D$628:$D$633,$E$10,'10. Inputs &amp; Calcs'!J$628:J$633)</f>
        <v>1624839.8283333331</v>
      </c>
      <c r="S84" s="801">
        <f>SUMIF('10. Inputs &amp; Calcs'!$D$628:$D$633,$E$10,'10. Inputs &amp; Calcs'!K$628:K$633)</f>
        <v>1664328.9774999998</v>
      </c>
      <c r="T84" s="801">
        <f>SUMIF('10. Inputs &amp; Calcs'!$D$628:$D$633,$E$10,'10. Inputs &amp; Calcs'!L$628:L$633)</f>
        <v>1687625.9116666666</v>
      </c>
      <c r="U84" s="801">
        <f>SUMIF('10. Inputs &amp; Calcs'!$D$628:$D$633,$E$10,'10. Inputs &amp; Calcs'!M$628:M$633)</f>
        <v>1700128.0358333334</v>
      </c>
      <c r="V84" s="801">
        <f>SUMIF('10. Inputs &amp; Calcs'!$D$628:$D$633,$E$10,'10. Inputs &amp; Calcs'!N$628:N$633)</f>
        <v>1701835.35</v>
      </c>
      <c r="W84" s="801">
        <f>SUMIF('10. Inputs &amp; Calcs'!$D$628:$D$633,$E$10,'10. Inputs &amp; Calcs'!O$628:O$633)</f>
        <v>1698145.2591666668</v>
      </c>
      <c r="X84" s="801">
        <f>SUMIF('10. Inputs &amp; Calcs'!$D$628:$D$633,$E$10,'10. Inputs &amp; Calcs'!P$628:P$633)</f>
        <v>1683660.3583333334</v>
      </c>
      <c r="Y84" s="801">
        <f>SUMIF('10. Inputs &amp; Calcs'!$D$628:$D$633,$E$10,'10. Inputs &amp; Calcs'!Q$628:Q$633)</f>
        <v>1658380.6475</v>
      </c>
      <c r="Z84" s="801">
        <f>SUMIF('10. Inputs &amp; Calcs'!$D$628:$D$633,$E$10,'10. Inputs &amp; Calcs'!R$628:R$633)</f>
        <v>1622306.1266666667</v>
      </c>
      <c r="AA84" s="801">
        <f>SUMIF('10. Inputs &amp; Calcs'!$D$628:$D$633,$E$10,'10. Inputs &amp; Calcs'!S$628:S$633)</f>
        <v>1575436.7958333334</v>
      </c>
      <c r="AB84" s="801">
        <f>SUMIF('10. Inputs &amp; Calcs'!$D$628:$D$633,$E$10,'10. Inputs &amp; Calcs'!T$628:T$633)</f>
        <v>1517772.655</v>
      </c>
      <c r="AC84" s="801">
        <f>SUMIF('10. Inputs &amp; Calcs'!$D$628:$D$633,$E$10,'10. Inputs &amp; Calcs'!U$628:U$633)</f>
        <v>1449313.7041666666</v>
      </c>
      <c r="AD84" s="801">
        <f>SUMIF('10. Inputs &amp; Calcs'!$D$628:$D$633,$E$10,'10. Inputs &amp; Calcs'!V$628:V$633)</f>
        <v>1370059.9433333334</v>
      </c>
      <c r="AE84" s="801">
        <f>SUMIF('10. Inputs &amp; Calcs'!$D$628:$D$633,$E$10,'10. Inputs &amp; Calcs'!W$628:W$633)</f>
        <v>1280011.3725000001</v>
      </c>
      <c r="AF84" s="533">
        <f>SUMIF('10. Inputs &amp; Calcs'!$D$628:$D$633,$E$10,'10. Inputs &amp; Calcs'!X$628:X$633)</f>
        <v>1179167.9916666667</v>
      </c>
      <c r="AG84" s="533">
        <f>SUMIF('10. Inputs &amp; Calcs'!$D$628:$D$633,$E$10,'10. Inputs &amp; Calcs'!Y$628:Y$633)</f>
        <v>1067529.8008333333</v>
      </c>
      <c r="AH84" s="533">
        <f>SUMIF('10. Inputs &amp; Calcs'!$D$628:$D$633,$E$10,'10. Inputs &amp; Calcs'!Z$628:Z$633)</f>
        <v>945096.79999999993</v>
      </c>
      <c r="AI84" s="533">
        <f>SUMIF('10. Inputs &amp; Calcs'!$D$628:$D$633,$E$10,'10. Inputs &amp; Calcs'!AA$628:AA$633)</f>
        <v>811868.98916666652</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hidden="1"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hidden="1" outlineLevel="1" x14ac:dyDescent="0.45">
      <c r="D86" t="s">
        <v>1539</v>
      </c>
      <c r="F86" s="18"/>
      <c r="G86" s="18"/>
      <c r="I86" s="18"/>
      <c r="J86" s="18"/>
      <c r="K86" s="18"/>
      <c r="L86" s="18"/>
      <c r="O86" s="533"/>
      <c r="P86" s="533">
        <f>SUMIF('10. Inputs &amp; Calcs'!$D$396:$D$400,$E$10,'10. Inputs &amp; Calcs'!$H$396:$H$400)</f>
        <v>35073.449999999997</v>
      </c>
      <c r="Q86" s="801">
        <f t="shared" ref="Q86:AK86" si="32">P93</f>
        <v>35073.449999999983</v>
      </c>
      <c r="R86" s="801">
        <f t="shared" si="32"/>
        <v>105220.34999999998</v>
      </c>
      <c r="S86" s="801">
        <f t="shared" si="32"/>
        <v>175367.25000000003</v>
      </c>
      <c r="T86" s="801">
        <f t="shared" si="32"/>
        <v>245514.14999999997</v>
      </c>
      <c r="U86" s="801">
        <f t="shared" si="32"/>
        <v>315661.05</v>
      </c>
      <c r="V86" s="801">
        <f t="shared" si="32"/>
        <v>385807.94999999995</v>
      </c>
      <c r="W86" s="801">
        <f t="shared" si="32"/>
        <v>455954.84999999992</v>
      </c>
      <c r="X86" s="801">
        <f t="shared" si="32"/>
        <v>526101.75</v>
      </c>
      <c r="Y86" s="801">
        <f t="shared" si="32"/>
        <v>596248.64999999991</v>
      </c>
      <c r="Z86" s="801">
        <f t="shared" si="32"/>
        <v>666395.54999999993</v>
      </c>
      <c r="AA86" s="801">
        <f t="shared" si="32"/>
        <v>736542.45</v>
      </c>
      <c r="AB86" s="801">
        <f t="shared" si="32"/>
        <v>806689.35</v>
      </c>
      <c r="AC86" s="801">
        <f t="shared" si="32"/>
        <v>876836.24999999988</v>
      </c>
      <c r="AD86" s="801">
        <f t="shared" si="32"/>
        <v>946983.14999999991</v>
      </c>
      <c r="AE86" s="801">
        <f t="shared" si="32"/>
        <v>1017130.0499999999</v>
      </c>
      <c r="AF86" s="533">
        <f t="shared" si="32"/>
        <v>1087276.95</v>
      </c>
      <c r="AG86" s="533">
        <f t="shared" si="32"/>
        <v>1157423.8499999999</v>
      </c>
      <c r="AH86" s="533">
        <f t="shared" si="32"/>
        <v>1227570.75</v>
      </c>
      <c r="AI86" s="533">
        <f t="shared" si="32"/>
        <v>1297717.6499999999</v>
      </c>
      <c r="AJ86" s="533">
        <f t="shared" si="32"/>
        <v>1367864.5499999998</v>
      </c>
      <c r="AK86" s="533">
        <f t="shared" si="32"/>
        <v>-14344968.711052626</v>
      </c>
      <c r="AL86" s="533">
        <f>P86</f>
        <v>35073.449999999997</v>
      </c>
      <c r="AM86" s="18"/>
      <c r="AN86" s="18"/>
      <c r="AO86" s="18"/>
      <c r="AP86" s="18"/>
      <c r="AQ86" s="18"/>
      <c r="AR86" s="18"/>
      <c r="AS86" s="18"/>
      <c r="AT86" s="18"/>
    </row>
    <row r="87" spans="1:46" hidden="1" outlineLevel="1" x14ac:dyDescent="0.45">
      <c r="D87" t="s">
        <v>1546</v>
      </c>
      <c r="F87" s="18"/>
      <c r="G87" s="18"/>
      <c r="I87" s="18"/>
      <c r="J87" s="18"/>
      <c r="K87" s="18"/>
      <c r="L87" s="18"/>
      <c r="N87" s="533"/>
      <c r="O87" s="533"/>
      <c r="P87" s="533">
        <f t="shared" ref="P87:AK87" si="33">IF(P94&gt;P86,P94-P86-P89,0)</f>
        <v>0</v>
      </c>
      <c r="Q87" s="801">
        <f>IF(Q94&gt;Q86,Q94-Q86-Q89,0)</f>
        <v>70146.900000000009</v>
      </c>
      <c r="R87" s="801">
        <f t="shared" si="33"/>
        <v>70146.900000000023</v>
      </c>
      <c r="S87" s="801">
        <f t="shared" si="33"/>
        <v>70146.899999999936</v>
      </c>
      <c r="T87" s="801">
        <f t="shared" si="33"/>
        <v>70146.900000000023</v>
      </c>
      <c r="U87" s="801">
        <f t="shared" si="33"/>
        <v>70146.899999999965</v>
      </c>
      <c r="V87" s="801">
        <f t="shared" si="33"/>
        <v>70146.900000000023</v>
      </c>
      <c r="W87" s="801">
        <f t="shared" si="33"/>
        <v>70146.900000000081</v>
      </c>
      <c r="X87" s="801">
        <f t="shared" si="33"/>
        <v>70146.899999999907</v>
      </c>
      <c r="Y87" s="801">
        <f t="shared" si="33"/>
        <v>70146.900000000023</v>
      </c>
      <c r="Z87" s="801">
        <f t="shared" si="33"/>
        <v>70146.900000000023</v>
      </c>
      <c r="AA87" s="801">
        <f t="shared" si="33"/>
        <v>70146.900000000023</v>
      </c>
      <c r="AB87" s="801">
        <f t="shared" si="33"/>
        <v>70146.899999999907</v>
      </c>
      <c r="AC87" s="801">
        <f t="shared" si="33"/>
        <v>70146.900000000023</v>
      </c>
      <c r="AD87" s="801">
        <f t="shared" si="33"/>
        <v>70146.900000000023</v>
      </c>
      <c r="AE87" s="801">
        <f t="shared" si="33"/>
        <v>70146.900000000023</v>
      </c>
      <c r="AF87" s="533">
        <f t="shared" si="33"/>
        <v>70146.899999999907</v>
      </c>
      <c r="AG87" s="533">
        <f t="shared" si="33"/>
        <v>70146.90000000014</v>
      </c>
      <c r="AH87" s="533">
        <f t="shared" si="33"/>
        <v>70146.899999999907</v>
      </c>
      <c r="AI87" s="533">
        <f t="shared" si="33"/>
        <v>70146.899999999907</v>
      </c>
      <c r="AJ87" s="533">
        <f t="shared" si="33"/>
        <v>0</v>
      </c>
      <c r="AK87" s="533">
        <f t="shared" si="33"/>
        <v>14344968.711052626</v>
      </c>
      <c r="AL87" s="533">
        <f>SUM(P87:AK87)</f>
        <v>15677759.811052626</v>
      </c>
      <c r="AM87" s="18"/>
      <c r="AN87" s="18"/>
      <c r="AO87" s="18"/>
      <c r="AP87" s="18"/>
      <c r="AQ87" s="18"/>
      <c r="AR87" s="18"/>
      <c r="AS87" s="18"/>
      <c r="AT87" s="18"/>
    </row>
    <row r="88" spans="1:46" hidden="1"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hidden="1" outlineLevel="1" x14ac:dyDescent="0.45">
      <c r="A89">
        <v>0</v>
      </c>
      <c r="D89" t="s">
        <v>1537</v>
      </c>
      <c r="F89" s="18"/>
      <c r="G89" s="18"/>
      <c r="I89" s="18"/>
      <c r="J89" s="18"/>
      <c r="K89" s="18"/>
      <c r="L89" s="18"/>
      <c r="N89" s="533"/>
      <c r="O89" s="533"/>
      <c r="P89" s="533">
        <f>SUMIF('10. Inputs &amp; Calcs'!$D$143:$D$148,$E$10,'10. Inputs &amp; Calcs'!$H$143:$H$148)</f>
        <v>0</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-15712833.261052625</v>
      </c>
      <c r="AM89" s="18"/>
      <c r="AN89" s="18"/>
      <c r="AO89" s="18"/>
      <c r="AP89" s="18"/>
      <c r="AQ89" s="18"/>
      <c r="AR89" s="18"/>
      <c r="AS89" s="18"/>
      <c r="AT89" s="18"/>
    </row>
    <row r="90" spans="1:46" hidden="1" outlineLevel="1" x14ac:dyDescent="0.45">
      <c r="D90" t="s">
        <v>1542</v>
      </c>
      <c r="F90" s="18"/>
      <c r="G90" s="18"/>
      <c r="I90" s="18"/>
      <c r="J90" s="18"/>
      <c r="K90" s="18"/>
      <c r="L90" s="18"/>
      <c r="N90" s="533"/>
      <c r="O90" s="533"/>
      <c r="P90" s="533">
        <f t="shared" ref="P90:AL90" si="34">P23</f>
        <v>129537.72</v>
      </c>
      <c r="Q90" s="801">
        <f t="shared" si="34"/>
        <v>124140.315</v>
      </c>
      <c r="R90" s="801">
        <f t="shared" si="34"/>
        <v>118742.91</v>
      </c>
      <c r="S90" s="801">
        <f t="shared" si="34"/>
        <v>113345.50499999999</v>
      </c>
      <c r="T90" s="801">
        <f t="shared" si="34"/>
        <v>107948.09999999998</v>
      </c>
      <c r="U90" s="801">
        <f t="shared" si="34"/>
        <v>102550.69499999998</v>
      </c>
      <c r="V90" s="801">
        <f t="shared" si="34"/>
        <v>97153.289999999979</v>
      </c>
      <c r="W90" s="801">
        <f t="shared" si="34"/>
        <v>91755.88499999998</v>
      </c>
      <c r="X90" s="801">
        <f t="shared" si="34"/>
        <v>86358.479999999981</v>
      </c>
      <c r="Y90" s="801">
        <f t="shared" si="34"/>
        <v>80961.074999999983</v>
      </c>
      <c r="Z90" s="801">
        <f t="shared" si="34"/>
        <v>75563.669999999984</v>
      </c>
      <c r="AA90" s="801">
        <f t="shared" si="34"/>
        <v>70166.264999999985</v>
      </c>
      <c r="AB90" s="801">
        <f t="shared" si="34"/>
        <v>64768.859999999986</v>
      </c>
      <c r="AC90" s="801">
        <f t="shared" si="34"/>
        <v>59371.454999999987</v>
      </c>
      <c r="AD90" s="801">
        <f t="shared" si="34"/>
        <v>53974.049999999981</v>
      </c>
      <c r="AE90" s="801">
        <f t="shared" si="34"/>
        <v>48576.644999999982</v>
      </c>
      <c r="AF90" s="533">
        <f t="shared" si="34"/>
        <v>43179.239999999983</v>
      </c>
      <c r="AG90" s="533">
        <f t="shared" si="34"/>
        <v>37781.834999999985</v>
      </c>
      <c r="AH90" s="533">
        <f t="shared" si="34"/>
        <v>32384.429999999986</v>
      </c>
      <c r="AI90" s="533">
        <f t="shared" si="34"/>
        <v>26987.024999999991</v>
      </c>
      <c r="AJ90" s="533">
        <f t="shared" si="34"/>
        <v>0</v>
      </c>
      <c r="AK90" s="533">
        <f t="shared" si="34"/>
        <v>0</v>
      </c>
      <c r="AL90" s="533">
        <f t="shared" si="34"/>
        <v>1435709.7299999997</v>
      </c>
      <c r="AM90" s="18"/>
      <c r="AN90" s="18"/>
      <c r="AO90" s="18"/>
      <c r="AP90" s="18"/>
      <c r="AQ90" s="18"/>
      <c r="AR90" s="18"/>
      <c r="AS90" s="18"/>
      <c r="AT90" s="18"/>
    </row>
    <row r="91" spans="1:46" hidden="1" outlineLevel="1" x14ac:dyDescent="0.45">
      <c r="D91" t="s">
        <v>1543</v>
      </c>
      <c r="F91" s="18"/>
      <c r="G91" s="18"/>
      <c r="I91" s="18"/>
      <c r="J91" s="18"/>
      <c r="K91" s="18"/>
      <c r="L91" s="18"/>
      <c r="N91" s="533"/>
      <c r="O91" s="533"/>
      <c r="P91" s="533">
        <f t="shared" ref="P91:AL91" si="35">-P25</f>
        <v>0</v>
      </c>
      <c r="Q91" s="801">
        <f t="shared" si="35"/>
        <v>0</v>
      </c>
      <c r="R91" s="801">
        <f t="shared" si="35"/>
        <v>0</v>
      </c>
      <c r="S91" s="801">
        <f t="shared" si="35"/>
        <v>0</v>
      </c>
      <c r="T91" s="801">
        <f t="shared" si="35"/>
        <v>0</v>
      </c>
      <c r="U91" s="801">
        <f t="shared" si="35"/>
        <v>0</v>
      </c>
      <c r="V91" s="801">
        <f t="shared" si="35"/>
        <v>0</v>
      </c>
      <c r="W91" s="801">
        <f t="shared" si="35"/>
        <v>0</v>
      </c>
      <c r="X91" s="801">
        <f t="shared" si="35"/>
        <v>0</v>
      </c>
      <c r="Y91" s="801">
        <f t="shared" si="35"/>
        <v>0</v>
      </c>
      <c r="Z91" s="801">
        <f t="shared" si="35"/>
        <v>0</v>
      </c>
      <c r="AA91" s="801">
        <f t="shared" si="35"/>
        <v>0</v>
      </c>
      <c r="AB91" s="801">
        <f t="shared" si="35"/>
        <v>0</v>
      </c>
      <c r="AC91" s="801">
        <f t="shared" si="35"/>
        <v>0</v>
      </c>
      <c r="AD91" s="801">
        <f t="shared" si="35"/>
        <v>0</v>
      </c>
      <c r="AE91" s="801">
        <f t="shared" si="35"/>
        <v>0</v>
      </c>
      <c r="AF91" s="533">
        <f t="shared" si="35"/>
        <v>0</v>
      </c>
      <c r="AG91" s="533">
        <f t="shared" si="35"/>
        <v>0</v>
      </c>
      <c r="AH91" s="533">
        <f t="shared" si="35"/>
        <v>0</v>
      </c>
      <c r="AI91" s="533">
        <f t="shared" si="35"/>
        <v>0</v>
      </c>
      <c r="AJ91" s="533">
        <f t="shared" si="35"/>
        <v>0</v>
      </c>
      <c r="AK91" s="533">
        <f t="shared" si="35"/>
        <v>0</v>
      </c>
      <c r="AL91" s="533">
        <f t="shared" si="35"/>
        <v>0</v>
      </c>
      <c r="AM91" s="18"/>
      <c r="AN91" s="18"/>
      <c r="AO91" s="18"/>
      <c r="AP91" s="18"/>
      <c r="AQ91" s="18"/>
      <c r="AR91" s="18"/>
      <c r="AS91" s="18"/>
      <c r="AT91" s="18"/>
    </row>
    <row r="92" spans="1:46" hidden="1" outlineLevel="1" x14ac:dyDescent="0.45">
      <c r="D92" t="s">
        <v>1545</v>
      </c>
      <c r="F92" s="18"/>
      <c r="G92" s="18"/>
      <c r="I92" s="18"/>
      <c r="J92" s="18"/>
      <c r="K92" s="18"/>
      <c r="L92" s="18"/>
      <c r="N92" s="533"/>
      <c r="O92" s="533"/>
      <c r="P92" s="533">
        <f t="shared" ref="P92:AL92" si="36">-P90-P91</f>
        <v>-129537.72</v>
      </c>
      <c r="Q92" s="801">
        <f t="shared" si="36"/>
        <v>-124140.315</v>
      </c>
      <c r="R92" s="801">
        <f t="shared" si="36"/>
        <v>-118742.91</v>
      </c>
      <c r="S92" s="801">
        <f t="shared" si="36"/>
        <v>-113345.50499999999</v>
      </c>
      <c r="T92" s="801">
        <f t="shared" si="36"/>
        <v>-107948.09999999998</v>
      </c>
      <c r="U92" s="801">
        <f t="shared" si="36"/>
        <v>-102550.69499999998</v>
      </c>
      <c r="V92" s="801">
        <f t="shared" si="36"/>
        <v>-97153.289999999979</v>
      </c>
      <c r="W92" s="801">
        <f t="shared" si="36"/>
        <v>-91755.88499999998</v>
      </c>
      <c r="X92" s="801">
        <f t="shared" si="36"/>
        <v>-86358.479999999981</v>
      </c>
      <c r="Y92" s="801">
        <f t="shared" si="36"/>
        <v>-80961.074999999983</v>
      </c>
      <c r="Z92" s="801">
        <f t="shared" si="36"/>
        <v>-75563.669999999984</v>
      </c>
      <c r="AA92" s="801">
        <f t="shared" si="36"/>
        <v>-70166.264999999985</v>
      </c>
      <c r="AB92" s="801">
        <f t="shared" si="36"/>
        <v>-64768.859999999986</v>
      </c>
      <c r="AC92" s="801">
        <f t="shared" si="36"/>
        <v>-59371.454999999987</v>
      </c>
      <c r="AD92" s="801">
        <f t="shared" si="36"/>
        <v>-53974.049999999981</v>
      </c>
      <c r="AE92" s="801">
        <f t="shared" si="36"/>
        <v>-48576.644999999982</v>
      </c>
      <c r="AF92" s="533">
        <f t="shared" si="36"/>
        <v>-43179.239999999983</v>
      </c>
      <c r="AG92" s="533">
        <f t="shared" si="36"/>
        <v>-37781.834999999985</v>
      </c>
      <c r="AH92" s="533">
        <f t="shared" si="36"/>
        <v>-32384.429999999986</v>
      </c>
      <c r="AI92" s="533">
        <f t="shared" si="36"/>
        <v>-26987.024999999991</v>
      </c>
      <c r="AJ92" s="533">
        <f t="shared" si="36"/>
        <v>0</v>
      </c>
      <c r="AK92" s="533">
        <f t="shared" si="36"/>
        <v>0</v>
      </c>
      <c r="AL92" s="533">
        <f t="shared" si="36"/>
        <v>-1435709.7299999997</v>
      </c>
      <c r="AM92" s="18"/>
      <c r="AN92" s="18"/>
      <c r="AO92" s="18"/>
      <c r="AP92" s="18"/>
      <c r="AQ92" s="18"/>
      <c r="AR92" s="18"/>
      <c r="AS92" s="18"/>
      <c r="AT92" s="18"/>
    </row>
    <row r="93" spans="1:46" hidden="1" outlineLevel="1" x14ac:dyDescent="0.45">
      <c r="D93" t="s">
        <v>1544</v>
      </c>
      <c r="F93" s="18"/>
      <c r="G93" s="18"/>
      <c r="I93" s="18"/>
      <c r="J93" s="18"/>
      <c r="K93" s="18"/>
      <c r="L93" s="18"/>
      <c r="N93" s="535"/>
      <c r="O93" s="535"/>
      <c r="P93" s="535">
        <f>SUM(P86:P92)</f>
        <v>35073.449999999983</v>
      </c>
      <c r="Q93" s="1135">
        <f t="shared" ref="Q93:AL93" si="37">SUM(Q86:Q92)</f>
        <v>105220.34999999998</v>
      </c>
      <c r="R93" s="1135">
        <f t="shared" si="37"/>
        <v>175367.25000000003</v>
      </c>
      <c r="S93" s="1135">
        <f t="shared" si="37"/>
        <v>245514.14999999997</v>
      </c>
      <c r="T93" s="1135">
        <f>SUM(T86:T92)</f>
        <v>315661.05</v>
      </c>
      <c r="U93" s="1135">
        <f t="shared" si="37"/>
        <v>385807.94999999995</v>
      </c>
      <c r="V93" s="1135">
        <f t="shared" si="37"/>
        <v>455954.84999999992</v>
      </c>
      <c r="W93" s="1135">
        <f t="shared" si="37"/>
        <v>526101.75</v>
      </c>
      <c r="X93" s="1135">
        <f t="shared" si="37"/>
        <v>596248.64999999991</v>
      </c>
      <c r="Y93" s="1135">
        <f t="shared" si="37"/>
        <v>666395.54999999993</v>
      </c>
      <c r="Z93" s="1135">
        <f t="shared" si="37"/>
        <v>736542.45</v>
      </c>
      <c r="AA93" s="1135">
        <f t="shared" si="37"/>
        <v>806689.35</v>
      </c>
      <c r="AB93" s="1135">
        <f t="shared" si="37"/>
        <v>876836.24999999988</v>
      </c>
      <c r="AC93" s="1135">
        <f t="shared" si="37"/>
        <v>946983.14999999991</v>
      </c>
      <c r="AD93" s="1135">
        <f t="shared" si="37"/>
        <v>1017130.0499999999</v>
      </c>
      <c r="AE93" s="1135">
        <f t="shared" si="37"/>
        <v>1087276.95</v>
      </c>
      <c r="AF93" s="535">
        <f t="shared" si="37"/>
        <v>1157423.8499999999</v>
      </c>
      <c r="AG93" s="535">
        <f t="shared" si="37"/>
        <v>1227570.75</v>
      </c>
      <c r="AH93" s="535">
        <f t="shared" si="37"/>
        <v>1297717.6499999999</v>
      </c>
      <c r="AI93" s="535">
        <f t="shared" si="37"/>
        <v>1367864.5499999998</v>
      </c>
      <c r="AJ93" s="535">
        <f t="shared" si="37"/>
        <v>-14344968.711052626</v>
      </c>
      <c r="AK93" s="535">
        <f t="shared" si="37"/>
        <v>0</v>
      </c>
      <c r="AL93" s="535">
        <f t="shared" si="37"/>
        <v>0</v>
      </c>
      <c r="AM93" s="18"/>
      <c r="AN93" s="18"/>
      <c r="AO93" s="18"/>
      <c r="AP93" s="18"/>
      <c r="AQ93" s="18"/>
      <c r="AR93" s="18"/>
      <c r="AS93" s="18"/>
      <c r="AT93" s="18"/>
    </row>
    <row r="94" spans="1:46" hidden="1" outlineLevel="1" x14ac:dyDescent="0.45">
      <c r="F94" s="18"/>
      <c r="G94" s="18"/>
      <c r="I94" s="18"/>
      <c r="J94" s="18"/>
      <c r="K94" s="18"/>
      <c r="L94" s="18"/>
      <c r="P94" s="533">
        <f>SUMIF('10. Inputs &amp; Calcs'!$D$396:$D$400,$E$10,'10. Inputs &amp; Calcs'!H$396:H$400)</f>
        <v>35073.449999999997</v>
      </c>
      <c r="Q94" s="801">
        <f>SUMIF('10. Inputs &amp; Calcs'!$D$396:$D$400,$E$10,'10. Inputs &amp; Calcs'!I$396:I$400)</f>
        <v>105220.34999999999</v>
      </c>
      <c r="R94" s="801">
        <f>SUMIF('10. Inputs &amp; Calcs'!$D$396:$D$400,$E$10,'10. Inputs &amp; Calcs'!J$396:J$400)</f>
        <v>175367.25</v>
      </c>
      <c r="S94" s="801">
        <f>SUMIF('10. Inputs &amp; Calcs'!$D$396:$D$400,$E$10,'10. Inputs &amp; Calcs'!K$396:K$400)</f>
        <v>245514.14999999997</v>
      </c>
      <c r="T94" s="801">
        <f>SUMIF('10. Inputs &amp; Calcs'!$D$396:$D$400,$E$10,'10. Inputs &amp; Calcs'!L$396:L$400)</f>
        <v>315661.05</v>
      </c>
      <c r="U94" s="801">
        <f>SUMIF('10. Inputs &amp; Calcs'!$D$396:$D$400,$E$10,'10. Inputs &amp; Calcs'!M$396:M$400)</f>
        <v>385807.94999999995</v>
      </c>
      <c r="V94" s="801">
        <f>SUMIF('10. Inputs &amp; Calcs'!$D$396:$D$400,$E$10,'10. Inputs &amp; Calcs'!N$396:N$400)</f>
        <v>455954.85</v>
      </c>
      <c r="W94" s="801">
        <f>SUMIF('10. Inputs &amp; Calcs'!$D$396:$D$400,$E$10,'10. Inputs &amp; Calcs'!O$396:O$400)</f>
        <v>526101.75</v>
      </c>
      <c r="X94" s="801">
        <f>SUMIF('10. Inputs &amp; Calcs'!$D$396:$D$400,$E$10,'10. Inputs &amp; Calcs'!P$396:P$400)</f>
        <v>596248.64999999991</v>
      </c>
      <c r="Y94" s="801">
        <f>SUMIF('10. Inputs &amp; Calcs'!$D$396:$D$400,$E$10,'10. Inputs &amp; Calcs'!Q$396:Q$400)</f>
        <v>666395.54999999993</v>
      </c>
      <c r="Z94" s="801">
        <f>SUMIF('10. Inputs &amp; Calcs'!$D$396:$D$400,$E$10,'10. Inputs &amp; Calcs'!R$396:R$400)</f>
        <v>736542.45</v>
      </c>
      <c r="AA94" s="801">
        <f>SUMIF('10. Inputs &amp; Calcs'!$D$396:$D$400,$E$10,'10. Inputs &amp; Calcs'!S$396:S$400)</f>
        <v>806689.35</v>
      </c>
      <c r="AB94" s="801">
        <f>SUMIF('10. Inputs &amp; Calcs'!$D$396:$D$400,$E$10,'10. Inputs &amp; Calcs'!T$396:T$400)</f>
        <v>876836.24999999988</v>
      </c>
      <c r="AC94" s="801">
        <f>SUMIF('10. Inputs &amp; Calcs'!$D$396:$D$400,$E$10,'10. Inputs &amp; Calcs'!U$396:U$400)</f>
        <v>946983.14999999991</v>
      </c>
      <c r="AD94" s="801">
        <f>SUMIF('10. Inputs &amp; Calcs'!$D$396:$D$400,$E$10,'10. Inputs &amp; Calcs'!V$396:V$400)</f>
        <v>1017130.0499999999</v>
      </c>
      <c r="AE94" s="801">
        <f>SUMIF('10. Inputs &amp; Calcs'!$D$396:$D$400,$E$10,'10. Inputs &amp; Calcs'!W$396:W$400)</f>
        <v>1087276.95</v>
      </c>
      <c r="AF94" s="533">
        <f>SUMIF('10. Inputs &amp; Calcs'!$D$396:$D$400,$E$10,'10. Inputs &amp; Calcs'!X$396:X$400)</f>
        <v>1157423.8499999999</v>
      </c>
      <c r="AG94" s="533">
        <f>SUMIF('10. Inputs &amp; Calcs'!$D$396:$D$400,$E$10,'10. Inputs &amp; Calcs'!Y$396:Y$400)</f>
        <v>1227570.75</v>
      </c>
      <c r="AH94" s="533">
        <f>SUMIF('10. Inputs &amp; Calcs'!$D$396:$D$400,$E$10,'10. Inputs &amp; Calcs'!Z$396:Z$400)</f>
        <v>1297717.6499999999</v>
      </c>
      <c r="AI94" s="533">
        <f>SUMIF('10. Inputs &amp; Calcs'!$D$396:$D$400,$E$10,'10. Inputs &amp; Calcs'!AA$396:AA$400)</f>
        <v>1367864.5499999998</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hidden="1"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hidden="1" outlineLevel="1" x14ac:dyDescent="0.45">
      <c r="F96" s="18"/>
      <c r="G96" s="18"/>
      <c r="I96" s="18"/>
      <c r="J96" s="18"/>
      <c r="K96" s="18"/>
      <c r="L96" s="18"/>
      <c r="P96" s="533">
        <f>P94-P95</f>
        <v>-8745627.4900000002</v>
      </c>
      <c r="Q96" s="801">
        <f t="shared" ref="Q96:AL96" si="38">Q94-Q95</f>
        <v>-10061907.054210527</v>
      </c>
      <c r="R96" s="801">
        <f t="shared" si="38"/>
        <v>-11378186.618421052</v>
      </c>
      <c r="S96" s="801">
        <f t="shared" si="38"/>
        <v>-12694466.182631576</v>
      </c>
      <c r="T96" s="801">
        <f t="shared" si="38"/>
        <v>-12778366.667543856</v>
      </c>
      <c r="U96" s="801">
        <f t="shared" si="38"/>
        <v>-12862267.152456138</v>
      </c>
      <c r="V96" s="801">
        <f t="shared" si="38"/>
        <v>-12946167.637368418</v>
      </c>
      <c r="W96" s="801">
        <f t="shared" si="38"/>
        <v>-13030068.122280698</v>
      </c>
      <c r="X96" s="801">
        <f t="shared" si="38"/>
        <v>-13113968.607192978</v>
      </c>
      <c r="Y96" s="801">
        <f t="shared" si="38"/>
        <v>-13197869.092105258</v>
      </c>
      <c r="Z96" s="801">
        <f t="shared" si="38"/>
        <v>-13281769.57701754</v>
      </c>
      <c r="AA96" s="801">
        <f t="shared" si="38"/>
        <v>-13365670.06192982</v>
      </c>
      <c r="AB96" s="801">
        <f t="shared" si="38"/>
        <v>-13449570.5468421</v>
      </c>
      <c r="AC96" s="801">
        <f t="shared" si="38"/>
        <v>-13533471.03175438</v>
      </c>
      <c r="AD96" s="801">
        <f t="shared" si="38"/>
        <v>-13617371.51666666</v>
      </c>
      <c r="AE96" s="801">
        <f t="shared" si="38"/>
        <v>-13701272.001578942</v>
      </c>
      <c r="AF96" s="533">
        <f t="shared" si="38"/>
        <v>-13785172.486491222</v>
      </c>
      <c r="AG96" s="533">
        <f t="shared" si="38"/>
        <v>-13869072.971403502</v>
      </c>
      <c r="AH96" s="533">
        <f t="shared" si="38"/>
        <v>-13952973.456315782</v>
      </c>
      <c r="AI96" s="533">
        <f t="shared" si="38"/>
        <v>-14036873.941228062</v>
      </c>
      <c r="AJ96" s="533">
        <f t="shared" si="38"/>
        <v>0</v>
      </c>
      <c r="AK96" s="533">
        <f t="shared" si="38"/>
        <v>0</v>
      </c>
      <c r="AL96" s="533">
        <f t="shared" si="38"/>
        <v>0</v>
      </c>
      <c r="AM96" s="18"/>
      <c r="AN96" s="18"/>
      <c r="AO96" s="18"/>
      <c r="AP96" s="18"/>
      <c r="AQ96" s="18"/>
      <c r="AR96" s="18"/>
      <c r="AS96" s="18"/>
      <c r="AT96" s="18"/>
    </row>
    <row r="97" spans="3:46" hidden="1"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hidden="1"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hidden="1"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hidden="1"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hidden="1" outlineLevel="1" x14ac:dyDescent="0.45">
      <c r="P101" s="896">
        <f>SUM(P99:P100)</f>
        <v>7399</v>
      </c>
      <c r="Q101" s="1137">
        <f t="shared" ref="Q101:AK101" si="39">SUM(Q99:Q100)</f>
        <v>7399</v>
      </c>
      <c r="R101" s="1137">
        <f t="shared" si="39"/>
        <v>7399</v>
      </c>
      <c r="S101" s="1137">
        <f t="shared" si="39"/>
        <v>7399</v>
      </c>
      <c r="T101" s="1137">
        <f t="shared" si="39"/>
        <v>7399</v>
      </c>
      <c r="U101" s="1137">
        <f t="shared" si="39"/>
        <v>7399</v>
      </c>
      <c r="V101" s="1137">
        <f t="shared" si="39"/>
        <v>7399</v>
      </c>
      <c r="W101" s="1137">
        <f t="shared" si="39"/>
        <v>7399</v>
      </c>
      <c r="X101" s="1137">
        <f t="shared" si="39"/>
        <v>7399</v>
      </c>
      <c r="Y101" s="1137">
        <f t="shared" si="39"/>
        <v>7399</v>
      </c>
      <c r="Z101" s="1137">
        <f t="shared" si="39"/>
        <v>7399</v>
      </c>
      <c r="AA101" s="1137">
        <f t="shared" si="39"/>
        <v>7399</v>
      </c>
      <c r="AB101" s="1137">
        <f t="shared" si="39"/>
        <v>7399</v>
      </c>
      <c r="AC101" s="1137">
        <f t="shared" si="39"/>
        <v>7399</v>
      </c>
      <c r="AD101" s="1137">
        <f t="shared" si="39"/>
        <v>7399</v>
      </c>
      <c r="AE101" s="1137">
        <f t="shared" si="39"/>
        <v>7399</v>
      </c>
      <c r="AF101" s="896">
        <f t="shared" si="39"/>
        <v>7399</v>
      </c>
      <c r="AG101" s="896">
        <f t="shared" si="39"/>
        <v>7399</v>
      </c>
      <c r="AH101" s="896">
        <f t="shared" si="39"/>
        <v>7399</v>
      </c>
      <c r="AI101" s="896">
        <f t="shared" si="39"/>
        <v>7399</v>
      </c>
      <c r="AJ101" s="896">
        <f t="shared" si="39"/>
        <v>7399</v>
      </c>
      <c r="AK101" s="896">
        <f t="shared" si="39"/>
        <v>0</v>
      </c>
      <c r="AL101" s="18"/>
      <c r="AM101" s="18"/>
      <c r="AN101" s="18"/>
      <c r="AO101" s="18"/>
      <c r="AP101" s="18"/>
      <c r="AQ101" s="18"/>
      <c r="AR101" s="18"/>
      <c r="AS101" s="18"/>
      <c r="AT101" s="18"/>
    </row>
    <row r="102" spans="3:46" collapsed="1"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Review'!$F$3:$W$3,'9c. Forecast Results - FS'!N$1,'11. Table - Expenditure Review'!$F210:$W210)</f>
        <v>0</v>
      </c>
      <c r="O104" s="800">
        <f>SUMIF('11. Table - Expenditure Review'!$F$3:$W$3,'9c. Forecast Results - FS'!O$1,'11. Table - Expenditure Review'!$F210:$W210)</f>
        <v>0</v>
      </c>
      <c r="P104" s="800">
        <f>SUMIF('11. Table - Expenditure Review'!$F$3:$W$3,'9c. Forecast Results - FS'!P$1,'11. Table - Expenditure Review'!$F210:$W210)</f>
        <v>0</v>
      </c>
      <c r="Q104" s="916">
        <f t="shared" ref="Q104:AL104" si="40">IF(Q19&lt;&gt;0,Q21/Q19,0)</f>
        <v>0.15120772946859903</v>
      </c>
      <c r="R104" s="916">
        <f t="shared" si="40"/>
        <v>0.15120772946859903</v>
      </c>
      <c r="S104" s="916">
        <f t="shared" si="40"/>
        <v>0.15120772946859903</v>
      </c>
      <c r="T104" s="916">
        <f t="shared" si="40"/>
        <v>0.15120772946859903</v>
      </c>
      <c r="U104" s="916">
        <f t="shared" si="40"/>
        <v>0.15120772946859903</v>
      </c>
      <c r="V104" s="916">
        <f t="shared" si="40"/>
        <v>0.15120772946859903</v>
      </c>
      <c r="W104" s="916">
        <f t="shared" si="40"/>
        <v>0.15120772946859903</v>
      </c>
      <c r="X104" s="916">
        <f t="shared" si="40"/>
        <v>0.15120772946859903</v>
      </c>
      <c r="Y104" s="916">
        <f t="shared" si="40"/>
        <v>0.15120772946859903</v>
      </c>
      <c r="Z104" s="916">
        <f t="shared" si="40"/>
        <v>0.15120772946859903</v>
      </c>
      <c r="AA104" s="916">
        <f t="shared" si="40"/>
        <v>0.15120772946859903</v>
      </c>
      <c r="AB104" s="916">
        <f t="shared" si="40"/>
        <v>0.15120772946859903</v>
      </c>
      <c r="AC104" s="916">
        <f t="shared" si="40"/>
        <v>0.15120772946859903</v>
      </c>
      <c r="AD104" s="916">
        <f t="shared" si="40"/>
        <v>0.15120772946859903</v>
      </c>
      <c r="AE104" s="916">
        <f t="shared" si="40"/>
        <v>0.15120772946859903</v>
      </c>
      <c r="AF104" s="916">
        <f t="shared" si="40"/>
        <v>0.15120772946859903</v>
      </c>
      <c r="AG104" s="916">
        <f t="shared" si="40"/>
        <v>0.15120772946859903</v>
      </c>
      <c r="AH104" s="916">
        <f t="shared" si="40"/>
        <v>0.15120772946859903</v>
      </c>
      <c r="AI104" s="916">
        <f t="shared" si="40"/>
        <v>0.15120772946859903</v>
      </c>
      <c r="AJ104" s="916">
        <f t="shared" si="40"/>
        <v>0.15120772946859903</v>
      </c>
      <c r="AK104" s="916">
        <f t="shared" si="40"/>
        <v>0</v>
      </c>
      <c r="AL104" s="916">
        <f t="shared" si="40"/>
        <v>0.15120772946859914</v>
      </c>
    </row>
    <row r="105" spans="3:46" x14ac:dyDescent="0.45">
      <c r="C105" t="str">
        <f>'11. Table - Expenditure Review'!C211</f>
        <v>E1.44</v>
      </c>
      <c r="D105" t="str">
        <f>'11. Table - Expenditure Review'!E211</f>
        <v>Rental Collections/Rentals Raised</v>
      </c>
      <c r="N105" s="800">
        <f>SUMIF('11. Table - Expenditure Review'!$F$3:$W$3,'9c. Forecast Results - FS'!N$1,'11. Table - Expenditure Review'!$F211:$W211)</f>
        <v>4.2266858310417869E-2</v>
      </c>
      <c r="O105" s="800">
        <f>SUMIF('11. Table - Expenditure Review'!$F$3:$W$3,'9c. Forecast Results - FS'!O$1,'11. Table - Expenditure Review'!$F211:$W211)</f>
        <v>2.984770471210263E-2</v>
      </c>
      <c r="P105" s="800">
        <f>SUMIF('11. Table - Expenditure Review'!$F$3:$W$3,'9c. Forecast Results - FS'!P$1,'11. Table - Expenditure Review'!$F211:$W211)</f>
        <v>0</v>
      </c>
      <c r="Q105" s="916">
        <f t="shared" ref="Q105:AL105" si="41">IF(Q23&lt;&gt;0,Q25/Q23,0)</f>
        <v>0</v>
      </c>
      <c r="R105" s="916">
        <f t="shared" si="41"/>
        <v>0</v>
      </c>
      <c r="S105" s="916">
        <f t="shared" si="41"/>
        <v>0</v>
      </c>
      <c r="T105" s="916">
        <f t="shared" si="41"/>
        <v>0</v>
      </c>
      <c r="U105" s="916">
        <f t="shared" si="41"/>
        <v>0</v>
      </c>
      <c r="V105" s="916">
        <f t="shared" si="41"/>
        <v>0</v>
      </c>
      <c r="W105" s="916">
        <f t="shared" si="41"/>
        <v>0</v>
      </c>
      <c r="X105" s="916">
        <f t="shared" si="41"/>
        <v>0</v>
      </c>
      <c r="Y105" s="916">
        <f t="shared" si="41"/>
        <v>0</v>
      </c>
      <c r="Z105" s="916">
        <f t="shared" si="41"/>
        <v>0</v>
      </c>
      <c r="AA105" s="916">
        <f t="shared" si="41"/>
        <v>0</v>
      </c>
      <c r="AB105" s="916">
        <f t="shared" si="41"/>
        <v>0</v>
      </c>
      <c r="AC105" s="916">
        <f t="shared" si="41"/>
        <v>0</v>
      </c>
      <c r="AD105" s="916">
        <f t="shared" si="41"/>
        <v>0</v>
      </c>
      <c r="AE105" s="916">
        <f t="shared" si="41"/>
        <v>0</v>
      </c>
      <c r="AF105" s="916">
        <f t="shared" si="41"/>
        <v>0</v>
      </c>
      <c r="AG105" s="916">
        <f t="shared" si="41"/>
        <v>0</v>
      </c>
      <c r="AH105" s="916">
        <f t="shared" si="41"/>
        <v>0</v>
      </c>
      <c r="AI105" s="916">
        <f t="shared" si="41"/>
        <v>0</v>
      </c>
      <c r="AJ105" s="916">
        <f t="shared" si="41"/>
        <v>0</v>
      </c>
      <c r="AK105" s="916">
        <f t="shared" si="41"/>
        <v>0</v>
      </c>
      <c r="AL105" s="916">
        <f t="shared" si="41"/>
        <v>0</v>
      </c>
    </row>
    <row r="106" spans="3:46" x14ac:dyDescent="0.45">
      <c r="C106" t="str">
        <f>'11. Table - Expenditure Review'!C212</f>
        <v>E1.45</v>
      </c>
      <c r="D106" t="str">
        <f>'11. Table - Expenditure Review'!E212</f>
        <v>No. of Sales Accounts Where Any Collections Were Made/Sales Accounts Raised</v>
      </c>
      <c r="N106" s="800">
        <f>SUMIF('11. Table - Expenditure Review'!$F$3:$W$3,'9c. Forecast Results - FS'!N$1,'11. Table - Expenditure Review'!$F212:$W212)</f>
        <v>0</v>
      </c>
      <c r="O106" s="800">
        <f>SUMIF('11. Table - Expenditure Review'!$F$3:$W$3,'9c. Forecast Results - FS'!O$1,'11. Table - Expenditure Review'!$F212:$W212)</f>
        <v>0</v>
      </c>
      <c r="P106" s="800">
        <f>SUMIF('11. Table - Expenditure Review'!$F$3:$W$3,'9c. Forecast Results - FS'!P$1,'11. Table - Expenditure Review'!$F212:$W212)</f>
        <v>6.2086092715231786E-2</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Review'!$F$3:$W$3,'9c. Forecast Results - FS'!N$1,'11. Table - Expenditure Review'!$F213:$W213)</f>
        <v>0.82199546485260766</v>
      </c>
      <c r="O107" s="800">
        <f>SUMIF('11. Table - Expenditure Review'!$F$3:$W$3,'9c. Forecast Results - FS'!O$1,'11. Table - Expenditure Review'!$F213:$W213)</f>
        <v>0.83685446009389675</v>
      </c>
      <c r="P107" s="800">
        <f>SUMIF('11. Table - Expenditure Review'!$F$3:$W$3,'9c. Forecast Results - FS'!P$1,'11. Table - Expenditure Review'!$F213:$W213)</f>
        <v>0.83985765124555156</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Review'!$F$3:$W$3,'9c. Forecast Results - FS'!N$1,'11. Table - Expenditure Review'!$F214:$W214)</f>
        <v>0</v>
      </c>
      <c r="O108" s="800">
        <f>SUMIF('11. Table - Expenditure Review'!$F$3:$W$3,'9c. Forecast Results - FS'!O$1,'11. Table - Expenditure Review'!$F214:$W214)</f>
        <v>0</v>
      </c>
      <c r="P108" s="800">
        <f>SUMIF('11. Table - Expenditure Review'!$F$3:$W$3,'9c. Forecast Results - FS'!P$1,'11. Table - Expenditure Review'!$F214:$W214)</f>
        <v>0</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Review'!$F$3:$W$3,'9c. Forecast Results - FS'!N$1,'11. Table - Expenditure Review'!$F215:$W215)</f>
        <v>0</v>
      </c>
      <c r="O109" s="800">
        <f>SUMIF('11. Table - Expenditure Review'!$F$3:$W$3,'9c. Forecast Results - FS'!O$1,'11. Table - Expenditure Review'!$F215:$W215)</f>
        <v>0</v>
      </c>
      <c r="P109" s="800">
        <f>SUMIF('11. Table - Expenditure Review'!$F$3:$W$3,'9c. Forecast Results - FS'!P$1,'11.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Review'!$F$3:$W$3,'9c. Forecast Results - FS'!N$1,'11. Table - Expenditure Review'!$F216:$W216)</f>
        <v>6.1530126699170209</v>
      </c>
      <c r="O110" s="800">
        <f>SUMIF('11. Table - Expenditure Review'!$F$3:$W$3,'9c. Forecast Results - FS'!O$1,'11. Table - Expenditure Review'!$F216:$W216)</f>
        <v>7.8233522643358695</v>
      </c>
      <c r="P110" s="800">
        <f>SUMIF('11. Table - Expenditure Review'!$F$3:$W$3,'9c. Forecast Results - FS'!P$1,'11. Table - Expenditure Review'!$F216:$W216)</f>
        <v>8970.8083200000001</v>
      </c>
      <c r="Q110" s="914">
        <f t="shared" ref="Q110:AL110" ca="1" si="42">IF(Q28&lt;&gt;0,Q47/Q28,0)</f>
        <v>108.20772131193034</v>
      </c>
      <c r="R110" s="914">
        <f t="shared" ca="1" si="42"/>
        <v>109.25624872522359</v>
      </c>
      <c r="S110" s="914">
        <f t="shared" ca="1" si="42"/>
        <v>110.09278579701049</v>
      </c>
      <c r="T110" s="914">
        <f t="shared" ca="1" si="42"/>
        <v>110.69084179430016</v>
      </c>
      <c r="U110" s="914">
        <f t="shared" ca="1" si="42"/>
        <v>111.02165327425571</v>
      </c>
      <c r="V110" s="914">
        <f t="shared" ca="1" si="42"/>
        <v>111.05401422057862</v>
      </c>
      <c r="W110" s="914">
        <f t="shared" ca="1" si="42"/>
        <v>110.75409436984245</v>
      </c>
      <c r="X110" s="914">
        <f t="shared" ca="1" si="42"/>
        <v>110.08524494250806</v>
      </c>
      <c r="Y110" s="914">
        <f t="shared" ca="1" si="42"/>
        <v>109.00779094269812</v>
      </c>
      <c r="Z110" s="914">
        <f t="shared" ca="1" si="42"/>
        <v>107.47880913695796</v>
      </c>
      <c r="AA110" s="914">
        <f t="shared" ca="1" si="42"/>
        <v>105.45189076498474</v>
      </c>
      <c r="AB110" s="914">
        <f t="shared" ca="1" si="42"/>
        <v>102.8768879744552</v>
      </c>
      <c r="AC110" s="914">
        <f t="shared" ca="1" si="42"/>
        <v>99.699642907403287</v>
      </c>
      <c r="AD110" s="914">
        <f t="shared" ca="1" si="42"/>
        <v>95.861698296852978</v>
      </c>
      <c r="AE110" s="914">
        <f t="shared" ca="1" si="42"/>
        <v>91.299988359347211</v>
      </c>
      <c r="AF110" s="914">
        <f t="shared" ca="1" si="42"/>
        <v>85.946508691367839</v>
      </c>
      <c r="AG110" s="914">
        <f t="shared" ca="1" si="42"/>
        <v>79.727963795123713</v>
      </c>
      <c r="AH110" s="914">
        <f t="shared" ca="1" si="42"/>
        <v>72.565390771501342</v>
      </c>
      <c r="AI110" s="914">
        <f t="shared" ca="1" si="42"/>
        <v>64.373757624800263</v>
      </c>
      <c r="AJ110" s="914">
        <f t="shared" ca="1" si="42"/>
        <v>3.6504154477342858</v>
      </c>
      <c r="AK110" s="914">
        <f t="shared" ca="1" si="42"/>
        <v>0</v>
      </c>
      <c r="AL110" s="914">
        <f t="shared" ca="1" si="42"/>
        <v>79.737708789158859</v>
      </c>
    </row>
    <row r="111" spans="3:46" x14ac:dyDescent="0.45">
      <c r="C111" t="str">
        <f>'11. Table - Expenditure Review'!C217</f>
        <v>E1.50</v>
      </c>
      <c r="D111" t="str">
        <f>'11. Table - Expenditure Review'!E217</f>
        <v>Maintenance as % of Expenses</v>
      </c>
      <c r="N111" s="800">
        <f>SUMIF('11. Table - Expenditure Review'!$F$3:$W$3,'9c. Forecast Results - FS'!N$1,'11. Table - Expenditure Review'!$F217:$W217)</f>
        <v>0</v>
      </c>
      <c r="O111" s="800">
        <f>SUMIF('11. Table - Expenditure Review'!$F$3:$W$3,'9c. Forecast Results - FS'!O$1,'11. Table - Expenditure Review'!$F217:$W217)</f>
        <v>0</v>
      </c>
      <c r="P111" s="800">
        <f>SUMIF('11. Table - Expenditure Review'!$F$3:$W$3,'9c. Forecast Results - FS'!P$1,'11. Table - Expenditure Review'!$F217:$W217)</f>
        <v>0</v>
      </c>
      <c r="Q111" s="914">
        <f t="shared" ref="Q111:AL111" si="43">IF(Q47&lt;&gt;0,Q33/Q47,0)</f>
        <v>0</v>
      </c>
      <c r="R111" s="914">
        <f t="shared" si="43"/>
        <v>0</v>
      </c>
      <c r="S111" s="914">
        <f t="shared" si="43"/>
        <v>0</v>
      </c>
      <c r="T111" s="914">
        <f t="shared" si="43"/>
        <v>0</v>
      </c>
      <c r="U111" s="914">
        <f t="shared" si="43"/>
        <v>0</v>
      </c>
      <c r="V111" s="914">
        <f t="shared" si="43"/>
        <v>0</v>
      </c>
      <c r="W111" s="914">
        <f t="shared" si="43"/>
        <v>0</v>
      </c>
      <c r="X111" s="914">
        <f t="shared" si="43"/>
        <v>0</v>
      </c>
      <c r="Y111" s="914">
        <f t="shared" si="43"/>
        <v>0</v>
      </c>
      <c r="Z111" s="914">
        <f t="shared" si="43"/>
        <v>0</v>
      </c>
      <c r="AA111" s="914">
        <f t="shared" si="43"/>
        <v>0</v>
      </c>
      <c r="AB111" s="914">
        <f t="shared" si="43"/>
        <v>0</v>
      </c>
      <c r="AC111" s="914">
        <f t="shared" si="43"/>
        <v>0</v>
      </c>
      <c r="AD111" s="914">
        <f t="shared" si="43"/>
        <v>0</v>
      </c>
      <c r="AE111" s="914">
        <f t="shared" si="43"/>
        <v>0</v>
      </c>
      <c r="AF111" s="914">
        <f t="shared" si="43"/>
        <v>0</v>
      </c>
      <c r="AG111" s="914">
        <f t="shared" si="43"/>
        <v>0</v>
      </c>
      <c r="AH111" s="914">
        <f t="shared" si="43"/>
        <v>0</v>
      </c>
      <c r="AI111" s="914">
        <f t="shared" si="43"/>
        <v>0</v>
      </c>
      <c r="AJ111" s="914">
        <f t="shared" si="43"/>
        <v>0</v>
      </c>
      <c r="AK111" s="914">
        <f t="shared" si="43"/>
        <v>0</v>
      </c>
      <c r="AL111" s="914">
        <f t="shared" si="43"/>
        <v>0</v>
      </c>
    </row>
    <row r="112" spans="3:46" x14ac:dyDescent="0.45">
      <c r="C112" t="str">
        <f>'11. Table - Expenditure Review'!C218</f>
        <v>E1.51</v>
      </c>
      <c r="D112" t="str">
        <f>'11. Table - Expenditure Review'!E218</f>
        <v>Maintenance Cost per Unit</v>
      </c>
      <c r="N112" s="801">
        <f>SUMIF('11. Table - Expenditure Review'!$F$3:$W$3,'9c. Forecast Results - FS'!N$1,'11. Table - Expenditure Review'!$F218:$W218)</f>
        <v>0</v>
      </c>
      <c r="O112" s="801">
        <f>SUMIF('11. Table - Expenditure Review'!$F$3:$W$3,'9c. Forecast Results - FS'!O$1,'11. Table - Expenditure Review'!$F218:$W218)</f>
        <v>0</v>
      </c>
      <c r="P112" s="801">
        <f>SUMIF('11. Table - Expenditure Review'!$F$3:$W$3,'9c. Forecast Results - FS'!P$1,'11. Table - Expenditure Review'!$F218:$W218)</f>
        <v>0</v>
      </c>
      <c r="Q112" s="566">
        <f t="shared" ref="Q112:AL112" si="44">IF(Q13&lt;&gt;0,Q33/Q13,0)</f>
        <v>0</v>
      </c>
      <c r="R112" s="566">
        <f t="shared" si="44"/>
        <v>0</v>
      </c>
      <c r="S112" s="566">
        <f t="shared" si="44"/>
        <v>0</v>
      </c>
      <c r="T112" s="566">
        <f t="shared" si="44"/>
        <v>0</v>
      </c>
      <c r="U112" s="566">
        <f t="shared" si="44"/>
        <v>0</v>
      </c>
      <c r="V112" s="566">
        <f t="shared" si="44"/>
        <v>0</v>
      </c>
      <c r="W112" s="566">
        <f t="shared" si="44"/>
        <v>0</v>
      </c>
      <c r="X112" s="566">
        <f t="shared" si="44"/>
        <v>0</v>
      </c>
      <c r="Y112" s="566">
        <f t="shared" si="44"/>
        <v>0</v>
      </c>
      <c r="Z112" s="566">
        <f t="shared" si="44"/>
        <v>0</v>
      </c>
      <c r="AA112" s="566">
        <f t="shared" si="44"/>
        <v>0</v>
      </c>
      <c r="AB112" s="566">
        <f t="shared" si="44"/>
        <v>0</v>
      </c>
      <c r="AC112" s="566">
        <f t="shared" si="44"/>
        <v>0</v>
      </c>
      <c r="AD112" s="566">
        <f t="shared" si="44"/>
        <v>0</v>
      </c>
      <c r="AE112" s="566">
        <f t="shared" si="44"/>
        <v>0</v>
      </c>
      <c r="AF112" s="566">
        <f t="shared" si="44"/>
        <v>0</v>
      </c>
      <c r="AG112" s="566">
        <f t="shared" si="44"/>
        <v>0</v>
      </c>
      <c r="AH112" s="566">
        <f t="shared" si="44"/>
        <v>0</v>
      </c>
      <c r="AI112" s="566">
        <f t="shared" si="44"/>
        <v>0</v>
      </c>
      <c r="AJ112" s="566">
        <f t="shared" si="44"/>
        <v>0</v>
      </c>
      <c r="AK112" s="566">
        <f t="shared" si="44"/>
        <v>0</v>
      </c>
      <c r="AL112" s="566">
        <f t="shared" si="44"/>
        <v>0</v>
      </c>
    </row>
    <row r="113" spans="1:38" x14ac:dyDescent="0.45">
      <c r="C113" t="str">
        <f>'11. Table - Expenditure Review'!C219</f>
        <v>E1.52</v>
      </c>
      <c r="D113" t="str">
        <f>'11. Table - Expenditure Review'!E219</f>
        <v>Net Deficit as % of HSDG Grant -  NDoHS Calc  (excl staff costs)</v>
      </c>
      <c r="N113" s="802">
        <f>SUMIF('11. Table - Expenditure Review'!$F$3:$W$3,'9c. Forecast Results - FS'!N$1,'11. Table - Expenditure Review'!$F219:$W219)</f>
        <v>5.0872661621275913E-4</v>
      </c>
      <c r="O113" s="802">
        <f>SUMIF('11. Table - Expenditure Review'!$F$3:$W$3,'9c. Forecast Results - FS'!O$1,'11. Table - Expenditure Review'!$F219:$W219)</f>
        <v>-3.7967291920177517E-6</v>
      </c>
      <c r="P113" s="802">
        <f>SUMIF('11. Table - Expenditure Review'!$F$3:$W$3,'9c. Forecast Results - FS'!P$1,'11. Table - Expenditure Review'!$F219:$W219)</f>
        <v>0</v>
      </c>
      <c r="Q113" s="915">
        <f t="shared" ref="Q113:AL113" ca="1" si="45">IF(Q71&lt;&gt;0,-Q48/Q71,0)</f>
        <v>1.0755160117071089E-3</v>
      </c>
      <c r="R113" s="915">
        <f t="shared" ca="1" si="45"/>
        <v>1.0860349184417233E-3</v>
      </c>
      <c r="S113" s="915">
        <f t="shared" ca="1" si="45"/>
        <v>1.0944271219517263E-3</v>
      </c>
      <c r="T113" s="915">
        <f t="shared" ca="1" si="45"/>
        <v>1.1004268651895383E-3</v>
      </c>
      <c r="U113" s="915">
        <f t="shared" ca="1" si="45"/>
        <v>1.1037455911096007E-3</v>
      </c>
      <c r="V113" s="915">
        <f t="shared" ca="1" si="45"/>
        <v>1.1040702385836667E-3</v>
      </c>
      <c r="W113" s="915">
        <f t="shared" ca="1" si="45"/>
        <v>1.1010614198367686E-3</v>
      </c>
      <c r="X113" s="915">
        <f t="shared" ca="1" si="45"/>
        <v>1.0943514715259913E-3</v>
      </c>
      <c r="Y113" s="915">
        <f t="shared" ca="1" si="45"/>
        <v>1.0835423710760174E-3</v>
      </c>
      <c r="Z113" s="915">
        <f t="shared" ca="1" si="45"/>
        <v>1.068203509345175E-3</v>
      </c>
      <c r="AA113" s="915">
        <f t="shared" ca="1" si="45"/>
        <v>1.0478693101214302E-3</v>
      </c>
      <c r="AB113" s="915">
        <f t="shared" ca="1" si="45"/>
        <v>1.0220366863372995E-3</v>
      </c>
      <c r="AC113" s="915">
        <f t="shared" ca="1" si="45"/>
        <v>9.9016232224379214E-4</v>
      </c>
      <c r="AD113" s="915">
        <f t="shared" ca="1" si="45"/>
        <v>9.5165977009382388E-4</v>
      </c>
      <c r="AE113" s="915">
        <f t="shared" ca="1" si="45"/>
        <v>9.0589634915256645E-4</v>
      </c>
      <c r="AF113" s="915">
        <f t="shared" ca="1" si="45"/>
        <v>8.5218983407323197E-4</v>
      </c>
      <c r="AG113" s="915">
        <f t="shared" ca="1" si="45"/>
        <v>7.898049188489794E-4</v>
      </c>
      <c r="AH113" s="915">
        <f t="shared" ca="1" si="45"/>
        <v>7.1794944167198236E-4</v>
      </c>
      <c r="AI113" s="915">
        <f t="shared" ca="1" si="45"/>
        <v>6.3577035509599267E-4</v>
      </c>
      <c r="AJ113" s="915">
        <f t="shared" ca="1" si="45"/>
        <v>1.3294584647593257E-4</v>
      </c>
      <c r="AK113" s="915">
        <f t="shared" ca="1" si="45"/>
        <v>0</v>
      </c>
      <c r="AL113" s="915">
        <f t="shared" ca="1" si="45"/>
        <v>9.0274592156582619E-4</v>
      </c>
    </row>
    <row r="114" spans="1:38" x14ac:dyDescent="0.45">
      <c r="C114" t="str">
        <f>'11. Table - Expenditure Review'!C220</f>
        <v>E1.53</v>
      </c>
      <c r="D114" t="str">
        <f>'11. Table - Expenditure Review'!E220</f>
        <v>Net Deficit (Surplus) as % of HSDG Grant - Calculated Above</v>
      </c>
      <c r="N114" s="802">
        <f>SUMIF('11. Table - Expenditure Review'!$F$3:$W$3,'9c. Forecast Results - FS'!N$1,'11. Table - Expenditure Review'!$F220:$W220)</f>
        <v>6.5318922090560423E-4</v>
      </c>
      <c r="O114" s="802">
        <f>SUMIF('11. Table - Expenditure Review'!$F$3:$W$3,'9c. Forecast Results - FS'!O$1,'11. Table - Expenditure Review'!$F220:$W220)</f>
        <v>8.9348103833021271E-4</v>
      </c>
      <c r="P114" s="802">
        <f>SUMIF('11. Table - Expenditure Review'!$F$3:$W$3,'9c. Forecast Results - FS'!P$1,'11. Table - Expenditure Review'!$F220:$W220)</f>
        <v>1.0604776389314507E-3</v>
      </c>
      <c r="Q114" s="915">
        <f t="shared" ref="Q114:AL114" ca="1" si="46">IF(Q71&lt;&gt;0,-Q48/Q71,0)</f>
        <v>1.0755160117071089E-3</v>
      </c>
      <c r="R114" s="915">
        <f t="shared" ca="1" si="46"/>
        <v>1.0860349184417233E-3</v>
      </c>
      <c r="S114" s="915">
        <f t="shared" ca="1" si="46"/>
        <v>1.0944271219517263E-3</v>
      </c>
      <c r="T114" s="915">
        <f t="shared" ca="1" si="46"/>
        <v>1.1004268651895383E-3</v>
      </c>
      <c r="U114" s="915">
        <f t="shared" ca="1" si="46"/>
        <v>1.1037455911096007E-3</v>
      </c>
      <c r="V114" s="915">
        <f t="shared" ca="1" si="46"/>
        <v>1.1040702385836667E-3</v>
      </c>
      <c r="W114" s="915">
        <f t="shared" ca="1" si="46"/>
        <v>1.1010614198367686E-3</v>
      </c>
      <c r="X114" s="915">
        <f t="shared" ca="1" si="46"/>
        <v>1.0943514715259913E-3</v>
      </c>
      <c r="Y114" s="915">
        <f t="shared" ca="1" si="46"/>
        <v>1.0835423710760174E-3</v>
      </c>
      <c r="Z114" s="915">
        <f t="shared" ca="1" si="46"/>
        <v>1.068203509345175E-3</v>
      </c>
      <c r="AA114" s="915">
        <f t="shared" ca="1" si="46"/>
        <v>1.0478693101214302E-3</v>
      </c>
      <c r="AB114" s="915">
        <f t="shared" ca="1" si="46"/>
        <v>1.0220366863372995E-3</v>
      </c>
      <c r="AC114" s="915">
        <f t="shared" ca="1" si="46"/>
        <v>9.9016232224379214E-4</v>
      </c>
      <c r="AD114" s="915">
        <f t="shared" ca="1" si="46"/>
        <v>9.5165977009382388E-4</v>
      </c>
      <c r="AE114" s="915">
        <f t="shared" ca="1" si="46"/>
        <v>9.0589634915256645E-4</v>
      </c>
      <c r="AF114" s="915">
        <f t="shared" ca="1" si="46"/>
        <v>8.5218983407323197E-4</v>
      </c>
      <c r="AG114" s="915">
        <f t="shared" ca="1" si="46"/>
        <v>7.898049188489794E-4</v>
      </c>
      <c r="AH114" s="915">
        <f t="shared" ca="1" si="46"/>
        <v>7.1794944167198236E-4</v>
      </c>
      <c r="AI114" s="915">
        <f t="shared" ca="1" si="46"/>
        <v>6.3577035509599267E-4</v>
      </c>
      <c r="AJ114" s="915">
        <f t="shared" ca="1" si="46"/>
        <v>1.3294584647593257E-4</v>
      </c>
      <c r="AK114" s="915">
        <f t="shared" ca="1" si="46"/>
        <v>0</v>
      </c>
      <c r="AL114" s="915">
        <f t="shared" ca="1" si="46"/>
        <v>9.0274592156582619E-4</v>
      </c>
    </row>
    <row r="115" spans="1:38" x14ac:dyDescent="0.45">
      <c r="C115" t="str">
        <f>'11. Table - Expenditure Review'!C221</f>
        <v>E1.54</v>
      </c>
      <c r="D115" t="str">
        <f>'11. Table - Expenditure Review'!E221</f>
        <v>EEDBS as % of HSDG</v>
      </c>
      <c r="N115" s="802">
        <f>SUMIF('11. Table - Expenditure Review'!$F$3:$W$3,'9c. Forecast Results - FS'!N$1,'11. Table - Expenditure Review'!$F221:$W221)</f>
        <v>1.165858338218835E-4</v>
      </c>
      <c r="O115" s="802">
        <f>SUMIF('11. Table - Expenditure Review'!$F$3:$W$3,'9c. Forecast Results - FS'!O$1,'11. Table - Expenditure Review'!$F221:$W221)</f>
        <v>1.2714785694641707E-4</v>
      </c>
      <c r="P115" s="802">
        <f>SUMIF('11. Table - Expenditure Review'!$F$3:$W$3,'9c. Forecast Results - FS'!P$1,'11. Table - Expenditure Review'!$F221:$W221)</f>
        <v>0</v>
      </c>
      <c r="Q115" s="580">
        <f t="shared" ref="Q115:AL115" ca="1" si="47">IF(Q71&lt;&gt;0,Q67/Q71,0)</f>
        <v>3.7292723620143686E-5</v>
      </c>
      <c r="R115" s="580">
        <f t="shared" ca="1" si="47"/>
        <v>3.7292723620143686E-5</v>
      </c>
      <c r="S115" s="580">
        <f t="shared" ca="1" si="47"/>
        <v>3.7292723620143686E-5</v>
      </c>
      <c r="T115" s="580">
        <f t="shared" ca="1" si="47"/>
        <v>3.7292723620143686E-5</v>
      </c>
      <c r="U115" s="580">
        <f t="shared" ca="1" si="47"/>
        <v>3.7292723620143686E-5</v>
      </c>
      <c r="V115" s="580">
        <f t="shared" ca="1" si="47"/>
        <v>3.7292723620143686E-5</v>
      </c>
      <c r="W115" s="580">
        <f t="shared" ca="1" si="47"/>
        <v>3.7292723620143686E-5</v>
      </c>
      <c r="X115" s="580">
        <f t="shared" ca="1" si="47"/>
        <v>3.7292723620143686E-5</v>
      </c>
      <c r="Y115" s="580">
        <f t="shared" ca="1" si="47"/>
        <v>3.7292723620143686E-5</v>
      </c>
      <c r="Z115" s="580">
        <f t="shared" ca="1" si="47"/>
        <v>3.7292723620143686E-5</v>
      </c>
      <c r="AA115" s="580">
        <f t="shared" ca="1" si="47"/>
        <v>3.7292723620143686E-5</v>
      </c>
      <c r="AB115" s="580">
        <f t="shared" ca="1" si="47"/>
        <v>3.7292723620143686E-5</v>
      </c>
      <c r="AC115" s="580">
        <f t="shared" ca="1" si="47"/>
        <v>3.7292723620143686E-5</v>
      </c>
      <c r="AD115" s="580">
        <f t="shared" ca="1" si="47"/>
        <v>3.7292723620143686E-5</v>
      </c>
      <c r="AE115" s="580">
        <f t="shared" ca="1" si="47"/>
        <v>3.7292723620143686E-5</v>
      </c>
      <c r="AF115" s="580">
        <f t="shared" ca="1" si="47"/>
        <v>3.7292723620143686E-5</v>
      </c>
      <c r="AG115" s="580">
        <f t="shared" ca="1" si="47"/>
        <v>3.7292723620143686E-5</v>
      </c>
      <c r="AH115" s="580">
        <f t="shared" ca="1" si="47"/>
        <v>3.7292723620143686E-5</v>
      </c>
      <c r="AI115" s="580">
        <f t="shared" ca="1" si="47"/>
        <v>3.7292723620143686E-5</v>
      </c>
      <c r="AJ115" s="580">
        <f t="shared" ca="1" si="47"/>
        <v>1.8119483979706493E-3</v>
      </c>
      <c r="AK115" s="580">
        <f t="shared" ca="1" si="47"/>
        <v>0</v>
      </c>
      <c r="AL115" s="580">
        <f t="shared" ca="1" si="47"/>
        <v>1.2002429270254187E-4</v>
      </c>
    </row>
    <row r="116" spans="1:38" x14ac:dyDescent="0.45">
      <c r="C116" t="str">
        <f>'11. Table - Expenditure Review'!C222</f>
        <v>E1.55</v>
      </c>
      <c r="D116" t="str">
        <f>'11. Table - Expenditure Review'!E222</f>
        <v>Debtors Balance as % of Rental Raised</v>
      </c>
      <c r="N116" s="802">
        <f>SUMIF('11. Table - Expenditure Review'!$F$3:$W$3,'9c. Forecast Results - FS'!N$1,'11. Table - Expenditure Review'!$F222:$W222)</f>
        <v>0</v>
      </c>
      <c r="O116" s="802">
        <f>SUMIF('11. Table - Expenditure Review'!$F$3:$W$3,'9c. Forecast Results - FS'!O$1,'11. Table - Expenditure Review'!$F222:$W222)</f>
        <v>0</v>
      </c>
      <c r="P116" s="802">
        <f>SUMIF('11. Table - Expenditure Review'!$F$3:$W$3,'9c. Forecast Results - FS'!P$1,'11. Table - Expenditure Review'!$F222:$W222)</f>
        <v>11.683678699918449</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Review'!$F$3:$W$3,'9c. Forecast Results - FS'!N$1,'11. Table - Expenditure Review'!$F223:$W223)</f>
        <v>0</v>
      </c>
      <c r="O117" s="801">
        <f>SUMIF('11. Table - Expenditure Review'!$F$3:$W$3,'9c. Forecast Results - FS'!O$1,'11. Table - Expenditure Review'!$F223:$W223)</f>
        <v>0</v>
      </c>
      <c r="P117" s="801">
        <f>SUMIF('11. Table - Expenditure Review'!$F$3:$W$3,'9c. Forecast Results - FS'!P$1,'11. Table - Expenditure Review'!$F223:$W223)</f>
        <v>1946.79</v>
      </c>
      <c r="Q117" s="566">
        <f t="shared" ref="Q117:AL117" si="48">IF(Q13&lt;&gt;0,Q47/Q13/12,0)</f>
        <v>2079.2257688405793</v>
      </c>
      <c r="R117" s="566">
        <f t="shared" si="48"/>
        <v>2194.7994245984846</v>
      </c>
      <c r="S117" s="566">
        <f t="shared" si="48"/>
        <v>2316.918727547361</v>
      </c>
      <c r="T117" s="566">
        <f t="shared" si="48"/>
        <v>2445.9801483610768</v>
      </c>
      <c r="U117" s="566">
        <f t="shared" si="48"/>
        <v>2582.4107610284736</v>
      </c>
      <c r="V117" s="566">
        <f t="shared" si="48"/>
        <v>2726.6725731688757</v>
      </c>
      <c r="W117" s="566">
        <f t="shared" si="48"/>
        <v>2879.2680776690172</v>
      </c>
      <c r="X117" s="566">
        <f t="shared" si="48"/>
        <v>3040.747538279029</v>
      </c>
      <c r="Y117" s="566">
        <f t="shared" si="48"/>
        <v>3211.7187937194358</v>
      </c>
      <c r="Z117" s="566">
        <f t="shared" si="48"/>
        <v>3392.8608114665626</v>
      </c>
      <c r="AA117" s="566">
        <f t="shared" si="48"/>
        <v>3584.9429780791256</v>
      </c>
      <c r="AB117" s="566">
        <f t="shared" si="48"/>
        <v>3788.8534352628699</v>
      </c>
      <c r="AC117" s="566">
        <f t="shared" si="48"/>
        <v>4005.6421749601</v>
      </c>
      <c r="AD117" s="566">
        <f t="shared" si="48"/>
        <v>4236.5891743422471</v>
      </c>
      <c r="AE117" s="566">
        <f t="shared" si="48"/>
        <v>4483.3169865540867</v>
      </c>
      <c r="AF117" s="566">
        <f t="shared" si="48"/>
        <v>4747.9866146174163</v>
      </c>
      <c r="AG117" s="566">
        <f t="shared" si="48"/>
        <v>5033.6598648725303</v>
      </c>
      <c r="AH117" s="566">
        <f t="shared" si="48"/>
        <v>5345.0222983818121</v>
      </c>
      <c r="AI117" s="566">
        <f t="shared" si="48"/>
        <v>5689.9714799631029</v>
      </c>
      <c r="AJ117" s="566">
        <f t="shared" si="48"/>
        <v>0</v>
      </c>
      <c r="AK117" s="566">
        <f t="shared" si="48"/>
        <v>0</v>
      </c>
      <c r="AL117" s="566">
        <f t="shared" si="48"/>
        <v>0</v>
      </c>
    </row>
    <row r="118" spans="1:38" x14ac:dyDescent="0.45">
      <c r="C118" t="str">
        <f>'11. Table - Expenditure Review'!C224</f>
        <v>E1.57</v>
      </c>
      <c r="D118" t="str">
        <f>'11. Table - Expenditure Review'!E224</f>
        <v>Net Surplus/Deficit p.u.p.m.</v>
      </c>
      <c r="N118" s="801">
        <f>SUMIF('11. Table - Expenditure Review'!$F$3:$W$3,'9c. Forecast Results - FS'!N$1,'11. Table - Expenditure Review'!$F224:$W224)</f>
        <v>0</v>
      </c>
      <c r="O118" s="801">
        <f>SUMIF('11. Table - Expenditure Review'!$F$3:$W$3,'9c. Forecast Results - FS'!O$1,'11. Table - Expenditure Review'!$F224:$W224)</f>
        <v>0</v>
      </c>
      <c r="P118" s="801">
        <f>SUMIF('11. Table - Expenditure Review'!$F$3:$W$3,'9c. Forecast Results - FS'!P$1,'11. Table - Expenditure Review'!$F224:$W224)</f>
        <v>-1946.5729861111113</v>
      </c>
      <c r="Q118" s="566">
        <f t="shared" ref="Q118:AL118" ca="1" si="49">IF(Q13&lt;&gt;0,Q48/Q13/12,0)</f>
        <v>-2060.0106357277878</v>
      </c>
      <c r="R118" s="566">
        <f t="shared" ca="1" si="49"/>
        <v>-2174.7108763442025</v>
      </c>
      <c r="S118" s="566">
        <f t="shared" ca="1" si="49"/>
        <v>-2295.8735817571605</v>
      </c>
      <c r="T118" s="566">
        <f t="shared" ca="1" si="49"/>
        <v>-2423.8827452813662</v>
      </c>
      <c r="U118" s="566">
        <f t="shared" ca="1" si="49"/>
        <v>-2559.1503367340415</v>
      </c>
      <c r="V118" s="566">
        <f t="shared" ca="1" si="49"/>
        <v>-2702.1199030803086</v>
      </c>
      <c r="W118" s="566">
        <f t="shared" ca="1" si="49"/>
        <v>-2853.2711328693581</v>
      </c>
      <c r="X118" s="566">
        <f t="shared" ca="1" si="49"/>
        <v>-3013.1257844293909</v>
      </c>
      <c r="Y118" s="566">
        <f t="shared" ca="1" si="49"/>
        <v>-3182.2555896131557</v>
      </c>
      <c r="Z118" s="566">
        <f t="shared" ca="1" si="49"/>
        <v>-3361.2930927812617</v>
      </c>
      <c r="AA118" s="566">
        <f t="shared" ca="1" si="49"/>
        <v>-3550.9469733411097</v>
      </c>
      <c r="AB118" s="566">
        <f t="shared" ca="1" si="49"/>
        <v>-3752.024430130019</v>
      </c>
      <c r="AC118" s="566">
        <f t="shared" ca="1" si="49"/>
        <v>-3965.4650784515361</v>
      </c>
      <c r="AD118" s="566">
        <f t="shared" ca="1" si="49"/>
        <v>-4192.3943681828268</v>
      </c>
      <c r="AE118" s="566">
        <f t="shared" ca="1" si="49"/>
        <v>-4434.2116463769535</v>
      </c>
      <c r="AF118" s="566">
        <f t="shared" ca="1" si="49"/>
        <v>-4692.7431069181412</v>
      </c>
      <c r="AG118" s="566">
        <f t="shared" ca="1" si="49"/>
        <v>-4970.5244275019304</v>
      </c>
      <c r="AH118" s="566">
        <f t="shared" ca="1" si="49"/>
        <v>-5271.3642881161122</v>
      </c>
      <c r="AI118" s="566">
        <f t="shared" ca="1" si="49"/>
        <v>-5601.5818676442623</v>
      </c>
      <c r="AJ118" s="566">
        <f t="shared" si="49"/>
        <v>0</v>
      </c>
      <c r="AK118" s="566">
        <f t="shared" si="49"/>
        <v>0</v>
      </c>
      <c r="AL118" s="566">
        <f t="shared" si="49"/>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157500</v>
      </c>
      <c r="O127" s="615">
        <f>SUMIF('10. Inputs &amp; Calcs'!$D$143:$D$148,$E$10,'10. Inputs &amp; Calcs'!G$143:G$148)</f>
        <v>135000</v>
      </c>
      <c r="P127" s="615">
        <f>SUMIF('10. Inputs &amp; Calcs'!$D$143:$D$148,$E$10,'10. Inputs &amp; Calcs'!H$143:H$148)</f>
        <v>0</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0</v>
      </c>
      <c r="O128" s="615">
        <f>SUMIF('10. Inputs &amp; Calcs'!$D$432:$D$437,$E$10,'10. Inputs &amp; Calcs'!G$432:G$437)</f>
        <v>0</v>
      </c>
      <c r="P128" s="615">
        <f>SUMIF('10. Inputs &amp; Calcs'!$D$432:$D$437,$E$10,'10. Inputs &amp; Calcs'!H$432:H$437)</f>
        <v>125.2</v>
      </c>
      <c r="Q128" s="615">
        <f>SUMIF('10. Inputs &amp; Calcs'!$D$432:$D$437,$E$10,'10. Inputs &amp; Calcs'!I$432:I$437)</f>
        <v>10606.753478260869</v>
      </c>
      <c r="R128" s="615">
        <f>SUMIF('10. Inputs &amp; Calcs'!$D$432:$D$437,$E$10,'10. Inputs &amp; Calcs'!J$432:J$437)</f>
        <v>10606.753478260869</v>
      </c>
      <c r="S128" s="615">
        <f>SUMIF('10. Inputs &amp; Calcs'!$D$432:$D$437,$E$10,'10. Inputs &amp; Calcs'!K$432:K$437)</f>
        <v>10606.753478260869</v>
      </c>
      <c r="T128" s="615">
        <f>SUMIF('10. Inputs &amp; Calcs'!$D$432:$D$437,$E$10,'10. Inputs &amp; Calcs'!L$432:L$437)</f>
        <v>10606.753478260869</v>
      </c>
      <c r="U128" s="615">
        <f>SUMIF('10. Inputs &amp; Calcs'!$D$432:$D$437,$E$10,'10. Inputs &amp; Calcs'!M$432:M$437)</f>
        <v>10606.753478260869</v>
      </c>
      <c r="V128" s="615">
        <f>SUMIF('10. Inputs &amp; Calcs'!$D$432:$D$437,$E$10,'10. Inputs &amp; Calcs'!N$432:N$437)</f>
        <v>10606.753478260869</v>
      </c>
      <c r="W128" s="615">
        <f>SUMIF('10. Inputs &amp; Calcs'!$D$432:$D$437,$E$10,'10. Inputs &amp; Calcs'!O$432:O$437)</f>
        <v>10606.753478260869</v>
      </c>
      <c r="X128" s="615">
        <f>SUMIF('10. Inputs &amp; Calcs'!$D$432:$D$437,$E$10,'10. Inputs &amp; Calcs'!P$432:P$437)</f>
        <v>10606.753478260869</v>
      </c>
      <c r="Y128" s="615">
        <f>SUMIF('10. Inputs &amp; Calcs'!$D$432:$D$437,$E$10,'10. Inputs &amp; Calcs'!Q$432:Q$437)</f>
        <v>10606.753478260869</v>
      </c>
      <c r="Z128" s="615">
        <f>SUMIF('10. Inputs &amp; Calcs'!$D$432:$D$437,$E$10,'10. Inputs &amp; Calcs'!R$432:R$437)</f>
        <v>10606.753478260869</v>
      </c>
      <c r="AA128" s="615">
        <f>SUMIF('10. Inputs &amp; Calcs'!$D$432:$D$437,$E$10,'10. Inputs &amp; Calcs'!S$432:S$437)</f>
        <v>10606.753478260869</v>
      </c>
      <c r="AB128" s="615">
        <f>SUMIF('10. Inputs &amp; Calcs'!$D$432:$D$437,$E$10,'10. Inputs &amp; Calcs'!T$432:T$437)</f>
        <v>10606.753478260869</v>
      </c>
      <c r="AC128" s="615">
        <f>SUMIF('10. Inputs &amp; Calcs'!$D$432:$D$437,$E$10,'10. Inputs &amp; Calcs'!U$432:U$437)</f>
        <v>10606.753478260869</v>
      </c>
      <c r="AD128" s="615">
        <f>SUMIF('10. Inputs &amp; Calcs'!$D$432:$D$437,$E$10,'10. Inputs &amp; Calcs'!V$432:V$437)</f>
        <v>10606.753478260869</v>
      </c>
      <c r="AE128" s="615">
        <f>SUMIF('10. Inputs &amp; Calcs'!$D$432:$D$437,$E$10,'10. Inputs &amp; Calcs'!W$432:W$437)</f>
        <v>10606.753478260869</v>
      </c>
      <c r="AF128" s="615">
        <f>SUMIF('10. Inputs &amp; Calcs'!$D$432:$D$437,$E$10,'10. Inputs &amp; Calcs'!X$432:X$437)</f>
        <v>10606.753478260869</v>
      </c>
      <c r="AG128" s="615">
        <f>SUMIF('10. Inputs &amp; Calcs'!$D$432:$D$437,$E$10,'10. Inputs &amp; Calcs'!Y$432:Y$437)</f>
        <v>10606.753478260869</v>
      </c>
      <c r="AH128" s="615">
        <f>SUMIF('10. Inputs &amp; Calcs'!$D$432:$D$437,$E$10,'10. Inputs &amp; Calcs'!Z$432:Z$437)</f>
        <v>10606.753478260869</v>
      </c>
      <c r="AI128" s="615">
        <f>SUMIF('10. Inputs &amp; Calcs'!$D$432:$D$437,$E$10,'10. Inputs &amp; Calcs'!AA$432:AA$437)</f>
        <v>10606.753478260869</v>
      </c>
      <c r="AJ128" s="615">
        <f>SUMIF('10. Inputs &amp; Calcs'!$D$432:$D$437,$E$10,'10. Inputs &amp; Calcs'!AB$432:AB$437)</f>
        <v>53033.767391304347</v>
      </c>
      <c r="AK128" s="615">
        <f>SUMIF('10. Inputs &amp; Calcs'!$D$432:$D$437,$E$10,'10. Inputs &amp; Calcs'!AC$432:AC$437)</f>
        <v>0</v>
      </c>
      <c r="AL128" s="615">
        <f>SUMIF('10. Inputs &amp; Calcs'!$D$432:$D$437,$E$10,'10. Inputs &amp; Calcs'!AD$432:AD$437)</f>
        <v>254562.08347826079</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8057.1</v>
      </c>
      <c r="O129" s="615">
        <f>SUMIF('10. Inputs &amp; Calcs'!$D$574:$D$579,$E$10,'10. Inputs &amp; Calcs'!G$574:G$579)</f>
        <v>4013.2</v>
      </c>
      <c r="P129" s="615">
        <f>SUMIF('10. Inputs &amp; Calcs'!$D$574:$D$579,$E$10,'10. Inputs &amp; Calcs'!H$574:H$579)</f>
        <v>0</v>
      </c>
      <c r="Q129" s="615">
        <f>SUMIF('10. Inputs &amp; Calcs'!$D$574:$D$579,$E$10,'10. Inputs &amp; Calcs'!I$574:I$579)</f>
        <v>0</v>
      </c>
      <c r="R129" s="615">
        <f>SUMIF('10. Inputs &amp; Calcs'!$D$574:$D$579,$E$10,'10. Inputs &amp; Calcs'!J$574:J$579)</f>
        <v>0</v>
      </c>
      <c r="S129" s="615">
        <f>SUMIF('10. Inputs &amp; Calcs'!$D$574:$D$579,$E$10,'10. Inputs &amp; Calcs'!K$574:K$579)</f>
        <v>0</v>
      </c>
      <c r="T129" s="615">
        <f>SUMIF('10. Inputs &amp; Calcs'!$D$574:$D$579,$E$10,'10. Inputs &amp; Calcs'!L$574:L$579)</f>
        <v>0</v>
      </c>
      <c r="U129" s="615">
        <f>SUMIF('10. Inputs &amp; Calcs'!$D$574:$D$579,$E$10,'10. Inputs &amp; Calcs'!M$574:M$579)</f>
        <v>0</v>
      </c>
      <c r="V129" s="615">
        <f>SUMIF('10. Inputs &amp; Calcs'!$D$574:$D$579,$E$10,'10. Inputs &amp; Calcs'!N$574:N$579)</f>
        <v>0</v>
      </c>
      <c r="W129" s="615">
        <f>SUMIF('10. Inputs &amp; Calcs'!$D$574:$D$579,$E$10,'10. Inputs &amp; Calcs'!O$574:O$579)</f>
        <v>0</v>
      </c>
      <c r="X129" s="615">
        <f>SUMIF('10. Inputs &amp; Calcs'!$D$574:$D$579,$E$10,'10. Inputs &amp; Calcs'!P$574:P$579)</f>
        <v>0</v>
      </c>
      <c r="Y129" s="615">
        <f>SUMIF('10. Inputs &amp; Calcs'!$D$574:$D$579,$E$10,'10. Inputs &amp; Calcs'!Q$574:Q$579)</f>
        <v>0</v>
      </c>
      <c r="Z129" s="615">
        <f>SUMIF('10. Inputs &amp; Calcs'!$D$574:$D$579,$E$10,'10. Inputs &amp; Calcs'!R$574:R$579)</f>
        <v>0</v>
      </c>
      <c r="AA129" s="615">
        <f>SUMIF('10. Inputs &amp; Calcs'!$D$574:$D$579,$E$10,'10. Inputs &amp; Calcs'!S$574:S$579)</f>
        <v>0</v>
      </c>
      <c r="AB129" s="615">
        <f>SUMIF('10. Inputs &amp; Calcs'!$D$574:$D$579,$E$10,'10. Inputs &amp; Calcs'!T$574:T$579)</f>
        <v>0</v>
      </c>
      <c r="AC129" s="615">
        <f>SUMIF('10. Inputs &amp; Calcs'!$D$574:$D$579,$E$10,'10. Inputs &amp; Calcs'!U$574:U$579)</f>
        <v>0</v>
      </c>
      <c r="AD129" s="615">
        <f>SUMIF('10. Inputs &amp; Calcs'!$D$574:$D$579,$E$10,'10. Inputs &amp; Calcs'!V$574:V$579)</f>
        <v>0</v>
      </c>
      <c r="AE129" s="615">
        <f>SUMIF('10. Inputs &amp; Calcs'!$D$574:$D$579,$E$10,'10. Inputs &amp; Calcs'!W$574:W$579)</f>
        <v>0</v>
      </c>
      <c r="AF129" s="615">
        <f>SUMIF('10. Inputs &amp; Calcs'!$D$574:$D$579,$E$10,'10. Inputs &amp; Calcs'!X$574:X$579)</f>
        <v>0</v>
      </c>
      <c r="AG129" s="615">
        <f>SUMIF('10. Inputs &amp; Calcs'!$D$574:$D$579,$E$10,'10. Inputs &amp; Calcs'!Y$574:Y$579)</f>
        <v>0</v>
      </c>
      <c r="AH129" s="615">
        <f>SUMIF('10. Inputs &amp; Calcs'!$D$574:$D$579,$E$10,'10. Inputs &amp; Calcs'!Z$574:Z$579)</f>
        <v>0</v>
      </c>
      <c r="AI129" s="615">
        <f>SUMIF('10. Inputs &amp; Calcs'!$D$574:$D$579,$E$10,'10. Inputs &amp; Calcs'!AA$574:AA$579)</f>
        <v>0</v>
      </c>
      <c r="AJ129" s="615">
        <f>SUMIF('10. Inputs &amp; Calcs'!$D$574:$D$579,$E$10,'10. Inputs &amp; Calcs'!AB$574:AB$579)</f>
        <v>0</v>
      </c>
      <c r="AK129" s="615">
        <f>SUMIF('10. Inputs &amp; Calcs'!$D$574:$D$579,$E$10,'10. Inputs &amp; Calcs'!AC$574:AC$579)</f>
        <v>0</v>
      </c>
      <c r="AL129" s="615">
        <f>SUMIF('10. Inputs &amp; Calcs'!$D$574:$D$579,$E$10,'10. Inputs &amp; Calcs'!AD$574:AD$579)</f>
        <v>0</v>
      </c>
    </row>
    <row r="130" spans="1:38" x14ac:dyDescent="0.45">
      <c r="A130" s="583"/>
      <c r="B130" s="583"/>
      <c r="C130" s="583"/>
      <c r="D130" s="747" t="s">
        <v>330</v>
      </c>
      <c r="E130" s="583"/>
      <c r="M130" s="583"/>
      <c r="N130" s="613">
        <f t="shared" ref="N130:AL130" si="50">SUM(N127:N129)</f>
        <v>165557.1</v>
      </c>
      <c r="O130" s="613">
        <f t="shared" si="50"/>
        <v>139013.20000000001</v>
      </c>
      <c r="P130" s="613">
        <f t="shared" si="50"/>
        <v>125.2</v>
      </c>
      <c r="Q130" s="613">
        <f t="shared" si="50"/>
        <v>221016.63804518996</v>
      </c>
      <c r="R130" s="613">
        <f t="shared" si="50"/>
        <v>221016.63804518996</v>
      </c>
      <c r="S130" s="613">
        <f t="shared" si="50"/>
        <v>221016.63804518996</v>
      </c>
      <c r="T130" s="613">
        <f t="shared" si="50"/>
        <v>33985.629541252994</v>
      </c>
      <c r="U130" s="613">
        <f t="shared" si="50"/>
        <v>33985.629541252994</v>
      </c>
      <c r="V130" s="613">
        <f t="shared" si="50"/>
        <v>33985.629541252994</v>
      </c>
      <c r="W130" s="613">
        <f t="shared" si="50"/>
        <v>33985.629541252994</v>
      </c>
      <c r="X130" s="613">
        <f t="shared" si="50"/>
        <v>33985.629541252994</v>
      </c>
      <c r="Y130" s="613">
        <f t="shared" si="50"/>
        <v>33985.629541252994</v>
      </c>
      <c r="Z130" s="613">
        <f t="shared" ref="Z130:AJ130" si="51">SUM(Z127:Z129)</f>
        <v>33985.629541252994</v>
      </c>
      <c r="AA130" s="613">
        <f t="shared" si="51"/>
        <v>33985.629541252994</v>
      </c>
      <c r="AB130" s="613">
        <f t="shared" si="51"/>
        <v>33985.629541252994</v>
      </c>
      <c r="AC130" s="613">
        <f t="shared" si="51"/>
        <v>33985.629541252994</v>
      </c>
      <c r="AD130" s="613">
        <f t="shared" si="51"/>
        <v>33985.629541252994</v>
      </c>
      <c r="AE130" s="613">
        <f t="shared" si="51"/>
        <v>33985.629541252994</v>
      </c>
      <c r="AF130" s="613">
        <f t="shared" si="51"/>
        <v>33985.629541252994</v>
      </c>
      <c r="AG130" s="613">
        <f t="shared" si="51"/>
        <v>33985.629541252994</v>
      </c>
      <c r="AH130" s="613">
        <f t="shared" si="51"/>
        <v>33985.629541252994</v>
      </c>
      <c r="AI130" s="613">
        <f t="shared" si="51"/>
        <v>33985.629541252994</v>
      </c>
      <c r="AJ130" s="613">
        <f t="shared" si="51"/>
        <v>16073961.79826849</v>
      </c>
      <c r="AK130" s="613">
        <f t="shared" si="50"/>
        <v>0</v>
      </c>
      <c r="AL130" s="613">
        <f t="shared" si="50"/>
        <v>17280781.785064109</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14000</v>
      </c>
      <c r="R132" s="615">
        <f>SUMIF('10. Inputs &amp; Calcs'!$D$508:$D$513,$E$10,'10. Inputs &amp; Calcs'!J$508:J$513)</f>
        <v>14770</v>
      </c>
      <c r="S132" s="615">
        <f>SUMIF('10. Inputs &amp; Calcs'!$D$508:$D$513,$E$10,'10. Inputs &amp; Calcs'!K$508:K$513)</f>
        <v>15582.35</v>
      </c>
      <c r="T132" s="615">
        <f>SUMIF('10. Inputs &amp; Calcs'!$D$508:$D$513,$E$10,'10. Inputs &amp; Calcs'!L$508:L$513)</f>
        <v>16439.379249999998</v>
      </c>
      <c r="U132" s="615">
        <f>SUMIF('10. Inputs &amp; Calcs'!$D$508:$D$513,$E$10,'10. Inputs &amp; Calcs'!M$508:M$513)</f>
        <v>17343.545108750001</v>
      </c>
      <c r="V132" s="615">
        <f>SUMIF('10. Inputs &amp; Calcs'!$D$508:$D$513,$E$10,'10. Inputs &amp; Calcs'!N$508:N$513)</f>
        <v>18297.440089731248</v>
      </c>
      <c r="W132" s="615">
        <f>SUMIF('10. Inputs &amp; Calcs'!$D$508:$D$513,$E$10,'10. Inputs &amp; Calcs'!O$508:O$513)</f>
        <v>19303.799294666467</v>
      </c>
      <c r="X132" s="615">
        <f>SUMIF('10. Inputs &amp; Calcs'!$D$508:$D$513,$E$10,'10. Inputs &amp; Calcs'!P$508:P$513)</f>
        <v>20365.508255873123</v>
      </c>
      <c r="Y132" s="615">
        <f>SUMIF('10. Inputs &amp; Calcs'!$D$508:$D$513,$E$10,'10. Inputs &amp; Calcs'!Q$508:Q$513)</f>
        <v>21485.611209946139</v>
      </c>
      <c r="Z132" s="615">
        <f>SUMIF('10. Inputs &amp; Calcs'!$D$508:$D$513,$E$10,'10. Inputs &amp; Calcs'!R$508:R$513)</f>
        <v>22667.319826493178</v>
      </c>
      <c r="AA132" s="615">
        <f>SUMIF('10. Inputs &amp; Calcs'!$D$508:$D$513,$E$10,'10. Inputs &amp; Calcs'!S$508:S$513)</f>
        <v>23914.022416950298</v>
      </c>
      <c r="AB132" s="615">
        <f>SUMIF('10. Inputs &amp; Calcs'!$D$508:$D$513,$E$10,'10. Inputs &amp; Calcs'!T$508:T$513)</f>
        <v>25229.293649882566</v>
      </c>
      <c r="AC132" s="615">
        <f>SUMIF('10. Inputs &amp; Calcs'!$D$508:$D$513,$E$10,'10. Inputs &amp; Calcs'!U$508:U$513)</f>
        <v>26616.904800626107</v>
      </c>
      <c r="AD132" s="615">
        <f>SUMIF('10. Inputs &amp; Calcs'!$D$508:$D$513,$E$10,'10. Inputs &amp; Calcs'!V$508:V$513)</f>
        <v>28080.834564660538</v>
      </c>
      <c r="AE132" s="615">
        <f>SUMIF('10. Inputs &amp; Calcs'!$D$508:$D$513,$E$10,'10. Inputs &amp; Calcs'!W$508:W$513)</f>
        <v>29625.280465716867</v>
      </c>
      <c r="AF132" s="615">
        <f>SUMIF('10. Inputs &amp; Calcs'!$D$508:$D$513,$E$10,'10. Inputs &amp; Calcs'!X$508:X$513)</f>
        <v>31254.670891331298</v>
      </c>
      <c r="AG132" s="615">
        <f>SUMIF('10. Inputs &amp; Calcs'!$D$508:$D$513,$E$10,'10. Inputs &amp; Calcs'!Y$508:Y$513)</f>
        <v>32973.677790354515</v>
      </c>
      <c r="AH132" s="615">
        <f>SUMIF('10. Inputs &amp; Calcs'!$D$508:$D$513,$E$10,'10. Inputs &amp; Calcs'!Z$508:Z$513)</f>
        <v>34787.230068824014</v>
      </c>
      <c r="AI132" s="615">
        <f>SUMIF('10. Inputs &amp; Calcs'!$D$508:$D$513,$E$10,'10. Inputs &amp; Calcs'!AA$508:AA$513)</f>
        <v>36700.527722609331</v>
      </c>
      <c r="AJ132" s="615">
        <f>SUMIF('10. Inputs &amp; Calcs'!$D$508:$D$513,$E$10,'10. Inputs &amp; Calcs'!AB$508:AB$513)</f>
        <v>193595.28373676422</v>
      </c>
      <c r="AK132" s="615">
        <f>SUMIF('10. Inputs &amp; Calcs'!$D$508:$D$513,$E$10,'10. Inputs &amp; Calcs'!AC$508:AC$513)</f>
        <v>0</v>
      </c>
      <c r="AL132" s="615">
        <f>SUMIF('10. Inputs &amp; Calcs'!$D$508:$D$513,$E$10,'10. Inputs &amp; Calcs'!AD$508:AD$513)</f>
        <v>643032.67914317991</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1053659.7333333334</v>
      </c>
      <c r="O133" s="615">
        <f>SUMIF('10. Inputs &amp; Calcs'!$D$742:$D$747,$E$10,'10. Inputs &amp; Calcs'!G$742:G$747)</f>
        <v>1087690.0533333332</v>
      </c>
      <c r="P133" s="615">
        <f>SUMIF('10. Inputs &amp; Calcs'!$D$742:$D$747,$E$10,'10. Inputs &amp; Calcs'!H$742:H$747)</f>
        <v>1121351.04</v>
      </c>
      <c r="Q133" s="615">
        <f>SUMIF('10. Inputs &amp; Calcs'!$D$742:$D$747,$E$10,'10. Inputs &amp; Calcs'!I$742:I$747)</f>
        <v>1133732.6243999999</v>
      </c>
      <c r="R133" s="615">
        <f>SUMIF('10. Inputs &amp; Calcs'!$D$742:$D$747,$E$10,'10. Inputs &amp; Calcs'!J$742:J$747)</f>
        <v>1144084.0961879999</v>
      </c>
      <c r="S133" s="615">
        <f>SUMIF('10. Inputs &amp; Calcs'!$D$742:$D$747,$E$10,'10. Inputs &amp; Calcs'!K$742:K$747)</f>
        <v>1152144.6886838698</v>
      </c>
      <c r="T133" s="615">
        <f>SUMIF('10. Inputs &amp; Calcs'!$D$742:$D$747,$E$10,'10. Inputs &amp; Calcs'!L$742:L$747)</f>
        <v>1157631.0919633168</v>
      </c>
      <c r="U133" s="615">
        <f>SUMIF('10. Inputs &amp; Calcs'!$D$742:$D$747,$E$10,'10. Inputs &amp; Calcs'!M$742:M$747)</f>
        <v>1160235.761920234</v>
      </c>
      <c r="V133" s="615">
        <f>SUMIF('10. Inputs &amp; Calcs'!$D$742:$D$747,$E$10,'10. Inputs &amp; Calcs'!N$742:N$747)</f>
        <v>1159625.1115192231</v>
      </c>
      <c r="W133" s="615">
        <f>SUMIF('10. Inputs &amp; Calcs'!$D$742:$D$747,$E$10,'10. Inputs &amp; Calcs'!O$742:O$747)</f>
        <v>1155437.5763942925</v>
      </c>
      <c r="X133" s="615">
        <f>SUMIF('10. Inputs &amp; Calcs'!$D$742:$D$747,$E$10,'10. Inputs &amp; Calcs'!P$742:P$747)</f>
        <v>1147281.546443274</v>
      </c>
      <c r="Y133" s="615">
        <f>SUMIF('10. Inputs &amp; Calcs'!$D$742:$D$747,$E$10,'10. Inputs &amp; Calcs'!Q$742:Q$747)</f>
        <v>1134733.1545290507</v>
      </c>
      <c r="Z133" s="615">
        <f>SUMIF('10. Inputs &amp; Calcs'!$D$742:$D$747,$E$10,'10. Inputs &amp; Calcs'!R$742:R$747)</f>
        <v>1117333.9128262717</v>
      </c>
      <c r="AA133" s="615">
        <f>SUMIF('10. Inputs &amp; Calcs'!$D$742:$D$747,$E$10,'10. Inputs &amp; Calcs'!S$742:S$747)</f>
        <v>1094588.186743737</v>
      </c>
      <c r="AB133" s="615">
        <f>SUMIF('10. Inputs &amp; Calcs'!$D$742:$D$747,$E$10,'10. Inputs &amp; Calcs'!T$742:T$747)</f>
        <v>1065960.4957058239</v>
      </c>
      <c r="AC133" s="615">
        <f>SUMIF('10. Inputs &amp; Calcs'!$D$742:$D$747,$E$10,'10. Inputs &amp; Calcs'!U$742:U$747)</f>
        <v>1030872.6293888403</v>
      </c>
      <c r="AD133" s="615">
        <f>SUMIF('10. Inputs &amp; Calcs'!$D$742:$D$747,$E$10,'10. Inputs &amp; Calcs'!V$742:V$747)</f>
        <v>988700.56727747875</v>
      </c>
      <c r="AE133" s="615">
        <f>SUMIF('10. Inputs &amp; Calcs'!$D$742:$D$747,$E$10,'10. Inputs &amp; Calcs'!W$742:W$747)</f>
        <v>938771.188629966</v>
      </c>
      <c r="AF133" s="615">
        <f>SUMIF('10. Inputs &amp; Calcs'!$D$742:$D$747,$E$10,'10. Inputs &amp; Calcs'!X$742:X$747)</f>
        <v>880358.7591152126</v>
      </c>
      <c r="AG133" s="615">
        <f>SUMIF('10. Inputs &amp; Calcs'!$D$742:$D$747,$E$10,'10. Inputs &amp; Calcs'!Y$742:Y$747)</f>
        <v>812681.17950823065</v>
      </c>
      <c r="AH133" s="615">
        <f>SUMIF('10. Inputs &amp; Calcs'!$D$742:$D$747,$E$10,'10. Inputs &amp; Calcs'!Z$742:Z$747)</f>
        <v>734895.98089815699</v>
      </c>
      <c r="AI133" s="615">
        <f>SUMIF('10. Inputs &amp; Calcs'!$D$742:$D$747,$E$10,'10. Inputs &amp; Calcs'!AA$742:AA$747)</f>
        <v>646096.04987296299</v>
      </c>
      <c r="AJ133" s="615">
        <f>SUMIF('10. Inputs &amp; Calcs'!$D$742:$D$747,$E$10,'10. Inputs &amp; Calcs'!AB$742:AB$747)</f>
        <v>0</v>
      </c>
      <c r="AK133" s="615">
        <f>SUMIF('10. Inputs &amp; Calcs'!$D$742:$D$747,$E$10,'10. Inputs &amp; Calcs'!AC$742:AC$747)</f>
        <v>0</v>
      </c>
      <c r="AL133" s="615">
        <f>SUMIF('10. Inputs &amp; Calcs'!$D$742:$D$747,$E$10,'10. Inputs &amp; Calcs'!AD$742:AD$747)</f>
        <v>19655164.602007944</v>
      </c>
    </row>
    <row r="134" spans="1:38" x14ac:dyDescent="0.45">
      <c r="A134" s="583"/>
      <c r="B134" s="583"/>
      <c r="C134" s="583"/>
      <c r="D134" s="747" t="s">
        <v>369</v>
      </c>
      <c r="E134" s="583"/>
      <c r="M134" s="583"/>
      <c r="N134" s="613">
        <f t="shared" ref="N134:AL134" si="52">SUM(N132:N133)</f>
        <v>1053659.7333333334</v>
      </c>
      <c r="O134" s="613">
        <f t="shared" si="52"/>
        <v>1087690.0533333332</v>
      </c>
      <c r="P134" s="613">
        <f t="shared" si="52"/>
        <v>1121351.04</v>
      </c>
      <c r="Q134" s="613">
        <f t="shared" si="52"/>
        <v>1147732.6243999999</v>
      </c>
      <c r="R134" s="613">
        <f t="shared" si="52"/>
        <v>1158854.0961879999</v>
      </c>
      <c r="S134" s="613">
        <f t="shared" si="52"/>
        <v>1167727.0386838699</v>
      </c>
      <c r="T134" s="613">
        <f t="shared" si="52"/>
        <v>1174070.4712133168</v>
      </c>
      <c r="U134" s="613">
        <f t="shared" si="52"/>
        <v>1177579.307028984</v>
      </c>
      <c r="V134" s="613">
        <f t="shared" si="52"/>
        <v>1177922.5516089543</v>
      </c>
      <c r="W134" s="613">
        <f t="shared" si="52"/>
        <v>1174741.3756889589</v>
      </c>
      <c r="X134" s="613">
        <f t="shared" si="52"/>
        <v>1167647.0546991471</v>
      </c>
      <c r="Y134" s="613">
        <f t="shared" si="52"/>
        <v>1156218.7657389969</v>
      </c>
      <c r="Z134" s="613">
        <f t="shared" ref="Z134:AJ134" si="53">SUM(Z132:Z133)</f>
        <v>1140001.232652765</v>
      </c>
      <c r="AA134" s="613">
        <f t="shared" si="53"/>
        <v>1118502.2091606872</v>
      </c>
      <c r="AB134" s="613">
        <f t="shared" si="53"/>
        <v>1091189.7893557064</v>
      </c>
      <c r="AC134" s="613">
        <f t="shared" si="53"/>
        <v>1057489.5341894664</v>
      </c>
      <c r="AD134" s="613">
        <f t="shared" si="53"/>
        <v>1016781.4018421393</v>
      </c>
      <c r="AE134" s="613">
        <f t="shared" si="53"/>
        <v>968396.46909568284</v>
      </c>
      <c r="AF134" s="613">
        <f t="shared" si="53"/>
        <v>911613.43000654387</v>
      </c>
      <c r="AG134" s="613">
        <f t="shared" si="53"/>
        <v>845654.85729858512</v>
      </c>
      <c r="AH134" s="613">
        <f t="shared" si="53"/>
        <v>769683.21096698102</v>
      </c>
      <c r="AI134" s="613">
        <f t="shared" si="53"/>
        <v>682796.57759557234</v>
      </c>
      <c r="AJ134" s="613">
        <f t="shared" si="53"/>
        <v>193595.28373676422</v>
      </c>
      <c r="AK134" s="613">
        <f t="shared" si="52"/>
        <v>0</v>
      </c>
      <c r="AL134" s="613">
        <f t="shared" si="52"/>
        <v>20298197.281151123</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54">N130-N134</f>
        <v>-888102.63333333342</v>
      </c>
      <c r="O136" s="613">
        <f t="shared" si="54"/>
        <v>-948676.85333333327</v>
      </c>
      <c r="P136" s="613">
        <f t="shared" si="54"/>
        <v>-1121225.8400000001</v>
      </c>
      <c r="Q136" s="613">
        <f t="shared" si="54"/>
        <v>-926715.98635480995</v>
      </c>
      <c r="R136" s="613">
        <f t="shared" si="54"/>
        <v>-937837.45814281004</v>
      </c>
      <c r="S136" s="613">
        <f t="shared" si="54"/>
        <v>-946710.40063867997</v>
      </c>
      <c r="T136" s="613">
        <f t="shared" si="54"/>
        <v>-1140084.8416720638</v>
      </c>
      <c r="U136" s="613">
        <f t="shared" si="54"/>
        <v>-1143593.677487731</v>
      </c>
      <c r="V136" s="613">
        <f t="shared" si="54"/>
        <v>-1143936.9220677014</v>
      </c>
      <c r="W136" s="613">
        <f t="shared" si="54"/>
        <v>-1140755.7461477059</v>
      </c>
      <c r="X136" s="613">
        <f t="shared" si="54"/>
        <v>-1133661.4251578941</v>
      </c>
      <c r="Y136" s="613">
        <f t="shared" si="54"/>
        <v>-1122233.1361977439</v>
      </c>
      <c r="Z136" s="613">
        <f t="shared" si="54"/>
        <v>-1106015.603111512</v>
      </c>
      <c r="AA136" s="613">
        <f t="shared" si="54"/>
        <v>-1084516.5796194342</v>
      </c>
      <c r="AB136" s="613">
        <f t="shared" si="54"/>
        <v>-1057204.1598144535</v>
      </c>
      <c r="AC136" s="613">
        <f t="shared" si="54"/>
        <v>-1023503.9046482134</v>
      </c>
      <c r="AD136" s="613">
        <f t="shared" si="54"/>
        <v>-982795.77230088634</v>
      </c>
      <c r="AE136" s="613">
        <f t="shared" si="54"/>
        <v>-934410.83955442987</v>
      </c>
      <c r="AF136" s="613">
        <f t="shared" si="54"/>
        <v>-877627.8004652909</v>
      </c>
      <c r="AG136" s="613">
        <f t="shared" si="54"/>
        <v>-811669.22775733215</v>
      </c>
      <c r="AH136" s="613">
        <f t="shared" si="54"/>
        <v>-735697.58142572804</v>
      </c>
      <c r="AI136" s="613">
        <f t="shared" si="54"/>
        <v>-648810.94805431936</v>
      </c>
      <c r="AJ136" s="613">
        <f t="shared" si="54"/>
        <v>15880366.514531726</v>
      </c>
      <c r="AK136" s="613">
        <f t="shared" si="54"/>
        <v>0</v>
      </c>
      <c r="AL136" s="613">
        <f t="shared" si="54"/>
        <v>-3017415.4960870147</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1350936000</v>
      </c>
      <c r="O138" s="615">
        <f>SUMIF('10. Inputs &amp; Calcs'!$D$763:$D$768,$E$10,'10. Inputs &amp; Calcs'!G$763:G$768)</f>
        <v>1061756000</v>
      </c>
      <c r="P138" s="615">
        <f>SUMIF('10. Inputs &amp; Calcs'!$D$763:$D$768,$E$10,'10. Inputs &amp; Calcs'!H$763:H$768)</f>
        <v>1057284000</v>
      </c>
      <c r="Q138" s="615">
        <f>SUMIF('10. Inputs &amp; Calcs'!$D$763:$D$768,$E$10,'10. Inputs &amp; Calcs'!I$763:I$768)</f>
        <v>1057284000</v>
      </c>
      <c r="R138" s="615">
        <f>SUMIF('10. Inputs &amp; Calcs'!$D$763:$D$768,$E$10,'10. Inputs &amp; Calcs'!J$763:J$768)</f>
        <v>1057284000</v>
      </c>
      <c r="S138" s="615">
        <f>SUMIF('10. Inputs &amp; Calcs'!$D$763:$D$768,$E$10,'10. Inputs &amp; Calcs'!K$763:K$768)</f>
        <v>1057284000</v>
      </c>
      <c r="T138" s="615">
        <f>SUMIF('10. Inputs &amp; Calcs'!$D$763:$D$768,$E$10,'10. Inputs &amp; Calcs'!L$763:L$768)</f>
        <v>1057284000</v>
      </c>
      <c r="U138" s="615">
        <f>SUMIF('10. Inputs &amp; Calcs'!$D$763:$D$768,$E$10,'10. Inputs &amp; Calcs'!M$763:M$768)</f>
        <v>1057284000</v>
      </c>
      <c r="V138" s="615">
        <f>SUMIF('10. Inputs &amp; Calcs'!$D$763:$D$768,$E$10,'10. Inputs &amp; Calcs'!N$763:N$768)</f>
        <v>1057284000</v>
      </c>
      <c r="W138" s="615">
        <f>SUMIF('10. Inputs &amp; Calcs'!$D$763:$D$768,$E$10,'10. Inputs &amp; Calcs'!O$763:O$768)</f>
        <v>1057284000</v>
      </c>
      <c r="X138" s="615">
        <f>SUMIF('10. Inputs &amp; Calcs'!$D$763:$D$768,$E$10,'10. Inputs &amp; Calcs'!P$763:P$768)</f>
        <v>1057284000</v>
      </c>
      <c r="Y138" s="615">
        <f>SUMIF('10. Inputs &amp; Calcs'!$D$763:$D$768,$E$10,'10. Inputs &amp; Calcs'!Q$763:Q$768)</f>
        <v>1057284000</v>
      </c>
      <c r="Z138" s="615">
        <f>SUMIF('10. Inputs &amp; Calcs'!$D$763:$D$768,$E$10,'10. Inputs &amp; Calcs'!R$763:R$768)</f>
        <v>1057284000</v>
      </c>
      <c r="AA138" s="615">
        <f>SUMIF('10. Inputs &amp; Calcs'!$D$763:$D$768,$E$10,'10. Inputs &amp; Calcs'!S$763:S$768)</f>
        <v>1057284000</v>
      </c>
      <c r="AB138" s="615">
        <f>SUMIF('10. Inputs &amp; Calcs'!$D$763:$D$768,$E$10,'10. Inputs &amp; Calcs'!T$763:T$768)</f>
        <v>1057284000</v>
      </c>
      <c r="AC138" s="615">
        <f>SUMIF('10. Inputs &amp; Calcs'!$D$763:$D$768,$E$10,'10. Inputs &amp; Calcs'!U$763:U$768)</f>
        <v>1057284000</v>
      </c>
      <c r="AD138" s="615">
        <f>SUMIF('10. Inputs &amp; Calcs'!$D$763:$D$768,$E$10,'10. Inputs &amp; Calcs'!V$763:V$768)</f>
        <v>1057284000</v>
      </c>
      <c r="AE138" s="615">
        <f>SUMIF('10. Inputs &amp; Calcs'!$D$763:$D$768,$E$10,'10. Inputs &amp; Calcs'!W$763:W$768)</f>
        <v>1057284000</v>
      </c>
      <c r="AF138" s="615">
        <f>SUMIF('10. Inputs &amp; Calcs'!$D$763:$D$768,$E$10,'10. Inputs &amp; Calcs'!X$763:X$768)</f>
        <v>1057284000</v>
      </c>
      <c r="AG138" s="615">
        <f>SUMIF('10. Inputs &amp; Calcs'!$D$763:$D$768,$E$10,'10. Inputs &amp; Calcs'!Y$763:Y$768)</f>
        <v>1057284000</v>
      </c>
      <c r="AH138" s="615">
        <f>SUMIF('10. Inputs &amp; Calcs'!$D$763:$D$768,$E$10,'10. Inputs &amp; Calcs'!Z$763:Z$768)</f>
        <v>1057284000</v>
      </c>
      <c r="AI138" s="615">
        <f>SUMIF('10. Inputs &amp; Calcs'!$D$763:$D$768,$E$10,'10. Inputs &amp; Calcs'!AA$763:AA$768)</f>
        <v>1057284000</v>
      </c>
      <c r="AJ138" s="615">
        <f>SUMIF('10. Inputs &amp; Calcs'!$D$763:$D$768,$E$10,'10. Inputs &amp; Calcs'!AB$763:AB$768)</f>
        <v>1057284000</v>
      </c>
      <c r="AK138" s="615">
        <f>SUMIF('10. Inputs &amp; Calcs'!$D$763:$D$768,$E$10,'10. Inputs &amp; Calcs'!AC$763:AC$768)</f>
        <v>1057284000</v>
      </c>
      <c r="AL138" s="615">
        <f>SUMIF('10. Inputs &amp; Calcs'!$D$763:$D$768,$E$10,'10. Inputs &amp; Calcs'!AD$763:AD$768)</f>
        <v>25672940000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55">N136/N138</f>
        <v>-6.5739800651795004E-4</v>
      </c>
      <c r="O140" s="789">
        <f t="shared" si="55"/>
        <v>-8.9349799137780552E-4</v>
      </c>
      <c r="P140" s="789">
        <f t="shared" si="55"/>
        <v>-1.0604774497675177E-3</v>
      </c>
      <c r="Q140" s="789">
        <f t="shared" si="55"/>
        <v>-8.7650620491259675E-4</v>
      </c>
      <c r="R140" s="789">
        <f t="shared" si="55"/>
        <v>-8.8702511164721117E-4</v>
      </c>
      <c r="S140" s="789">
        <f t="shared" si="55"/>
        <v>-8.9541731515721415E-4</v>
      </c>
      <c r="T140" s="789">
        <f t="shared" si="55"/>
        <v>-1.0783146644345926E-3</v>
      </c>
      <c r="U140" s="789">
        <f t="shared" si="55"/>
        <v>-1.0816333903546549E-3</v>
      </c>
      <c r="V140" s="789">
        <f t="shared" si="55"/>
        <v>-1.0819580378287209E-3</v>
      </c>
      <c r="W140" s="789">
        <f t="shared" si="55"/>
        <v>-1.0789492190818228E-3</v>
      </c>
      <c r="X140" s="789">
        <f t="shared" si="55"/>
        <v>-1.0722392707710456E-3</v>
      </c>
      <c r="Y140" s="789">
        <f t="shared" si="55"/>
        <v>-1.0614301703210716E-3</v>
      </c>
      <c r="Z140" s="789">
        <f t="shared" si="55"/>
        <v>-1.0460913085902294E-3</v>
      </c>
      <c r="AA140" s="789">
        <f t="shared" si="55"/>
        <v>-1.0257571093664846E-3</v>
      </c>
      <c r="AB140" s="789">
        <f t="shared" si="55"/>
        <v>-9.9992448558235397E-4</v>
      </c>
      <c r="AC140" s="789">
        <f t="shared" si="55"/>
        <v>-9.6805012148884636E-4</v>
      </c>
      <c r="AD140" s="789">
        <f t="shared" si="55"/>
        <v>-9.2954756933887809E-4</v>
      </c>
      <c r="AE140" s="789">
        <f t="shared" si="55"/>
        <v>-8.8378414839762056E-4</v>
      </c>
      <c r="AF140" s="789">
        <f t="shared" si="55"/>
        <v>-8.3007763331828619E-4</v>
      </c>
      <c r="AG140" s="789">
        <f t="shared" si="55"/>
        <v>-7.676927180940335E-4</v>
      </c>
      <c r="AH140" s="789">
        <f t="shared" si="55"/>
        <v>-6.9583724091703658E-4</v>
      </c>
      <c r="AI140" s="789">
        <f t="shared" si="55"/>
        <v>-6.1365815434104689E-4</v>
      </c>
      <c r="AJ140" s="789">
        <f t="shared" si="55"/>
        <v>1.5019962956529869E-2</v>
      </c>
      <c r="AK140" s="789">
        <f t="shared" si="55"/>
        <v>0</v>
      </c>
      <c r="AL140" s="789">
        <f t="shared" si="55"/>
        <v>-1.1753291582837863E-4</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56">O$12</f>
        <v>0</v>
      </c>
      <c r="P145" s="785">
        <f t="shared" si="56"/>
        <v>1</v>
      </c>
      <c r="Q145" s="785">
        <f t="shared" si="56"/>
        <v>3</v>
      </c>
      <c r="R145" s="785">
        <f t="shared" si="56"/>
        <v>5</v>
      </c>
      <c r="S145" s="785">
        <f t="shared" si="56"/>
        <v>7</v>
      </c>
      <c r="T145" s="785">
        <f t="shared" si="56"/>
        <v>9</v>
      </c>
      <c r="U145" s="785">
        <f t="shared" si="56"/>
        <v>11</v>
      </c>
      <c r="V145" s="785">
        <f t="shared" si="56"/>
        <v>13</v>
      </c>
      <c r="W145" s="785">
        <f t="shared" si="56"/>
        <v>15</v>
      </c>
      <c r="X145" s="785">
        <f t="shared" si="56"/>
        <v>17</v>
      </c>
      <c r="Y145" s="785">
        <f t="shared" si="56"/>
        <v>19</v>
      </c>
      <c r="Z145" s="785">
        <f t="shared" si="56"/>
        <v>21</v>
      </c>
      <c r="AA145" s="785">
        <f t="shared" si="56"/>
        <v>23</v>
      </c>
      <c r="AB145" s="785">
        <f t="shared" si="56"/>
        <v>25</v>
      </c>
      <c r="AC145" s="785">
        <f t="shared" si="56"/>
        <v>27</v>
      </c>
      <c r="AD145" s="785">
        <f t="shared" si="56"/>
        <v>29</v>
      </c>
      <c r="AE145" s="785">
        <f t="shared" si="56"/>
        <v>31</v>
      </c>
      <c r="AF145" s="785">
        <f t="shared" si="56"/>
        <v>33</v>
      </c>
      <c r="AG145" s="785">
        <f t="shared" si="56"/>
        <v>35</v>
      </c>
      <c r="AH145" s="785">
        <f t="shared" si="56"/>
        <v>37</v>
      </c>
      <c r="AI145" s="785">
        <f t="shared" si="56"/>
        <v>39</v>
      </c>
      <c r="AJ145" s="785">
        <f t="shared" si="56"/>
        <v>49</v>
      </c>
      <c r="AK145" s="785">
        <f t="shared" si="56"/>
        <v>0</v>
      </c>
    </row>
    <row r="146" spans="4:37" x14ac:dyDescent="0.45">
      <c r="D146" s="451"/>
      <c r="N146" s="536" t="str">
        <f>N$5</f>
        <v>2013/14</v>
      </c>
      <c r="O146" s="536" t="str">
        <f t="shared" ref="O146:AK146" si="57">O$5</f>
        <v>2014/15</v>
      </c>
      <c r="P146" s="536" t="str">
        <f t="shared" si="57"/>
        <v>2015/16</v>
      </c>
      <c r="Q146" s="536" t="str">
        <f t="shared" si="57"/>
        <v>2016/17</v>
      </c>
      <c r="R146" s="536" t="str">
        <f t="shared" si="57"/>
        <v>2017/18</v>
      </c>
      <c r="S146" s="536" t="str">
        <f t="shared" si="57"/>
        <v>2018/19</v>
      </c>
      <c r="T146" s="536" t="str">
        <f t="shared" si="57"/>
        <v>2019/20</v>
      </c>
      <c r="U146" s="536" t="str">
        <f t="shared" si="57"/>
        <v>2020/21</v>
      </c>
      <c r="V146" s="536" t="str">
        <f t="shared" si="57"/>
        <v>2021/22</v>
      </c>
      <c r="W146" s="536" t="str">
        <f t="shared" si="57"/>
        <v>2022/23</v>
      </c>
      <c r="X146" s="536" t="str">
        <f t="shared" si="57"/>
        <v>2023/24</v>
      </c>
      <c r="Y146" s="536" t="str">
        <f t="shared" si="57"/>
        <v>2024/25</v>
      </c>
      <c r="Z146" s="536" t="str">
        <f t="shared" si="57"/>
        <v>2025/26</v>
      </c>
      <c r="AA146" s="536" t="str">
        <f t="shared" si="57"/>
        <v>2026/27</v>
      </c>
      <c r="AB146" s="536" t="str">
        <f t="shared" si="57"/>
        <v>2027/28</v>
      </c>
      <c r="AC146" s="536" t="str">
        <f t="shared" si="57"/>
        <v>2028/29</v>
      </c>
      <c r="AD146" s="536" t="str">
        <f t="shared" si="57"/>
        <v>2029/30</v>
      </c>
      <c r="AE146" s="536" t="str">
        <f t="shared" si="57"/>
        <v>2030/31</v>
      </c>
      <c r="AF146" s="536" t="str">
        <f t="shared" si="57"/>
        <v>2031/32</v>
      </c>
      <c r="AG146" s="536" t="str">
        <f t="shared" si="57"/>
        <v>3032/33</v>
      </c>
      <c r="AH146" s="536" t="str">
        <f t="shared" si="57"/>
        <v>2033/34</v>
      </c>
      <c r="AI146" s="536" t="str">
        <f t="shared" si="57"/>
        <v>2034/35</v>
      </c>
      <c r="AJ146" s="536" t="str">
        <f t="shared" si="57"/>
        <v>2035/36</v>
      </c>
      <c r="AK146" s="536" t="str">
        <f t="shared" si="5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58">O$13</f>
        <v>0</v>
      </c>
      <c r="P147" s="785">
        <f t="shared" si="58"/>
        <v>48</v>
      </c>
      <c r="Q147" s="785">
        <f t="shared" si="58"/>
        <v>46</v>
      </c>
      <c r="R147" s="785">
        <f t="shared" si="58"/>
        <v>44</v>
      </c>
      <c r="S147" s="785">
        <f t="shared" si="58"/>
        <v>42</v>
      </c>
      <c r="T147" s="785">
        <f t="shared" si="58"/>
        <v>40</v>
      </c>
      <c r="U147" s="785">
        <f t="shared" si="58"/>
        <v>38</v>
      </c>
      <c r="V147" s="785">
        <f t="shared" si="58"/>
        <v>36</v>
      </c>
      <c r="W147" s="785">
        <f t="shared" si="58"/>
        <v>34</v>
      </c>
      <c r="X147" s="785">
        <f t="shared" si="58"/>
        <v>32</v>
      </c>
      <c r="Y147" s="785">
        <f t="shared" si="58"/>
        <v>30</v>
      </c>
      <c r="Z147" s="785">
        <f t="shared" si="58"/>
        <v>28</v>
      </c>
      <c r="AA147" s="785">
        <f t="shared" si="58"/>
        <v>26</v>
      </c>
      <c r="AB147" s="785">
        <f t="shared" si="58"/>
        <v>24</v>
      </c>
      <c r="AC147" s="785">
        <f t="shared" si="58"/>
        <v>22</v>
      </c>
      <c r="AD147" s="785">
        <f t="shared" si="58"/>
        <v>20</v>
      </c>
      <c r="AE147" s="785">
        <f t="shared" si="58"/>
        <v>18</v>
      </c>
      <c r="AF147" s="785">
        <f t="shared" si="58"/>
        <v>16</v>
      </c>
      <c r="AG147" s="785">
        <f t="shared" si="58"/>
        <v>14</v>
      </c>
      <c r="AH147" s="785">
        <f t="shared" si="58"/>
        <v>12</v>
      </c>
      <c r="AI147" s="785">
        <f t="shared" si="58"/>
        <v>10</v>
      </c>
      <c r="AJ147" s="785">
        <f t="shared" si="58"/>
        <v>0</v>
      </c>
      <c r="AK147" s="785">
        <f t="shared" si="58"/>
        <v>0</v>
      </c>
    </row>
    <row r="148" spans="4:37" x14ac:dyDescent="0.45">
      <c r="D148" s="451"/>
      <c r="E148" s="803" t="str">
        <f>D$12</f>
        <v>No. of Sales Accounts</v>
      </c>
      <c r="F148" s="803"/>
      <c r="G148" s="803"/>
      <c r="H148" s="803"/>
      <c r="I148" s="803"/>
      <c r="J148" s="803"/>
      <c r="K148" s="803"/>
      <c r="L148" s="803"/>
      <c r="M148" s="803"/>
      <c r="N148" s="785">
        <f>N$12</f>
        <v>0</v>
      </c>
      <c r="O148" s="785">
        <f t="shared" si="56"/>
        <v>0</v>
      </c>
      <c r="P148" s="785">
        <f t="shared" si="56"/>
        <v>1</v>
      </c>
      <c r="Q148" s="785">
        <f t="shared" si="56"/>
        <v>3</v>
      </c>
      <c r="R148" s="785">
        <f t="shared" si="56"/>
        <v>5</v>
      </c>
      <c r="S148" s="785">
        <f t="shared" si="56"/>
        <v>7</v>
      </c>
      <c r="T148" s="785">
        <f t="shared" si="56"/>
        <v>9</v>
      </c>
      <c r="U148" s="785">
        <f t="shared" si="56"/>
        <v>11</v>
      </c>
      <c r="V148" s="785">
        <f t="shared" si="56"/>
        <v>13</v>
      </c>
      <c r="W148" s="785">
        <f t="shared" si="56"/>
        <v>15</v>
      </c>
      <c r="X148" s="785">
        <f t="shared" si="56"/>
        <v>17</v>
      </c>
      <c r="Y148" s="785">
        <f t="shared" si="56"/>
        <v>19</v>
      </c>
      <c r="Z148" s="785">
        <f t="shared" si="56"/>
        <v>21</v>
      </c>
      <c r="AA148" s="785">
        <f t="shared" si="56"/>
        <v>23</v>
      </c>
      <c r="AB148" s="785">
        <f t="shared" si="56"/>
        <v>25</v>
      </c>
      <c r="AC148" s="785">
        <f t="shared" si="56"/>
        <v>27</v>
      </c>
      <c r="AD148" s="785">
        <f t="shared" si="56"/>
        <v>29</v>
      </c>
      <c r="AE148" s="785">
        <f t="shared" si="56"/>
        <v>31</v>
      </c>
      <c r="AF148" s="785">
        <f t="shared" si="56"/>
        <v>33</v>
      </c>
      <c r="AG148" s="785">
        <f t="shared" si="56"/>
        <v>35</v>
      </c>
      <c r="AH148" s="785">
        <f t="shared" si="56"/>
        <v>37</v>
      </c>
      <c r="AI148" s="785">
        <f t="shared" si="56"/>
        <v>39</v>
      </c>
      <c r="AJ148" s="785">
        <f t="shared" si="56"/>
        <v>49</v>
      </c>
      <c r="AK148" s="785">
        <f t="shared" si="5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9">O$5</f>
        <v>2014/15</v>
      </c>
      <c r="P170" s="536" t="str">
        <f t="shared" si="59"/>
        <v>2015/16</v>
      </c>
      <c r="Q170" s="536" t="str">
        <f t="shared" si="59"/>
        <v>2016/17</v>
      </c>
      <c r="R170" s="536" t="str">
        <f t="shared" si="59"/>
        <v>2017/18</v>
      </c>
      <c r="S170" s="536" t="str">
        <f t="shared" si="59"/>
        <v>2018/19</v>
      </c>
      <c r="T170" s="536" t="str">
        <f t="shared" si="59"/>
        <v>2019/20</v>
      </c>
      <c r="U170" s="536" t="str">
        <f t="shared" si="59"/>
        <v>2020/21</v>
      </c>
      <c r="V170" s="536" t="str">
        <f t="shared" si="59"/>
        <v>2021/22</v>
      </c>
      <c r="W170" s="536" t="str">
        <f t="shared" si="59"/>
        <v>2022/23</v>
      </c>
      <c r="X170" s="536" t="str">
        <f t="shared" si="59"/>
        <v>2023/24</v>
      </c>
      <c r="Y170" s="536" t="str">
        <f t="shared" si="59"/>
        <v>2024/25</v>
      </c>
      <c r="Z170" s="536" t="str">
        <f t="shared" si="59"/>
        <v>2025/26</v>
      </c>
      <c r="AA170" s="536" t="str">
        <f t="shared" si="59"/>
        <v>2026/27</v>
      </c>
      <c r="AB170" s="536" t="str">
        <f t="shared" si="59"/>
        <v>2027/28</v>
      </c>
      <c r="AC170" s="536" t="str">
        <f t="shared" si="59"/>
        <v>2028/29</v>
      </c>
      <c r="AD170" s="536" t="str">
        <f t="shared" si="59"/>
        <v>2029/30</v>
      </c>
      <c r="AE170" s="536" t="str">
        <f t="shared" si="59"/>
        <v>2030/31</v>
      </c>
      <c r="AF170" s="536" t="str">
        <f t="shared" si="59"/>
        <v>2031/32</v>
      </c>
      <c r="AG170" s="536" t="str">
        <f t="shared" si="59"/>
        <v>3032/33</v>
      </c>
      <c r="AH170" s="536" t="str">
        <f t="shared" si="59"/>
        <v>2033/34</v>
      </c>
      <c r="AI170" s="536" t="str">
        <f t="shared" si="59"/>
        <v>2034/35</v>
      </c>
      <c r="AJ170" s="536" t="str">
        <f t="shared" si="59"/>
        <v>2035/36</v>
      </c>
      <c r="AK170" s="536" t="str">
        <f t="shared" si="59"/>
        <v>2036/37</v>
      </c>
    </row>
    <row r="171" spans="4:37" x14ac:dyDescent="0.45">
      <c r="E171" s="803" t="str">
        <f>D48</f>
        <v>Net Surplus / (Deficit)</v>
      </c>
      <c r="F171" s="803"/>
      <c r="G171" s="803"/>
      <c r="H171" s="803"/>
      <c r="I171" s="803"/>
      <c r="J171" s="803"/>
      <c r="K171" s="803"/>
      <c r="L171" s="803"/>
      <c r="M171" s="803"/>
      <c r="N171" s="533">
        <f t="shared" ref="N171:AK171" si="60">N48</f>
        <v>-1045602.6333333334</v>
      </c>
      <c r="O171" s="533">
        <f t="shared" si="60"/>
        <v>-1083676.8533333333</v>
      </c>
      <c r="P171" s="533">
        <f t="shared" si="60"/>
        <v>-1121225.8400000001</v>
      </c>
      <c r="Q171" s="579">
        <f t="shared" ca="1" si="60"/>
        <v>-1137125.8709217389</v>
      </c>
      <c r="R171" s="579">
        <f t="shared" ca="1" si="60"/>
        <v>-1148247.342709739</v>
      </c>
      <c r="S171" s="579">
        <f t="shared" ca="1" si="60"/>
        <v>-1157120.2852056089</v>
      </c>
      <c r="T171" s="533">
        <f t="shared" ca="1" si="60"/>
        <v>-1163463.7177350558</v>
      </c>
      <c r="U171" s="533">
        <f t="shared" ca="1" si="60"/>
        <v>-1166972.553550723</v>
      </c>
      <c r="V171" s="533">
        <f t="shared" ca="1" si="60"/>
        <v>-1167315.7981306934</v>
      </c>
      <c r="W171" s="533">
        <f t="shared" ca="1" si="60"/>
        <v>-1164134.622210698</v>
      </c>
      <c r="X171" s="533">
        <f t="shared" ca="1" si="60"/>
        <v>-1157040.3012208862</v>
      </c>
      <c r="Y171" s="533">
        <f t="shared" ca="1" si="60"/>
        <v>-1145612.012260736</v>
      </c>
      <c r="Z171" s="533">
        <f t="shared" ca="1" si="60"/>
        <v>-1129394.4791745041</v>
      </c>
      <c r="AA171" s="533">
        <f t="shared" ca="1" si="60"/>
        <v>-1107895.4556824262</v>
      </c>
      <c r="AB171" s="533">
        <f t="shared" ca="1" si="60"/>
        <v>-1080583.0358774455</v>
      </c>
      <c r="AC171" s="533">
        <f t="shared" ca="1" si="60"/>
        <v>-1046882.7807112056</v>
      </c>
      <c r="AD171" s="533">
        <f t="shared" ca="1" si="60"/>
        <v>-1006174.6483638785</v>
      </c>
      <c r="AE171" s="533">
        <f t="shared" ca="1" si="60"/>
        <v>-957789.71561742201</v>
      </c>
      <c r="AF171" s="533">
        <f t="shared" ca="1" si="60"/>
        <v>-901006.67652828305</v>
      </c>
      <c r="AG171" s="533">
        <f t="shared" ca="1" si="60"/>
        <v>-835048.10382032429</v>
      </c>
      <c r="AH171" s="533">
        <f t="shared" ca="1" si="60"/>
        <v>-759076.45748872019</v>
      </c>
      <c r="AI171" s="533">
        <f t="shared" ca="1" si="60"/>
        <v>-672189.82411731151</v>
      </c>
      <c r="AJ171" s="533">
        <f t="shared" ca="1" si="60"/>
        <v>-140561.51634545988</v>
      </c>
      <c r="AK171" s="533">
        <f t="shared" ca="1" si="60"/>
        <v>0</v>
      </c>
    </row>
    <row r="172" spans="4:37" x14ac:dyDescent="0.45">
      <c r="E172" s="803" t="str">
        <f>D47</f>
        <v>Total Expenditure</v>
      </c>
      <c r="F172" s="803"/>
      <c r="G172" s="803"/>
      <c r="H172" s="803"/>
      <c r="I172" s="803"/>
      <c r="J172" s="803"/>
      <c r="K172" s="803"/>
      <c r="L172" s="803"/>
      <c r="M172" s="803"/>
      <c r="N172" s="533">
        <f t="shared" ref="N172:AK172" si="61">N47</f>
        <v>1053659.7333333334</v>
      </c>
      <c r="O172" s="533">
        <f t="shared" si="61"/>
        <v>1087690.0533333332</v>
      </c>
      <c r="P172" s="533">
        <f t="shared" si="61"/>
        <v>1121351.04</v>
      </c>
      <c r="Q172" s="579">
        <f t="shared" si="61"/>
        <v>1147732.6243999999</v>
      </c>
      <c r="R172" s="579">
        <f t="shared" si="61"/>
        <v>1158854.0961879999</v>
      </c>
      <c r="S172" s="579">
        <f t="shared" si="61"/>
        <v>1167727.0386838699</v>
      </c>
      <c r="T172" s="533">
        <f t="shared" si="61"/>
        <v>1174070.4712133168</v>
      </c>
      <c r="U172" s="533">
        <f t="shared" si="61"/>
        <v>1177579.307028984</v>
      </c>
      <c r="V172" s="533">
        <f t="shared" si="61"/>
        <v>1177922.5516089543</v>
      </c>
      <c r="W172" s="533">
        <f t="shared" si="61"/>
        <v>1174741.3756889589</v>
      </c>
      <c r="X172" s="533">
        <f t="shared" si="61"/>
        <v>1167647.0546991471</v>
      </c>
      <c r="Y172" s="533">
        <f t="shared" si="61"/>
        <v>1156218.7657389969</v>
      </c>
      <c r="Z172" s="533">
        <f t="shared" si="61"/>
        <v>1140001.232652765</v>
      </c>
      <c r="AA172" s="533">
        <f t="shared" si="61"/>
        <v>1118502.2091606872</v>
      </c>
      <c r="AB172" s="533">
        <f t="shared" si="61"/>
        <v>1091189.7893557064</v>
      </c>
      <c r="AC172" s="533">
        <f t="shared" si="61"/>
        <v>1057489.5341894664</v>
      </c>
      <c r="AD172" s="533">
        <f t="shared" si="61"/>
        <v>1016781.4018421393</v>
      </c>
      <c r="AE172" s="533">
        <f t="shared" si="61"/>
        <v>968396.46909568284</v>
      </c>
      <c r="AF172" s="533">
        <f t="shared" si="61"/>
        <v>911613.43000654387</v>
      </c>
      <c r="AG172" s="533">
        <f t="shared" si="61"/>
        <v>845654.85729858512</v>
      </c>
      <c r="AH172" s="533">
        <f t="shared" si="61"/>
        <v>769683.21096698102</v>
      </c>
      <c r="AI172" s="533">
        <f t="shared" si="61"/>
        <v>682796.57759557234</v>
      </c>
      <c r="AJ172" s="533">
        <f t="shared" si="61"/>
        <v>193595.28373676422</v>
      </c>
      <c r="AK172" s="533">
        <f t="shared" si="61"/>
        <v>0</v>
      </c>
    </row>
    <row r="173" spans="4:37" x14ac:dyDescent="0.45">
      <c r="E173" s="803" t="str">
        <f>D28</f>
        <v>Total Income</v>
      </c>
      <c r="F173" s="803"/>
      <c r="G173" s="803"/>
      <c r="H173" s="803"/>
      <c r="I173" s="803"/>
      <c r="J173" s="803"/>
      <c r="K173" s="803"/>
      <c r="L173" s="803"/>
      <c r="M173" s="803"/>
      <c r="N173" s="533">
        <f t="shared" ref="N173:AK173" si="62">N28</f>
        <v>8057.1</v>
      </c>
      <c r="O173" s="533">
        <f t="shared" si="62"/>
        <v>4013.2</v>
      </c>
      <c r="P173" s="533">
        <f t="shared" si="62"/>
        <v>125.2</v>
      </c>
      <c r="Q173" s="579">
        <f t="shared" ca="1" si="62"/>
        <v>10606.753478260869</v>
      </c>
      <c r="R173" s="579">
        <f t="shared" ca="1" si="62"/>
        <v>10606.753478260869</v>
      </c>
      <c r="S173" s="579">
        <f t="shared" ca="1" si="62"/>
        <v>10606.753478260869</v>
      </c>
      <c r="T173" s="533">
        <f t="shared" ca="1" si="62"/>
        <v>10606.753478260869</v>
      </c>
      <c r="U173" s="533">
        <f t="shared" ca="1" si="62"/>
        <v>10606.753478260869</v>
      </c>
      <c r="V173" s="533">
        <f t="shared" ca="1" si="62"/>
        <v>10606.753478260869</v>
      </c>
      <c r="W173" s="533">
        <f t="shared" ca="1" si="62"/>
        <v>10606.753478260869</v>
      </c>
      <c r="X173" s="533">
        <f t="shared" ca="1" si="62"/>
        <v>10606.753478260869</v>
      </c>
      <c r="Y173" s="533">
        <f t="shared" ca="1" si="62"/>
        <v>10606.753478260869</v>
      </c>
      <c r="Z173" s="533">
        <f t="shared" ca="1" si="62"/>
        <v>10606.753478260869</v>
      </c>
      <c r="AA173" s="533">
        <f t="shared" ca="1" si="62"/>
        <v>10606.753478260869</v>
      </c>
      <c r="AB173" s="533">
        <f t="shared" ca="1" si="62"/>
        <v>10606.753478260869</v>
      </c>
      <c r="AC173" s="533">
        <f t="shared" ca="1" si="62"/>
        <v>10606.753478260869</v>
      </c>
      <c r="AD173" s="533">
        <f t="shared" ca="1" si="62"/>
        <v>10606.753478260869</v>
      </c>
      <c r="AE173" s="533">
        <f t="shared" ca="1" si="62"/>
        <v>10606.753478260869</v>
      </c>
      <c r="AF173" s="533">
        <f t="shared" ca="1" si="62"/>
        <v>10606.753478260869</v>
      </c>
      <c r="AG173" s="533">
        <f t="shared" ca="1" si="62"/>
        <v>10606.753478260869</v>
      </c>
      <c r="AH173" s="533">
        <f t="shared" ca="1" si="62"/>
        <v>10606.753478260869</v>
      </c>
      <c r="AI173" s="533">
        <f t="shared" ca="1" si="62"/>
        <v>10606.753478260869</v>
      </c>
      <c r="AJ173" s="533">
        <f t="shared" ca="1" si="62"/>
        <v>53033.767391304347</v>
      </c>
      <c r="AK173" s="533">
        <f t="shared" ca="1" si="62"/>
        <v>0</v>
      </c>
    </row>
    <row r="195" spans="5:37" x14ac:dyDescent="0.45">
      <c r="N195" s="536" t="str">
        <f>N$170</f>
        <v>2013/14</v>
      </c>
      <c r="O195" s="536" t="str">
        <f t="shared" ref="O195:AK195" si="63">O$170</f>
        <v>2014/15</v>
      </c>
      <c r="P195" s="536" t="str">
        <f t="shared" si="63"/>
        <v>2015/16</v>
      </c>
      <c r="Q195" s="536" t="str">
        <f t="shared" si="63"/>
        <v>2016/17</v>
      </c>
      <c r="R195" s="536" t="str">
        <f t="shared" si="63"/>
        <v>2017/18</v>
      </c>
      <c r="S195" s="536" t="str">
        <f t="shared" si="63"/>
        <v>2018/19</v>
      </c>
      <c r="T195" s="536" t="str">
        <f t="shared" si="63"/>
        <v>2019/20</v>
      </c>
      <c r="U195" s="536" t="str">
        <f t="shared" si="63"/>
        <v>2020/21</v>
      </c>
      <c r="V195" s="536" t="str">
        <f t="shared" si="63"/>
        <v>2021/22</v>
      </c>
      <c r="W195" s="536" t="str">
        <f t="shared" si="63"/>
        <v>2022/23</v>
      </c>
      <c r="X195" s="536" t="str">
        <f t="shared" si="63"/>
        <v>2023/24</v>
      </c>
      <c r="Y195" s="536" t="str">
        <f t="shared" si="63"/>
        <v>2024/25</v>
      </c>
      <c r="Z195" s="536" t="str">
        <f t="shared" si="63"/>
        <v>2025/26</v>
      </c>
      <c r="AA195" s="536" t="str">
        <f t="shared" si="63"/>
        <v>2026/27</v>
      </c>
      <c r="AB195" s="536" t="str">
        <f t="shared" si="63"/>
        <v>2027/28</v>
      </c>
      <c r="AC195" s="536" t="str">
        <f t="shared" si="63"/>
        <v>2028/29</v>
      </c>
      <c r="AD195" s="536" t="str">
        <f t="shared" si="63"/>
        <v>2029/30</v>
      </c>
      <c r="AE195" s="536" t="str">
        <f t="shared" si="63"/>
        <v>2030/31</v>
      </c>
      <c r="AF195" s="536" t="str">
        <f t="shared" si="63"/>
        <v>2031/32</v>
      </c>
      <c r="AG195" s="536" t="str">
        <f t="shared" si="63"/>
        <v>3032/33</v>
      </c>
      <c r="AH195" s="536" t="str">
        <f t="shared" si="63"/>
        <v>2033/34</v>
      </c>
      <c r="AI195" s="536" t="str">
        <f t="shared" si="63"/>
        <v>2034/35</v>
      </c>
      <c r="AJ195" s="536" t="str">
        <f t="shared" si="63"/>
        <v>2035/36</v>
      </c>
      <c r="AK195" s="536" t="str">
        <f t="shared" si="63"/>
        <v>2036/37</v>
      </c>
    </row>
    <row r="196" spans="5:37" x14ac:dyDescent="0.45">
      <c r="E196" s="803" t="str">
        <f>D104</f>
        <v>Sales &amp; Loans Collections/Sales &amp; Loans Raised</v>
      </c>
      <c r="F196" s="803"/>
      <c r="G196" s="803"/>
      <c r="H196" s="803"/>
      <c r="I196" s="803"/>
      <c r="J196" s="803"/>
      <c r="K196" s="803"/>
      <c r="L196" s="803"/>
      <c r="M196" s="803"/>
      <c r="N196" s="813">
        <f t="shared" ref="N196:AK196" si="64">N104</f>
        <v>0</v>
      </c>
      <c r="O196" s="813">
        <f t="shared" si="64"/>
        <v>0</v>
      </c>
      <c r="P196" s="813">
        <f t="shared" si="64"/>
        <v>0</v>
      </c>
      <c r="Q196" s="813">
        <f t="shared" si="64"/>
        <v>0.15120772946859903</v>
      </c>
      <c r="R196" s="813">
        <f t="shared" si="64"/>
        <v>0.15120772946859903</v>
      </c>
      <c r="S196" s="813">
        <f t="shared" si="64"/>
        <v>0.15120772946859903</v>
      </c>
      <c r="T196" s="813">
        <f t="shared" si="64"/>
        <v>0.15120772946859903</v>
      </c>
      <c r="U196" s="813">
        <f t="shared" si="64"/>
        <v>0.15120772946859903</v>
      </c>
      <c r="V196" s="813">
        <f t="shared" si="64"/>
        <v>0.15120772946859903</v>
      </c>
      <c r="W196" s="813">
        <f t="shared" si="64"/>
        <v>0.15120772946859903</v>
      </c>
      <c r="X196" s="813">
        <f t="shared" si="64"/>
        <v>0.15120772946859903</v>
      </c>
      <c r="Y196" s="813">
        <f t="shared" si="64"/>
        <v>0.15120772946859903</v>
      </c>
      <c r="Z196" s="813">
        <f t="shared" si="64"/>
        <v>0.15120772946859903</v>
      </c>
      <c r="AA196" s="813">
        <f t="shared" si="64"/>
        <v>0.15120772946859903</v>
      </c>
      <c r="AB196" s="813">
        <f t="shared" si="64"/>
        <v>0.15120772946859903</v>
      </c>
      <c r="AC196" s="813">
        <f t="shared" si="64"/>
        <v>0.15120772946859903</v>
      </c>
      <c r="AD196" s="813">
        <f t="shared" si="64"/>
        <v>0.15120772946859903</v>
      </c>
      <c r="AE196" s="813">
        <f t="shared" si="64"/>
        <v>0.15120772946859903</v>
      </c>
      <c r="AF196" s="813">
        <f t="shared" si="64"/>
        <v>0.15120772946859903</v>
      </c>
      <c r="AG196" s="813">
        <f t="shared" si="64"/>
        <v>0.15120772946859903</v>
      </c>
      <c r="AH196" s="813">
        <f t="shared" si="64"/>
        <v>0.15120772946859903</v>
      </c>
      <c r="AI196" s="813">
        <f t="shared" si="64"/>
        <v>0.15120772946859903</v>
      </c>
      <c r="AJ196" s="813">
        <f t="shared" si="64"/>
        <v>0.15120772946859903</v>
      </c>
      <c r="AK196" s="813">
        <f t="shared" si="64"/>
        <v>0</v>
      </c>
    </row>
    <row r="219" spans="5:37" x14ac:dyDescent="0.45">
      <c r="N219" s="536" t="str">
        <f>N$170</f>
        <v>2013/14</v>
      </c>
      <c r="O219" s="536" t="str">
        <f t="shared" ref="O219:AK219" si="65">O$170</f>
        <v>2014/15</v>
      </c>
      <c r="P219" s="536" t="str">
        <f t="shared" si="65"/>
        <v>2015/16</v>
      </c>
      <c r="Q219" s="536" t="str">
        <f t="shared" si="65"/>
        <v>2016/17</v>
      </c>
      <c r="R219" s="536" t="str">
        <f t="shared" si="65"/>
        <v>2017/18</v>
      </c>
      <c r="S219" s="536" t="str">
        <f t="shared" si="65"/>
        <v>2018/19</v>
      </c>
      <c r="T219" s="536" t="str">
        <f t="shared" si="65"/>
        <v>2019/20</v>
      </c>
      <c r="U219" s="536" t="str">
        <f t="shared" si="65"/>
        <v>2020/21</v>
      </c>
      <c r="V219" s="536" t="str">
        <f t="shared" si="65"/>
        <v>2021/22</v>
      </c>
      <c r="W219" s="536" t="str">
        <f t="shared" si="65"/>
        <v>2022/23</v>
      </c>
      <c r="X219" s="536" t="str">
        <f t="shared" si="65"/>
        <v>2023/24</v>
      </c>
      <c r="Y219" s="536" t="str">
        <f t="shared" si="65"/>
        <v>2024/25</v>
      </c>
      <c r="Z219" s="536" t="str">
        <f t="shared" si="65"/>
        <v>2025/26</v>
      </c>
      <c r="AA219" s="536" t="str">
        <f t="shared" si="65"/>
        <v>2026/27</v>
      </c>
      <c r="AB219" s="536" t="str">
        <f t="shared" si="65"/>
        <v>2027/28</v>
      </c>
      <c r="AC219" s="536" t="str">
        <f t="shared" si="65"/>
        <v>2028/29</v>
      </c>
      <c r="AD219" s="536" t="str">
        <f t="shared" si="65"/>
        <v>2029/30</v>
      </c>
      <c r="AE219" s="536" t="str">
        <f t="shared" si="65"/>
        <v>2030/31</v>
      </c>
      <c r="AF219" s="536" t="str">
        <f t="shared" si="65"/>
        <v>2031/32</v>
      </c>
      <c r="AG219" s="536" t="str">
        <f t="shared" si="65"/>
        <v>3032/33</v>
      </c>
      <c r="AH219" s="536" t="str">
        <f t="shared" si="65"/>
        <v>2033/34</v>
      </c>
      <c r="AI219" s="536" t="str">
        <f t="shared" si="65"/>
        <v>2034/35</v>
      </c>
      <c r="AJ219" s="536" t="str">
        <f t="shared" si="65"/>
        <v>2035/36</v>
      </c>
      <c r="AK219" s="536" t="str">
        <f t="shared" si="65"/>
        <v>2036/37</v>
      </c>
    </row>
    <row r="220" spans="5:37" x14ac:dyDescent="0.45">
      <c r="E220" s="803" t="str">
        <f>D105</f>
        <v>Rental Collections/Rentals Raised</v>
      </c>
      <c r="F220" s="803"/>
      <c r="G220" s="803"/>
      <c r="H220" s="803"/>
      <c r="I220" s="803"/>
      <c r="J220" s="803"/>
      <c r="K220" s="803"/>
      <c r="L220" s="803"/>
      <c r="M220" s="803"/>
      <c r="N220" s="813">
        <f>N105</f>
        <v>4.2266858310417869E-2</v>
      </c>
      <c r="O220" s="813">
        <f t="shared" ref="O220:AK220" si="66">O105</f>
        <v>2.984770471210263E-2</v>
      </c>
      <c r="P220" s="813">
        <f t="shared" si="66"/>
        <v>0</v>
      </c>
      <c r="Q220" s="813">
        <f t="shared" si="66"/>
        <v>0</v>
      </c>
      <c r="R220" s="813">
        <f t="shared" si="66"/>
        <v>0</v>
      </c>
      <c r="S220" s="813">
        <f t="shared" si="66"/>
        <v>0</v>
      </c>
      <c r="T220" s="813">
        <f t="shared" si="66"/>
        <v>0</v>
      </c>
      <c r="U220" s="813">
        <f t="shared" si="66"/>
        <v>0</v>
      </c>
      <c r="V220" s="813">
        <f t="shared" si="66"/>
        <v>0</v>
      </c>
      <c r="W220" s="813">
        <f t="shared" si="66"/>
        <v>0</v>
      </c>
      <c r="X220" s="813">
        <f t="shared" si="66"/>
        <v>0</v>
      </c>
      <c r="Y220" s="813">
        <f t="shared" si="66"/>
        <v>0</v>
      </c>
      <c r="Z220" s="813">
        <f t="shared" si="66"/>
        <v>0</v>
      </c>
      <c r="AA220" s="813">
        <f t="shared" si="66"/>
        <v>0</v>
      </c>
      <c r="AB220" s="813">
        <f t="shared" si="66"/>
        <v>0</v>
      </c>
      <c r="AC220" s="813">
        <f t="shared" si="66"/>
        <v>0</v>
      </c>
      <c r="AD220" s="813">
        <f t="shared" si="66"/>
        <v>0</v>
      </c>
      <c r="AE220" s="813">
        <f t="shared" si="66"/>
        <v>0</v>
      </c>
      <c r="AF220" s="813">
        <f t="shared" si="66"/>
        <v>0</v>
      </c>
      <c r="AG220" s="813">
        <f t="shared" si="66"/>
        <v>0</v>
      </c>
      <c r="AH220" s="813">
        <f t="shared" si="66"/>
        <v>0</v>
      </c>
      <c r="AI220" s="813">
        <f t="shared" si="66"/>
        <v>0</v>
      </c>
      <c r="AJ220" s="813">
        <f t="shared" si="66"/>
        <v>0</v>
      </c>
      <c r="AK220" s="813">
        <f t="shared" si="66"/>
        <v>0</v>
      </c>
    </row>
    <row r="243" spans="5:37" x14ac:dyDescent="0.45">
      <c r="N243" s="536" t="str">
        <f>N$170</f>
        <v>2013/14</v>
      </c>
      <c r="O243" s="536" t="str">
        <f t="shared" ref="O243:AK243" si="67">O$170</f>
        <v>2014/15</v>
      </c>
      <c r="P243" s="536" t="str">
        <f t="shared" si="67"/>
        <v>2015/16</v>
      </c>
      <c r="Q243" s="536" t="str">
        <f t="shared" si="67"/>
        <v>2016/17</v>
      </c>
      <c r="R243" s="536" t="str">
        <f t="shared" si="67"/>
        <v>2017/18</v>
      </c>
      <c r="S243" s="536" t="str">
        <f t="shared" si="67"/>
        <v>2018/19</v>
      </c>
      <c r="T243" s="536" t="str">
        <f t="shared" si="67"/>
        <v>2019/20</v>
      </c>
      <c r="U243" s="536" t="str">
        <f t="shared" si="67"/>
        <v>2020/21</v>
      </c>
      <c r="V243" s="536" t="str">
        <f t="shared" si="67"/>
        <v>2021/22</v>
      </c>
      <c r="W243" s="536" t="str">
        <f t="shared" si="67"/>
        <v>2022/23</v>
      </c>
      <c r="X243" s="536" t="str">
        <f t="shared" si="67"/>
        <v>2023/24</v>
      </c>
      <c r="Y243" s="536" t="str">
        <f t="shared" si="67"/>
        <v>2024/25</v>
      </c>
      <c r="Z243" s="536" t="str">
        <f t="shared" si="67"/>
        <v>2025/26</v>
      </c>
      <c r="AA243" s="536" t="str">
        <f t="shared" si="67"/>
        <v>2026/27</v>
      </c>
      <c r="AB243" s="536" t="str">
        <f t="shared" si="67"/>
        <v>2027/28</v>
      </c>
      <c r="AC243" s="536" t="str">
        <f t="shared" si="67"/>
        <v>2028/29</v>
      </c>
      <c r="AD243" s="536" t="str">
        <f t="shared" si="67"/>
        <v>2029/30</v>
      </c>
      <c r="AE243" s="536" t="str">
        <f t="shared" si="67"/>
        <v>2030/31</v>
      </c>
      <c r="AF243" s="536" t="str">
        <f t="shared" si="67"/>
        <v>2031/32</v>
      </c>
      <c r="AG243" s="536" t="str">
        <f t="shared" si="67"/>
        <v>3032/33</v>
      </c>
      <c r="AH243" s="536" t="str">
        <f t="shared" si="67"/>
        <v>2033/34</v>
      </c>
      <c r="AI243" s="536" t="str">
        <f t="shared" si="67"/>
        <v>2034/35</v>
      </c>
      <c r="AJ243" s="536" t="str">
        <f t="shared" si="67"/>
        <v>2035/36</v>
      </c>
      <c r="AK243" s="536" t="str">
        <f t="shared" si="67"/>
        <v>2036/37</v>
      </c>
    </row>
    <row r="244" spans="5:37" x14ac:dyDescent="0.45">
      <c r="E244" s="803" t="str">
        <f>D110</f>
        <v>Cost to Income Ratio</v>
      </c>
      <c r="F244" s="803"/>
      <c r="G244" s="803"/>
      <c r="H244" s="803"/>
      <c r="I244" s="803"/>
      <c r="J244" s="803"/>
      <c r="K244" s="803"/>
      <c r="L244" s="803"/>
      <c r="M244" s="803"/>
      <c r="N244" s="813">
        <f>N110</f>
        <v>6.1530126699170209</v>
      </c>
      <c r="O244" s="813">
        <f t="shared" ref="O244:AK244" si="68">O110</f>
        <v>7.8233522643358695</v>
      </c>
      <c r="P244" s="813">
        <f t="shared" si="68"/>
        <v>8970.8083200000001</v>
      </c>
      <c r="Q244" s="813">
        <f t="shared" ca="1" si="68"/>
        <v>108.20772131193034</v>
      </c>
      <c r="R244" s="813">
        <f t="shared" ca="1" si="68"/>
        <v>109.25624872522359</v>
      </c>
      <c r="S244" s="813">
        <f t="shared" ca="1" si="68"/>
        <v>110.09278579701049</v>
      </c>
      <c r="T244" s="813">
        <f t="shared" ca="1" si="68"/>
        <v>110.69084179430016</v>
      </c>
      <c r="U244" s="813">
        <f t="shared" ca="1" si="68"/>
        <v>111.02165327425571</v>
      </c>
      <c r="V244" s="813">
        <f t="shared" ca="1" si="68"/>
        <v>111.05401422057862</v>
      </c>
      <c r="W244" s="813">
        <f t="shared" ca="1" si="68"/>
        <v>110.75409436984245</v>
      </c>
      <c r="X244" s="813">
        <f t="shared" ca="1" si="68"/>
        <v>110.08524494250806</v>
      </c>
      <c r="Y244" s="813">
        <f t="shared" ca="1" si="68"/>
        <v>109.00779094269812</v>
      </c>
      <c r="Z244" s="813">
        <f t="shared" ca="1" si="68"/>
        <v>107.47880913695796</v>
      </c>
      <c r="AA244" s="813">
        <f t="shared" ca="1" si="68"/>
        <v>105.45189076498474</v>
      </c>
      <c r="AB244" s="813">
        <f t="shared" ca="1" si="68"/>
        <v>102.8768879744552</v>
      </c>
      <c r="AC244" s="813">
        <f t="shared" ca="1" si="68"/>
        <v>99.699642907403287</v>
      </c>
      <c r="AD244" s="813">
        <f t="shared" ca="1" si="68"/>
        <v>95.861698296852978</v>
      </c>
      <c r="AE244" s="813">
        <f t="shared" ca="1" si="68"/>
        <v>91.299988359347211</v>
      </c>
      <c r="AF244" s="813">
        <f t="shared" ca="1" si="68"/>
        <v>85.946508691367839</v>
      </c>
      <c r="AG244" s="813">
        <f t="shared" ca="1" si="68"/>
        <v>79.727963795123713</v>
      </c>
      <c r="AH244" s="813">
        <f t="shared" ca="1" si="68"/>
        <v>72.565390771501342</v>
      </c>
      <c r="AI244" s="813">
        <f t="shared" ca="1" si="68"/>
        <v>64.373757624800263</v>
      </c>
      <c r="AJ244" s="813">
        <f t="shared" ca="1" si="68"/>
        <v>3.6504154477342858</v>
      </c>
      <c r="AK244" s="813">
        <f t="shared" ca="1" si="68"/>
        <v>0</v>
      </c>
    </row>
    <row r="269" spans="5:37" x14ac:dyDescent="0.45">
      <c r="N269" s="536" t="str">
        <f>N$170</f>
        <v>2013/14</v>
      </c>
      <c r="O269" s="536" t="str">
        <f t="shared" ref="O269:AK269" si="69">O$170</f>
        <v>2014/15</v>
      </c>
      <c r="P269" s="536" t="str">
        <f t="shared" si="69"/>
        <v>2015/16</v>
      </c>
      <c r="Q269" s="536" t="str">
        <f t="shared" si="69"/>
        <v>2016/17</v>
      </c>
      <c r="R269" s="536" t="str">
        <f t="shared" si="69"/>
        <v>2017/18</v>
      </c>
      <c r="S269" s="536" t="str">
        <f t="shared" si="69"/>
        <v>2018/19</v>
      </c>
      <c r="T269" s="536" t="str">
        <f t="shared" si="69"/>
        <v>2019/20</v>
      </c>
      <c r="U269" s="536" t="str">
        <f t="shared" si="69"/>
        <v>2020/21</v>
      </c>
      <c r="V269" s="536" t="str">
        <f t="shared" si="69"/>
        <v>2021/22</v>
      </c>
      <c r="W269" s="536" t="str">
        <f t="shared" si="69"/>
        <v>2022/23</v>
      </c>
      <c r="X269" s="536" t="str">
        <f t="shared" si="69"/>
        <v>2023/24</v>
      </c>
      <c r="Y269" s="536" t="str">
        <f t="shared" si="69"/>
        <v>2024/25</v>
      </c>
      <c r="Z269" s="536" t="str">
        <f t="shared" si="69"/>
        <v>2025/26</v>
      </c>
      <c r="AA269" s="536" t="str">
        <f t="shared" si="69"/>
        <v>2026/27</v>
      </c>
      <c r="AB269" s="536" t="str">
        <f t="shared" si="69"/>
        <v>2027/28</v>
      </c>
      <c r="AC269" s="536" t="str">
        <f t="shared" si="69"/>
        <v>2028/29</v>
      </c>
      <c r="AD269" s="536" t="str">
        <f t="shared" si="69"/>
        <v>2029/30</v>
      </c>
      <c r="AE269" s="536" t="str">
        <f t="shared" si="69"/>
        <v>2030/31</v>
      </c>
      <c r="AF269" s="536" t="str">
        <f t="shared" si="69"/>
        <v>2031/32</v>
      </c>
      <c r="AG269" s="536" t="str">
        <f t="shared" si="69"/>
        <v>3032/33</v>
      </c>
      <c r="AH269" s="536" t="str">
        <f t="shared" si="69"/>
        <v>2033/34</v>
      </c>
      <c r="AI269" s="536" t="str">
        <f t="shared" si="69"/>
        <v>2034/35</v>
      </c>
      <c r="AJ269" s="536" t="str">
        <f t="shared" si="69"/>
        <v>2035/36</v>
      </c>
      <c r="AK269" s="536" t="str">
        <f t="shared" si="69"/>
        <v>2036/37</v>
      </c>
    </row>
    <row r="270" spans="5:37" x14ac:dyDescent="0.45">
      <c r="E270" s="803" t="str">
        <f>D111</f>
        <v>Maintenance as % of Expenses</v>
      </c>
      <c r="F270" s="803"/>
      <c r="G270" s="803"/>
      <c r="H270" s="803"/>
      <c r="I270" s="803"/>
      <c r="J270" s="803"/>
      <c r="K270" s="803"/>
      <c r="L270" s="803"/>
      <c r="M270" s="803"/>
      <c r="N270" s="813">
        <f>N111</f>
        <v>0</v>
      </c>
      <c r="O270" s="813">
        <f t="shared" ref="O270:AK270" si="70">O111</f>
        <v>0</v>
      </c>
      <c r="P270" s="813">
        <f t="shared" si="70"/>
        <v>0</v>
      </c>
      <c r="Q270" s="813">
        <f t="shared" si="70"/>
        <v>0</v>
      </c>
      <c r="R270" s="813">
        <f t="shared" si="70"/>
        <v>0</v>
      </c>
      <c r="S270" s="813">
        <f t="shared" si="70"/>
        <v>0</v>
      </c>
      <c r="T270" s="813">
        <f t="shared" si="70"/>
        <v>0</v>
      </c>
      <c r="U270" s="813">
        <f t="shared" si="70"/>
        <v>0</v>
      </c>
      <c r="V270" s="813">
        <f t="shared" si="70"/>
        <v>0</v>
      </c>
      <c r="W270" s="813">
        <f t="shared" si="70"/>
        <v>0</v>
      </c>
      <c r="X270" s="813">
        <f t="shared" si="70"/>
        <v>0</v>
      </c>
      <c r="Y270" s="813">
        <f t="shared" si="70"/>
        <v>0</v>
      </c>
      <c r="Z270" s="813">
        <f t="shared" si="70"/>
        <v>0</v>
      </c>
      <c r="AA270" s="813">
        <f t="shared" si="70"/>
        <v>0</v>
      </c>
      <c r="AB270" s="813">
        <f t="shared" si="70"/>
        <v>0</v>
      </c>
      <c r="AC270" s="813">
        <f t="shared" si="70"/>
        <v>0</v>
      </c>
      <c r="AD270" s="813">
        <f t="shared" si="70"/>
        <v>0</v>
      </c>
      <c r="AE270" s="813">
        <f t="shared" si="70"/>
        <v>0</v>
      </c>
      <c r="AF270" s="813">
        <f t="shared" si="70"/>
        <v>0</v>
      </c>
      <c r="AG270" s="813">
        <f t="shared" si="70"/>
        <v>0</v>
      </c>
      <c r="AH270" s="813">
        <f t="shared" si="70"/>
        <v>0</v>
      </c>
      <c r="AI270" s="813">
        <f t="shared" si="70"/>
        <v>0</v>
      </c>
      <c r="AJ270" s="813">
        <f t="shared" si="70"/>
        <v>0</v>
      </c>
      <c r="AK270" s="813">
        <f t="shared" si="70"/>
        <v>0</v>
      </c>
    </row>
    <row r="293" spans="5:37" x14ac:dyDescent="0.45">
      <c r="N293" s="536" t="str">
        <f>N$170</f>
        <v>2013/14</v>
      </c>
      <c r="O293" s="536" t="str">
        <f t="shared" ref="O293:AK293" si="71">O$170</f>
        <v>2014/15</v>
      </c>
      <c r="P293" s="536" t="str">
        <f t="shared" si="71"/>
        <v>2015/16</v>
      </c>
      <c r="Q293" s="536" t="str">
        <f t="shared" si="71"/>
        <v>2016/17</v>
      </c>
      <c r="R293" s="536" t="str">
        <f t="shared" si="71"/>
        <v>2017/18</v>
      </c>
      <c r="S293" s="536" t="str">
        <f t="shared" si="71"/>
        <v>2018/19</v>
      </c>
      <c r="T293" s="536" t="str">
        <f t="shared" si="71"/>
        <v>2019/20</v>
      </c>
      <c r="U293" s="536" t="str">
        <f t="shared" si="71"/>
        <v>2020/21</v>
      </c>
      <c r="V293" s="536" t="str">
        <f t="shared" si="71"/>
        <v>2021/22</v>
      </c>
      <c r="W293" s="536" t="str">
        <f t="shared" si="71"/>
        <v>2022/23</v>
      </c>
      <c r="X293" s="536" t="str">
        <f t="shared" si="71"/>
        <v>2023/24</v>
      </c>
      <c r="Y293" s="536" t="str">
        <f t="shared" si="71"/>
        <v>2024/25</v>
      </c>
      <c r="Z293" s="536" t="str">
        <f t="shared" si="71"/>
        <v>2025/26</v>
      </c>
      <c r="AA293" s="536" t="str">
        <f t="shared" si="71"/>
        <v>2026/27</v>
      </c>
      <c r="AB293" s="536" t="str">
        <f t="shared" si="71"/>
        <v>2027/28</v>
      </c>
      <c r="AC293" s="536" t="str">
        <f t="shared" si="71"/>
        <v>2028/29</v>
      </c>
      <c r="AD293" s="536" t="str">
        <f t="shared" si="71"/>
        <v>2029/30</v>
      </c>
      <c r="AE293" s="536" t="str">
        <f t="shared" si="71"/>
        <v>2030/31</v>
      </c>
      <c r="AF293" s="536" t="str">
        <f t="shared" si="71"/>
        <v>2031/32</v>
      </c>
      <c r="AG293" s="536" t="str">
        <f t="shared" si="71"/>
        <v>3032/33</v>
      </c>
      <c r="AH293" s="536" t="str">
        <f t="shared" si="71"/>
        <v>2033/34</v>
      </c>
      <c r="AI293" s="536" t="str">
        <f t="shared" si="71"/>
        <v>2034/35</v>
      </c>
      <c r="AJ293" s="536" t="str">
        <f t="shared" si="71"/>
        <v>2035/36</v>
      </c>
      <c r="AK293" s="536" t="str">
        <f t="shared" si="71"/>
        <v>2036/37</v>
      </c>
    </row>
    <row r="294" spans="5:37" x14ac:dyDescent="0.45">
      <c r="E294" s="803" t="str">
        <f>D112</f>
        <v>Maintenance Cost per Unit</v>
      </c>
      <c r="F294" s="803"/>
      <c r="G294" s="803"/>
      <c r="H294" s="803"/>
      <c r="I294" s="803"/>
      <c r="J294" s="803"/>
      <c r="K294" s="803"/>
      <c r="L294" s="803"/>
      <c r="M294" s="803"/>
      <c r="N294" s="818">
        <f>N112</f>
        <v>0</v>
      </c>
      <c r="O294" s="818">
        <f t="shared" ref="O294:AK294" si="72">O112</f>
        <v>0</v>
      </c>
      <c r="P294" s="818">
        <f t="shared" si="72"/>
        <v>0</v>
      </c>
      <c r="Q294" s="818">
        <f t="shared" si="72"/>
        <v>0</v>
      </c>
      <c r="R294" s="818">
        <f t="shared" si="72"/>
        <v>0</v>
      </c>
      <c r="S294" s="818">
        <f t="shared" si="72"/>
        <v>0</v>
      </c>
      <c r="T294" s="818">
        <f t="shared" si="72"/>
        <v>0</v>
      </c>
      <c r="U294" s="818">
        <f t="shared" si="72"/>
        <v>0</v>
      </c>
      <c r="V294" s="818">
        <f t="shared" si="72"/>
        <v>0</v>
      </c>
      <c r="W294" s="818">
        <f t="shared" si="72"/>
        <v>0</v>
      </c>
      <c r="X294" s="818">
        <f t="shared" si="72"/>
        <v>0</v>
      </c>
      <c r="Y294" s="818">
        <f t="shared" si="72"/>
        <v>0</v>
      </c>
      <c r="Z294" s="818">
        <f t="shared" si="72"/>
        <v>0</v>
      </c>
      <c r="AA294" s="818">
        <f t="shared" si="72"/>
        <v>0</v>
      </c>
      <c r="AB294" s="818">
        <f t="shared" si="72"/>
        <v>0</v>
      </c>
      <c r="AC294" s="818">
        <f t="shared" si="72"/>
        <v>0</v>
      </c>
      <c r="AD294" s="818">
        <f t="shared" si="72"/>
        <v>0</v>
      </c>
      <c r="AE294" s="818">
        <f t="shared" si="72"/>
        <v>0</v>
      </c>
      <c r="AF294" s="818">
        <f t="shared" si="72"/>
        <v>0</v>
      </c>
      <c r="AG294" s="818">
        <f t="shared" si="72"/>
        <v>0</v>
      </c>
      <c r="AH294" s="818">
        <f t="shared" si="72"/>
        <v>0</v>
      </c>
      <c r="AI294" s="818">
        <f t="shared" si="72"/>
        <v>0</v>
      </c>
      <c r="AJ294" s="818">
        <f t="shared" si="72"/>
        <v>0</v>
      </c>
      <c r="AK294" s="818">
        <f t="shared" si="72"/>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5.0872661621275913E-4</v>
      </c>
      <c r="O317" s="813">
        <f t="shared" ref="O317:AK317" si="74">O113</f>
        <v>-3.7967291920177517E-6</v>
      </c>
      <c r="P317" s="813">
        <f t="shared" si="74"/>
        <v>0</v>
      </c>
      <c r="Q317" s="813">
        <f t="shared" ca="1" si="74"/>
        <v>1.0755160117071089E-3</v>
      </c>
      <c r="R317" s="813">
        <f t="shared" ca="1" si="74"/>
        <v>1.0860349184417233E-3</v>
      </c>
      <c r="S317" s="813">
        <f t="shared" ca="1" si="74"/>
        <v>1.0944271219517263E-3</v>
      </c>
      <c r="T317" s="813">
        <f t="shared" ca="1" si="74"/>
        <v>1.1004268651895383E-3</v>
      </c>
      <c r="U317" s="813">
        <f t="shared" ca="1" si="74"/>
        <v>1.1037455911096007E-3</v>
      </c>
      <c r="V317" s="813">
        <f t="shared" ca="1" si="74"/>
        <v>1.1040702385836667E-3</v>
      </c>
      <c r="W317" s="813">
        <f t="shared" ca="1" si="74"/>
        <v>1.1010614198367686E-3</v>
      </c>
      <c r="X317" s="813">
        <f t="shared" ca="1" si="74"/>
        <v>1.0943514715259913E-3</v>
      </c>
      <c r="Y317" s="813">
        <f t="shared" ca="1" si="74"/>
        <v>1.0835423710760174E-3</v>
      </c>
      <c r="Z317" s="813">
        <f t="shared" ca="1" si="74"/>
        <v>1.068203509345175E-3</v>
      </c>
      <c r="AA317" s="813">
        <f t="shared" ca="1" si="74"/>
        <v>1.0478693101214302E-3</v>
      </c>
      <c r="AB317" s="813">
        <f t="shared" ca="1" si="74"/>
        <v>1.0220366863372995E-3</v>
      </c>
      <c r="AC317" s="813">
        <f t="shared" ca="1" si="74"/>
        <v>9.9016232224379214E-4</v>
      </c>
      <c r="AD317" s="813">
        <f t="shared" ca="1" si="74"/>
        <v>9.5165977009382388E-4</v>
      </c>
      <c r="AE317" s="813">
        <f t="shared" ca="1" si="74"/>
        <v>9.0589634915256645E-4</v>
      </c>
      <c r="AF317" s="813">
        <f t="shared" ca="1" si="74"/>
        <v>8.5218983407323197E-4</v>
      </c>
      <c r="AG317" s="813">
        <f t="shared" ca="1" si="74"/>
        <v>7.898049188489794E-4</v>
      </c>
      <c r="AH317" s="813">
        <f t="shared" ca="1" si="74"/>
        <v>7.1794944167198236E-4</v>
      </c>
      <c r="AI317" s="813">
        <f t="shared" ca="1" si="74"/>
        <v>6.3577035509599267E-4</v>
      </c>
      <c r="AJ317" s="813">
        <f t="shared" ca="1" si="74"/>
        <v>1.3294584647593257E-4</v>
      </c>
      <c r="AK317" s="813">
        <f t="shared" ca="1" si="74"/>
        <v>0</v>
      </c>
    </row>
    <row r="339" spans="5:37" x14ac:dyDescent="0.45">
      <c r="N339" s="536" t="str">
        <f>N$170</f>
        <v>2013/14</v>
      </c>
      <c r="O339" s="536" t="str">
        <f t="shared" ref="O339:AK339" si="75">O$170</f>
        <v>2014/15</v>
      </c>
      <c r="P339" s="536" t="str">
        <f t="shared" si="75"/>
        <v>2015/16</v>
      </c>
      <c r="Q339" s="536" t="str">
        <f t="shared" si="75"/>
        <v>2016/17</v>
      </c>
      <c r="R339" s="536" t="str">
        <f t="shared" si="75"/>
        <v>2017/18</v>
      </c>
      <c r="S339" s="536" t="str">
        <f t="shared" si="75"/>
        <v>2018/19</v>
      </c>
      <c r="T339" s="536" t="str">
        <f t="shared" si="75"/>
        <v>2019/20</v>
      </c>
      <c r="U339" s="536" t="str">
        <f t="shared" si="75"/>
        <v>2020/21</v>
      </c>
      <c r="V339" s="536" t="str">
        <f t="shared" si="75"/>
        <v>2021/22</v>
      </c>
      <c r="W339" s="536" t="str">
        <f t="shared" si="75"/>
        <v>2022/23</v>
      </c>
      <c r="X339" s="536" t="str">
        <f t="shared" si="75"/>
        <v>2023/24</v>
      </c>
      <c r="Y339" s="536" t="str">
        <f t="shared" si="75"/>
        <v>2024/25</v>
      </c>
      <c r="Z339" s="536" t="str">
        <f t="shared" si="75"/>
        <v>2025/26</v>
      </c>
      <c r="AA339" s="536" t="str">
        <f t="shared" si="75"/>
        <v>2026/27</v>
      </c>
      <c r="AB339" s="536" t="str">
        <f t="shared" si="75"/>
        <v>2027/28</v>
      </c>
      <c r="AC339" s="536" t="str">
        <f t="shared" si="75"/>
        <v>2028/29</v>
      </c>
      <c r="AD339" s="536" t="str">
        <f t="shared" si="75"/>
        <v>2029/30</v>
      </c>
      <c r="AE339" s="536" t="str">
        <f t="shared" si="75"/>
        <v>2030/31</v>
      </c>
      <c r="AF339" s="536" t="str">
        <f t="shared" si="75"/>
        <v>2031/32</v>
      </c>
      <c r="AG339" s="536" t="str">
        <f t="shared" si="75"/>
        <v>3032/33</v>
      </c>
      <c r="AH339" s="536" t="str">
        <f t="shared" si="75"/>
        <v>2033/34</v>
      </c>
      <c r="AI339" s="536" t="str">
        <f t="shared" si="75"/>
        <v>2034/35</v>
      </c>
      <c r="AJ339" s="536" t="str">
        <f t="shared" si="75"/>
        <v>2035/36</v>
      </c>
      <c r="AK339" s="536" t="str">
        <f t="shared" si="75"/>
        <v>2036/37</v>
      </c>
    </row>
    <row r="340" spans="5:37" x14ac:dyDescent="0.45">
      <c r="E340" s="803" t="str">
        <f>D115</f>
        <v>EEDBS as % of HSDG</v>
      </c>
      <c r="F340" s="803"/>
      <c r="G340" s="803"/>
      <c r="H340" s="803"/>
      <c r="I340" s="803"/>
      <c r="J340" s="803"/>
      <c r="K340" s="803"/>
      <c r="L340" s="803"/>
      <c r="M340" s="803"/>
      <c r="N340" s="813">
        <f>N115</f>
        <v>1.165858338218835E-4</v>
      </c>
      <c r="O340" s="813">
        <f t="shared" ref="O340:AK340" si="76">O115</f>
        <v>1.2714785694641707E-4</v>
      </c>
      <c r="P340" s="813">
        <f t="shared" si="76"/>
        <v>0</v>
      </c>
      <c r="Q340" s="813">
        <f t="shared" ca="1" si="76"/>
        <v>3.7292723620143686E-5</v>
      </c>
      <c r="R340" s="813">
        <f t="shared" ca="1" si="76"/>
        <v>3.7292723620143686E-5</v>
      </c>
      <c r="S340" s="813">
        <f t="shared" ca="1" si="76"/>
        <v>3.7292723620143686E-5</v>
      </c>
      <c r="T340" s="813">
        <f t="shared" ca="1" si="76"/>
        <v>3.7292723620143686E-5</v>
      </c>
      <c r="U340" s="813">
        <f t="shared" ca="1" si="76"/>
        <v>3.7292723620143686E-5</v>
      </c>
      <c r="V340" s="813">
        <f t="shared" ca="1" si="76"/>
        <v>3.7292723620143686E-5</v>
      </c>
      <c r="W340" s="813">
        <f t="shared" ca="1" si="76"/>
        <v>3.7292723620143686E-5</v>
      </c>
      <c r="X340" s="813">
        <f t="shared" ca="1" si="76"/>
        <v>3.7292723620143686E-5</v>
      </c>
      <c r="Y340" s="813">
        <f t="shared" ca="1" si="76"/>
        <v>3.7292723620143686E-5</v>
      </c>
      <c r="Z340" s="813">
        <f t="shared" ca="1" si="76"/>
        <v>3.7292723620143686E-5</v>
      </c>
      <c r="AA340" s="813">
        <f t="shared" ca="1" si="76"/>
        <v>3.7292723620143686E-5</v>
      </c>
      <c r="AB340" s="813">
        <f t="shared" ca="1" si="76"/>
        <v>3.7292723620143686E-5</v>
      </c>
      <c r="AC340" s="813">
        <f t="shared" ca="1" si="76"/>
        <v>3.7292723620143686E-5</v>
      </c>
      <c r="AD340" s="813">
        <f t="shared" ca="1" si="76"/>
        <v>3.7292723620143686E-5</v>
      </c>
      <c r="AE340" s="813">
        <f t="shared" ca="1" si="76"/>
        <v>3.7292723620143686E-5</v>
      </c>
      <c r="AF340" s="813">
        <f t="shared" ca="1" si="76"/>
        <v>3.7292723620143686E-5</v>
      </c>
      <c r="AG340" s="813">
        <f t="shared" ca="1" si="76"/>
        <v>3.7292723620143686E-5</v>
      </c>
      <c r="AH340" s="813">
        <f t="shared" ca="1" si="76"/>
        <v>3.7292723620143686E-5</v>
      </c>
      <c r="AI340" s="813">
        <f t="shared" ca="1" si="76"/>
        <v>3.7292723620143686E-5</v>
      </c>
      <c r="AJ340" s="813">
        <f t="shared" ca="1" si="76"/>
        <v>1.8119483979706493E-3</v>
      </c>
      <c r="AK340" s="813">
        <f t="shared" ca="1" si="76"/>
        <v>0</v>
      </c>
    </row>
    <row r="363" spans="5:37" x14ac:dyDescent="0.45">
      <c r="N363" s="536" t="str">
        <f>N$170</f>
        <v>2013/14</v>
      </c>
      <c r="O363" s="536" t="str">
        <f t="shared" ref="O363:AK363" si="77">O$170</f>
        <v>2014/15</v>
      </c>
      <c r="P363" s="536" t="str">
        <f t="shared" si="77"/>
        <v>2015/16</v>
      </c>
      <c r="Q363" s="536" t="str">
        <f t="shared" si="77"/>
        <v>2016/17</v>
      </c>
      <c r="R363" s="536" t="str">
        <f t="shared" si="77"/>
        <v>2017/18</v>
      </c>
      <c r="S363" s="536" t="str">
        <f t="shared" si="77"/>
        <v>2018/19</v>
      </c>
      <c r="T363" s="536" t="str">
        <f t="shared" si="77"/>
        <v>2019/20</v>
      </c>
      <c r="U363" s="536" t="str">
        <f t="shared" si="77"/>
        <v>2020/21</v>
      </c>
      <c r="V363" s="536" t="str">
        <f t="shared" si="77"/>
        <v>2021/22</v>
      </c>
      <c r="W363" s="536" t="str">
        <f t="shared" si="77"/>
        <v>2022/23</v>
      </c>
      <c r="X363" s="536" t="str">
        <f t="shared" si="77"/>
        <v>2023/24</v>
      </c>
      <c r="Y363" s="536" t="str">
        <f t="shared" si="77"/>
        <v>2024/25</v>
      </c>
      <c r="Z363" s="536" t="str">
        <f t="shared" si="77"/>
        <v>2025/26</v>
      </c>
      <c r="AA363" s="536" t="str">
        <f t="shared" si="77"/>
        <v>2026/27</v>
      </c>
      <c r="AB363" s="536" t="str">
        <f t="shared" si="77"/>
        <v>2027/28</v>
      </c>
      <c r="AC363" s="536" t="str">
        <f t="shared" si="77"/>
        <v>2028/29</v>
      </c>
      <c r="AD363" s="536" t="str">
        <f t="shared" si="77"/>
        <v>2029/30</v>
      </c>
      <c r="AE363" s="536" t="str">
        <f t="shared" si="77"/>
        <v>2030/31</v>
      </c>
      <c r="AF363" s="536" t="str">
        <f t="shared" si="77"/>
        <v>2031/32</v>
      </c>
      <c r="AG363" s="536" t="str">
        <f t="shared" si="77"/>
        <v>3032/33</v>
      </c>
      <c r="AH363" s="536" t="str">
        <f t="shared" si="77"/>
        <v>2033/34</v>
      </c>
      <c r="AI363" s="536" t="str">
        <f t="shared" si="77"/>
        <v>2034/35</v>
      </c>
      <c r="AJ363" s="536" t="str">
        <f t="shared" si="77"/>
        <v>2035/36</v>
      </c>
      <c r="AK363" s="536" t="str">
        <f t="shared" si="77"/>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78">O117</f>
        <v>0</v>
      </c>
      <c r="P364" s="818">
        <f t="shared" si="78"/>
        <v>1946.79</v>
      </c>
      <c r="Q364" s="818">
        <f t="shared" si="78"/>
        <v>2079.2257688405793</v>
      </c>
      <c r="R364" s="818">
        <f t="shared" si="78"/>
        <v>2194.7994245984846</v>
      </c>
      <c r="S364" s="818">
        <f t="shared" si="78"/>
        <v>2316.918727547361</v>
      </c>
      <c r="T364" s="818">
        <f t="shared" si="78"/>
        <v>2445.9801483610768</v>
      </c>
      <c r="U364" s="818">
        <f t="shared" si="78"/>
        <v>2582.4107610284736</v>
      </c>
      <c r="V364" s="818">
        <f t="shared" si="78"/>
        <v>2726.6725731688757</v>
      </c>
      <c r="W364" s="818">
        <f t="shared" si="78"/>
        <v>2879.2680776690172</v>
      </c>
      <c r="X364" s="818">
        <f t="shared" si="78"/>
        <v>3040.747538279029</v>
      </c>
      <c r="Y364" s="818">
        <f t="shared" si="78"/>
        <v>3211.7187937194358</v>
      </c>
      <c r="Z364" s="818">
        <f t="shared" si="78"/>
        <v>3392.8608114665626</v>
      </c>
      <c r="AA364" s="818">
        <f t="shared" si="78"/>
        <v>3584.9429780791256</v>
      </c>
      <c r="AB364" s="818">
        <f t="shared" si="78"/>
        <v>3788.8534352628699</v>
      </c>
      <c r="AC364" s="818">
        <f t="shared" si="78"/>
        <v>4005.6421749601</v>
      </c>
      <c r="AD364" s="818">
        <f t="shared" si="78"/>
        <v>4236.5891743422471</v>
      </c>
      <c r="AE364" s="818">
        <f t="shared" si="78"/>
        <v>4483.3169865540867</v>
      </c>
      <c r="AF364" s="818">
        <f t="shared" si="78"/>
        <v>4747.9866146174163</v>
      </c>
      <c r="AG364" s="818">
        <f t="shared" si="78"/>
        <v>5033.6598648725303</v>
      </c>
      <c r="AH364" s="818">
        <f t="shared" si="78"/>
        <v>5345.0222983818121</v>
      </c>
      <c r="AI364" s="818">
        <f t="shared" si="78"/>
        <v>5689.9714799631029</v>
      </c>
      <c r="AJ364" s="818">
        <f t="shared" si="78"/>
        <v>0</v>
      </c>
      <c r="AK364" s="818">
        <f t="shared" si="78"/>
        <v>0</v>
      </c>
    </row>
    <row r="387" spans="5:37" x14ac:dyDescent="0.45">
      <c r="N387" s="536" t="str">
        <f>N$170</f>
        <v>2013/14</v>
      </c>
      <c r="O387" s="536" t="str">
        <f t="shared" ref="O387:AK387" si="79">O$170</f>
        <v>2014/15</v>
      </c>
      <c r="P387" s="536" t="str">
        <f t="shared" si="79"/>
        <v>2015/16</v>
      </c>
      <c r="Q387" s="536" t="str">
        <f t="shared" si="79"/>
        <v>2016/17</v>
      </c>
      <c r="R387" s="536" t="str">
        <f t="shared" si="79"/>
        <v>2017/18</v>
      </c>
      <c r="S387" s="536" t="str">
        <f t="shared" si="79"/>
        <v>2018/19</v>
      </c>
      <c r="T387" s="536" t="str">
        <f t="shared" si="79"/>
        <v>2019/20</v>
      </c>
      <c r="U387" s="536" t="str">
        <f t="shared" si="79"/>
        <v>2020/21</v>
      </c>
      <c r="V387" s="536" t="str">
        <f t="shared" si="79"/>
        <v>2021/22</v>
      </c>
      <c r="W387" s="536" t="str">
        <f t="shared" si="79"/>
        <v>2022/23</v>
      </c>
      <c r="X387" s="536" t="str">
        <f t="shared" si="79"/>
        <v>2023/24</v>
      </c>
      <c r="Y387" s="536" t="str">
        <f t="shared" si="79"/>
        <v>2024/25</v>
      </c>
      <c r="Z387" s="536" t="str">
        <f t="shared" si="79"/>
        <v>2025/26</v>
      </c>
      <c r="AA387" s="536" t="str">
        <f t="shared" si="79"/>
        <v>2026/27</v>
      </c>
      <c r="AB387" s="536" t="str">
        <f t="shared" si="79"/>
        <v>2027/28</v>
      </c>
      <c r="AC387" s="536" t="str">
        <f t="shared" si="79"/>
        <v>2028/29</v>
      </c>
      <c r="AD387" s="536" t="str">
        <f t="shared" si="79"/>
        <v>2029/30</v>
      </c>
      <c r="AE387" s="536" t="str">
        <f t="shared" si="79"/>
        <v>2030/31</v>
      </c>
      <c r="AF387" s="536" t="str">
        <f t="shared" si="79"/>
        <v>2031/32</v>
      </c>
      <c r="AG387" s="536" t="str">
        <f t="shared" si="79"/>
        <v>3032/33</v>
      </c>
      <c r="AH387" s="536" t="str">
        <f t="shared" si="79"/>
        <v>2033/34</v>
      </c>
      <c r="AI387" s="536" t="str">
        <f t="shared" si="79"/>
        <v>2034/35</v>
      </c>
      <c r="AJ387" s="536" t="str">
        <f t="shared" si="79"/>
        <v>2035/36</v>
      </c>
      <c r="AK387" s="536" t="str">
        <f t="shared" si="79"/>
        <v>2036/37</v>
      </c>
    </row>
    <row r="388" spans="5:37" x14ac:dyDescent="0.45">
      <c r="E388" s="803" t="str">
        <f>D118</f>
        <v>Net Surplus/Deficit p.u.p.m.</v>
      </c>
      <c r="F388" s="803"/>
      <c r="G388" s="803"/>
      <c r="H388" s="803"/>
      <c r="I388" s="803"/>
      <c r="J388" s="803"/>
      <c r="K388" s="803"/>
      <c r="L388" s="803"/>
      <c r="M388" s="803"/>
      <c r="N388" s="818">
        <f>N118</f>
        <v>0</v>
      </c>
      <c r="O388" s="818">
        <f t="shared" ref="O388:AK388" si="80">O118</f>
        <v>0</v>
      </c>
      <c r="P388" s="818">
        <f t="shared" si="80"/>
        <v>-1946.5729861111113</v>
      </c>
      <c r="Q388" s="818">
        <f t="shared" ca="1" si="80"/>
        <v>-2060.0106357277878</v>
      </c>
      <c r="R388" s="818">
        <f t="shared" ca="1" si="80"/>
        <v>-2174.7108763442025</v>
      </c>
      <c r="S388" s="818">
        <f t="shared" ca="1" si="80"/>
        <v>-2295.8735817571605</v>
      </c>
      <c r="T388" s="818">
        <f t="shared" ca="1" si="80"/>
        <v>-2423.8827452813662</v>
      </c>
      <c r="U388" s="818">
        <f t="shared" ca="1" si="80"/>
        <v>-2559.1503367340415</v>
      </c>
      <c r="V388" s="818">
        <f t="shared" ca="1" si="80"/>
        <v>-2702.1199030803086</v>
      </c>
      <c r="W388" s="818">
        <f t="shared" ca="1" si="80"/>
        <v>-2853.2711328693581</v>
      </c>
      <c r="X388" s="818">
        <f t="shared" ca="1" si="80"/>
        <v>-3013.1257844293909</v>
      </c>
      <c r="Y388" s="818">
        <f t="shared" ca="1" si="80"/>
        <v>-3182.2555896131557</v>
      </c>
      <c r="Z388" s="818">
        <f t="shared" ca="1" si="80"/>
        <v>-3361.2930927812617</v>
      </c>
      <c r="AA388" s="818">
        <f t="shared" ca="1" si="80"/>
        <v>-3550.9469733411097</v>
      </c>
      <c r="AB388" s="818">
        <f t="shared" ca="1" si="80"/>
        <v>-3752.024430130019</v>
      </c>
      <c r="AC388" s="818">
        <f t="shared" ca="1" si="80"/>
        <v>-3965.4650784515361</v>
      </c>
      <c r="AD388" s="818">
        <f t="shared" ca="1" si="80"/>
        <v>-4192.3943681828268</v>
      </c>
      <c r="AE388" s="818">
        <f t="shared" ca="1" si="80"/>
        <v>-4434.2116463769535</v>
      </c>
      <c r="AF388" s="818">
        <f t="shared" ca="1" si="80"/>
        <v>-4692.7431069181412</v>
      </c>
      <c r="AG388" s="818">
        <f t="shared" ca="1" si="80"/>
        <v>-4970.5244275019304</v>
      </c>
      <c r="AH388" s="818">
        <f t="shared" ca="1" si="80"/>
        <v>-5271.3642881161122</v>
      </c>
      <c r="AI388" s="818">
        <f t="shared" ca="1" si="80"/>
        <v>-5601.5818676442623</v>
      </c>
      <c r="AJ388" s="818">
        <f t="shared" si="80"/>
        <v>0</v>
      </c>
      <c r="AK388" s="818">
        <f t="shared" si="80"/>
        <v>0</v>
      </c>
    </row>
  </sheetData>
  <sheetProtection formatCells="0" formatColumns="0" formatRows="0"/>
  <mergeCells count="4">
    <mergeCell ref="F3:G3"/>
    <mergeCell ref="I3:L3"/>
    <mergeCell ref="N3:P3"/>
    <mergeCell ref="Q3:A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vince" prompt="Select province from the list, or select Total to see the national view. " xr:uid="{B419D2C9-1B2D-4585-90FF-F911CF0210E8}">
          <x14:formula1>
            <xm:f>'14. Permanent Info'!$C$7:$C$12</xm:f>
          </x14:formula1>
          <xm:sqref>E10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B6A1-AAC5-4ED1-B553-731D783DF2BF}">
  <sheetPr codeName="Sheet14">
    <tabColor theme="5" tint="0.59999389629810485"/>
  </sheetPr>
  <dimension ref="A1:BM388"/>
  <sheetViews>
    <sheetView showGridLines="0" view="pageBreakPreview" zoomScale="75" zoomScaleNormal="100" zoomScaleSheetLayoutView="75" workbookViewId="0">
      <selection activeCell="D6" sqref="D6"/>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Gau 2013/14</v>
      </c>
      <c r="O1" s="803" t="str">
        <f t="shared" si="0"/>
        <v>Gau 2014/15</v>
      </c>
      <c r="P1" s="803" t="str">
        <f t="shared" si="0"/>
        <v>Gau 2015/16</v>
      </c>
      <c r="Q1" s="803" t="str">
        <f t="shared" si="0"/>
        <v>Gau 2016/17</v>
      </c>
      <c r="R1" s="803" t="str">
        <f t="shared" si="0"/>
        <v>Gau 2017/18</v>
      </c>
      <c r="S1" s="803" t="str">
        <f t="shared" si="0"/>
        <v>Gau 2018/19</v>
      </c>
      <c r="T1" s="803" t="str">
        <f t="shared" si="0"/>
        <v>Gau 2019/20</v>
      </c>
      <c r="U1" s="803" t="str">
        <f t="shared" si="0"/>
        <v>Gau 2020/21</v>
      </c>
      <c r="V1" s="803" t="str">
        <f t="shared" si="0"/>
        <v>Gau 2021/22</v>
      </c>
      <c r="W1" s="803" t="str">
        <f t="shared" si="0"/>
        <v>Gau 2022/23</v>
      </c>
      <c r="X1" s="803" t="str">
        <f t="shared" si="0"/>
        <v>Gau 2023/24</v>
      </c>
      <c r="Y1" s="803" t="str">
        <f t="shared" si="0"/>
        <v>Gau 2024/25</v>
      </c>
      <c r="Z1" s="803"/>
      <c r="AA1" s="803"/>
      <c r="AB1" s="803"/>
      <c r="AC1" s="803"/>
      <c r="AD1" s="803"/>
      <c r="AE1" s="803"/>
      <c r="AF1" s="803"/>
      <c r="AG1" s="803"/>
      <c r="AH1" s="803"/>
      <c r="AI1" s="803"/>
      <c r="AJ1" s="803" t="str">
        <f>$E$10&amp;" "&amp;AJ5</f>
        <v>Gau 2035/36</v>
      </c>
      <c r="AK1" s="803" t="str">
        <f>$E$10&amp;" "&amp;AK5</f>
        <v>Gau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Gau</v>
      </c>
      <c r="E3" s="60"/>
      <c r="F3" s="1361" t="s">
        <v>1460</v>
      </c>
      <c r="G3" s="1361"/>
      <c r="I3" s="1344" t="s">
        <v>1457</v>
      </c>
      <c r="J3" s="1350"/>
      <c r="K3" s="1350"/>
      <c r="L3" s="134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841" t="s">
        <v>1328</v>
      </c>
      <c r="J4" s="841" t="s">
        <v>1405</v>
      </c>
      <c r="K4" s="841" t="s">
        <v>1453</v>
      </c>
      <c r="L4" s="841"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890" t="str">
        <f>'7. Scenario Detailed'!E12</f>
        <v>BC</v>
      </c>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-ROUND('9d. Forecast Results - Gau'!AL127,0)</f>
        <v>-17026220</v>
      </c>
      <c r="M6" s="783"/>
      <c r="N6" s="781">
        <f>-'9d. Forecast Results - Gau'!N127</f>
        <v>-1522381</v>
      </c>
      <c r="O6" s="781">
        <f>-'9d. Forecast Results - Gau'!O127</f>
        <v>-2645202</v>
      </c>
      <c r="P6" s="781">
        <f>-'9d. Forecast Results - Gau'!P127</f>
        <v>-1475617</v>
      </c>
      <c r="Q6" s="781">
        <f>-'9d. Forecast Results - Gau'!Q127</f>
        <v>-210409.8845669291</v>
      </c>
      <c r="R6" s="781">
        <f>-'9d. Forecast Results - Gau'!R127</f>
        <v>-210409.8845669291</v>
      </c>
      <c r="S6" s="781">
        <f>-'9d. Forecast Results - Gau'!S127</f>
        <v>-210409.8845669291</v>
      </c>
      <c r="T6" s="781">
        <f>-'9d. Forecast Results - Gau'!T127</f>
        <v>-23378.876062992123</v>
      </c>
      <c r="U6" s="781">
        <f>-'9d. Forecast Results - Gau'!U127</f>
        <v>-23378.876062992123</v>
      </c>
      <c r="V6" s="781">
        <f>-'9d. Forecast Results - Gau'!V127</f>
        <v>-23378.876062992123</v>
      </c>
      <c r="W6" s="781">
        <f>-'9d. Forecast Results - Gau'!W127</f>
        <v>-23378.876062992123</v>
      </c>
      <c r="X6" s="781">
        <f>-'9d. Forecast Results - Gau'!X127</f>
        <v>-23378.876062992123</v>
      </c>
      <c r="Y6" s="781">
        <f>-'9d. Forecast Results - Gau'!Y127</f>
        <v>-23378.876062992123</v>
      </c>
      <c r="Z6" s="781">
        <f>-'9d. Forecast Results - Gau'!Z127</f>
        <v>-23378.876062992123</v>
      </c>
      <c r="AA6" s="781">
        <f>-'9d. Forecast Results - Gau'!AA127</f>
        <v>-23378.876062992123</v>
      </c>
      <c r="AB6" s="781">
        <f>-'9d. Forecast Results - Gau'!AB127</f>
        <v>-23378.876062992123</v>
      </c>
      <c r="AC6" s="781">
        <f>-'9d. Forecast Results - Gau'!AC127</f>
        <v>-23378.876062992123</v>
      </c>
      <c r="AD6" s="781">
        <f>-'9d. Forecast Results - Gau'!AD127</f>
        <v>-23378.876062992123</v>
      </c>
      <c r="AE6" s="781">
        <f>-'9d. Forecast Results - Gau'!AE127</f>
        <v>-23378.876062992123</v>
      </c>
      <c r="AF6" s="781">
        <f>-'9d. Forecast Results - Gau'!AF127</f>
        <v>-23378.876062992123</v>
      </c>
      <c r="AG6" s="781">
        <f>-'9d. Forecast Results - Gau'!AG127</f>
        <v>-23378.876062992123</v>
      </c>
      <c r="AH6" s="781">
        <f>-'9d. Forecast Results - Gau'!AH127</f>
        <v>-23378.876062992123</v>
      </c>
      <c r="AI6" s="781">
        <f>-'9d. Forecast Results - Gau'!AI127</f>
        <v>-23378.876062992123</v>
      </c>
      <c r="AJ6" s="781">
        <f>-'9d. Forecast Results - Gau'!AJ127</f>
        <v>-16020928.030877186</v>
      </c>
      <c r="AK6" s="781">
        <f>-'9d. Forecast Results - Gau'!AK127</f>
        <v>0</v>
      </c>
      <c r="AL6" s="781">
        <f>-'9d. Forecast Results - Gau'!AL127</f>
        <v>-17026219.701585848</v>
      </c>
    </row>
    <row r="7" spans="1:38" outlineLevel="1" x14ac:dyDescent="0.45">
      <c r="D7" s="1102" t="s">
        <v>1324</v>
      </c>
      <c r="E7" s="781">
        <f ca="1">ROUND('9d. Forecast Results - Gau'!AL51,0)</f>
        <v>-783466741</v>
      </c>
      <c r="M7" s="783"/>
      <c r="N7" s="781">
        <f>'9d. Forecast Results - Gau'!N51</f>
        <v>-55014202.235555552</v>
      </c>
      <c r="O7" s="781">
        <f>'9d. Forecast Results - Gau'!O51</f>
        <v>-57063143.525555551</v>
      </c>
      <c r="P7" s="781">
        <f>'9d. Forecast Results - Gau'!P51</f>
        <v>-51881797.88666667</v>
      </c>
      <c r="Q7" s="781">
        <f ca="1">'9d. Forecast Results - Gau'!Q51</f>
        <v>-53129566.887620203</v>
      </c>
      <c r="R7" s="781">
        <f ca="1">'9d. Forecast Results - Gau'!R51</f>
        <v>-53274822.587779328</v>
      </c>
      <c r="S7" s="781">
        <f ca="1">'9d. Forecast Results - Gau'!S51</f>
        <v>-53273549.058905281</v>
      </c>
      <c r="T7" s="781">
        <f ca="1">'9d. Forecast Results - Gau'!T51</f>
        <v>-53012444.989874825</v>
      </c>
      <c r="U7" s="781">
        <f ca="1">'9d. Forecast Results - Gau'!U51</f>
        <v>-52545927.668875955</v>
      </c>
      <c r="V7" s="781">
        <f ca="1">'9d. Forecast Results - Gau'!V51</f>
        <v>-51865897.292090692</v>
      </c>
      <c r="W7" s="781">
        <f ca="1">'9d. Forecast Results - Gau'!W51</f>
        <v>-50950289.584332943</v>
      </c>
      <c r="X7" s="781">
        <f ca="1">'9d. Forecast Results - Gau'!X51</f>
        <v>-49775259.077139869</v>
      </c>
      <c r="Y7" s="781">
        <f ca="1">'9d. Forecast Results - Gau'!Y51</f>
        <v>-48315049.921943925</v>
      </c>
      <c r="Z7" s="781">
        <f ca="1">'9d. Forecast Results - Gau'!Z51</f>
        <v>-46541857.880803443</v>
      </c>
      <c r="AA7" s="781">
        <f ca="1">'9d. Forecast Results - Gau'!AA51</f>
        <v>-44425682.915013365</v>
      </c>
      <c r="AB7" s="781">
        <f ca="1">'9d. Forecast Results - Gau'!AB51</f>
        <v>-41934171.754841045</v>
      </c>
      <c r="AC7" s="781">
        <f ca="1">'9d. Forecast Results - Gau'!AC51</f>
        <v>-39032449.794230357</v>
      </c>
      <c r="AD7" s="781">
        <f ca="1">'9d. Forecast Results - Gau'!AD51</f>
        <v>-35682941.612446934</v>
      </c>
      <c r="AE7" s="781">
        <f ca="1">'9d. Forecast Results - Gau'!AE51</f>
        <v>-31845179.380147036</v>
      </c>
      <c r="AF7" s="781">
        <f ca="1">'9d. Forecast Results - Gau'!AF51</f>
        <v>-27475598.3600781</v>
      </c>
      <c r="AG7" s="781">
        <f ca="1">'9d. Forecast Results - Gau'!AG51</f>
        <v>-22527318.662392616</v>
      </c>
      <c r="AH7" s="781">
        <f ca="1">'9d. Forecast Results - Gau'!AH51</f>
        <v>-16949912.36119286</v>
      </c>
      <c r="AI7" s="781">
        <f ca="1">'9d. Forecast Results - Gau'!AI51</f>
        <v>-10689155.022232119</v>
      </c>
      <c r="AJ7" s="781">
        <f ca="1">'9d. Forecast Results - Gau'!AJ51</f>
        <v>-219666.00286486489</v>
      </c>
      <c r="AK7" s="781">
        <f ca="1">'9d. Forecast Results - Gau'!AK51</f>
        <v>0</v>
      </c>
      <c r="AL7" s="781">
        <f ca="1">'9d. Forecast Results - Gau'!AL48</f>
        <v>-783466740.81480575</v>
      </c>
    </row>
    <row r="8" spans="1:38" outlineLevel="1" x14ac:dyDescent="0.45">
      <c r="D8" s="1102" t="s">
        <v>1311</v>
      </c>
      <c r="E8" s="781">
        <f>'9d. Forecast Results - Gau'!$AL$20+'9d. Forecast Results - Gau'!$AL$24</f>
        <v>-266302128.88654941</v>
      </c>
      <c r="M8" s="783"/>
      <c r="N8" s="781">
        <f>'9d. Forecast Results - Gau'!N20+'9d. Forecast Results - Gau'!N24</f>
        <v>-13036789.530000001</v>
      </c>
      <c r="O8" s="781">
        <f>'9d. Forecast Results - Gau'!O20+'9d. Forecast Results - Gau'!O24</f>
        <v>-14868241.599999998</v>
      </c>
      <c r="P8" s="781">
        <f>'9d. Forecast Results - Gau'!P20+'9d. Forecast Results - Gau'!P24</f>
        <v>-10239754.790000003</v>
      </c>
      <c r="Q8" s="781">
        <f>'9d. Forecast Results - Gau'!Q20+'9d. Forecast Results - Gau'!Q24</f>
        <v>-14220490.498193024</v>
      </c>
      <c r="R8" s="781">
        <f>'9d. Forecast Results - Gau'!R20+'9d. Forecast Results - Gau'!R24</f>
        <v>-14132775.233405538</v>
      </c>
      <c r="S8" s="781">
        <f>'9d. Forecast Results - Gau'!S20+'9d. Forecast Results - Gau'!S24</f>
        <v>-14045059.968618054</v>
      </c>
      <c r="T8" s="781">
        <f>'9d. Forecast Results - Gau'!T20+'9d. Forecast Results - Gau'!T24</f>
        <v>-14544280.085863184</v>
      </c>
      <c r="U8" s="781">
        <f>'9d. Forecast Results - Gau'!U20+'9d. Forecast Results - Gau'!U24</f>
        <v>-14452437.043909227</v>
      </c>
      <c r="V8" s="781">
        <f>'9d. Forecast Results - Gau'!V20+'9d. Forecast Results - Gau'!V24</f>
        <v>-14360594.001955273</v>
      </c>
      <c r="W8" s="781">
        <f>'9d. Forecast Results - Gau'!W20+'9d. Forecast Results - Gau'!W24</f>
        <v>-14268750.960001318</v>
      </c>
      <c r="X8" s="781">
        <f>'9d. Forecast Results - Gau'!X20+'9d. Forecast Results - Gau'!X24</f>
        <v>-14176907.918047363</v>
      </c>
      <c r="Y8" s="781">
        <f>'9d. Forecast Results - Gau'!Y20+'9d. Forecast Results - Gau'!Y24</f>
        <v>-14085064.876093408</v>
      </c>
      <c r="Z8" s="781">
        <f>'9d. Forecast Results - Gau'!Z20+'9d. Forecast Results - Gau'!Z24</f>
        <v>-13993221.834139453</v>
      </c>
      <c r="AA8" s="781">
        <f>'9d. Forecast Results - Gau'!AA20+'9d. Forecast Results - Gau'!AA24</f>
        <v>-13901378.792185497</v>
      </c>
      <c r="AB8" s="781">
        <f>'9d. Forecast Results - Gau'!AB20+'9d. Forecast Results - Gau'!AB24</f>
        <v>-13809535.750231542</v>
      </c>
      <c r="AC8" s="781">
        <f>'9d. Forecast Results - Gau'!AC20+'9d. Forecast Results - Gau'!AC24</f>
        <v>-13717692.708277587</v>
      </c>
      <c r="AD8" s="781">
        <f>'9d. Forecast Results - Gau'!AD20+'9d. Forecast Results - Gau'!AD24</f>
        <v>-13625849.666323632</v>
      </c>
      <c r="AE8" s="781">
        <f>'9d. Forecast Results - Gau'!AE20+'9d. Forecast Results - Gau'!AE24</f>
        <v>-13534006.624369677</v>
      </c>
      <c r="AF8" s="781">
        <f>'9d. Forecast Results - Gau'!AF20+'9d. Forecast Results - Gau'!AF24</f>
        <v>-13442163.58241572</v>
      </c>
      <c r="AG8" s="781">
        <f>'9d. Forecast Results - Gau'!AG20+'9d. Forecast Results - Gau'!AG24</f>
        <v>-13350320.540461766</v>
      </c>
      <c r="AH8" s="781">
        <f>'9d. Forecast Results - Gau'!AH20+'9d. Forecast Results - Gau'!AH24</f>
        <v>-13258477.498507811</v>
      </c>
      <c r="AI8" s="781">
        <f>'9d. Forecast Results - Gau'!AI20+'9d. Forecast Results - Gau'!AI24</f>
        <v>-13166634.456553856</v>
      </c>
      <c r="AJ8" s="781">
        <f>'9d. Forecast Results - Gau'!AJ20+'9d. Forecast Results - Gau'!AJ24</f>
        <v>-2216486.8469965602</v>
      </c>
      <c r="AK8" s="781">
        <f>'9d. Forecast Results - Gau'!AK20+'9d. Forecast Results - Gau'!AK24</f>
        <v>0</v>
      </c>
      <c r="AL8" s="781">
        <f>'9d. Forecast Results - Gau'!AL20+'9d. Forecast Results - Gau'!AL24</f>
        <v>-266302128.88654941</v>
      </c>
    </row>
    <row r="9" spans="1:38" outlineLevel="1" x14ac:dyDescent="0.45">
      <c r="D9" s="1102" t="s">
        <v>1322</v>
      </c>
      <c r="E9" s="1110">
        <f>-(SUMIF('10. Inputs &amp; Calcs'!$D$396:$D$400,$E$10,'10. Inputs &amp; Calcs'!AC$396:AC$400)+SUMIF('10. Inputs &amp; Calcs'!$D$628:$D$633,$E$10,'10. Inputs &amp; Calcs'!AC$628:AC$633))</f>
        <v>0</v>
      </c>
      <c r="M9" s="1029"/>
      <c r="N9" s="780"/>
      <c r="O9" s="780"/>
      <c r="P9" s="781">
        <f>-('10. Inputs &amp; Calcs'!H$191+SUMIF('10. Inputs &amp; Calcs'!$D$628:$D$633,$E$10,'10. Inputs &amp; Calcs'!H$628:H$633))</f>
        <v>-40765126.969999999</v>
      </c>
      <c r="Q9" s="781">
        <f>-('10. Inputs &amp; Calcs'!I$191+SUMIF('10. Inputs &amp; Calcs'!$D$628:$D$633,$E$10,'10. Inputs &amp; Calcs'!I$628:I$633))</f>
        <v>-42207066.195792586</v>
      </c>
      <c r="R9" s="781">
        <f>-('10. Inputs &amp; Calcs'!J$191+SUMIF('10. Inputs &amp; Calcs'!$D$628:$D$633,$E$10,'10. Inputs &amp; Calcs'!J$628:J$633))</f>
        <v>-43473574.89201019</v>
      </c>
      <c r="S9" s="781">
        <f>-('10. Inputs &amp; Calcs'!K$191+SUMIF('10. Inputs &amp; Calcs'!$D$628:$D$633,$E$10,'10. Inputs &amp; Calcs'!K$628:K$633))</f>
        <v>-44564653.058652833</v>
      </c>
      <c r="T9" s="781">
        <f>-('10. Inputs &amp; Calcs'!L$191+SUMIF('10. Inputs &amp; Calcs'!$D$628:$D$633,$E$10,'10. Inputs &amp; Calcs'!L$628:L$633))</f>
        <v>-44064043.43739628</v>
      </c>
      <c r="U9" s="781">
        <f>-('10. Inputs &amp; Calcs'!M$191+SUMIF('10. Inputs &amp; Calcs'!$D$628:$D$633,$E$10,'10. Inputs &amp; Calcs'!M$628:M$633))</f>
        <v>-43379747.732231818</v>
      </c>
      <c r="V9" s="781">
        <f>-('10. Inputs &amp; Calcs'!N$191+SUMIF('10. Inputs &amp; Calcs'!$D$628:$D$633,$E$10,'10. Inputs &amp; Calcs'!N$628:N$633))</f>
        <v>-42511765.943159446</v>
      </c>
      <c r="W9" s="781">
        <f>-('10. Inputs &amp; Calcs'!O$191+SUMIF('10. Inputs &amp; Calcs'!$D$628:$D$633,$E$10,'10. Inputs &amp; Calcs'!O$628:O$633))</f>
        <v>-41551941.112133116</v>
      </c>
      <c r="X9" s="781">
        <f>-('10. Inputs &amp; Calcs'!P$191+SUMIF('10. Inputs &amp; Calcs'!$D$628:$D$633,$E$10,'10. Inputs &amp; Calcs'!P$628:P$633))</f>
        <v>-40408430.197198883</v>
      </c>
      <c r="Y9" s="781">
        <f>-('10. Inputs &amp; Calcs'!Q$191+SUMIF('10. Inputs &amp; Calcs'!$D$628:$D$633,$E$10,'10. Inputs &amp; Calcs'!Q$628:Q$633))</f>
        <v>-39081233.198356733</v>
      </c>
      <c r="Z9" s="781">
        <f>-('10. Inputs &amp; Calcs'!R$191+SUMIF('10. Inputs &amp; Calcs'!$D$628:$D$633,$E$10,'10. Inputs &amp; Calcs'!R$628:R$633))</f>
        <v>-37570350.115606673</v>
      </c>
      <c r="AA9" s="781">
        <f>-('10. Inputs &amp; Calcs'!S$191+SUMIF('10. Inputs &amp; Calcs'!$D$628:$D$633,$E$10,'10. Inputs &amp; Calcs'!S$628:S$633))</f>
        <v>-35875780.948948711</v>
      </c>
      <c r="AB9" s="781">
        <f>-('10. Inputs &amp; Calcs'!T$191+SUMIF('10. Inputs &amp; Calcs'!$D$628:$D$633,$E$10,'10. Inputs &amp; Calcs'!T$628:T$633))</f>
        <v>-33997525.698382832</v>
      </c>
      <c r="AC9" s="781">
        <f>-('10. Inputs &amp; Calcs'!U$191+SUMIF('10. Inputs &amp; Calcs'!$D$628:$D$633,$E$10,'10. Inputs &amp; Calcs'!U$628:U$633))</f>
        <v>-31935584.363909043</v>
      </c>
      <c r="AD9" s="781">
        <f>-('10. Inputs &amp; Calcs'!V$191+SUMIF('10. Inputs &amp; Calcs'!$D$628:$D$633,$E$10,'10. Inputs &amp; Calcs'!V$628:V$633))</f>
        <v>-29689956.945527345</v>
      </c>
      <c r="AE9" s="781">
        <f>-('10. Inputs &amp; Calcs'!W$191+SUMIF('10. Inputs &amp; Calcs'!$D$628:$D$633,$E$10,'10. Inputs &amp; Calcs'!W$628:W$633))</f>
        <v>-27260643.443237737</v>
      </c>
      <c r="AF9" s="781">
        <f>-('10. Inputs &amp; Calcs'!X$191+SUMIF('10. Inputs &amp; Calcs'!$D$628:$D$633,$E$10,'10. Inputs &amp; Calcs'!X$628:X$633))</f>
        <v>-24647643.857040215</v>
      </c>
      <c r="AG9" s="781">
        <f>-('10. Inputs &amp; Calcs'!Y$191+SUMIF('10. Inputs &amp; Calcs'!$D$628:$D$633,$E$10,'10. Inputs &amp; Calcs'!Y$628:Y$633))</f>
        <v>-21850958.186934784</v>
      </c>
      <c r="AH9" s="781">
        <f>-('10. Inputs &amp; Calcs'!Z$191+SUMIF('10. Inputs &amp; Calcs'!$D$628:$D$633,$E$10,'10. Inputs &amp; Calcs'!Z$628:Z$633))</f>
        <v>-18870586.432921443</v>
      </c>
      <c r="AI9" s="781">
        <f>-('10. Inputs &amp; Calcs'!AA$191+SUMIF('10. Inputs &amp; Calcs'!$D$628:$D$633,$E$10,'10. Inputs &amp; Calcs'!AA$628:AA$633))</f>
        <v>-15706528.595000194</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
        <v>3</v>
      </c>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99" t="str">
        <f>'5. Dashboard Live'!C13</f>
        <v>BC</v>
      </c>
      <c r="M11" s="542"/>
    </row>
    <row r="12" spans="1:38" x14ac:dyDescent="0.45">
      <c r="D12" t="s">
        <v>1330</v>
      </c>
      <c r="N12" s="578"/>
      <c r="O12" s="578"/>
      <c r="P12" s="784">
        <f>SUMIF('10. Inputs &amp; Calcs'!$D$78:$D$83,$E$10,'10. Inputs &amp; Calcs'!H$78:H$83)</f>
        <v>456</v>
      </c>
      <c r="Q12" s="784">
        <f>SUMIF('10. Inputs &amp; Calcs'!$D$78:$D$83,$E$10,'10. Inputs &amp; Calcs'!I$78:I$83)</f>
        <v>541</v>
      </c>
      <c r="R12" s="784">
        <f>SUMIF('10. Inputs &amp; Calcs'!$D$78:$D$83,$E$10,'10. Inputs &amp; Calcs'!J$78:J$83)</f>
        <v>626</v>
      </c>
      <c r="S12" s="784">
        <f>SUMIF('10. Inputs &amp; Calcs'!$D$78:$D$83,$E$10,'10. Inputs &amp; Calcs'!K$78:K$83)</f>
        <v>711</v>
      </c>
      <c r="T12" s="784">
        <f>SUMIF('10. Inputs &amp; Calcs'!$D$78:$D$83,$E$10,'10. Inputs &amp; Calcs'!L$78:L$83)</f>
        <v>800</v>
      </c>
      <c r="U12" s="784">
        <f>SUMIF('10. Inputs &amp; Calcs'!$D$78:$D$83,$E$10,'10. Inputs &amp; Calcs'!M$78:M$83)</f>
        <v>889</v>
      </c>
      <c r="V12" s="784">
        <f>SUMIF('10. Inputs &amp; Calcs'!$D$78:$D$83,$E$10,'10. Inputs &amp; Calcs'!N$78:N$83)</f>
        <v>978</v>
      </c>
      <c r="W12" s="784">
        <f>SUMIF('10. Inputs &amp; Calcs'!$D$78:$D$83,$E$10,'10. Inputs &amp; Calcs'!O$78:O$83)</f>
        <v>1067</v>
      </c>
      <c r="X12" s="784">
        <f>SUMIF('10. Inputs &amp; Calcs'!$D$78:$D$83,$E$10,'10. Inputs &amp; Calcs'!P$78:P$83)</f>
        <v>1156</v>
      </c>
      <c r="Y12" s="784">
        <f>SUMIF('10. Inputs &amp; Calcs'!$D$78:$D$83,$E$10,'10. Inputs &amp; Calcs'!Q$78:Q$83)</f>
        <v>1245</v>
      </c>
      <c r="Z12" s="784">
        <f>SUMIF('10. Inputs &amp; Calcs'!$D$78:$D$83,$E$10,'10. Inputs &amp; Calcs'!R$78:R$83)</f>
        <v>1334</v>
      </c>
      <c r="AA12" s="784">
        <f>SUMIF('10. Inputs &amp; Calcs'!$D$78:$D$83,$E$10,'10. Inputs &amp; Calcs'!S$78:S$83)</f>
        <v>1423</v>
      </c>
      <c r="AB12" s="784">
        <f>SUMIF('10. Inputs &amp; Calcs'!$D$78:$D$83,$E$10,'10. Inputs &amp; Calcs'!T$78:T$83)</f>
        <v>1512</v>
      </c>
      <c r="AC12" s="784">
        <f>SUMIF('10. Inputs &amp; Calcs'!$D$78:$D$83,$E$10,'10. Inputs &amp; Calcs'!U$78:U$83)</f>
        <v>1601</v>
      </c>
      <c r="AD12" s="784">
        <f>SUMIF('10. Inputs &amp; Calcs'!$D$78:$D$83,$E$10,'10. Inputs &amp; Calcs'!V$78:V$83)</f>
        <v>1690</v>
      </c>
      <c r="AE12" s="784">
        <f>SUMIF('10. Inputs &amp; Calcs'!$D$78:$D$83,$E$10,'10. Inputs &amp; Calcs'!W$78:W$83)</f>
        <v>1779</v>
      </c>
      <c r="AF12" s="784">
        <f>SUMIF('10. Inputs &amp; Calcs'!$D$78:$D$83,$E$10,'10. Inputs &amp; Calcs'!X$78:X$83)</f>
        <v>1868</v>
      </c>
      <c r="AG12" s="784">
        <f>SUMIF('10. Inputs &amp; Calcs'!$D$78:$D$83,$E$10,'10. Inputs &amp; Calcs'!Y$78:Y$83)</f>
        <v>1957</v>
      </c>
      <c r="AH12" s="784">
        <f>SUMIF('10. Inputs &amp; Calcs'!$D$78:$D$83,$E$10,'10. Inputs &amp; Calcs'!Z$78:Z$83)</f>
        <v>2046</v>
      </c>
      <c r="AI12" s="784">
        <f>SUMIF('10. Inputs &amp; Calcs'!$D$78:$D$83,$E$10,'10. Inputs &amp; Calcs'!AA$78:AA$83)</f>
        <v>2135</v>
      </c>
      <c r="AJ12" s="784">
        <f>SUMIF('10. Inputs &amp; Calcs'!$D$78:$D$83,$E$10,'10. Inputs &amp; Calcs'!AB$78:AB$83)</f>
        <v>2150</v>
      </c>
      <c r="AK12" s="784">
        <f>SUMIF('10. Inputs &amp; Calcs'!$D$78:$D$83,$E$10,'10. Inputs &amp; Calcs'!AC$78:AC$83)</f>
        <v>0</v>
      </c>
      <c r="AL12" s="536"/>
    </row>
    <row r="13" spans="1:38" x14ac:dyDescent="0.45">
      <c r="D13" t="s">
        <v>1329</v>
      </c>
      <c r="N13" s="578"/>
      <c r="O13" s="578"/>
      <c r="P13" s="784">
        <f>SUMIF('10. Inputs &amp; Calcs'!$D$520:$D$525,$E$10,'10. Inputs &amp; Calcs'!H$520:H$525)</f>
        <v>1694</v>
      </c>
      <c r="Q13" s="784">
        <f>SUMIF('10. Inputs &amp; Calcs'!$D$520:$D$525,$E$10,'10. Inputs &amp; Calcs'!I$520:I$525)</f>
        <v>1609</v>
      </c>
      <c r="R13" s="784">
        <f>SUMIF('10. Inputs &amp; Calcs'!$D$520:$D$525,$E$10,'10. Inputs &amp; Calcs'!J$520:J$525)</f>
        <v>1524</v>
      </c>
      <c r="S13" s="784">
        <f>SUMIF('10. Inputs &amp; Calcs'!$D$520:$D$525,$E$10,'10. Inputs &amp; Calcs'!K$520:K$525)</f>
        <v>1439</v>
      </c>
      <c r="T13" s="784">
        <f>SUMIF('10. Inputs &amp; Calcs'!$D$520:$D$525,$E$10,'10. Inputs &amp; Calcs'!L$520:L$525)</f>
        <v>1350</v>
      </c>
      <c r="U13" s="784">
        <f>SUMIF('10. Inputs &amp; Calcs'!$D$520:$D$525,$E$10,'10. Inputs &amp; Calcs'!M$520:M$525)</f>
        <v>1261</v>
      </c>
      <c r="V13" s="784">
        <f>SUMIF('10. Inputs &amp; Calcs'!$D$520:$D$525,$E$10,'10. Inputs &amp; Calcs'!N$520:N$525)</f>
        <v>1172</v>
      </c>
      <c r="W13" s="784">
        <f>SUMIF('10. Inputs &amp; Calcs'!$D$520:$D$525,$E$10,'10. Inputs &amp; Calcs'!O$520:O$525)</f>
        <v>1083</v>
      </c>
      <c r="X13" s="784">
        <f>SUMIF('10. Inputs &amp; Calcs'!$D$520:$D$525,$E$10,'10. Inputs &amp; Calcs'!P$520:P$525)</f>
        <v>994</v>
      </c>
      <c r="Y13" s="784">
        <f>SUMIF('10. Inputs &amp; Calcs'!$D$520:$D$525,$E$10,'10. Inputs &amp; Calcs'!Q$520:Q$525)</f>
        <v>905</v>
      </c>
      <c r="Z13" s="784">
        <f>SUMIF('10. Inputs &amp; Calcs'!$D$520:$D$525,$E$10,'10. Inputs &amp; Calcs'!R$520:R$525)</f>
        <v>816</v>
      </c>
      <c r="AA13" s="784">
        <f>SUMIF('10. Inputs &amp; Calcs'!$D$520:$D$525,$E$10,'10. Inputs &amp; Calcs'!S$520:S$525)</f>
        <v>727</v>
      </c>
      <c r="AB13" s="784">
        <f>SUMIF('10. Inputs &amp; Calcs'!$D$520:$D$525,$E$10,'10. Inputs &amp; Calcs'!T$520:T$525)</f>
        <v>638</v>
      </c>
      <c r="AC13" s="784">
        <f>SUMIF('10. Inputs &amp; Calcs'!$D$520:$D$525,$E$10,'10. Inputs &amp; Calcs'!U$520:U$525)</f>
        <v>549</v>
      </c>
      <c r="AD13" s="784">
        <f>SUMIF('10. Inputs &amp; Calcs'!$D$520:$D$525,$E$10,'10. Inputs &amp; Calcs'!V$520:V$525)</f>
        <v>460</v>
      </c>
      <c r="AE13" s="784">
        <f>SUMIF('10. Inputs &amp; Calcs'!$D$520:$D$525,$E$10,'10. Inputs &amp; Calcs'!W$520:W$525)</f>
        <v>371</v>
      </c>
      <c r="AF13" s="784">
        <f>SUMIF('10. Inputs &amp; Calcs'!$D$520:$D$525,$E$10,'10. Inputs &amp; Calcs'!X$520:X$525)</f>
        <v>282</v>
      </c>
      <c r="AG13" s="784">
        <f>SUMIF('10. Inputs &amp; Calcs'!$D$520:$D$525,$E$10,'10. Inputs &amp; Calcs'!Y$520:Y$525)</f>
        <v>193</v>
      </c>
      <c r="AH13" s="784">
        <f>SUMIF('10. Inputs &amp; Calcs'!$D$520:$D$525,$E$10,'10. Inputs &amp; Calcs'!Z$520:Z$525)</f>
        <v>104</v>
      </c>
      <c r="AI13" s="784">
        <f>SUMIF('10. Inputs &amp; Calcs'!$D$520:$D$525,$E$10,'10. Inputs &amp; Calcs'!AA$520:AA$525)</f>
        <v>15</v>
      </c>
      <c r="AJ13" s="784">
        <f>SUMIF('10. Inputs &amp; Calcs'!$D$520:$D$525,$E$10,'10. Inputs &amp; Calcs'!AB$520:AB$525)</f>
        <v>0</v>
      </c>
      <c r="AK13" s="784">
        <f>SUMIF('10. Inputs &amp; Calcs'!$D$520:$D$525,$E$10,'10. Inputs &amp; Calcs'!AC$520:AC$525)</f>
        <v>0</v>
      </c>
      <c r="AL13" s="536"/>
    </row>
    <row r="14" spans="1: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M16" s="451"/>
    </row>
    <row r="18" spans="2:65" ht="5.25"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753">
        <f>AL19</f>
        <v>258302675.06228063</v>
      </c>
      <c r="J19" s="899">
        <v>258302675.06228063</v>
      </c>
      <c r="K19" s="753">
        <f t="shared" ref="K19:K28" si="1">I19-J19</f>
        <v>0</v>
      </c>
      <c r="L19" s="885">
        <f t="shared" ref="L19:L28" si="2">IF(J19&lt;&gt;0,K19/J19,0)</f>
        <v>0</v>
      </c>
      <c r="N19" s="763">
        <f>SUMIF('10. Inputs &amp; Calcs'!$D$423:$D$428,$E$10,'10. Inputs &amp; Calcs'!F$423:F$428)</f>
        <v>11402647.120000001</v>
      </c>
      <c r="O19" s="567">
        <f>SUMIF('10. Inputs &amp; Calcs'!$D$423:$D$428,$E$10,'10. Inputs &amp; Calcs'!G$423:G$428)</f>
        <v>13067443.359999998</v>
      </c>
      <c r="P19" s="764">
        <f>SUMIF('10. Inputs &amp; Calcs'!$D$423:$D$428,$E$10,'10. Inputs &amp; Calcs'!H$423:H$428)</f>
        <v>9299695.160000002</v>
      </c>
      <c r="Q19" s="748">
        <f>SUMIF('10. Inputs &amp; Calcs'!$D$423:$D$428,$E$10,'10. Inputs &amp; Calcs'!I$423:I$428)</f>
        <v>12960878.028508771</v>
      </c>
      <c r="R19" s="535">
        <f>SUMIF('10. Inputs &amp; Calcs'!$D$423:$D$428,$E$10,'10. Inputs &amp; Calcs'!J$423:J$428)</f>
        <v>12960878.028508771</v>
      </c>
      <c r="S19" s="535">
        <f>SUMIF('10. Inputs &amp; Calcs'!$D$423:$D$428,$E$10,'10. Inputs &amp; Calcs'!K$423:K$428)</f>
        <v>12960878.028508771</v>
      </c>
      <c r="T19" s="535">
        <f>SUMIF('10. Inputs &amp; Calcs'!$D$423:$D$428,$E$10,'10. Inputs &amp; Calcs'!L$423:L$428)</f>
        <v>13570801.700438596</v>
      </c>
      <c r="U19" s="535">
        <f>SUMIF('10. Inputs &amp; Calcs'!$D$423:$D$428,$E$10,'10. Inputs &amp; Calcs'!M$423:M$428)</f>
        <v>13570801.700438596</v>
      </c>
      <c r="V19" s="535">
        <f>SUMIF('10. Inputs &amp; Calcs'!$D$423:$D$428,$E$10,'10. Inputs &amp; Calcs'!N$423:N$428)</f>
        <v>13570801.700438596</v>
      </c>
      <c r="W19" s="535">
        <f>SUMIF('10. Inputs &amp; Calcs'!$D$423:$D$428,$E$10,'10. Inputs &amp; Calcs'!O$423:O$428)</f>
        <v>13570801.700438596</v>
      </c>
      <c r="X19" s="535">
        <f>SUMIF('10. Inputs &amp; Calcs'!$D$423:$D$428,$E$10,'10. Inputs &amp; Calcs'!P$423:P$428)</f>
        <v>13570801.700438596</v>
      </c>
      <c r="Y19" s="535">
        <f>SUMIF('10. Inputs &amp; Calcs'!$D$423:$D$428,$E$10,'10. Inputs &amp; Calcs'!Q$423:Q$428)</f>
        <v>13570801.700438596</v>
      </c>
      <c r="Z19" s="535">
        <f>SUMIF('10. Inputs &amp; Calcs'!$D$423:$D$428,$E$10,'10. Inputs &amp; Calcs'!R$423:R$428)</f>
        <v>13570801.700438596</v>
      </c>
      <c r="AA19" s="535">
        <f>SUMIF('10. Inputs &amp; Calcs'!$D$423:$D$428,$E$10,'10. Inputs &amp; Calcs'!S$423:S$428)</f>
        <v>13570801.700438596</v>
      </c>
      <c r="AB19" s="535">
        <f>SUMIF('10. Inputs &amp; Calcs'!$D$423:$D$428,$E$10,'10. Inputs &amp; Calcs'!T$423:T$428)</f>
        <v>13570801.700438596</v>
      </c>
      <c r="AC19" s="535">
        <f>SUMIF('10. Inputs &amp; Calcs'!$D$423:$D$428,$E$10,'10. Inputs &amp; Calcs'!U$423:U$428)</f>
        <v>13570801.700438596</v>
      </c>
      <c r="AD19" s="535">
        <f>SUMIF('10. Inputs &amp; Calcs'!$D$423:$D$428,$E$10,'10. Inputs &amp; Calcs'!V$423:V$428)</f>
        <v>13570801.700438596</v>
      </c>
      <c r="AE19" s="535">
        <f>SUMIF('10. Inputs &amp; Calcs'!$D$423:$D$428,$E$10,'10. Inputs &amp; Calcs'!W$423:W$428)</f>
        <v>13570801.700438596</v>
      </c>
      <c r="AF19" s="535">
        <f>SUMIF('10. Inputs &amp; Calcs'!$D$423:$D$428,$E$10,'10. Inputs &amp; Calcs'!X$423:X$428)</f>
        <v>13570801.700438596</v>
      </c>
      <c r="AG19" s="535">
        <f>SUMIF('10. Inputs &amp; Calcs'!$D$423:$D$428,$E$10,'10. Inputs &amp; Calcs'!Y$423:Y$428)</f>
        <v>13570801.700438596</v>
      </c>
      <c r="AH19" s="535">
        <f>SUMIF('10. Inputs &amp; Calcs'!$D$423:$D$428,$E$10,'10. Inputs &amp; Calcs'!Z$423:Z$428)</f>
        <v>13570801.700438596</v>
      </c>
      <c r="AI19" s="535">
        <f>SUMIF('10. Inputs &amp; Calcs'!$D$423:$D$428,$E$10,'10. Inputs &amp; Calcs'!AA$423:AA$428)</f>
        <v>13570801.700438596</v>
      </c>
      <c r="AJ19" s="535">
        <f>SUMIF('10. Inputs &amp; Calcs'!$D$423:$D$428,$E$10,'10. Inputs &amp; Calcs'!AB$423:AB$428)</f>
        <v>2287213.7697368418</v>
      </c>
      <c r="AK19" s="749">
        <f>SUMIF('10. Inputs &amp; Calcs'!$D$423:$D$428,$E$10,'10. Inputs &amp; Calcs'!AC$423:AC$428)</f>
        <v>0</v>
      </c>
      <c r="AL19" s="753">
        <f>SUM(Q19:AK19)</f>
        <v>258302675.06228063</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754">
        <f>AL20</f>
        <v>-250315247.9208115</v>
      </c>
      <c r="J20" s="900">
        <v>-250315247.9208115</v>
      </c>
      <c r="K20" s="754">
        <f t="shared" si="1"/>
        <v>0</v>
      </c>
      <c r="L20" s="886">
        <f t="shared" si="2"/>
        <v>0</v>
      </c>
      <c r="N20" s="765">
        <f t="shared" ref="N20:AK20" si="4">N21-N19</f>
        <v>-11237609.110000001</v>
      </c>
      <c r="O20" s="766">
        <f t="shared" si="4"/>
        <v>-12996280.979999997</v>
      </c>
      <c r="P20" s="767">
        <f t="shared" si="4"/>
        <v>-8491641.160000002</v>
      </c>
      <c r="Q20" s="750">
        <f t="shared" si="4"/>
        <v>-12560092.132980509</v>
      </c>
      <c r="R20" s="751">
        <f t="shared" si="4"/>
        <v>-12560092.132980509</v>
      </c>
      <c r="S20" s="751">
        <f t="shared" si="4"/>
        <v>-12560092.132980509</v>
      </c>
      <c r="T20" s="751">
        <f t="shared" si="4"/>
        <v>-13151155.292179594</v>
      </c>
      <c r="U20" s="751">
        <f t="shared" si="4"/>
        <v>-13151155.292179594</v>
      </c>
      <c r="V20" s="751">
        <f t="shared" si="4"/>
        <v>-13151155.292179594</v>
      </c>
      <c r="W20" s="751">
        <f t="shared" si="4"/>
        <v>-13151155.292179594</v>
      </c>
      <c r="X20" s="751">
        <f t="shared" si="4"/>
        <v>-13151155.292179594</v>
      </c>
      <c r="Y20" s="751">
        <f t="shared" si="4"/>
        <v>-13151155.292179594</v>
      </c>
      <c r="Z20" s="751">
        <f t="shared" si="4"/>
        <v>-13151155.292179594</v>
      </c>
      <c r="AA20" s="751">
        <f t="shared" si="4"/>
        <v>-13151155.292179594</v>
      </c>
      <c r="AB20" s="751">
        <f t="shared" si="4"/>
        <v>-13151155.292179594</v>
      </c>
      <c r="AC20" s="751">
        <f t="shared" si="4"/>
        <v>-13151155.292179594</v>
      </c>
      <c r="AD20" s="751">
        <f t="shared" si="4"/>
        <v>-13151155.292179594</v>
      </c>
      <c r="AE20" s="751">
        <f t="shared" si="4"/>
        <v>-13151155.292179594</v>
      </c>
      <c r="AF20" s="751">
        <f t="shared" si="4"/>
        <v>-13151155.292179594</v>
      </c>
      <c r="AG20" s="751">
        <f t="shared" si="4"/>
        <v>-13151155.292179594</v>
      </c>
      <c r="AH20" s="751">
        <f t="shared" si="4"/>
        <v>-13151155.292179594</v>
      </c>
      <c r="AI20" s="751">
        <f t="shared" si="4"/>
        <v>-13151155.292179594</v>
      </c>
      <c r="AJ20" s="751">
        <f t="shared" si="4"/>
        <v>-2216486.8469965602</v>
      </c>
      <c r="AK20" s="752">
        <f t="shared" si="4"/>
        <v>0</v>
      </c>
      <c r="AL20" s="754">
        <f>SUM(Q20:AK20)</f>
        <v>-250315247.9208115</v>
      </c>
      <c r="AO20" s="803" t="s">
        <v>1538</v>
      </c>
      <c r="AP20" s="533">
        <f>N51</f>
        <v>-55014202.235555552</v>
      </c>
      <c r="AQ20" s="533">
        <f t="shared" ref="AQ20:BM20" si="5">O51</f>
        <v>-57063143.525555551</v>
      </c>
      <c r="AR20" s="533">
        <f t="shared" si="5"/>
        <v>-51881797.88666667</v>
      </c>
      <c r="AS20" s="533">
        <f t="shared" ca="1" si="5"/>
        <v>-53129566.887620203</v>
      </c>
      <c r="AT20" s="533">
        <f t="shared" ca="1" si="5"/>
        <v>-53274822.587779328</v>
      </c>
      <c r="AU20" s="533">
        <f t="shared" ca="1" si="5"/>
        <v>-53273549.058905281</v>
      </c>
      <c r="AV20" s="533">
        <f t="shared" ca="1" si="5"/>
        <v>-53012444.989874825</v>
      </c>
      <c r="AW20" s="533">
        <f t="shared" ca="1" si="5"/>
        <v>-52545927.668875955</v>
      </c>
      <c r="AX20" s="533">
        <f t="shared" ca="1" si="5"/>
        <v>-51865897.292090692</v>
      </c>
      <c r="AY20" s="533">
        <f t="shared" ca="1" si="5"/>
        <v>-50950289.584332943</v>
      </c>
      <c r="AZ20" s="533">
        <f t="shared" ca="1" si="5"/>
        <v>-49775259.077139869</v>
      </c>
      <c r="BA20" s="533">
        <f t="shared" ca="1" si="5"/>
        <v>-48315049.921943925</v>
      </c>
      <c r="BB20" s="533">
        <f t="shared" ca="1" si="5"/>
        <v>-46541857.880803443</v>
      </c>
      <c r="BC20" s="533">
        <f t="shared" ca="1" si="5"/>
        <v>-44425682.915013365</v>
      </c>
      <c r="BD20" s="533">
        <f t="shared" ca="1" si="5"/>
        <v>-41934171.754841045</v>
      </c>
      <c r="BE20" s="533">
        <f t="shared" ca="1" si="5"/>
        <v>-39032449.794230357</v>
      </c>
      <c r="BF20" s="533">
        <f t="shared" ca="1" si="5"/>
        <v>-35682941.612446934</v>
      </c>
      <c r="BG20" s="533">
        <f t="shared" ca="1" si="5"/>
        <v>-31845179.380147036</v>
      </c>
      <c r="BH20" s="533">
        <f t="shared" ca="1" si="5"/>
        <v>-27475598.3600781</v>
      </c>
      <c r="BI20" s="533">
        <f t="shared" ca="1" si="5"/>
        <v>-22527318.662392616</v>
      </c>
      <c r="BJ20" s="533">
        <f t="shared" ca="1" si="5"/>
        <v>-16949912.36119286</v>
      </c>
      <c r="BK20" s="533">
        <f t="shared" ca="1" si="5"/>
        <v>-10689155.022232119</v>
      </c>
      <c r="BL20" s="533">
        <f t="shared" ca="1" si="5"/>
        <v>-219666.00286486489</v>
      </c>
      <c r="BM20" s="533">
        <f t="shared" ca="1" si="5"/>
        <v>0</v>
      </c>
    </row>
    <row r="21" spans="2:65" x14ac:dyDescent="0.45">
      <c r="D21" s="18" t="s">
        <v>1307</v>
      </c>
      <c r="F21" s="852">
        <f>P21/P$28</f>
        <v>0.92145986207192254</v>
      </c>
      <c r="G21" s="852">
        <f ca="1">AL21/AL$28</f>
        <v>0.92690650565122235</v>
      </c>
      <c r="I21" s="533">
        <f>AL21</f>
        <v>7987427.141469121</v>
      </c>
      <c r="J21" s="898">
        <v>7987427.141469121</v>
      </c>
      <c r="K21" s="533">
        <f t="shared" si="1"/>
        <v>0</v>
      </c>
      <c r="L21" s="813">
        <f t="shared" si="2"/>
        <v>0</v>
      </c>
      <c r="N21" s="566">
        <f>SUMIF('10. Inputs &amp; Calcs'!$D$432:$D$437,$E$10,'10. Inputs &amp; Calcs'!F$432:F$437)</f>
        <v>165038.01</v>
      </c>
      <c r="O21" s="566">
        <f>SUMIF('10. Inputs &amp; Calcs'!$D$432:$D$437,$E$10,'10. Inputs &amp; Calcs'!G$432:G$437)</f>
        <v>71162.38</v>
      </c>
      <c r="P21" s="566">
        <f>SUMIF('10. Inputs &amp; Calcs'!$D$432:$D$437,$E$10,'10. Inputs &amp; Calcs'!H$432:H$437)</f>
        <v>808054</v>
      </c>
      <c r="Q21" s="566">
        <f>SUMIF('10. Inputs &amp; Calcs'!$D$432:$D$437,$E$10,'10. Inputs &amp; Calcs'!I$432:I$437)</f>
        <v>400785.89552826161</v>
      </c>
      <c r="R21" s="566">
        <f>SUMIF('10. Inputs &amp; Calcs'!$D$432:$D$437,$E$10,'10. Inputs &amp; Calcs'!J$432:J$437)</f>
        <v>400785.89552826161</v>
      </c>
      <c r="S21" s="566">
        <f>SUMIF('10. Inputs &amp; Calcs'!$D$432:$D$437,$E$10,'10. Inputs &amp; Calcs'!K$432:K$437)</f>
        <v>400785.89552826161</v>
      </c>
      <c r="T21" s="566">
        <f>SUMIF('10. Inputs &amp; Calcs'!$D$432:$D$437,$E$10,'10. Inputs &amp; Calcs'!L$432:L$437)</f>
        <v>419646.40825900336</v>
      </c>
      <c r="U21" s="566">
        <f>SUMIF('10. Inputs &amp; Calcs'!$D$432:$D$437,$E$10,'10. Inputs &amp; Calcs'!M$432:M$437)</f>
        <v>419646.40825900336</v>
      </c>
      <c r="V21" s="566">
        <f>SUMIF('10. Inputs &amp; Calcs'!$D$432:$D$437,$E$10,'10. Inputs &amp; Calcs'!N$432:N$437)</f>
        <v>419646.40825900336</v>
      </c>
      <c r="W21" s="566">
        <f>SUMIF('10. Inputs &amp; Calcs'!$D$432:$D$437,$E$10,'10. Inputs &amp; Calcs'!O$432:O$437)</f>
        <v>419646.40825900336</v>
      </c>
      <c r="X21" s="566">
        <f>SUMIF('10. Inputs &amp; Calcs'!$D$432:$D$437,$E$10,'10. Inputs &amp; Calcs'!P$432:P$437)</f>
        <v>419646.40825900336</v>
      </c>
      <c r="Y21" s="566">
        <f>SUMIF('10. Inputs &amp; Calcs'!$D$432:$D$437,$E$10,'10. Inputs &amp; Calcs'!Q$432:Q$437)</f>
        <v>419646.40825900336</v>
      </c>
      <c r="Z21" s="566">
        <f>SUMIF('10. Inputs &amp; Calcs'!$D$432:$D$437,$E$10,'10. Inputs &amp; Calcs'!R$432:R$437)</f>
        <v>419646.40825900336</v>
      </c>
      <c r="AA21" s="566">
        <f>SUMIF('10. Inputs &amp; Calcs'!$D$432:$D$437,$E$10,'10. Inputs &amp; Calcs'!S$432:S$437)</f>
        <v>419646.40825900336</v>
      </c>
      <c r="AB21" s="566">
        <f>SUMIF('10. Inputs &amp; Calcs'!$D$432:$D$437,$E$10,'10. Inputs &amp; Calcs'!T$432:T$437)</f>
        <v>419646.40825900336</v>
      </c>
      <c r="AC21" s="566">
        <f>SUMIF('10. Inputs &amp; Calcs'!$D$432:$D$437,$E$10,'10. Inputs &amp; Calcs'!U$432:U$437)</f>
        <v>419646.40825900336</v>
      </c>
      <c r="AD21" s="566">
        <f>SUMIF('10. Inputs &amp; Calcs'!$D$432:$D$437,$E$10,'10. Inputs &amp; Calcs'!V$432:V$437)</f>
        <v>419646.40825900336</v>
      </c>
      <c r="AE21" s="566">
        <f>SUMIF('10. Inputs &amp; Calcs'!$D$432:$D$437,$E$10,'10. Inputs &amp; Calcs'!W$432:W$437)</f>
        <v>419646.40825900336</v>
      </c>
      <c r="AF21" s="566">
        <f>SUMIF('10. Inputs &amp; Calcs'!$D$432:$D$437,$E$10,'10. Inputs &amp; Calcs'!X$432:X$437)</f>
        <v>419646.40825900336</v>
      </c>
      <c r="AG21" s="566">
        <f>SUMIF('10. Inputs &amp; Calcs'!$D$432:$D$437,$E$10,'10. Inputs &amp; Calcs'!Y$432:Y$437)</f>
        <v>419646.40825900336</v>
      </c>
      <c r="AH21" s="566">
        <f>SUMIF('10. Inputs &amp; Calcs'!$D$432:$D$437,$E$10,'10. Inputs &amp; Calcs'!Z$432:Z$437)</f>
        <v>419646.40825900336</v>
      </c>
      <c r="AI21" s="566">
        <f>SUMIF('10. Inputs &amp; Calcs'!$D$432:$D$437,$E$10,'10. Inputs &amp; Calcs'!AA$432:AA$437)</f>
        <v>419646.40825900336</v>
      </c>
      <c r="AJ21" s="566">
        <f>SUMIF('10. Inputs &amp; Calcs'!$D$432:$D$437,$E$10,'10. Inputs &amp; Calcs'!AB$432:AB$437)</f>
        <v>70726.922740281458</v>
      </c>
      <c r="AK21" s="566">
        <f>SUMIF('10. Inputs &amp; Calcs'!$D$432:$D$437,$E$10,'10. Inputs &amp; Calcs'!AC$432:AC$437)</f>
        <v>0</v>
      </c>
      <c r="AL21" s="533">
        <f>SUM(AL19:AL20)</f>
        <v>7987427.141469121</v>
      </c>
      <c r="AO21" s="803" t="str">
        <f>'10. Inputs &amp; Calcs'!D190</f>
        <v>EEDBS utilised to settle Existing Sales Debtors Balances Owing</v>
      </c>
      <c r="AP21" s="533">
        <f t="shared" ref="AP21:BM21" si="6">N53</f>
        <v>-1522381</v>
      </c>
      <c r="AQ21" s="533">
        <f t="shared" si="6"/>
        <v>-2645202</v>
      </c>
      <c r="AR21" s="533">
        <f t="shared" si="6"/>
        <v>-1475617</v>
      </c>
      <c r="AS21" s="533">
        <f t="shared" ca="1" si="6"/>
        <v>-1520513.3739093961</v>
      </c>
      <c r="AT21" s="533">
        <f t="shared" ca="1" si="6"/>
        <v>-1520513.3739093961</v>
      </c>
      <c r="AU21" s="533">
        <f t="shared" ca="1" si="6"/>
        <v>-1520513.3739093961</v>
      </c>
      <c r="AV21" s="533">
        <f t="shared" ca="1" si="6"/>
        <v>-1592066.9444463088</v>
      </c>
      <c r="AW21" s="533">
        <f t="shared" ca="1" si="6"/>
        <v>-1592066.9444463088</v>
      </c>
      <c r="AX21" s="533">
        <f t="shared" ca="1" si="6"/>
        <v>-1592066.9444463088</v>
      </c>
      <c r="AY21" s="533">
        <f t="shared" ca="1" si="6"/>
        <v>-1592066.9444463088</v>
      </c>
      <c r="AZ21" s="533">
        <f t="shared" ca="1" si="6"/>
        <v>-1592066.9444463088</v>
      </c>
      <c r="BA21" s="533">
        <f t="shared" ca="1" si="6"/>
        <v>-1592066.9444463088</v>
      </c>
      <c r="BB21" s="533">
        <f t="shared" ca="1" si="6"/>
        <v>-1592066.9444463088</v>
      </c>
      <c r="BC21" s="533">
        <f t="shared" ca="1" si="6"/>
        <v>-1592066.9444463088</v>
      </c>
      <c r="BD21" s="533">
        <f t="shared" ca="1" si="6"/>
        <v>-1592066.9444463088</v>
      </c>
      <c r="BE21" s="533">
        <f t="shared" ca="1" si="6"/>
        <v>-1592066.9444463088</v>
      </c>
      <c r="BF21" s="533">
        <f t="shared" ca="1" si="6"/>
        <v>-1592066.9444463088</v>
      </c>
      <c r="BG21" s="533">
        <f t="shared" ca="1" si="6"/>
        <v>-1592066.9444463088</v>
      </c>
      <c r="BH21" s="533">
        <f t="shared" ca="1" si="6"/>
        <v>-1592066.9444463088</v>
      </c>
      <c r="BI21" s="533">
        <f t="shared" ca="1" si="6"/>
        <v>-1592066.9444463088</v>
      </c>
      <c r="BJ21" s="533">
        <f t="shared" ca="1" si="6"/>
        <v>-1592066.9444463088</v>
      </c>
      <c r="BK21" s="533">
        <f t="shared" ca="1" si="6"/>
        <v>-1592066.9444463088</v>
      </c>
      <c r="BL21" s="533">
        <f t="shared" ca="1" si="6"/>
        <v>-328102299.55179405</v>
      </c>
      <c r="BM21" s="533">
        <f t="shared" ca="1" si="6"/>
        <v>0</v>
      </c>
    </row>
    <row r="22" spans="2:65" ht="21.75" customHeight="1" x14ac:dyDescent="0.45">
      <c r="D22" s="18"/>
      <c r="E22" s="18"/>
      <c r="F22" s="852"/>
      <c r="G22" s="852"/>
      <c r="I22" s="533"/>
      <c r="J22" s="898"/>
      <c r="K22" s="533"/>
      <c r="L22" s="813"/>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753">
        <f>AL23</f>
        <v>16616749.196316415</v>
      </c>
      <c r="J23" s="899">
        <v>16616749.196316415</v>
      </c>
      <c r="K23" s="753">
        <f t="shared" si="1"/>
        <v>0</v>
      </c>
      <c r="L23" s="885">
        <f t="shared" si="2"/>
        <v>0</v>
      </c>
      <c r="N23" s="763">
        <f>SUMIF('10. Inputs &amp; Calcs'!$D$538:$D$543,$E$10,'10. Inputs &amp; Calcs'!F$538:F$543)</f>
        <v>2045100.72</v>
      </c>
      <c r="O23" s="567">
        <f>SUMIF('10. Inputs &amp; Calcs'!$D$538:$D$543,$E$10,'10. Inputs &amp; Calcs'!G$538:G$543)</f>
        <v>1952559.7300000004</v>
      </c>
      <c r="P23" s="764">
        <f>SUMIF('10. Inputs &amp; Calcs'!$D$538:$D$543,$E$10,'10. Inputs &amp; Calcs'!H$538:H$543)</f>
        <v>1816987.6800000002</v>
      </c>
      <c r="Q23" s="748">
        <f>SUMIF('10. Inputs &amp; Calcs'!$D$538:$D$543,$E$10,'10. Inputs &amp; Calcs'!I$538:I$543)</f>
        <v>1725816.5154191265</v>
      </c>
      <c r="R23" s="535">
        <f>SUMIF('10. Inputs &amp; Calcs'!$D$538:$D$543,$E$10,'10. Inputs &amp; Calcs'!J$538:J$543)</f>
        <v>1634645.3508382528</v>
      </c>
      <c r="S23" s="535">
        <f>SUMIF('10. Inputs &amp; Calcs'!$D$538:$D$543,$E$10,'10. Inputs &amp; Calcs'!K$538:K$543)</f>
        <v>1543474.1862573794</v>
      </c>
      <c r="T23" s="535">
        <f>SUMIF('10. Inputs &amp; Calcs'!$D$538:$D$543,$E$10,'10. Inputs &amp; Calcs'!L$538:L$543)</f>
        <v>1448012.6139315234</v>
      </c>
      <c r="U23" s="535">
        <f>SUMIF('10. Inputs &amp; Calcs'!$D$538:$D$543,$E$10,'10. Inputs &amp; Calcs'!M$538:M$543)</f>
        <v>1352551.0416056674</v>
      </c>
      <c r="V23" s="535">
        <f>SUMIF('10. Inputs &amp; Calcs'!$D$538:$D$543,$E$10,'10. Inputs &amp; Calcs'!N$538:N$543)</f>
        <v>1257089.4692798115</v>
      </c>
      <c r="W23" s="535">
        <f>SUMIF('10. Inputs &amp; Calcs'!$D$538:$D$543,$E$10,'10. Inputs &amp; Calcs'!O$538:O$543)</f>
        <v>1161627.8969539555</v>
      </c>
      <c r="X23" s="535">
        <f>SUMIF('10. Inputs &amp; Calcs'!$D$538:$D$543,$E$10,'10. Inputs &amp; Calcs'!P$538:P$543)</f>
        <v>1066166.3246280996</v>
      </c>
      <c r="Y23" s="535">
        <f>SUMIF('10. Inputs &amp; Calcs'!$D$538:$D$543,$E$10,'10. Inputs &amp; Calcs'!Q$538:Q$543)</f>
        <v>970704.75230224361</v>
      </c>
      <c r="Z23" s="535">
        <f>SUMIF('10. Inputs &amp; Calcs'!$D$538:$D$543,$E$10,'10. Inputs &amp; Calcs'!R$538:R$543)</f>
        <v>875243.17997638753</v>
      </c>
      <c r="AA23" s="535">
        <f>SUMIF('10. Inputs &amp; Calcs'!$D$538:$D$543,$E$10,'10. Inputs &amp; Calcs'!S$538:S$543)</f>
        <v>779781.60765053157</v>
      </c>
      <c r="AB23" s="535">
        <f>SUMIF('10. Inputs &amp; Calcs'!$D$538:$D$543,$E$10,'10. Inputs &amp; Calcs'!T$538:T$543)</f>
        <v>684320.03532467561</v>
      </c>
      <c r="AC23" s="535">
        <f>SUMIF('10. Inputs &amp; Calcs'!$D$538:$D$543,$E$10,'10. Inputs &amp; Calcs'!U$538:U$543)</f>
        <v>588858.46299881954</v>
      </c>
      <c r="AD23" s="535">
        <f>SUMIF('10. Inputs &amp; Calcs'!$D$538:$D$543,$E$10,'10. Inputs &amp; Calcs'!V$538:V$543)</f>
        <v>493396.89067296352</v>
      </c>
      <c r="AE23" s="535">
        <f>SUMIF('10. Inputs &amp; Calcs'!$D$538:$D$543,$E$10,'10. Inputs &amp; Calcs'!W$538:W$543)</f>
        <v>397935.3183471075</v>
      </c>
      <c r="AF23" s="535">
        <f>SUMIF('10. Inputs &amp; Calcs'!$D$538:$D$543,$E$10,'10. Inputs &amp; Calcs'!X$538:X$543)</f>
        <v>302473.74602125149</v>
      </c>
      <c r="AG23" s="535">
        <f>SUMIF('10. Inputs &amp; Calcs'!$D$538:$D$543,$E$10,'10. Inputs &amp; Calcs'!Y$538:Y$543)</f>
        <v>207012.17369539553</v>
      </c>
      <c r="AH23" s="535">
        <f>SUMIF('10. Inputs &amp; Calcs'!$D$538:$D$543,$E$10,'10. Inputs &amp; Calcs'!Z$538:Z$543)</f>
        <v>111550.60136953955</v>
      </c>
      <c r="AI23" s="535">
        <f>SUMIF('10. Inputs &amp; Calcs'!$D$538:$D$543,$E$10,'10. Inputs &amp; Calcs'!AA$538:AA$543)</f>
        <v>16089.029043683589</v>
      </c>
      <c r="AJ23" s="535">
        <f>SUMIF('10. Inputs &amp; Calcs'!$D$538:$D$543,$E$10,'10. Inputs &amp; Calcs'!AB$538:AB$543)</f>
        <v>0</v>
      </c>
      <c r="AK23" s="749">
        <f>SUMIF('10. Inputs &amp; Calcs'!$D$538:$D$543,$E$10,'10. Inputs &amp; Calcs'!AC$538:AC$543)</f>
        <v>0</v>
      </c>
      <c r="AL23" s="753">
        <f>SUM(Q23:AK23)</f>
        <v>16616749.196316415</v>
      </c>
    </row>
    <row r="24" spans="2:65" x14ac:dyDescent="0.45">
      <c r="B24" t="s">
        <v>59</v>
      </c>
      <c r="D24" s="18" t="s">
        <v>1306</v>
      </c>
      <c r="F24" s="852"/>
      <c r="G24" s="852"/>
      <c r="I24" s="754">
        <f>AL24</f>
        <v>-15986880.965737902</v>
      </c>
      <c r="J24" s="900">
        <v>-15986880.965737902</v>
      </c>
      <c r="K24" s="754">
        <f t="shared" si="1"/>
        <v>0</v>
      </c>
      <c r="L24" s="886">
        <f t="shared" si="2"/>
        <v>0</v>
      </c>
      <c r="N24" s="765">
        <f t="shared" ref="N24:AK24" si="7">N25-N23</f>
        <v>-1799180.42</v>
      </c>
      <c r="O24" s="766">
        <f t="shared" si="7"/>
        <v>-1871960.6200000003</v>
      </c>
      <c r="P24" s="767">
        <f t="shared" si="7"/>
        <v>-1748113.6300000001</v>
      </c>
      <c r="Q24" s="750">
        <f t="shared" si="7"/>
        <v>-1660398.365212515</v>
      </c>
      <c r="R24" s="751">
        <f t="shared" si="7"/>
        <v>-1572683.1004250296</v>
      </c>
      <c r="S24" s="751">
        <f t="shared" si="7"/>
        <v>-1484967.8356375447</v>
      </c>
      <c r="T24" s="751">
        <f t="shared" si="7"/>
        <v>-1393124.7936835894</v>
      </c>
      <c r="U24" s="751">
        <f t="shared" si="7"/>
        <v>-1301281.7517296344</v>
      </c>
      <c r="V24" s="751">
        <f t="shared" si="7"/>
        <v>-1209438.7097756793</v>
      </c>
      <c r="W24" s="751">
        <f t="shared" si="7"/>
        <v>-1117595.6678217242</v>
      </c>
      <c r="X24" s="751">
        <f t="shared" si="7"/>
        <v>-1025752.625867769</v>
      </c>
      <c r="Y24" s="751">
        <f t="shared" si="7"/>
        <v>-933909.58391381381</v>
      </c>
      <c r="Z24" s="751">
        <f t="shared" si="7"/>
        <v>-842066.54195985862</v>
      </c>
      <c r="AA24" s="751">
        <f t="shared" si="7"/>
        <v>-750223.50000590342</v>
      </c>
      <c r="AB24" s="751">
        <f t="shared" si="7"/>
        <v>-658380.45805194834</v>
      </c>
      <c r="AC24" s="751">
        <f t="shared" si="7"/>
        <v>-566537.41609799303</v>
      </c>
      <c r="AD24" s="751">
        <f t="shared" si="7"/>
        <v>-474694.37414403789</v>
      </c>
      <c r="AE24" s="751">
        <f t="shared" si="7"/>
        <v>-382851.3321900827</v>
      </c>
      <c r="AF24" s="751">
        <f t="shared" si="7"/>
        <v>-291008.2902361275</v>
      </c>
      <c r="AG24" s="751">
        <f t="shared" si="7"/>
        <v>-199165.2482821724</v>
      </c>
      <c r="AH24" s="751">
        <f t="shared" si="7"/>
        <v>-107322.20632821725</v>
      </c>
      <c r="AI24" s="751">
        <f t="shared" si="7"/>
        <v>-15479.164374262102</v>
      </c>
      <c r="AJ24" s="751">
        <f t="shared" si="7"/>
        <v>0</v>
      </c>
      <c r="AK24" s="752">
        <f t="shared" si="7"/>
        <v>0</v>
      </c>
      <c r="AL24" s="754">
        <f>SUM(Q24:AK24)</f>
        <v>-15986880.965737902</v>
      </c>
    </row>
    <row r="25" spans="2:65" x14ac:dyDescent="0.45">
      <c r="D25" s="18" t="str">
        <f>'10. Inputs &amp; Calcs'!D573</f>
        <v>Total Rental Collected p.a.</v>
      </c>
      <c r="F25" s="852">
        <f>P25/P$28</f>
        <v>7.854013792807743E-2</v>
      </c>
      <c r="G25" s="852">
        <f ca="1">AL25/AL$28</f>
        <v>7.3093494348777738E-2</v>
      </c>
      <c r="I25" s="533">
        <f>AL25</f>
        <v>629868.23057851219</v>
      </c>
      <c r="J25" s="898">
        <v>629868.23057851219</v>
      </c>
      <c r="K25" s="533">
        <f t="shared" si="1"/>
        <v>0</v>
      </c>
      <c r="L25" s="813">
        <f t="shared" si="2"/>
        <v>0</v>
      </c>
      <c r="N25" s="566">
        <f>SUMIF('10. Inputs &amp; Calcs'!$D$574:$D$579,$E$10,'10. Inputs &amp; Calcs'!F$574:F$579)</f>
        <v>245920.3</v>
      </c>
      <c r="O25" s="566">
        <f>SUMIF('10. Inputs &amp; Calcs'!$D$574:$D$579,$E$10,'10. Inputs &amp; Calcs'!G$574:G$579)</f>
        <v>80599.11</v>
      </c>
      <c r="P25" s="566">
        <f>SUMIF('10. Inputs &amp; Calcs'!$D$574:$D$579,$E$10,'10. Inputs &amp; Calcs'!H$574:H$579)</f>
        <v>68874.049999999988</v>
      </c>
      <c r="Q25" s="535">
        <f>SUMIF('10. Inputs &amp; Calcs'!$D$574:$D$579,$E$10,'10. Inputs &amp; Calcs'!I$574:I$579)</f>
        <v>65418.150206611564</v>
      </c>
      <c r="R25" s="535">
        <f>SUMIF('10. Inputs &amp; Calcs'!$D$574:$D$579,$E$10,'10. Inputs &amp; Calcs'!J$574:J$579)</f>
        <v>61962.250413223133</v>
      </c>
      <c r="S25" s="535">
        <f>SUMIF('10. Inputs &amp; Calcs'!$D$574:$D$579,$E$10,'10. Inputs &amp; Calcs'!K$574:K$579)</f>
        <v>58506.350619834717</v>
      </c>
      <c r="T25" s="535">
        <f>SUMIF('10. Inputs &amp; Calcs'!$D$574:$D$579,$E$10,'10. Inputs &amp; Calcs'!L$574:L$579)</f>
        <v>54887.820247933887</v>
      </c>
      <c r="U25" s="535">
        <f>SUMIF('10. Inputs &amp; Calcs'!$D$574:$D$579,$E$10,'10. Inputs &amp; Calcs'!M$574:M$579)</f>
        <v>51269.289876033065</v>
      </c>
      <c r="V25" s="535">
        <f>SUMIF('10. Inputs &amp; Calcs'!$D$574:$D$579,$E$10,'10. Inputs &amp; Calcs'!N$574:N$579)</f>
        <v>47650.759504132235</v>
      </c>
      <c r="W25" s="535">
        <f>SUMIF('10. Inputs &amp; Calcs'!$D$574:$D$579,$E$10,'10. Inputs &amp; Calcs'!O$574:O$579)</f>
        <v>44032.229132231412</v>
      </c>
      <c r="X25" s="535">
        <f>SUMIF('10. Inputs &amp; Calcs'!$D$574:$D$579,$E$10,'10. Inputs &amp; Calcs'!P$574:P$579)</f>
        <v>40413.698760330582</v>
      </c>
      <c r="Y25" s="535">
        <f>SUMIF('10. Inputs &amp; Calcs'!$D$574:$D$579,$E$10,'10. Inputs &amp; Calcs'!Q$574:Q$579)</f>
        <v>36795.16838842976</v>
      </c>
      <c r="Z25" s="535">
        <f>SUMIF('10. Inputs &amp; Calcs'!$D$574:$D$579,$E$10,'10. Inputs &amp; Calcs'!R$574:R$579)</f>
        <v>33176.63801652893</v>
      </c>
      <c r="AA25" s="535">
        <f>SUMIF('10. Inputs &amp; Calcs'!$D$574:$D$579,$E$10,'10. Inputs &amp; Calcs'!S$574:S$579)</f>
        <v>29558.107644628104</v>
      </c>
      <c r="AB25" s="535">
        <f>SUMIF('10. Inputs &amp; Calcs'!$D$574:$D$579,$E$10,'10. Inputs &amp; Calcs'!T$574:T$579)</f>
        <v>25939.577272727278</v>
      </c>
      <c r="AC25" s="535">
        <f>SUMIF('10. Inputs &amp; Calcs'!$D$574:$D$579,$E$10,'10. Inputs &amp; Calcs'!U$574:U$579)</f>
        <v>22321.046900826448</v>
      </c>
      <c r="AD25" s="535">
        <f>SUMIF('10. Inputs &amp; Calcs'!$D$574:$D$579,$E$10,'10. Inputs &amp; Calcs'!V$574:V$579)</f>
        <v>18702.516528925622</v>
      </c>
      <c r="AE25" s="535">
        <f>SUMIF('10. Inputs &amp; Calcs'!$D$574:$D$579,$E$10,'10. Inputs &amp; Calcs'!W$574:W$579)</f>
        <v>15083.986157024792</v>
      </c>
      <c r="AF25" s="535">
        <f>SUMIF('10. Inputs &amp; Calcs'!$D$574:$D$579,$E$10,'10. Inputs &amp; Calcs'!X$574:X$579)</f>
        <v>11465.455785123964</v>
      </c>
      <c r="AG25" s="535">
        <f>SUMIF('10. Inputs &amp; Calcs'!$D$574:$D$579,$E$10,'10. Inputs &amp; Calcs'!Y$574:Y$579)</f>
        <v>7846.925413223139</v>
      </c>
      <c r="AH25" s="535">
        <f>SUMIF('10. Inputs &amp; Calcs'!$D$574:$D$579,$E$10,'10. Inputs &amp; Calcs'!Z$574:Z$579)</f>
        <v>4228.3950413223129</v>
      </c>
      <c r="AI25" s="535">
        <f>SUMIF('10. Inputs &amp; Calcs'!$D$574:$D$579,$E$10,'10. Inputs &amp; Calcs'!AA$574:AA$579)</f>
        <v>609.86466942148752</v>
      </c>
      <c r="AJ25" s="535">
        <f>SUMIF('10. Inputs &amp; Calcs'!$D$574:$D$579,$E$10,'10. Inputs &amp; Calcs'!AB$574:AB$579)</f>
        <v>0</v>
      </c>
      <c r="AK25" s="535">
        <f>SUMIF('10. Inputs &amp; Calcs'!$D$574:$D$579,$E$10,'10. Inputs &amp; Calcs'!AC$574:AC$579)</f>
        <v>0</v>
      </c>
      <c r="AL25" s="533">
        <f>SUM(Q25:AK25)</f>
        <v>629868.23057851219</v>
      </c>
    </row>
    <row r="26" spans="2:65" ht="6"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533">
        <f>AL27</f>
        <v>0</v>
      </c>
      <c r="J27" s="898">
        <v>0</v>
      </c>
      <c r="K27" s="533">
        <f t="shared" si="1"/>
        <v>0</v>
      </c>
      <c r="L27" s="813">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 ca="1">AL28/AL$28</f>
        <v>1</v>
      </c>
      <c r="I28" s="535">
        <f ca="1">AL28</f>
        <v>8617295.3720476329</v>
      </c>
      <c r="J28" s="901">
        <v>8617295.3720476329</v>
      </c>
      <c r="K28" s="535">
        <f t="shared" ca="1" si="1"/>
        <v>0</v>
      </c>
      <c r="L28" s="884">
        <f t="shared" ca="1" si="2"/>
        <v>0</v>
      </c>
      <c r="N28" s="992">
        <f t="shared" ref="N28:AL28" si="8">N25+N67*0+N21+N27</f>
        <v>410958.31</v>
      </c>
      <c r="O28" s="992">
        <f t="shared" si="8"/>
        <v>151761.49</v>
      </c>
      <c r="P28" s="992">
        <f t="shared" si="8"/>
        <v>876928.05</v>
      </c>
      <c r="Q28" s="992">
        <f t="shared" ca="1" si="8"/>
        <v>466204.04573487316</v>
      </c>
      <c r="R28" s="992">
        <f t="shared" ca="1" si="8"/>
        <v>462748.14594148472</v>
      </c>
      <c r="S28" s="992">
        <f t="shared" ca="1" si="8"/>
        <v>459292.24614809634</v>
      </c>
      <c r="T28" s="992">
        <f t="shared" ca="1" si="8"/>
        <v>474534.22850693727</v>
      </c>
      <c r="U28" s="992">
        <f t="shared" ca="1" si="8"/>
        <v>470915.69813503645</v>
      </c>
      <c r="V28" s="992">
        <f t="shared" ca="1" si="8"/>
        <v>467297.16776313563</v>
      </c>
      <c r="W28" s="992">
        <f t="shared" ca="1" si="8"/>
        <v>463678.63739123475</v>
      </c>
      <c r="X28" s="992">
        <f t="shared" ca="1" si="8"/>
        <v>460060.10701933393</v>
      </c>
      <c r="Y28" s="992">
        <f t="shared" ca="1" si="8"/>
        <v>456441.5766474331</v>
      </c>
      <c r="Z28" s="992">
        <f t="shared" ca="1" si="8"/>
        <v>452823.04627553228</v>
      </c>
      <c r="AA28" s="992">
        <f t="shared" ca="1" si="8"/>
        <v>449204.51590363146</v>
      </c>
      <c r="AB28" s="992">
        <f t="shared" ca="1" si="8"/>
        <v>445585.98553173064</v>
      </c>
      <c r="AC28" s="992">
        <f t="shared" ca="1" si="8"/>
        <v>441967.45515982981</v>
      </c>
      <c r="AD28" s="992">
        <f t="shared" ca="1" si="8"/>
        <v>438348.92478792899</v>
      </c>
      <c r="AE28" s="992">
        <f t="shared" ca="1" si="8"/>
        <v>434730.39441602817</v>
      </c>
      <c r="AF28" s="992">
        <f t="shared" ca="1" si="8"/>
        <v>431111.86404412735</v>
      </c>
      <c r="AG28" s="992">
        <f t="shared" ca="1" si="8"/>
        <v>427493.33367222652</v>
      </c>
      <c r="AH28" s="992">
        <f t="shared" ca="1" si="8"/>
        <v>423874.8033003257</v>
      </c>
      <c r="AI28" s="992">
        <f t="shared" ca="1" si="8"/>
        <v>420256.27292842488</v>
      </c>
      <c r="AJ28" s="992">
        <f t="shared" ca="1" si="8"/>
        <v>70726.922740281458</v>
      </c>
      <c r="AK28" s="992">
        <f t="shared" ca="1" si="8"/>
        <v>0</v>
      </c>
      <c r="AL28" s="992">
        <f t="shared" ca="1" si="8"/>
        <v>8617295.3720476329</v>
      </c>
    </row>
    <row r="29" spans="2:65" x14ac:dyDescent="0.45">
      <c r="J29" s="902"/>
      <c r="N29" s="533"/>
      <c r="O29" s="533"/>
      <c r="P29" s="533"/>
      <c r="AL29" s="533"/>
    </row>
    <row r="30" spans="2:65" x14ac:dyDescent="0.45">
      <c r="D30" s="451" t="s">
        <v>934</v>
      </c>
      <c r="E30" s="451"/>
      <c r="J30" s="902"/>
      <c r="M30" s="451"/>
      <c r="N30" s="533"/>
      <c r="O30" s="533"/>
      <c r="P30" s="533"/>
    </row>
    <row r="31" spans="2:65" x14ac:dyDescent="0.45">
      <c r="B31" t="s">
        <v>59</v>
      </c>
      <c r="D31" t="str">
        <f>'11. Table - Expenditure Review'!E177</f>
        <v>Rates &amp; Taxes</v>
      </c>
      <c r="F31" s="885">
        <f t="shared" ref="F31:F47" si="9">P31/P$47</f>
        <v>0.17312499852563881</v>
      </c>
      <c r="G31" s="885">
        <f t="shared" ref="G31:G47" si="10">AL31/AL$47</f>
        <v>0.15563861032838514</v>
      </c>
      <c r="I31" s="753">
        <f t="shared" ref="I31:I48" si="11">AL31</f>
        <v>123278858.65542018</v>
      </c>
      <c r="J31" s="899">
        <v>123278858.65542018</v>
      </c>
      <c r="K31" s="753">
        <f t="shared" ref="K31:K48" si="12">I31-J31</f>
        <v>0</v>
      </c>
      <c r="L31" s="885">
        <f t="shared" ref="L31:L48" si="13">IF(J31&lt;&gt;0,K31/J31,0)</f>
        <v>0</v>
      </c>
      <c r="N31" s="566">
        <f>SUMIF('10. Inputs &amp; Calcs'!$D$650:$D$655,$E$10,'10. Inputs &amp; Calcs'!F$650:F$655)</f>
        <v>10736227.380000001</v>
      </c>
      <c r="O31" s="566">
        <f>SUMIF('10. Inputs &amp; Calcs'!$D$650:$D$655,$E$10,'10. Inputs &amp; Calcs'!G$650:G$655)</f>
        <v>20154498.489999998</v>
      </c>
      <c r="P31" s="566">
        <f>SUMIF('10. Inputs &amp; Calcs'!$D$650:$D$655,$E$10,'10. Inputs &amp; Calcs'!H$650:H$655)</f>
        <v>9133854.3499999996</v>
      </c>
      <c r="Q31" s="533">
        <f>SUMIF('10. Inputs &amp; Calcs'!$D$650:$D$655,$E$10,'10. Inputs &amp; Calcs'!I$650:I$655)</f>
        <v>9152698.9904682692</v>
      </c>
      <c r="R31" s="533">
        <f>SUMIF('10. Inputs &amp; Calcs'!$D$650:$D$655,$E$10,'10. Inputs &amp; Calcs'!J$650:J$655)</f>
        <v>9145986.6319792997</v>
      </c>
      <c r="S31" s="533">
        <f>SUMIF('10. Inputs &amp; Calcs'!$D$650:$D$655,$E$10,'10. Inputs &amp; Calcs'!K$650:K$655)</f>
        <v>9110848.9996103756</v>
      </c>
      <c r="T31" s="533">
        <f>SUMIF('10. Inputs &amp; Calcs'!$D$650:$D$655,$E$10,'10. Inputs &amp; Calcs'!L$650:L$655)</f>
        <v>9017461.2145205531</v>
      </c>
      <c r="U31" s="533">
        <f>SUMIF('10. Inputs &amp; Calcs'!$D$650:$D$655,$E$10,'10. Inputs &amp; Calcs'!M$650:M$655)</f>
        <v>8886240.4548470303</v>
      </c>
      <c r="V31" s="533">
        <f>SUMIF('10. Inputs &amp; Calcs'!$D$650:$D$655,$E$10,'10. Inputs &amp; Calcs'!N$650:N$655)</f>
        <v>8713307.5914354939</v>
      </c>
      <c r="W31" s="533">
        <f>SUMIF('10. Inputs &amp; Calcs'!$D$650:$D$655,$E$10,'10. Inputs &amp; Calcs'!O$650:O$655)</f>
        <v>8494471.2356727757</v>
      </c>
      <c r="X31" s="533">
        <f>SUMIF('10. Inputs &amp; Calcs'!$D$650:$D$655,$E$10,'10. Inputs &amp; Calcs'!P$650:P$655)</f>
        <v>8225205.1253120685</v>
      </c>
      <c r="Y31" s="533">
        <f>SUMIF('10. Inputs &amp; Calcs'!$D$650:$D$655,$E$10,'10. Inputs &amp; Calcs'!Q$650:Q$655)</f>
        <v>7900623.9673237717</v>
      </c>
      <c r="Z31" s="533">
        <f>SUMIF('10. Inputs &amp; Calcs'!$D$650:$D$655,$E$10,'10. Inputs &amp; Calcs'!R$650:R$655)</f>
        <v>7515457.6364526935</v>
      </c>
      <c r="AA31" s="533">
        <f>SUMIF('10. Inputs &amp; Calcs'!$D$650:$D$655,$E$10,'10. Inputs &amp; Calcs'!S$650:S$655)</f>
        <v>7064023.6216846425</v>
      </c>
      <c r="AB31" s="533">
        <f>SUMIF('10. Inputs &amp; Calcs'!$D$650:$D$655,$E$10,'10. Inputs &amp; Calcs'!T$650:T$655)</f>
        <v>6540197.6059418377</v>
      </c>
      <c r="AC31" s="533">
        <f>SUMIF('10. Inputs &amp; Calcs'!$D$650:$D$655,$E$10,'10. Inputs &amp; Calcs'!U$650:U$655)</f>
        <v>5937382.0570117282</v>
      </c>
      <c r="AD31" s="533">
        <f>SUMIF('10. Inputs &amp; Calcs'!$D$650:$D$655,$E$10,'10. Inputs &amp; Calcs'!V$650:V$655)</f>
        <v>5248472.6999413315</v>
      </c>
      <c r="AE31" s="533">
        <f>SUMIF('10. Inputs &amp; Calcs'!$D$650:$D$655,$E$10,'10. Inputs &amp; Calcs'!W$650:W$655)</f>
        <v>4465822.7328707315</v>
      </c>
      <c r="AF31" s="533">
        <f>SUMIF('10. Inputs &amp; Calcs'!$D$650:$D$655,$E$10,'10. Inputs &amp; Calcs'!X$650:X$655)</f>
        <v>3581204.6395050441</v>
      </c>
      <c r="AG31" s="533">
        <f>SUMIF('10. Inputs &amp; Calcs'!$D$650:$D$655,$E$10,'10. Inputs &amp; Calcs'!Y$650:Y$655)</f>
        <v>2585769.4421021971</v>
      </c>
      <c r="AH31" s="533">
        <f>SUMIF('10. Inputs &amp; Calcs'!$D$650:$D$655,$E$10,'10. Inputs &amp; Calcs'!Z$650:Z$655)</f>
        <v>1470003.228950534</v>
      </c>
      <c r="AI31" s="533">
        <f>SUMIF('10. Inputs &amp; Calcs'!$D$650:$D$655,$E$10,'10. Inputs &amp; Calcs'!AA$650:AA$655)</f>
        <v>223680.77978982884</v>
      </c>
      <c r="AJ31" s="533">
        <f>SUMIF('10. Inputs &amp; Calcs'!$D$650:$D$655,$E$10,'10. Inputs &amp; Calcs'!AB$650:AB$655)</f>
        <v>0</v>
      </c>
      <c r="AK31" s="533">
        <f>SUMIF('10. Inputs &amp; Calcs'!$D$650:$D$655,$E$10,'10. Inputs &amp; Calcs'!AC$650:AC$655)</f>
        <v>0</v>
      </c>
      <c r="AL31" s="533">
        <f t="shared" ref="AL31:AL46" si="14">SUM(Q31:AK31)</f>
        <v>123278858.65542018</v>
      </c>
    </row>
    <row r="32" spans="2:65" x14ac:dyDescent="0.45">
      <c r="B32" t="s">
        <v>59</v>
      </c>
      <c r="D32" t="str">
        <f>'11. Table - Expenditure Review'!E178</f>
        <v>Municipal Charges</v>
      </c>
      <c r="F32" s="889">
        <f t="shared" si="9"/>
        <v>3.2744958664730595E-2</v>
      </c>
      <c r="G32" s="889">
        <f t="shared" si="10"/>
        <v>2.9437573459874074E-2</v>
      </c>
      <c r="I32" s="888">
        <f t="shared" si="11"/>
        <v>23317032.001644053</v>
      </c>
      <c r="J32" s="903">
        <v>23317032.001644053</v>
      </c>
      <c r="K32" s="888">
        <f t="shared" si="12"/>
        <v>0</v>
      </c>
      <c r="L32" s="889">
        <f t="shared" si="13"/>
        <v>0</v>
      </c>
      <c r="N32" s="566">
        <f>SUMIF('10. Inputs &amp; Calcs'!$D$659:$D$664,$E$10,'10. Inputs &amp; Calcs'!F$659:F$664)</f>
        <v>2180158.14</v>
      </c>
      <c r="O32" s="566">
        <f>SUMIF('10. Inputs &amp; Calcs'!$D$659:$D$664,$E$10,'10. Inputs &amp; Calcs'!G$659:G$664)</f>
        <v>1848232.59</v>
      </c>
      <c r="P32" s="566">
        <f>SUMIF('10. Inputs &amp; Calcs'!$D$659:$D$664,$E$10,'10. Inputs &amp; Calcs'!H$659:H$664)</f>
        <v>1727582.3</v>
      </c>
      <c r="Q32" s="533">
        <f>SUMIF('10. Inputs &amp; Calcs'!$D$659:$D$664,$E$10,'10. Inputs &amp; Calcs'!I$659:I$664)</f>
        <v>1731146.5857960449</v>
      </c>
      <c r="R32" s="533">
        <f>SUMIF('10. Inputs &amp; Calcs'!$D$659:$D$664,$E$10,'10. Inputs &amp; Calcs'!J$659:J$664)</f>
        <v>1729877.0065721546</v>
      </c>
      <c r="S32" s="533">
        <f>SUMIF('10. Inputs &amp; Calcs'!$D$659:$D$664,$E$10,'10. Inputs &amp; Calcs'!K$659:K$664)</f>
        <v>1723231.0552116032</v>
      </c>
      <c r="T32" s="533">
        <f>SUMIF('10. Inputs &amp; Calcs'!$D$659:$D$664,$E$10,'10. Inputs &amp; Calcs'!L$659:L$664)</f>
        <v>1705567.6375157232</v>
      </c>
      <c r="U32" s="533">
        <f>SUMIF('10. Inputs &amp; Calcs'!$D$659:$D$664,$E$10,'10. Inputs &amp; Calcs'!M$659:M$664)</f>
        <v>1680748.4699312814</v>
      </c>
      <c r="V32" s="533">
        <f>SUMIF('10. Inputs &amp; Calcs'!$D$659:$D$664,$E$10,'10. Inputs &amp; Calcs'!N$659:N$664)</f>
        <v>1648039.851809066</v>
      </c>
      <c r="W32" s="533">
        <f>SUMIF('10. Inputs &amp; Calcs'!$D$659:$D$664,$E$10,'10. Inputs &amp; Calcs'!O$659:O$664)</f>
        <v>1606649.0215718648</v>
      </c>
      <c r="X32" s="533">
        <f>SUMIF('10. Inputs &amp; Calcs'!$D$659:$D$664,$E$10,'10. Inputs &amp; Calcs'!P$659:P$664)</f>
        <v>1555719.8794568488</v>
      </c>
      <c r="Y32" s="533">
        <f>SUMIF('10. Inputs &amp; Calcs'!$D$659:$D$664,$E$10,'10. Inputs &amp; Calcs'!Q$659:Q$664)</f>
        <v>1494328.4184189262</v>
      </c>
      <c r="Z32" s="533">
        <f>SUMIF('10. Inputs &amp; Calcs'!$D$659:$D$664,$E$10,'10. Inputs &amp; Calcs'!R$659:R$664)</f>
        <v>1421477.844031475</v>
      </c>
      <c r="AA32" s="533">
        <f>SUMIF('10. Inputs &amp; Calcs'!$D$659:$D$664,$E$10,'10. Inputs &amp; Calcs'!S$659:S$664)</f>
        <v>1336093.3629956872</v>
      </c>
      <c r="AB32" s="533">
        <f>SUMIF('10. Inputs &amp; Calcs'!$D$659:$D$664,$E$10,'10. Inputs &amp; Calcs'!T$659:T$664)</f>
        <v>1237016.6185677676</v>
      </c>
      <c r="AC32" s="533">
        <f>SUMIF('10. Inputs &amp; Calcs'!$D$659:$D$664,$E$10,'10. Inputs &amp; Calcs'!U$659:U$664)</f>
        <v>1122999.7498297149</v>
      </c>
      <c r="AD32" s="533">
        <f>SUMIF('10. Inputs &amp; Calcs'!$D$659:$D$664,$E$10,'10. Inputs &amp; Calcs'!V$659:V$664)</f>
        <v>992699.05025930889</v>
      </c>
      <c r="AE32" s="533">
        <f>SUMIF('10. Inputs &amp; Calcs'!$D$659:$D$664,$E$10,'10. Inputs &amp; Calcs'!W$659:W$664)</f>
        <v>844668.19949292345</v>
      </c>
      <c r="AF32" s="533">
        <f>SUMIF('10. Inputs &amp; Calcs'!$D$659:$D$664,$E$10,'10. Inputs &amp; Calcs'!X$659:X$664)</f>
        <v>677351.04051520117</v>
      </c>
      <c r="AG32" s="533">
        <f>SUMIF('10. Inputs &amp; Calcs'!$D$659:$D$664,$E$10,'10. Inputs &amp; Calcs'!Y$659:Y$664)</f>
        <v>489073.8727464634</v>
      </c>
      <c r="AH32" s="533">
        <f>SUMIF('10. Inputs &amp; Calcs'!$D$659:$D$664,$E$10,'10. Inputs &amp; Calcs'!Z$659:Z$664)</f>
        <v>278037.22962560604</v>
      </c>
      <c r="AI32" s="533">
        <f>SUMIF('10. Inputs &amp; Calcs'!$D$659:$D$664,$E$10,'10. Inputs &amp; Calcs'!AA$659:AA$664)</f>
        <v>42307.107296396302</v>
      </c>
      <c r="AJ32" s="533">
        <f>SUMIF('10. Inputs &amp; Calcs'!$D$659:$D$664,$E$10,'10. Inputs &amp; Calcs'!AB$659:AB$664)</f>
        <v>0</v>
      </c>
      <c r="AK32" s="533">
        <f>SUMIF('10. Inputs &amp; Calcs'!$D$659:$D$664,$E$10,'10. Inputs &amp; Calcs'!AC$659:AC$664)</f>
        <v>0</v>
      </c>
      <c r="AL32" s="533">
        <f t="shared" si="14"/>
        <v>23317032.001644053</v>
      </c>
    </row>
    <row r="33" spans="2:38" x14ac:dyDescent="0.45">
      <c r="B33" t="s">
        <v>59</v>
      </c>
      <c r="D33" t="str">
        <f>'11. Table - Expenditure Review'!E179</f>
        <v>Maintenance</v>
      </c>
      <c r="F33" s="889">
        <f t="shared" si="9"/>
        <v>0.51294643719195587</v>
      </c>
      <c r="G33" s="889">
        <f t="shared" si="10"/>
        <v>0.46113658534200253</v>
      </c>
      <c r="I33" s="888">
        <f t="shared" si="11"/>
        <v>365258927.75111675</v>
      </c>
      <c r="J33" s="903">
        <v>365258927.75111675</v>
      </c>
      <c r="K33" s="888">
        <f t="shared" si="12"/>
        <v>0</v>
      </c>
      <c r="L33" s="889">
        <f t="shared" si="13"/>
        <v>0</v>
      </c>
      <c r="N33" s="566">
        <f>SUMIF('10. Inputs &amp; Calcs'!$D$668:$D$673,$E$10,'10. Inputs &amp; Calcs'!F$668:F$673)</f>
        <v>29786126.449999999</v>
      </c>
      <c r="O33" s="566">
        <f>SUMIF('10. Inputs &amp; Calcs'!$D$668:$D$673,$E$10,'10. Inputs &amp; Calcs'!G$668:G$673)</f>
        <v>21565237.469999999</v>
      </c>
      <c r="P33" s="566">
        <f>SUMIF('10. Inputs &amp; Calcs'!$D$668:$D$673,$E$10,'10. Inputs &amp; Calcs'!H$668:H$673)</f>
        <v>27062400.5</v>
      </c>
      <c r="Q33" s="533">
        <f>SUMIF('10. Inputs &amp; Calcs'!$D$668:$D$673,$E$10,'10. Inputs &amp; Calcs'!I$668:I$673)</f>
        <v>27118234.67340466</v>
      </c>
      <c r="R33" s="533">
        <f>SUMIF('10. Inputs &amp; Calcs'!$D$668:$D$673,$E$10,'10. Inputs &amp; Calcs'!J$668:J$673)</f>
        <v>27098346.844371334</v>
      </c>
      <c r="S33" s="533">
        <f>SUMIF('10. Inputs &amp; Calcs'!$D$668:$D$673,$E$10,'10. Inputs &amp; Calcs'!K$668:K$673)</f>
        <v>26994238.694257293</v>
      </c>
      <c r="T33" s="533">
        <f>SUMIF('10. Inputs &amp; Calcs'!$D$668:$D$673,$E$10,'10. Inputs &amp; Calcs'!L$668:L$673)</f>
        <v>26717543.057884604</v>
      </c>
      <c r="U33" s="533">
        <f>SUMIF('10. Inputs &amp; Calcs'!$D$668:$D$673,$E$10,'10. Inputs &amp; Calcs'!M$668:M$673)</f>
        <v>26328753.329460792</v>
      </c>
      <c r="V33" s="533">
        <f>SUMIF('10. Inputs &amp; Calcs'!$D$668:$D$673,$E$10,'10. Inputs &amp; Calcs'!N$668:N$673)</f>
        <v>25816376.163160261</v>
      </c>
      <c r="W33" s="533">
        <f>SUMIF('10. Inputs &amp; Calcs'!$D$668:$D$673,$E$10,'10. Inputs &amp; Calcs'!O$668:O$673)</f>
        <v>25167993.029745053</v>
      </c>
      <c r="X33" s="533">
        <f>SUMIF('10. Inputs &amp; Calcs'!$D$668:$D$673,$E$10,'10. Inputs &amp; Calcs'!P$668:P$673)</f>
        <v>24370193.213760611</v>
      </c>
      <c r="Y33" s="533">
        <f>SUMIF('10. Inputs &amp; Calcs'!$D$668:$D$673,$E$10,'10. Inputs &amp; Calcs'!Q$668:Q$673)</f>
        <v>23408502.239102904</v>
      </c>
      <c r="Z33" s="533">
        <f>SUMIF('10. Inputs &amp; Calcs'!$D$668:$D$673,$E$10,'10. Inputs &amp; Calcs'!R$668:R$673)</f>
        <v>22267305.422761224</v>
      </c>
      <c r="AA33" s="533">
        <f>SUMIF('10. Inputs &amp; Calcs'!$D$668:$D$673,$E$10,'10. Inputs &amp; Calcs'!S$668:S$673)</f>
        <v>20929766.237348676</v>
      </c>
      <c r="AB33" s="533">
        <f>SUMIF('10. Inputs &amp; Calcs'!$D$668:$D$673,$E$10,'10. Inputs &amp; Calcs'!T$668:T$673)</f>
        <v>19377739.142636888</v>
      </c>
      <c r="AC33" s="533">
        <f>SUMIF('10. Inputs &amp; Calcs'!$D$668:$D$673,$E$10,'10. Inputs &amp; Calcs'!U$668:U$673)</f>
        <v>17591676.524638828</v>
      </c>
      <c r="AD33" s="533">
        <f>SUMIF('10. Inputs &amp; Calcs'!$D$668:$D$673,$E$10,'10. Inputs &amp; Calcs'!V$668:V$673)</f>
        <v>15550529.357754504</v>
      </c>
      <c r="AE33" s="533">
        <f>SUMIF('10. Inputs &amp; Calcs'!$D$668:$D$673,$E$10,'10. Inputs &amp; Calcs'!W$668:W$673)</f>
        <v>13231641.181025872</v>
      </c>
      <c r="AF33" s="533">
        <f>SUMIF('10. Inputs &amp; Calcs'!$D$668:$D$673,$E$10,'10. Inputs &amp; Calcs'!X$668:X$673)</f>
        <v>10610634.953549884</v>
      </c>
      <c r="AG33" s="533">
        <f>SUMIF('10. Inputs &amp; Calcs'!$D$668:$D$673,$E$10,'10. Inputs &amp; Calcs'!Y$668:Y$673)</f>
        <v>7661292.3264789348</v>
      </c>
      <c r="AH33" s="533">
        <f>SUMIF('10. Inputs &amp; Calcs'!$D$668:$D$673,$E$10,'10. Inputs &amp; Calcs'!Z$668:Z$673)</f>
        <v>4355424.839695693</v>
      </c>
      <c r="AI33" s="533">
        <f>SUMIF('10. Inputs &amp; Calcs'!$D$668:$D$673,$E$10,'10. Inputs &amp; Calcs'!AA$668:AA$673)</f>
        <v>662736.52007869561</v>
      </c>
      <c r="AJ33" s="533">
        <f>SUMIF('10. Inputs &amp; Calcs'!$D$668:$D$673,$E$10,'10. Inputs &amp; Calcs'!AB$668:AB$673)</f>
        <v>0</v>
      </c>
      <c r="AK33" s="533">
        <f>SUMIF('10. Inputs &amp; Calcs'!$D$668:$D$673,$E$10,'10. Inputs &amp; Calcs'!AC$668:AC$673)</f>
        <v>0</v>
      </c>
      <c r="AL33" s="533">
        <f t="shared" si="14"/>
        <v>365258927.75111675</v>
      </c>
    </row>
    <row r="34" spans="2:38" x14ac:dyDescent="0.45">
      <c r="B34" t="s">
        <v>59</v>
      </c>
      <c r="D34" t="str">
        <f>'11. Table - Expenditure Review'!E180</f>
        <v>Property Payments</v>
      </c>
      <c r="F34" s="889">
        <f t="shared" si="9"/>
        <v>0</v>
      </c>
      <c r="G34" s="889">
        <f t="shared" si="10"/>
        <v>0</v>
      </c>
      <c r="I34" s="888">
        <f t="shared" si="11"/>
        <v>0</v>
      </c>
      <c r="J34" s="903">
        <v>0</v>
      </c>
      <c r="K34" s="888">
        <f t="shared" si="12"/>
        <v>0</v>
      </c>
      <c r="L34" s="889">
        <f t="shared" si="13"/>
        <v>0</v>
      </c>
      <c r="N34" s="566">
        <f>SUMIF('10. Inputs &amp; Calcs'!$D$677:$D$682,$E$10,'10. Inputs &amp; Calcs'!F$677:F$682)</f>
        <v>276698.82</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4"/>
        <v>0</v>
      </c>
    </row>
    <row r="35" spans="2:38" x14ac:dyDescent="0.45">
      <c r="B35" t="s">
        <v>1077</v>
      </c>
      <c r="D35" t="str">
        <f>'11. Table - Expenditure Review'!E181</f>
        <v>Administering Assets</v>
      </c>
      <c r="F35" s="889">
        <f t="shared" si="9"/>
        <v>0</v>
      </c>
      <c r="G35" s="889">
        <f t="shared" si="10"/>
        <v>0</v>
      </c>
      <c r="I35" s="888">
        <f t="shared" si="11"/>
        <v>0</v>
      </c>
      <c r="J35" s="903">
        <v>0</v>
      </c>
      <c r="K35" s="888">
        <f t="shared" si="12"/>
        <v>0</v>
      </c>
      <c r="L35" s="889">
        <f t="shared" si="13"/>
        <v>0</v>
      </c>
      <c r="N35" s="566">
        <f>SUMIF('10. Inputs &amp; Calcs'!$D$686:$D$691,$E$10,'10. Inputs &amp; Calcs'!F$686:F$691)</f>
        <v>0</v>
      </c>
      <c r="O35" s="566">
        <f>SUMIF('10. Inputs &amp; Calcs'!$D$686:$D$691,$E$10,'10. Inputs &amp; Calcs'!G$686:G$691)</f>
        <v>0</v>
      </c>
      <c r="P35" s="566">
        <f>SUMIF('10. Inputs &amp; Calcs'!$D$686:$D$691,$E$10,'10. Inputs &amp; Calcs'!H$686:H$691)</f>
        <v>0</v>
      </c>
      <c r="Q35" s="533">
        <f>SUMIF('10. Inputs &amp; Calcs'!$D$686:$D$691,$E$10,'10. Inputs &amp; Calcs'!I$686:I$691)</f>
        <v>0</v>
      </c>
      <c r="R35" s="533">
        <f>SUMIF('10. Inputs &amp; Calcs'!$D$686:$D$691,$E$10,'10. Inputs &amp; Calcs'!J$686:J$691)</f>
        <v>0</v>
      </c>
      <c r="S35" s="533">
        <f>SUMIF('10. Inputs &amp; Calcs'!$D$686:$D$691,$E$10,'10. Inputs &amp; Calcs'!K$686:K$691)</f>
        <v>0</v>
      </c>
      <c r="T35" s="533">
        <f>SUMIF('10. Inputs &amp; Calcs'!$D$686:$D$691,$E$10,'10. Inputs &amp; Calcs'!L$686:L$691)</f>
        <v>0</v>
      </c>
      <c r="U35" s="533">
        <f>SUMIF('10. Inputs &amp; Calcs'!$D$686:$D$691,$E$10,'10. Inputs &amp; Calcs'!M$686:M$691)</f>
        <v>0</v>
      </c>
      <c r="V35" s="533">
        <f>SUMIF('10. Inputs &amp; Calcs'!$D$686:$D$691,$E$10,'10. Inputs &amp; Calcs'!N$686:N$691)</f>
        <v>0</v>
      </c>
      <c r="W35" s="533">
        <f>SUMIF('10. Inputs &amp; Calcs'!$D$686:$D$691,$E$10,'10. Inputs &amp; Calcs'!O$686:O$691)</f>
        <v>0</v>
      </c>
      <c r="X35" s="533">
        <f>SUMIF('10. Inputs &amp; Calcs'!$D$686:$D$691,$E$10,'10. Inputs &amp; Calcs'!P$686:P$691)</f>
        <v>0</v>
      </c>
      <c r="Y35" s="533">
        <f>SUMIF('10. Inputs &amp; Calcs'!$D$686:$D$691,$E$10,'10. Inputs &amp; Calcs'!Q$686:Q$691)</f>
        <v>0</v>
      </c>
      <c r="Z35" s="533">
        <f>SUMIF('10. Inputs &amp; Calcs'!$D$686:$D$691,$E$10,'10. Inputs &amp; Calcs'!R$686:R$691)</f>
        <v>0</v>
      </c>
      <c r="AA35" s="533">
        <f>SUMIF('10. Inputs &amp; Calcs'!$D$686:$D$691,$E$10,'10. Inputs &amp; Calcs'!S$686:S$691)</f>
        <v>0</v>
      </c>
      <c r="AB35" s="533">
        <f>SUMIF('10. Inputs &amp; Calcs'!$D$686:$D$691,$E$10,'10. Inputs &amp; Calcs'!T$686:T$691)</f>
        <v>0</v>
      </c>
      <c r="AC35" s="533">
        <f>SUMIF('10. Inputs &amp; Calcs'!$D$686:$D$691,$E$10,'10. Inputs &amp; Calcs'!U$686:U$691)</f>
        <v>0</v>
      </c>
      <c r="AD35" s="533">
        <f>SUMIF('10. Inputs &amp; Calcs'!$D$686:$D$691,$E$10,'10. Inputs &amp; Calcs'!V$686:V$691)</f>
        <v>0</v>
      </c>
      <c r="AE35" s="533">
        <f>SUMIF('10. Inputs &amp; Calcs'!$D$686:$D$691,$E$10,'10. Inputs &amp; Calcs'!W$686:W$691)</f>
        <v>0</v>
      </c>
      <c r="AF35" s="533">
        <f>SUMIF('10. Inputs &amp; Calcs'!$D$686:$D$691,$E$10,'10. Inputs &amp; Calcs'!X$686:X$691)</f>
        <v>0</v>
      </c>
      <c r="AG35" s="533">
        <f>SUMIF('10. Inputs &amp; Calcs'!$D$686:$D$691,$E$10,'10. Inputs &amp; Calcs'!Y$686:Y$691)</f>
        <v>0</v>
      </c>
      <c r="AH35" s="533">
        <f>SUMIF('10. Inputs &amp; Calcs'!$D$686:$D$691,$E$10,'10. Inputs &amp; Calcs'!Z$686:Z$691)</f>
        <v>0</v>
      </c>
      <c r="AI35" s="533">
        <f>SUMIF('10. Inputs &amp; Calcs'!$D$686:$D$691,$E$10,'10. Inputs &amp; Calcs'!AA$686:AA$691)</f>
        <v>0</v>
      </c>
      <c r="AJ35" s="533">
        <f>SUMIF('10. Inputs &amp; Calcs'!$D$686:$D$691,$E$10,'10. Inputs &amp; Calcs'!AB$686:AB$691)</f>
        <v>0</v>
      </c>
      <c r="AK35" s="533">
        <f>SUMIF('10. Inputs &amp; Calcs'!$D$686:$D$691,$E$10,'10. Inputs &amp; Calcs'!AC$686:AC$691)</f>
        <v>0</v>
      </c>
      <c r="AL35" s="533">
        <f t="shared" si="14"/>
        <v>0</v>
      </c>
    </row>
    <row r="36" spans="2:38" x14ac:dyDescent="0.45">
      <c r="B36" t="s">
        <v>1075</v>
      </c>
      <c r="D36" t="str">
        <f>'10. Inputs &amp; Calcs'!D507</f>
        <v>Total Disposal Costs</v>
      </c>
      <c r="F36" s="889">
        <f t="shared" si="9"/>
        <v>0</v>
      </c>
      <c r="G36" s="889">
        <f t="shared" si="10"/>
        <v>2.5504430588505204E-2</v>
      </c>
      <c r="I36" s="888">
        <f t="shared" si="11"/>
        <v>20201652.321190648</v>
      </c>
      <c r="J36" s="903">
        <v>20201652.321190648</v>
      </c>
      <c r="K36" s="888">
        <f t="shared" si="12"/>
        <v>0</v>
      </c>
      <c r="L36" s="889">
        <f t="shared" si="13"/>
        <v>0</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595000</v>
      </c>
      <c r="R36" s="533">
        <f>SUMIF('10. Inputs &amp; Calcs'!$D$508:$D$513,$E$10,'10. Inputs &amp; Calcs'!J$508:J$513)</f>
        <v>627725</v>
      </c>
      <c r="S36" s="533">
        <f>SUMIF('10. Inputs &amp; Calcs'!$D$508:$D$513,$E$10,'10. Inputs &amp; Calcs'!K$508:K$513)</f>
        <v>662249.875</v>
      </c>
      <c r="T36" s="533">
        <f>SUMIF('10. Inputs &amp; Calcs'!$D$508:$D$513,$E$10,'10. Inputs &amp; Calcs'!L$508:L$513)</f>
        <v>731552.37662499992</v>
      </c>
      <c r="U36" s="533">
        <f>SUMIF('10. Inputs &amp; Calcs'!$D$508:$D$513,$E$10,'10. Inputs &amp; Calcs'!M$508:M$513)</f>
        <v>771787.75733937498</v>
      </c>
      <c r="V36" s="533">
        <f>SUMIF('10. Inputs &amp; Calcs'!$D$508:$D$513,$E$10,'10. Inputs &amp; Calcs'!N$508:N$513)</f>
        <v>814236.08399304049</v>
      </c>
      <c r="W36" s="533">
        <f>SUMIF('10. Inputs &amp; Calcs'!$D$508:$D$513,$E$10,'10. Inputs &amp; Calcs'!O$508:O$513)</f>
        <v>859019.06861265784</v>
      </c>
      <c r="X36" s="533">
        <f>SUMIF('10. Inputs &amp; Calcs'!$D$508:$D$513,$E$10,'10. Inputs &amp; Calcs'!P$508:P$513)</f>
        <v>906265.11738635402</v>
      </c>
      <c r="Y36" s="533">
        <f>SUMIF('10. Inputs &amp; Calcs'!$D$508:$D$513,$E$10,'10. Inputs &amp; Calcs'!Q$508:Q$513)</f>
        <v>956109.69884260313</v>
      </c>
      <c r="Z36" s="533">
        <f>SUMIF('10. Inputs &amp; Calcs'!$D$508:$D$513,$E$10,'10. Inputs &amp; Calcs'!R$508:R$513)</f>
        <v>1008695.7322789464</v>
      </c>
      <c r="AA36" s="533">
        <f>SUMIF('10. Inputs &amp; Calcs'!$D$508:$D$513,$E$10,'10. Inputs &amp; Calcs'!S$508:S$513)</f>
        <v>1064173.9975542882</v>
      </c>
      <c r="AB36" s="533">
        <f>SUMIF('10. Inputs &amp; Calcs'!$D$508:$D$513,$E$10,'10. Inputs &amp; Calcs'!T$508:T$513)</f>
        <v>1122703.5674197741</v>
      </c>
      <c r="AC36" s="533">
        <f>SUMIF('10. Inputs &amp; Calcs'!$D$508:$D$513,$E$10,'10. Inputs &amp; Calcs'!U$508:U$513)</f>
        <v>1184452.2636278619</v>
      </c>
      <c r="AD36" s="533">
        <f>SUMIF('10. Inputs &amp; Calcs'!$D$508:$D$513,$E$10,'10. Inputs &amp; Calcs'!V$508:V$513)</f>
        <v>1249597.138127394</v>
      </c>
      <c r="AE36" s="533">
        <f>SUMIF('10. Inputs &amp; Calcs'!$D$508:$D$513,$E$10,'10. Inputs &amp; Calcs'!W$508:W$513)</f>
        <v>1318324.9807244006</v>
      </c>
      <c r="AF36" s="533">
        <f>SUMIF('10. Inputs &amp; Calcs'!$D$508:$D$513,$E$10,'10. Inputs &amp; Calcs'!X$508:X$513)</f>
        <v>1390832.8546642428</v>
      </c>
      <c r="AG36" s="533">
        <f>SUMIF('10. Inputs &amp; Calcs'!$D$508:$D$513,$E$10,'10. Inputs &amp; Calcs'!Y$508:Y$513)</f>
        <v>1467328.6616707759</v>
      </c>
      <c r="AH36" s="533">
        <f>SUMIF('10. Inputs &amp; Calcs'!$D$508:$D$513,$E$10,'10. Inputs &amp; Calcs'!Z$508:Z$513)</f>
        <v>1548031.7380626686</v>
      </c>
      <c r="AI36" s="533">
        <f>SUMIF('10. Inputs &amp; Calcs'!$D$508:$D$513,$E$10,'10. Inputs &amp; Calcs'!AA$508:AA$513)</f>
        <v>1633173.4836561151</v>
      </c>
      <c r="AJ36" s="533">
        <f>SUMIF('10. Inputs &amp; Calcs'!$D$508:$D$513,$E$10,'10. Inputs &amp; Calcs'!AB$508:AB$513)</f>
        <v>290392.92560514633</v>
      </c>
      <c r="AK36" s="533">
        <f>SUMIF('10. Inputs &amp; Calcs'!$D$508:$D$513,$E$10,'10. Inputs &amp; Calcs'!AC$508:AC$513)</f>
        <v>0</v>
      </c>
      <c r="AL36" s="533">
        <f t="shared" si="14"/>
        <v>20201652.321190648</v>
      </c>
    </row>
    <row r="37" spans="2:38" x14ac:dyDescent="0.45">
      <c r="B37" t="s">
        <v>59</v>
      </c>
      <c r="C37" t="str">
        <f>'10. Inputs &amp; Calcs'!E15</f>
        <v>Sc1</v>
      </c>
      <c r="D37" t="str">
        <f>'10. Inputs &amp; Calcs'!D703</f>
        <v>Management Costs Paid to Outsourced Rental Property Manager p.a.</v>
      </c>
      <c r="F37" s="889">
        <f t="shared" si="9"/>
        <v>0</v>
      </c>
      <c r="G37" s="889">
        <f t="shared" si="10"/>
        <v>0</v>
      </c>
      <c r="I37" s="888">
        <f t="shared" si="11"/>
        <v>0</v>
      </c>
      <c r="J37" s="903">
        <v>0</v>
      </c>
      <c r="K37" s="888">
        <f t="shared" si="12"/>
        <v>0</v>
      </c>
      <c r="L37" s="889">
        <f t="shared" si="13"/>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4"/>
        <v>0</v>
      </c>
    </row>
    <row r="38" spans="2:38" outlineLevel="1" x14ac:dyDescent="0.45">
      <c r="D38">
        <f>'11. Table - Expenditure Review'!E184</f>
        <v>0</v>
      </c>
      <c r="F38" s="889">
        <f t="shared" si="9"/>
        <v>0</v>
      </c>
      <c r="G38" s="889">
        <f t="shared" si="10"/>
        <v>0</v>
      </c>
      <c r="I38" s="888">
        <f t="shared" si="11"/>
        <v>0</v>
      </c>
      <c r="J38" s="903">
        <v>0</v>
      </c>
      <c r="K38" s="888">
        <f t="shared" si="12"/>
        <v>0</v>
      </c>
      <c r="L38" s="889">
        <f t="shared" si="13"/>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4"/>
        <v>0</v>
      </c>
    </row>
    <row r="39" spans="2:38" outlineLevel="1" x14ac:dyDescent="0.45">
      <c r="D39">
        <f>'11. Table - Expenditure Review'!E185</f>
        <v>0</v>
      </c>
      <c r="F39" s="889">
        <f t="shared" si="9"/>
        <v>0</v>
      </c>
      <c r="G39" s="889">
        <f t="shared" si="10"/>
        <v>0</v>
      </c>
      <c r="I39" s="888">
        <f t="shared" si="11"/>
        <v>0</v>
      </c>
      <c r="J39" s="903">
        <v>0</v>
      </c>
      <c r="K39" s="888">
        <f t="shared" si="12"/>
        <v>0</v>
      </c>
      <c r="L39" s="889">
        <f t="shared" si="13"/>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4"/>
        <v>0</v>
      </c>
    </row>
    <row r="40" spans="2:38" outlineLevel="1" x14ac:dyDescent="0.45">
      <c r="D40">
        <f>'11. Table - Expenditure Review'!E186</f>
        <v>0</v>
      </c>
      <c r="F40" s="889">
        <f t="shared" si="9"/>
        <v>0</v>
      </c>
      <c r="G40" s="889">
        <f t="shared" si="10"/>
        <v>0</v>
      </c>
      <c r="I40" s="888">
        <f t="shared" si="11"/>
        <v>0</v>
      </c>
      <c r="J40" s="903">
        <v>0</v>
      </c>
      <c r="K40" s="888">
        <f t="shared" si="12"/>
        <v>0</v>
      </c>
      <c r="L40" s="889">
        <f t="shared" si="13"/>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4"/>
        <v>0</v>
      </c>
    </row>
    <row r="41" spans="2:38" x14ac:dyDescent="0.45">
      <c r="B41" t="s">
        <v>59</v>
      </c>
      <c r="D41" t="str">
        <f>'11. Table - Expenditure Review'!E187</f>
        <v>Unallocated Expenses</v>
      </c>
      <c r="F41" s="889">
        <f t="shared" si="9"/>
        <v>0</v>
      </c>
      <c r="G41" s="889">
        <f t="shared" si="10"/>
        <v>0</v>
      </c>
      <c r="I41" s="888">
        <f t="shared" si="11"/>
        <v>0</v>
      </c>
      <c r="J41" s="903">
        <v>0</v>
      </c>
      <c r="K41" s="888">
        <f t="shared" si="12"/>
        <v>0</v>
      </c>
      <c r="L41" s="889">
        <f t="shared" si="13"/>
        <v>0</v>
      </c>
      <c r="N41" s="566">
        <f>SUMIF('10. Inputs &amp; Calcs'!$D$713:$D$718,$E$10,'10. Inputs &amp; Calcs'!F$713:F$718)</f>
        <v>0</v>
      </c>
      <c r="O41" s="566">
        <f>SUMIF('10. Inputs &amp; Calcs'!$D$713:$D$718,$E$10,'10. Inputs &amp; Calcs'!G$713:G$718)</f>
        <v>0</v>
      </c>
      <c r="P41" s="566">
        <f>SUMIF('10. Inputs &amp; Calcs'!$D$713:$D$718,$E$10,'10. Inputs &amp; Calcs'!H$713:H$718)</f>
        <v>0</v>
      </c>
      <c r="Q41" s="533">
        <f>SUMIF('10. Inputs &amp; Calcs'!$D$713:$D$718,$E$10,'10. Inputs &amp; Calcs'!I$713:I$718)</f>
        <v>0</v>
      </c>
      <c r="R41" s="533">
        <f>SUMIF('10. Inputs &amp; Calcs'!$D$713:$D$718,$E$10,'10. Inputs &amp; Calcs'!J$713:J$718)</f>
        <v>0</v>
      </c>
      <c r="S41" s="533">
        <f>SUMIF('10. Inputs &amp; Calcs'!$D$713:$D$718,$E$10,'10. Inputs &amp; Calcs'!K$713:K$718)</f>
        <v>0</v>
      </c>
      <c r="T41" s="533">
        <f>SUMIF('10. Inputs &amp; Calcs'!$D$713:$D$718,$E$10,'10. Inputs &amp; Calcs'!L$713:L$718)</f>
        <v>0</v>
      </c>
      <c r="U41" s="533">
        <f>SUMIF('10. Inputs &amp; Calcs'!$D$713:$D$718,$E$10,'10. Inputs &amp; Calcs'!M$713:M$718)</f>
        <v>0</v>
      </c>
      <c r="V41" s="533">
        <f>SUMIF('10. Inputs &amp; Calcs'!$D$713:$D$718,$E$10,'10. Inputs &amp; Calcs'!N$713:N$718)</f>
        <v>0</v>
      </c>
      <c r="W41" s="533">
        <f>SUMIF('10. Inputs &amp; Calcs'!$D$713:$D$718,$E$10,'10. Inputs &amp; Calcs'!O$713:O$718)</f>
        <v>0</v>
      </c>
      <c r="X41" s="533">
        <f>SUMIF('10. Inputs &amp; Calcs'!$D$713:$D$718,$E$10,'10. Inputs &amp; Calcs'!P$713:P$718)</f>
        <v>0</v>
      </c>
      <c r="Y41" s="533">
        <f>SUMIF('10. Inputs &amp; Calcs'!$D$713:$D$718,$E$10,'10. Inputs &amp; Calcs'!Q$713:Q$718)</f>
        <v>0</v>
      </c>
      <c r="Z41" s="533">
        <f>SUMIF('10. Inputs &amp; Calcs'!$D$713:$D$718,$E$10,'10. Inputs &amp; Calcs'!R$713:R$718)</f>
        <v>0</v>
      </c>
      <c r="AA41" s="533">
        <f>SUMIF('10. Inputs &amp; Calcs'!$D$713:$D$718,$E$10,'10. Inputs &amp; Calcs'!S$713:S$718)</f>
        <v>0</v>
      </c>
      <c r="AB41" s="533">
        <f>SUMIF('10. Inputs &amp; Calcs'!$D$713:$D$718,$E$10,'10. Inputs &amp; Calcs'!T$713:T$718)</f>
        <v>0</v>
      </c>
      <c r="AC41" s="533">
        <f>SUMIF('10. Inputs &amp; Calcs'!$D$713:$D$718,$E$10,'10. Inputs &amp; Calcs'!U$713:U$718)</f>
        <v>0</v>
      </c>
      <c r="AD41" s="533">
        <f>SUMIF('10. Inputs &amp; Calcs'!$D$713:$D$718,$E$10,'10. Inputs &amp; Calcs'!V$713:V$718)</f>
        <v>0</v>
      </c>
      <c r="AE41" s="533">
        <f>SUMIF('10. Inputs &amp; Calcs'!$D$713:$D$718,$E$10,'10. Inputs &amp; Calcs'!W$713:W$718)</f>
        <v>0</v>
      </c>
      <c r="AF41" s="533">
        <f>SUMIF('10. Inputs &amp; Calcs'!$D$713:$D$718,$E$10,'10. Inputs &amp; Calcs'!X$713:X$718)</f>
        <v>0</v>
      </c>
      <c r="AG41" s="533">
        <f>SUMIF('10. Inputs &amp; Calcs'!$D$713:$D$718,$E$10,'10. Inputs &amp; Calcs'!Y$713:Y$718)</f>
        <v>0</v>
      </c>
      <c r="AH41" s="533">
        <f>SUMIF('10. Inputs &amp; Calcs'!$D$713:$D$718,$E$10,'10. Inputs &amp; Calcs'!Z$713:Z$718)</f>
        <v>0</v>
      </c>
      <c r="AI41" s="533">
        <f>SUMIF('10. Inputs &amp; Calcs'!$D$713:$D$718,$E$10,'10. Inputs &amp; Calcs'!AA$713:AA$718)</f>
        <v>0</v>
      </c>
      <c r="AJ41" s="533">
        <f>SUMIF('10. Inputs &amp; Calcs'!$D$713:$D$718,$E$10,'10. Inputs &amp; Calcs'!AB$713:AB$718)</f>
        <v>0</v>
      </c>
      <c r="AK41" s="533">
        <f>SUMIF('10. Inputs &amp; Calcs'!$D$713:$D$718,$E$10,'10. Inputs &amp; Calcs'!AC$713:AC$718)</f>
        <v>0</v>
      </c>
      <c r="AL41" s="533">
        <f t="shared" si="14"/>
        <v>0</v>
      </c>
    </row>
    <row r="42" spans="2:38" x14ac:dyDescent="0.45">
      <c r="D42" t="str">
        <f>'11. Table - Expenditure Review'!E188</f>
        <v>Overheads</v>
      </c>
      <c r="F42" s="889">
        <f t="shared" si="9"/>
        <v>0</v>
      </c>
      <c r="G42" s="889">
        <f t="shared" si="10"/>
        <v>0</v>
      </c>
      <c r="I42" s="888">
        <f t="shared" si="11"/>
        <v>0</v>
      </c>
      <c r="J42" s="903">
        <v>0</v>
      </c>
      <c r="K42" s="888">
        <f t="shared" si="12"/>
        <v>0</v>
      </c>
      <c r="L42" s="889">
        <f t="shared" si="13"/>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4"/>
        <v>0</v>
      </c>
    </row>
    <row r="43" spans="2:38" x14ac:dyDescent="0.45">
      <c r="B43" t="s">
        <v>1077</v>
      </c>
      <c r="D43" t="str">
        <f>'11. Table - Expenditure Review'!E189</f>
        <v>Staff</v>
      </c>
      <c r="F43" s="889">
        <f t="shared" si="9"/>
        <v>0.28118360561767475</v>
      </c>
      <c r="G43" s="889">
        <f t="shared" si="10"/>
        <v>0.32828280028123302</v>
      </c>
      <c r="I43" s="888">
        <f t="shared" si="11"/>
        <v>260027565.45748174</v>
      </c>
      <c r="J43" s="903">
        <v>260027565.45748174</v>
      </c>
      <c r="K43" s="888">
        <f t="shared" si="12"/>
        <v>0</v>
      </c>
      <c r="L43" s="889">
        <f t="shared" si="13"/>
        <v>0</v>
      </c>
      <c r="N43" s="566">
        <f>SUMIF('10. Inputs &amp; Calcs'!$D$733:$D$738,$E$10,'10. Inputs &amp; Calcs'!F$733:F$738)</f>
        <v>12445949.755555555</v>
      </c>
      <c r="O43" s="566">
        <f>SUMIF('10. Inputs &amp; Calcs'!$D$733:$D$738,$E$10,'10. Inputs &amp; Calcs'!G$733:G$738)</f>
        <v>13646936.465555556</v>
      </c>
      <c r="P43" s="566">
        <f>SUMIF('10. Inputs &amp; Calcs'!$D$733:$D$738,$E$10,'10. Inputs &amp; Calcs'!H$733:H$738)</f>
        <v>14834888.786666667</v>
      </c>
      <c r="Q43" s="533">
        <f>SUMIF('10. Inputs &amp; Calcs'!$D$733:$D$738,$E$10,'10. Inputs &amp; Calcs'!I$733:I$738)</f>
        <v>14998690.683686111</v>
      </c>
      <c r="R43" s="533">
        <f>SUMIF('10. Inputs &amp; Calcs'!$D$733:$D$738,$E$10,'10. Inputs &amp; Calcs'!J$733:J$738)</f>
        <v>15135635.250798026</v>
      </c>
      <c r="S43" s="533">
        <f>SUMIF('10. Inputs &amp; Calcs'!$D$733:$D$738,$E$10,'10. Inputs &amp; Calcs'!K$733:K$738)</f>
        <v>15242272.680974104</v>
      </c>
      <c r="T43" s="533">
        <f>SUMIF('10. Inputs &amp; Calcs'!$D$733:$D$738,$E$10,'10. Inputs &amp; Calcs'!L$733:L$738)</f>
        <v>15314854.931835882</v>
      </c>
      <c r="U43" s="533">
        <f>SUMIF('10. Inputs &amp; Calcs'!$D$733:$D$738,$E$10,'10. Inputs &amp; Calcs'!M$733:M$738)</f>
        <v>15349313.355432512</v>
      </c>
      <c r="V43" s="533">
        <f>SUMIF('10. Inputs &amp; Calcs'!$D$733:$D$738,$E$10,'10. Inputs &amp; Calcs'!N$733:N$738)</f>
        <v>15341234.769455969</v>
      </c>
      <c r="W43" s="533">
        <f>SUMIF('10. Inputs &amp; Calcs'!$D$733:$D$738,$E$10,'10. Inputs &amp; Calcs'!O$733:O$738)</f>
        <v>15285835.866121823</v>
      </c>
      <c r="X43" s="533">
        <f>SUMIF('10. Inputs &amp; Calcs'!$D$733:$D$738,$E$10,'10. Inputs &amp; Calcs'!P$733:P$738)</f>
        <v>15177935.848243315</v>
      </c>
      <c r="Y43" s="533">
        <f>SUMIF('10. Inputs &amp; Calcs'!$D$733:$D$738,$E$10,'10. Inputs &amp; Calcs'!Q$733:Q$738)</f>
        <v>15011927.174903153</v>
      </c>
      <c r="Z43" s="533">
        <f>SUMIF('10. Inputs &amp; Calcs'!$D$733:$D$738,$E$10,'10. Inputs &amp; Calcs'!R$733:R$738)</f>
        <v>14781744.291554637</v>
      </c>
      <c r="AA43" s="533">
        <f>SUMIF('10. Inputs &amp; Calcs'!$D$733:$D$738,$E$10,'10. Inputs &amp; Calcs'!S$733:S$738)</f>
        <v>14480830.211333703</v>
      </c>
      <c r="AB43" s="533">
        <f>SUMIF('10. Inputs &amp; Calcs'!$D$733:$D$738,$E$10,'10. Inputs &amp; Calcs'!T$733:T$738)</f>
        <v>14102100.805806512</v>
      </c>
      <c r="AC43" s="533">
        <f>SUMIF('10. Inputs &amp; Calcs'!$D$733:$D$738,$E$10,'10. Inputs &amp; Calcs'!U$733:U$738)</f>
        <v>13637906.654282046</v>
      </c>
      <c r="AD43" s="533">
        <f>SUMIF('10. Inputs &amp; Calcs'!$D$733:$D$738,$E$10,'10. Inputs &amp; Calcs'!V$733:V$738)</f>
        <v>13079992.291152325</v>
      </c>
      <c r="AE43" s="533">
        <f>SUMIF('10. Inputs &amp; Calcs'!$D$733:$D$738,$E$10,'10. Inputs &amp; Calcs'!W$733:W$738)</f>
        <v>12419452.680449132</v>
      </c>
      <c r="AF43" s="533">
        <f>SUMIF('10. Inputs &amp; Calcs'!$D$733:$D$738,$E$10,'10. Inputs &amp; Calcs'!X$733:X$738)</f>
        <v>11646686.735887853</v>
      </c>
      <c r="AG43" s="533">
        <f>SUMIF('10. Inputs &amp; Calcs'!$D$733:$D$738,$E$10,'10. Inputs &amp; Calcs'!Y$733:Y$738)</f>
        <v>10751347.693066474</v>
      </c>
      <c r="AH43" s="533">
        <f>SUMIF('10. Inputs &amp; Calcs'!$D$733:$D$738,$E$10,'10. Inputs &amp; Calcs'!Z$733:Z$738)</f>
        <v>9722290.128158683</v>
      </c>
      <c r="AI43" s="533">
        <f>SUMIF('10. Inputs &amp; Calcs'!$D$733:$D$738,$E$10,'10. Inputs &amp; Calcs'!AA$733:AA$738)</f>
        <v>8547513.4043395072</v>
      </c>
      <c r="AJ43" s="533">
        <f>SUMIF('10. Inputs &amp; Calcs'!$D$733:$D$738,$E$10,'10. Inputs &amp; Calcs'!AB$733:AB$738)</f>
        <v>0</v>
      </c>
      <c r="AK43" s="533">
        <f>SUMIF('10. Inputs &amp; Calcs'!$D$733:$D$738,$E$10,'10. Inputs &amp; Calcs'!AC$733:AC$738)</f>
        <v>0</v>
      </c>
      <c r="AL43" s="533">
        <f t="shared" si="14"/>
        <v>260027565.45748174</v>
      </c>
    </row>
    <row r="44" spans="2:38" x14ac:dyDescent="0.45">
      <c r="D44" t="str">
        <f>'11. Table - Expenditure Review'!E190</f>
        <v>Office</v>
      </c>
      <c r="F44" s="889">
        <f t="shared" si="9"/>
        <v>0</v>
      </c>
      <c r="G44" s="889">
        <f t="shared" si="10"/>
        <v>0</v>
      </c>
      <c r="I44" s="888">
        <f t="shared" si="11"/>
        <v>0</v>
      </c>
      <c r="J44" s="903">
        <v>0</v>
      </c>
      <c r="K44" s="888">
        <f t="shared" si="12"/>
        <v>0</v>
      </c>
      <c r="L44" s="889">
        <f t="shared" si="13"/>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4"/>
        <v>0</v>
      </c>
    </row>
    <row r="45" spans="2:38" x14ac:dyDescent="0.45">
      <c r="D45">
        <f>'11. Table - Expenditure Review'!E191</f>
        <v>0</v>
      </c>
      <c r="F45" s="889">
        <f t="shared" si="9"/>
        <v>0</v>
      </c>
      <c r="G45" s="889">
        <f t="shared" si="10"/>
        <v>0</v>
      </c>
      <c r="I45" s="888">
        <f t="shared" si="11"/>
        <v>0</v>
      </c>
      <c r="J45" s="903">
        <v>0</v>
      </c>
      <c r="K45" s="888">
        <f t="shared" si="12"/>
        <v>0</v>
      </c>
      <c r="L45" s="889">
        <f t="shared" si="13"/>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4"/>
        <v>0</v>
      </c>
    </row>
    <row r="46" spans="2:38" x14ac:dyDescent="0.45">
      <c r="D46" s="794" t="str">
        <f>D133</f>
        <v>Total Expenditure for Rental Operations</v>
      </c>
      <c r="F46" s="886">
        <f t="shared" si="9"/>
        <v>1</v>
      </c>
      <c r="G46" s="886">
        <f t="shared" si="10"/>
        <v>0.97449556941149484</v>
      </c>
      <c r="I46" s="754">
        <f t="shared" si="11"/>
        <v>771882383.86566281</v>
      </c>
      <c r="J46" s="900">
        <v>771882383.86566281</v>
      </c>
      <c r="K46" s="754">
        <f t="shared" si="12"/>
        <v>0</v>
      </c>
      <c r="L46" s="886">
        <f t="shared" si="13"/>
        <v>0</v>
      </c>
      <c r="N46" s="793">
        <f>SUMIF('10. Inputs &amp; Calcs'!$D$742:$D$747,$E$10,'10. Inputs &amp; Calcs'!F$742:F$747)</f>
        <v>55425160.545555554</v>
      </c>
      <c r="O46" s="793">
        <f>SUMIF('10. Inputs &amp; Calcs'!$D$742:$D$747,$E$10,'10. Inputs &amp; Calcs'!G$742:G$747)</f>
        <v>57214905.015555553</v>
      </c>
      <c r="P46" s="793">
        <f>SUMIF('10. Inputs &amp; Calcs'!$D$742:$D$747,$E$10,'10. Inputs &amp; Calcs'!H$742:H$747)</f>
        <v>52758725.936666667</v>
      </c>
      <c r="Q46" s="793">
        <f>SUMIF('10. Inputs &amp; Calcs'!$D$742:$D$747,$E$10,'10. Inputs &amp; Calcs'!I$742:I$747)</f>
        <v>53000770.933355078</v>
      </c>
      <c r="R46" s="793">
        <f>SUMIF('10. Inputs &amp; Calcs'!$D$742:$D$747,$E$10,'10. Inputs &amp; Calcs'!J$742:J$747)</f>
        <v>53109845.733720817</v>
      </c>
      <c r="S46" s="793">
        <f>SUMIF('10. Inputs &amp; Calcs'!$D$742:$D$747,$E$10,'10. Inputs &amp; Calcs'!K$742:K$747)</f>
        <v>53070591.430053376</v>
      </c>
      <c r="T46" s="793">
        <f>SUMIF('10. Inputs &amp; Calcs'!$D$742:$D$747,$E$10,'10. Inputs &amp; Calcs'!L$742:L$747)</f>
        <v>52755426.841756761</v>
      </c>
      <c r="U46" s="793">
        <f>SUMIF('10. Inputs &amp; Calcs'!$D$742:$D$747,$E$10,'10. Inputs &amp; Calcs'!M$742:M$747)</f>
        <v>52245055.609671615</v>
      </c>
      <c r="V46" s="793">
        <f>SUMIF('10. Inputs &amp; Calcs'!$D$742:$D$747,$E$10,'10. Inputs &amp; Calcs'!N$742:N$747)</f>
        <v>51518958.375860788</v>
      </c>
      <c r="W46" s="793">
        <f>SUMIF('10. Inputs &amp; Calcs'!$D$742:$D$747,$E$10,'10. Inputs &amp; Calcs'!O$742:O$747)</f>
        <v>50554949.153111517</v>
      </c>
      <c r="X46" s="793">
        <f>SUMIF('10. Inputs &amp; Calcs'!$D$742:$D$747,$E$10,'10. Inputs &amp; Calcs'!P$742:P$747)</f>
        <v>49329054.066772848</v>
      </c>
      <c r="Y46" s="793">
        <f>SUMIF('10. Inputs &amp; Calcs'!$D$742:$D$747,$E$10,'10. Inputs &amp; Calcs'!Q$742:Q$747)</f>
        <v>47815381.799748756</v>
      </c>
      <c r="Z46" s="793">
        <f>SUMIF('10. Inputs &amp; Calcs'!$D$742:$D$747,$E$10,'10. Inputs &amp; Calcs'!R$742:R$747)</f>
        <v>45985985.194800034</v>
      </c>
      <c r="AA46" s="793">
        <f>SUMIF('10. Inputs &amp; Calcs'!$D$742:$D$747,$E$10,'10. Inputs &amp; Calcs'!S$742:S$747)</f>
        <v>43810713.433362707</v>
      </c>
      <c r="AB46" s="793">
        <f>SUMIF('10. Inputs &amp; Calcs'!$D$742:$D$747,$E$10,'10. Inputs &amp; Calcs'!T$742:T$747)</f>
        <v>41257054.172953002</v>
      </c>
      <c r="AC46" s="793">
        <f>SUMIF('10. Inputs &amp; Calcs'!$D$742:$D$747,$E$10,'10. Inputs &amp; Calcs'!U$742:U$747)</f>
        <v>38289964.98576232</v>
      </c>
      <c r="AD46" s="793">
        <f>SUMIF('10. Inputs &amp; Calcs'!$D$742:$D$747,$E$10,'10. Inputs &amp; Calcs'!V$742:V$747)</f>
        <v>34871693.399107471</v>
      </c>
      <c r="AE46" s="793">
        <f>SUMIF('10. Inputs &amp; Calcs'!$D$742:$D$747,$E$10,'10. Inputs &amp; Calcs'!W$742:W$747)</f>
        <v>30961584.793838661</v>
      </c>
      <c r="AF46" s="793">
        <f>SUMIF('10. Inputs &amp; Calcs'!$D$742:$D$747,$E$10,'10. Inputs &amp; Calcs'!X$742:X$747)</f>
        <v>26515877.369457982</v>
      </c>
      <c r="AG46" s="793">
        <f>SUMIF('10. Inputs &amp; Calcs'!$D$742:$D$747,$E$10,'10. Inputs &amp; Calcs'!Y$742:Y$747)</f>
        <v>21487483.334394068</v>
      </c>
      <c r="AH46" s="793">
        <f>SUMIF('10. Inputs &amp; Calcs'!$D$742:$D$747,$E$10,'10. Inputs &amp; Calcs'!Z$742:Z$747)</f>
        <v>15825755.426430516</v>
      </c>
      <c r="AI46" s="793">
        <f>SUMIF('10. Inputs &amp; Calcs'!$D$742:$D$747,$E$10,'10. Inputs &amp; Calcs'!AA$742:AA$747)</f>
        <v>9476237.8115044273</v>
      </c>
      <c r="AJ46" s="793">
        <f>SUMIF('10. Inputs &amp; Calcs'!$D$742:$D$747,$E$10,'10. Inputs &amp; Calcs'!AB$742:AB$747)</f>
        <v>0</v>
      </c>
      <c r="AK46" s="793">
        <f>SUMIF('10. Inputs &amp; Calcs'!$D$742:$D$747,$E$10,'10. Inputs &amp; Calcs'!AC$742:AC$747)</f>
        <v>0</v>
      </c>
      <c r="AL46" s="793">
        <f t="shared" si="14"/>
        <v>771882383.86566281</v>
      </c>
    </row>
    <row r="47" spans="2:38" x14ac:dyDescent="0.45">
      <c r="D47" t="str">
        <f>'11. Table - Expenditure Review'!E193</f>
        <v>Total Expenditure</v>
      </c>
      <c r="F47" s="884">
        <f t="shared" si="9"/>
        <v>1</v>
      </c>
      <c r="G47" s="884">
        <f t="shared" si="10"/>
        <v>1</v>
      </c>
      <c r="I47" s="535">
        <f t="shared" si="11"/>
        <v>792084036.18685341</v>
      </c>
      <c r="J47" s="901">
        <v>792084036.18685341</v>
      </c>
      <c r="K47" s="535">
        <f t="shared" si="12"/>
        <v>0</v>
      </c>
      <c r="L47" s="884">
        <f t="shared" si="13"/>
        <v>0</v>
      </c>
      <c r="N47" s="567">
        <f>N46+N36</f>
        <v>55425160.545555554</v>
      </c>
      <c r="O47" s="567">
        <f t="shared" ref="O47:AL47" si="15">O46+O36</f>
        <v>57214905.015555553</v>
      </c>
      <c r="P47" s="567">
        <f t="shared" si="15"/>
        <v>52758725.936666667</v>
      </c>
      <c r="Q47" s="535">
        <f t="shared" si="15"/>
        <v>53595770.933355078</v>
      </c>
      <c r="R47" s="535">
        <f>R46+R36</f>
        <v>53737570.733720817</v>
      </c>
      <c r="S47" s="535">
        <f t="shared" si="15"/>
        <v>53732841.305053376</v>
      </c>
      <c r="T47" s="535">
        <f t="shared" si="15"/>
        <v>53486979.218381763</v>
      </c>
      <c r="U47" s="535">
        <f t="shared" si="15"/>
        <v>53016843.367010988</v>
      </c>
      <c r="V47" s="535">
        <f t="shared" si="15"/>
        <v>52333194.459853828</v>
      </c>
      <c r="W47" s="535">
        <f t="shared" si="15"/>
        <v>51413968.221724175</v>
      </c>
      <c r="X47" s="535">
        <f t="shared" si="15"/>
        <v>50235319.184159204</v>
      </c>
      <c r="Y47" s="535">
        <f t="shared" si="15"/>
        <v>48771491.498591356</v>
      </c>
      <c r="Z47" s="535">
        <f t="shared" si="15"/>
        <v>46994680.927078977</v>
      </c>
      <c r="AA47" s="535">
        <f t="shared" si="15"/>
        <v>44874887.430916995</v>
      </c>
      <c r="AB47" s="535">
        <f t="shared" si="15"/>
        <v>42379757.740372777</v>
      </c>
      <c r="AC47" s="535">
        <f t="shared" si="15"/>
        <v>39474417.249390185</v>
      </c>
      <c r="AD47" s="535">
        <f t="shared" si="15"/>
        <v>36121290.537234865</v>
      </c>
      <c r="AE47" s="535">
        <f t="shared" si="15"/>
        <v>32279909.774563063</v>
      </c>
      <c r="AF47" s="535">
        <f t="shared" si="15"/>
        <v>27906710.224122226</v>
      </c>
      <c r="AG47" s="535">
        <f t="shared" si="15"/>
        <v>22954811.996064842</v>
      </c>
      <c r="AH47" s="535">
        <f t="shared" si="15"/>
        <v>17373787.164493185</v>
      </c>
      <c r="AI47" s="535">
        <f t="shared" si="15"/>
        <v>11109411.295160543</v>
      </c>
      <c r="AJ47" s="535">
        <f t="shared" si="15"/>
        <v>290392.92560514633</v>
      </c>
      <c r="AK47" s="535">
        <f t="shared" si="15"/>
        <v>0</v>
      </c>
      <c r="AL47" s="535">
        <f t="shared" si="15"/>
        <v>792084036.18685341</v>
      </c>
    </row>
    <row r="48" spans="2:38" ht="14.65" thickBot="1" x14ac:dyDescent="0.5">
      <c r="D48" t="str">
        <f>'11. Table - Expenditure Review'!E194</f>
        <v>Net Surplus / (Deficit)</v>
      </c>
      <c r="I48" s="554">
        <f t="shared" ca="1" si="11"/>
        <v>-783466740.81480575</v>
      </c>
      <c r="J48" s="904">
        <v>-783466740.81480575</v>
      </c>
      <c r="K48" s="554">
        <f t="shared" ca="1" si="12"/>
        <v>0</v>
      </c>
      <c r="L48" s="887">
        <f t="shared" ca="1" si="13"/>
        <v>0</v>
      </c>
      <c r="N48" s="568">
        <f t="shared" ref="N48:AL48" si="16">N28-N47</f>
        <v>-55014202.235555552</v>
      </c>
      <c r="O48" s="568">
        <f t="shared" si="16"/>
        <v>-57063143.525555551</v>
      </c>
      <c r="P48" s="568">
        <f t="shared" si="16"/>
        <v>-51881797.88666667</v>
      </c>
      <c r="Q48" s="554">
        <f t="shared" ca="1" si="16"/>
        <v>-53129566.887620203</v>
      </c>
      <c r="R48" s="554">
        <f t="shared" ca="1" si="16"/>
        <v>-53274822.587779328</v>
      </c>
      <c r="S48" s="554">
        <f t="shared" ca="1" si="16"/>
        <v>-53273549.058905281</v>
      </c>
      <c r="T48" s="554">
        <f t="shared" ca="1" si="16"/>
        <v>-53012444.989874825</v>
      </c>
      <c r="U48" s="554">
        <f t="shared" ca="1" si="16"/>
        <v>-52545927.668875955</v>
      </c>
      <c r="V48" s="554">
        <f t="shared" ca="1" si="16"/>
        <v>-51865897.292090692</v>
      </c>
      <c r="W48" s="554">
        <f t="shared" ca="1" si="16"/>
        <v>-50950289.584332943</v>
      </c>
      <c r="X48" s="554">
        <f t="shared" ca="1" si="16"/>
        <v>-49775259.077139869</v>
      </c>
      <c r="Y48" s="554">
        <f t="shared" ca="1" si="16"/>
        <v>-48315049.921943925</v>
      </c>
      <c r="Z48" s="554">
        <f t="shared" ca="1" si="16"/>
        <v>-46541857.880803443</v>
      </c>
      <c r="AA48" s="554">
        <f t="shared" ca="1" si="16"/>
        <v>-44425682.915013365</v>
      </c>
      <c r="AB48" s="554">
        <f t="shared" ca="1" si="16"/>
        <v>-41934171.754841045</v>
      </c>
      <c r="AC48" s="554">
        <f t="shared" ca="1" si="16"/>
        <v>-39032449.794230357</v>
      </c>
      <c r="AD48" s="554">
        <f t="shared" ca="1" si="16"/>
        <v>-35682941.612446934</v>
      </c>
      <c r="AE48" s="554">
        <f t="shared" ca="1" si="16"/>
        <v>-31845179.380147036</v>
      </c>
      <c r="AF48" s="554">
        <f t="shared" ca="1" si="16"/>
        <v>-27475598.3600781</v>
      </c>
      <c r="AG48" s="554">
        <f t="shared" ca="1" si="16"/>
        <v>-22527318.662392616</v>
      </c>
      <c r="AH48" s="554">
        <f t="shared" ca="1" si="16"/>
        <v>-16949912.36119286</v>
      </c>
      <c r="AI48" s="554">
        <f t="shared" ca="1" si="16"/>
        <v>-10689155.022232119</v>
      </c>
      <c r="AJ48" s="554">
        <f t="shared" ca="1" si="16"/>
        <v>-219666.00286486489</v>
      </c>
      <c r="AK48" s="554">
        <f t="shared" ca="1" si="16"/>
        <v>0</v>
      </c>
      <c r="AL48" s="768">
        <f t="shared" ca="1" si="16"/>
        <v>-783466740.81480575</v>
      </c>
    </row>
    <row r="49" spans="4:38" ht="14.65" thickTop="1" x14ac:dyDescent="0.45"/>
    <row r="50" spans="4:38" x14ac:dyDescent="0.45">
      <c r="D50" s="451" t="s">
        <v>1327</v>
      </c>
    </row>
    <row r="51" spans="4:38" x14ac:dyDescent="0.45">
      <c r="D51" t="s">
        <v>1326</v>
      </c>
      <c r="I51" s="753">
        <f ca="1">AL51</f>
        <v>-783466740.81480563</v>
      </c>
      <c r="J51" s="899">
        <v>-783466740.81480563</v>
      </c>
      <c r="K51" s="753">
        <f ca="1">I51-J51</f>
        <v>0</v>
      </c>
      <c r="L51" s="885">
        <f ca="1">IF(J51&lt;&gt;0,K51/J51,0)</f>
        <v>0</v>
      </c>
      <c r="N51" s="566">
        <f>IF(N48&gt;0,0,N48)</f>
        <v>-55014202.235555552</v>
      </c>
      <c r="O51" s="566">
        <f t="shared" ref="O51:AK51" si="17">IF(O48&gt;0,0,O48)</f>
        <v>-57063143.525555551</v>
      </c>
      <c r="P51" s="566">
        <f t="shared" si="17"/>
        <v>-51881797.88666667</v>
      </c>
      <c r="Q51" s="566">
        <f t="shared" ca="1" si="17"/>
        <v>-53129566.887620203</v>
      </c>
      <c r="R51" s="566">
        <f t="shared" ca="1" si="17"/>
        <v>-53274822.587779328</v>
      </c>
      <c r="S51" s="566">
        <f t="shared" ca="1" si="17"/>
        <v>-53273549.058905281</v>
      </c>
      <c r="T51" s="566">
        <f t="shared" ca="1" si="17"/>
        <v>-53012444.989874825</v>
      </c>
      <c r="U51" s="566">
        <f t="shared" ca="1" si="17"/>
        <v>-52545927.668875955</v>
      </c>
      <c r="V51" s="566">
        <f t="shared" ca="1" si="17"/>
        <v>-51865897.292090692</v>
      </c>
      <c r="W51" s="566">
        <f t="shared" ca="1" si="17"/>
        <v>-50950289.584332943</v>
      </c>
      <c r="X51" s="566">
        <f t="shared" ca="1" si="17"/>
        <v>-49775259.077139869</v>
      </c>
      <c r="Y51" s="566">
        <f t="shared" ca="1" si="17"/>
        <v>-48315049.921943925</v>
      </c>
      <c r="Z51" s="566">
        <f t="shared" ca="1" si="17"/>
        <v>-46541857.880803443</v>
      </c>
      <c r="AA51" s="566">
        <f t="shared" ca="1" si="17"/>
        <v>-44425682.915013365</v>
      </c>
      <c r="AB51" s="566">
        <f t="shared" ca="1" si="17"/>
        <v>-41934171.754841045</v>
      </c>
      <c r="AC51" s="566">
        <f t="shared" ca="1" si="17"/>
        <v>-39032449.794230357</v>
      </c>
      <c r="AD51" s="566">
        <f t="shared" ca="1" si="17"/>
        <v>-35682941.612446934</v>
      </c>
      <c r="AE51" s="566">
        <f t="shared" ca="1" si="17"/>
        <v>-31845179.380147036</v>
      </c>
      <c r="AF51" s="566">
        <f t="shared" ca="1" si="17"/>
        <v>-27475598.3600781</v>
      </c>
      <c r="AG51" s="566">
        <f t="shared" ca="1" si="17"/>
        <v>-22527318.662392616</v>
      </c>
      <c r="AH51" s="566">
        <f t="shared" ca="1" si="17"/>
        <v>-16949912.36119286</v>
      </c>
      <c r="AI51" s="566">
        <f t="shared" ca="1" si="17"/>
        <v>-10689155.022232119</v>
      </c>
      <c r="AJ51" s="566">
        <f t="shared" ca="1" si="17"/>
        <v>-219666.00286486489</v>
      </c>
      <c r="AK51" s="566">
        <f t="shared" ca="1" si="17"/>
        <v>0</v>
      </c>
      <c r="AL51" s="566">
        <f ca="1">SUM(Q51:AK51)</f>
        <v>-783466740.81480563</v>
      </c>
    </row>
    <row r="52" spans="4:38" x14ac:dyDescent="0.45">
      <c r="D52" t="s">
        <v>1562</v>
      </c>
      <c r="I52" s="888">
        <f>AL52</f>
        <v>0</v>
      </c>
      <c r="J52" s="903">
        <v>0</v>
      </c>
      <c r="K52" s="888">
        <f>I52-J52</f>
        <v>0</v>
      </c>
      <c r="L52" s="889">
        <f>IF(J52&lt;&gt;0,K52/J52,0)</f>
        <v>0</v>
      </c>
      <c r="N52" s="533">
        <f t="shared" ref="N52:AK53" si="18">-N66</f>
        <v>0</v>
      </c>
      <c r="O52" s="533">
        <f t="shared" si="18"/>
        <v>0</v>
      </c>
      <c r="P52" s="533">
        <f t="shared" si="18"/>
        <v>0</v>
      </c>
      <c r="Q52" s="533">
        <f t="shared" si="18"/>
        <v>0</v>
      </c>
      <c r="R52" s="533">
        <f t="shared" si="18"/>
        <v>0</v>
      </c>
      <c r="S52" s="533">
        <f t="shared" si="18"/>
        <v>0</v>
      </c>
      <c r="T52" s="533">
        <f t="shared" si="18"/>
        <v>0</v>
      </c>
      <c r="U52" s="533">
        <f t="shared" si="18"/>
        <v>0</v>
      </c>
      <c r="V52" s="533">
        <f t="shared" si="18"/>
        <v>0</v>
      </c>
      <c r="W52" s="533">
        <f t="shared" si="18"/>
        <v>0</v>
      </c>
      <c r="X52" s="533">
        <f t="shared" si="18"/>
        <v>0</v>
      </c>
      <c r="Y52" s="533">
        <f t="shared" si="18"/>
        <v>0</v>
      </c>
      <c r="Z52" s="533">
        <f t="shared" si="18"/>
        <v>0</v>
      </c>
      <c r="AA52" s="533">
        <f t="shared" si="18"/>
        <v>0</v>
      </c>
      <c r="AB52" s="533">
        <f t="shared" si="18"/>
        <v>0</v>
      </c>
      <c r="AC52" s="533">
        <f t="shared" si="18"/>
        <v>0</v>
      </c>
      <c r="AD52" s="533">
        <f t="shared" si="18"/>
        <v>0</v>
      </c>
      <c r="AE52" s="533">
        <f t="shared" si="18"/>
        <v>0</v>
      </c>
      <c r="AF52" s="533">
        <f t="shared" si="18"/>
        <v>0</v>
      </c>
      <c r="AG52" s="533">
        <f t="shared" si="18"/>
        <v>0</v>
      </c>
      <c r="AH52" s="533">
        <f t="shared" si="18"/>
        <v>0</v>
      </c>
      <c r="AI52" s="533">
        <f t="shared" si="18"/>
        <v>0</v>
      </c>
      <c r="AJ52" s="533">
        <f t="shared" si="18"/>
        <v>0</v>
      </c>
      <c r="AK52" s="533">
        <f t="shared" si="18"/>
        <v>0</v>
      </c>
      <c r="AL52" s="533">
        <f>SUM(Q52:AK52)</f>
        <v>0</v>
      </c>
    </row>
    <row r="53" spans="4:38" x14ac:dyDescent="0.45">
      <c r="D53" t="s">
        <v>1537</v>
      </c>
      <c r="I53" s="754">
        <f ca="1">AL53</f>
        <v>-358136910.7846632</v>
      </c>
      <c r="J53" s="1097">
        <v>-358136910.7846632</v>
      </c>
      <c r="K53" s="754">
        <f ca="1">I53-J53</f>
        <v>0</v>
      </c>
      <c r="L53" s="886">
        <f ca="1">IF(J53&lt;&gt;0,K53/J53,0)</f>
        <v>0</v>
      </c>
      <c r="N53" s="533">
        <f t="shared" si="18"/>
        <v>-1522381</v>
      </c>
      <c r="O53" s="533">
        <f t="shared" si="18"/>
        <v>-2645202</v>
      </c>
      <c r="P53" s="533">
        <f t="shared" si="18"/>
        <v>-1475617</v>
      </c>
      <c r="Q53" s="533">
        <f t="shared" ca="1" si="18"/>
        <v>-1520513.3739093961</v>
      </c>
      <c r="R53" s="533">
        <f t="shared" ca="1" si="18"/>
        <v>-1520513.3739093961</v>
      </c>
      <c r="S53" s="533">
        <f t="shared" ca="1" si="18"/>
        <v>-1520513.3739093961</v>
      </c>
      <c r="T53" s="533">
        <f t="shared" ca="1" si="18"/>
        <v>-1592066.9444463088</v>
      </c>
      <c r="U53" s="533">
        <f t="shared" ca="1" si="18"/>
        <v>-1592066.9444463088</v>
      </c>
      <c r="V53" s="533">
        <f t="shared" ca="1" si="18"/>
        <v>-1592066.9444463088</v>
      </c>
      <c r="W53" s="533">
        <f t="shared" ca="1" si="18"/>
        <v>-1592066.9444463088</v>
      </c>
      <c r="X53" s="533">
        <f t="shared" ca="1" si="18"/>
        <v>-1592066.9444463088</v>
      </c>
      <c r="Y53" s="533">
        <f t="shared" ca="1" si="18"/>
        <v>-1592066.9444463088</v>
      </c>
      <c r="Z53" s="533">
        <f t="shared" ca="1" si="18"/>
        <v>-1592066.9444463088</v>
      </c>
      <c r="AA53" s="533">
        <f t="shared" ca="1" si="18"/>
        <v>-1592066.9444463088</v>
      </c>
      <c r="AB53" s="533">
        <f t="shared" ca="1" si="18"/>
        <v>-1592066.9444463088</v>
      </c>
      <c r="AC53" s="533">
        <f t="shared" ca="1" si="18"/>
        <v>-1592066.9444463088</v>
      </c>
      <c r="AD53" s="533">
        <f t="shared" ca="1" si="18"/>
        <v>-1592066.9444463088</v>
      </c>
      <c r="AE53" s="533">
        <f t="shared" ca="1" si="18"/>
        <v>-1592066.9444463088</v>
      </c>
      <c r="AF53" s="533">
        <f t="shared" ca="1" si="18"/>
        <v>-1592066.9444463088</v>
      </c>
      <c r="AG53" s="533">
        <f t="shared" ca="1" si="18"/>
        <v>-1592066.9444463088</v>
      </c>
      <c r="AH53" s="533">
        <f t="shared" ca="1" si="18"/>
        <v>-1592066.9444463088</v>
      </c>
      <c r="AI53" s="533">
        <f t="shared" ca="1" si="18"/>
        <v>-1592066.9444463088</v>
      </c>
      <c r="AJ53" s="533">
        <f t="shared" ca="1" si="18"/>
        <v>-328102299.55179405</v>
      </c>
      <c r="AK53" s="533">
        <f t="shared" ca="1" si="18"/>
        <v>0</v>
      </c>
      <c r="AL53" s="533">
        <f ca="1">SUM(Q53:AK53)</f>
        <v>-358136910.7846632</v>
      </c>
    </row>
    <row r="54" spans="4:38" ht="14.65" thickBot="1" x14ac:dyDescent="0.5">
      <c r="D54" t="s">
        <v>1331</v>
      </c>
      <c r="I54" s="554">
        <f ca="1">AL54</f>
        <v>-1141603651.5994687</v>
      </c>
      <c r="J54" s="904">
        <f>SUM(J51:J53)</f>
        <v>-1141603651.5994687</v>
      </c>
      <c r="K54" s="554">
        <f ca="1">I54-J54</f>
        <v>0</v>
      </c>
      <c r="L54" s="887">
        <f ca="1">IF(J54&lt;&gt;0,K54/J54,0)</f>
        <v>0</v>
      </c>
      <c r="N54" s="535">
        <f>SUM(N51:N53)</f>
        <v>-56536583.235555552</v>
      </c>
      <c r="O54" s="535">
        <f t="shared" ref="O54:AL54" si="19">SUM(O51:O53)</f>
        <v>-59708345.525555551</v>
      </c>
      <c r="P54" s="535">
        <f t="shared" si="19"/>
        <v>-53357414.88666667</v>
      </c>
      <c r="Q54" s="535">
        <f t="shared" ca="1" si="19"/>
        <v>-54650080.261529602</v>
      </c>
      <c r="R54" s="535">
        <f t="shared" ca="1" si="19"/>
        <v>-54795335.961688727</v>
      </c>
      <c r="S54" s="535">
        <f t="shared" ca="1" si="19"/>
        <v>-54794062.43281468</v>
      </c>
      <c r="T54" s="535">
        <f t="shared" ca="1" si="19"/>
        <v>-54604511.934321135</v>
      </c>
      <c r="U54" s="535">
        <f t="shared" ca="1" si="19"/>
        <v>-54137994.613322265</v>
      </c>
      <c r="V54" s="535">
        <f t="shared" ca="1" si="19"/>
        <v>-53457964.236537002</v>
      </c>
      <c r="W54" s="535">
        <f t="shared" ca="1" si="19"/>
        <v>-52542356.528779253</v>
      </c>
      <c r="X54" s="535">
        <f t="shared" ca="1" si="19"/>
        <v>-51367326.02158618</v>
      </c>
      <c r="Y54" s="535">
        <f t="shared" ca="1" si="19"/>
        <v>-49907116.866390236</v>
      </c>
      <c r="Z54" s="535">
        <f t="shared" ca="1" si="19"/>
        <v>-48133924.825249754</v>
      </c>
      <c r="AA54" s="535">
        <f t="shared" ca="1" si="19"/>
        <v>-46017749.859459676</v>
      </c>
      <c r="AB54" s="535">
        <f t="shared" ca="1" si="19"/>
        <v>-43526238.699287355</v>
      </c>
      <c r="AC54" s="535">
        <f t="shared" ca="1" si="19"/>
        <v>-40624516.738676667</v>
      </c>
      <c r="AD54" s="535">
        <f t="shared" ca="1" si="19"/>
        <v>-37275008.556893244</v>
      </c>
      <c r="AE54" s="535">
        <f t="shared" ca="1" si="19"/>
        <v>-33437246.324593347</v>
      </c>
      <c r="AF54" s="535">
        <f t="shared" ca="1" si="19"/>
        <v>-29067665.304524411</v>
      </c>
      <c r="AG54" s="535">
        <f t="shared" ca="1" si="19"/>
        <v>-24119385.606838927</v>
      </c>
      <c r="AH54" s="535">
        <f t="shared" ca="1" si="19"/>
        <v>-18541979.30563917</v>
      </c>
      <c r="AI54" s="535">
        <f t="shared" ca="1" si="19"/>
        <v>-12281221.966678428</v>
      </c>
      <c r="AJ54" s="535">
        <f t="shared" ca="1" si="19"/>
        <v>-328321965.55465889</v>
      </c>
      <c r="AK54" s="535">
        <f t="shared" ca="1" si="19"/>
        <v>0</v>
      </c>
      <c r="AL54" s="535">
        <f t="shared" ca="1" si="19"/>
        <v>-1141603651.5994687</v>
      </c>
    </row>
    <row r="55" spans="4:38"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38"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38" x14ac:dyDescent="0.45">
      <c r="D57" t="s">
        <v>1038</v>
      </c>
      <c r="I57" s="748">
        <f ca="1">SUM(S57:W57)</f>
        <v>-261648108.5940797</v>
      </c>
      <c r="J57" s="899">
        <v>-261648108.5940797</v>
      </c>
      <c r="K57" s="753">
        <f ca="1">I57-J57</f>
        <v>0</v>
      </c>
      <c r="N57" s="552"/>
      <c r="O57" s="552"/>
      <c r="P57" s="552"/>
      <c r="Q57" s="552"/>
      <c r="R57" s="552"/>
      <c r="S57" s="552">
        <f ca="1">S51</f>
        <v>-53273549.058905281</v>
      </c>
      <c r="T57" s="552">
        <f ca="1">T51</f>
        <v>-53012444.989874825</v>
      </c>
      <c r="U57" s="552">
        <f ca="1">U51</f>
        <v>-52545927.668875955</v>
      </c>
      <c r="V57" s="552">
        <f ca="1">V51</f>
        <v>-51865897.292090692</v>
      </c>
      <c r="W57" s="552">
        <f ca="1">W51</f>
        <v>-50950289.584332943</v>
      </c>
      <c r="X57" s="552"/>
      <c r="Y57" s="552"/>
      <c r="Z57" s="552"/>
      <c r="AA57" s="552"/>
      <c r="AB57" s="552"/>
      <c r="AC57" s="552"/>
      <c r="AD57" s="552"/>
      <c r="AE57" s="552"/>
      <c r="AF57" s="552"/>
      <c r="AG57" s="552"/>
      <c r="AH57" s="552"/>
      <c r="AI57" s="552"/>
      <c r="AJ57" s="552"/>
      <c r="AK57" s="552"/>
      <c r="AL57" s="533">
        <f ca="1">SUM(Q57:AK57)</f>
        <v>-261648108.5940797</v>
      </c>
    </row>
    <row r="58" spans="4:38" x14ac:dyDescent="0.45">
      <c r="D58" t="s">
        <v>233</v>
      </c>
      <c r="I58" s="750">
        <f ca="1">SUM(S58:W58)</f>
        <v>-7888781.1516946303</v>
      </c>
      <c r="J58" s="1097">
        <v>-7888781.1516946303</v>
      </c>
      <c r="K58" s="754">
        <f ca="1">I58-J58</f>
        <v>0</v>
      </c>
      <c r="N58" s="552"/>
      <c r="O58" s="552"/>
      <c r="P58" s="552"/>
      <c r="Q58" s="552"/>
      <c r="R58" s="552"/>
      <c r="S58" s="552">
        <f ca="1">S53</f>
        <v>-1520513.3739093961</v>
      </c>
      <c r="T58" s="552">
        <f ca="1">T53</f>
        <v>-1592066.9444463088</v>
      </c>
      <c r="U58" s="552">
        <f ca="1">U53</f>
        <v>-1592066.9444463088</v>
      </c>
      <c r="V58" s="552">
        <f ca="1">V53</f>
        <v>-1592066.9444463088</v>
      </c>
      <c r="W58" s="552">
        <f ca="1">W53</f>
        <v>-1592066.9444463088</v>
      </c>
      <c r="X58" s="552"/>
      <c r="Y58" s="552"/>
      <c r="Z58" s="552"/>
      <c r="AA58" s="552"/>
      <c r="AB58" s="552"/>
      <c r="AC58" s="552"/>
      <c r="AD58" s="552"/>
      <c r="AE58" s="552"/>
      <c r="AF58" s="552"/>
      <c r="AG58" s="552"/>
      <c r="AH58" s="552"/>
      <c r="AI58" s="552"/>
      <c r="AJ58" s="552"/>
      <c r="AK58" s="552"/>
      <c r="AL58" s="533">
        <f ca="1">SUM(Q58:AK58)</f>
        <v>-7888781.1516946303</v>
      </c>
    </row>
    <row r="59" spans="4:38" ht="14.65" thickBot="1" x14ac:dyDescent="0.5">
      <c r="I59" s="554">
        <f ca="1">SUM(S59:W59)</f>
        <v>-269536889.74577433</v>
      </c>
      <c r="J59" s="904">
        <f>SUM(J57:J58)</f>
        <v>-269536889.74577433</v>
      </c>
      <c r="K59" s="554">
        <f ca="1">I59-J59</f>
        <v>0</v>
      </c>
      <c r="N59" s="552"/>
      <c r="O59" s="552"/>
      <c r="P59" s="552"/>
      <c r="Q59" s="552"/>
      <c r="R59" s="552"/>
      <c r="S59" s="535">
        <f ca="1">SUM(S57:S58)</f>
        <v>-54794062.43281468</v>
      </c>
      <c r="T59" s="535">
        <f ca="1">SUM(T57:T58)</f>
        <v>-54604511.934321135</v>
      </c>
      <c r="U59" s="535">
        <f ca="1">SUM(U57:U58)</f>
        <v>-54137994.613322265</v>
      </c>
      <c r="V59" s="535">
        <f ca="1">SUM(V57:V58)</f>
        <v>-53457964.236537002</v>
      </c>
      <c r="W59" s="535">
        <f ca="1">SUM(W57:W58)</f>
        <v>-52542356.528779253</v>
      </c>
      <c r="X59" s="552"/>
      <c r="Y59" s="552"/>
      <c r="Z59" s="552"/>
      <c r="AA59" s="552"/>
      <c r="AB59" s="552"/>
      <c r="AC59" s="552"/>
      <c r="AD59" s="552"/>
      <c r="AE59" s="552"/>
      <c r="AF59" s="552"/>
      <c r="AG59" s="552"/>
      <c r="AH59" s="552"/>
      <c r="AI59" s="552"/>
      <c r="AJ59" s="552"/>
      <c r="AK59" s="552"/>
      <c r="AL59" s="535">
        <f ca="1">SUM(Q59:AK59)</f>
        <v>-269536889.74577433</v>
      </c>
    </row>
    <row r="60" spans="4:38"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38"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38" x14ac:dyDescent="0.45">
      <c r="D62" t="s">
        <v>1319</v>
      </c>
      <c r="N62" s="533">
        <f t="shared" ref="N62:AK62" si="20">-N20</f>
        <v>11237609.110000001</v>
      </c>
      <c r="O62" s="533">
        <f t="shared" si="20"/>
        <v>12996280.979999997</v>
      </c>
      <c r="P62" s="533">
        <f t="shared" si="20"/>
        <v>8491641.160000002</v>
      </c>
      <c r="Q62" s="533">
        <f t="shared" si="20"/>
        <v>12560092.132980509</v>
      </c>
      <c r="R62" s="533">
        <f t="shared" si="20"/>
        <v>12560092.132980509</v>
      </c>
      <c r="S62" s="533">
        <f t="shared" si="20"/>
        <v>12560092.132980509</v>
      </c>
      <c r="T62" s="533">
        <f t="shared" si="20"/>
        <v>13151155.292179594</v>
      </c>
      <c r="U62" s="533">
        <f t="shared" si="20"/>
        <v>13151155.292179594</v>
      </c>
      <c r="V62" s="533">
        <f t="shared" si="20"/>
        <v>13151155.292179594</v>
      </c>
      <c r="W62" s="533">
        <f t="shared" si="20"/>
        <v>13151155.292179594</v>
      </c>
      <c r="X62" s="533">
        <f t="shared" si="20"/>
        <v>13151155.292179594</v>
      </c>
      <c r="Y62" s="533">
        <f t="shared" si="20"/>
        <v>13151155.292179594</v>
      </c>
      <c r="Z62" s="533">
        <f t="shared" si="20"/>
        <v>13151155.292179594</v>
      </c>
      <c r="AA62" s="533">
        <f t="shared" si="20"/>
        <v>13151155.292179594</v>
      </c>
      <c r="AB62" s="533">
        <f t="shared" si="20"/>
        <v>13151155.292179594</v>
      </c>
      <c r="AC62" s="533">
        <f t="shared" si="20"/>
        <v>13151155.292179594</v>
      </c>
      <c r="AD62" s="533">
        <f t="shared" si="20"/>
        <v>13151155.292179594</v>
      </c>
      <c r="AE62" s="533">
        <f t="shared" si="20"/>
        <v>13151155.292179594</v>
      </c>
      <c r="AF62" s="533">
        <f t="shared" si="20"/>
        <v>13151155.292179594</v>
      </c>
      <c r="AG62" s="533">
        <f t="shared" si="20"/>
        <v>13151155.292179594</v>
      </c>
      <c r="AH62" s="533">
        <f t="shared" si="20"/>
        <v>13151155.292179594</v>
      </c>
      <c r="AI62" s="533">
        <f t="shared" si="20"/>
        <v>13151155.292179594</v>
      </c>
      <c r="AJ62" s="533">
        <f t="shared" si="20"/>
        <v>2216486.8469965602</v>
      </c>
      <c r="AK62" s="533">
        <f t="shared" si="20"/>
        <v>0</v>
      </c>
      <c r="AL62" s="533">
        <f>SUM(Q62:AK62)</f>
        <v>250315247.9208115</v>
      </c>
    </row>
    <row r="63" spans="4:38" x14ac:dyDescent="0.45">
      <c r="D63" t="s">
        <v>1320</v>
      </c>
      <c r="N63" s="533">
        <f t="shared" ref="N63:AK63" si="21">-N24</f>
        <v>1799180.42</v>
      </c>
      <c r="O63" s="533">
        <f t="shared" si="21"/>
        <v>1871960.6200000003</v>
      </c>
      <c r="P63" s="533">
        <f t="shared" si="21"/>
        <v>1748113.6300000001</v>
      </c>
      <c r="Q63" s="533">
        <f t="shared" si="21"/>
        <v>1660398.365212515</v>
      </c>
      <c r="R63" s="533">
        <f t="shared" si="21"/>
        <v>1572683.1004250296</v>
      </c>
      <c r="S63" s="533">
        <f t="shared" si="21"/>
        <v>1484967.8356375447</v>
      </c>
      <c r="T63" s="533">
        <f t="shared" si="21"/>
        <v>1393124.7936835894</v>
      </c>
      <c r="U63" s="533">
        <f t="shared" si="21"/>
        <v>1301281.7517296344</v>
      </c>
      <c r="V63" s="533">
        <f t="shared" si="21"/>
        <v>1209438.7097756793</v>
      </c>
      <c r="W63" s="533">
        <f t="shared" si="21"/>
        <v>1117595.6678217242</v>
      </c>
      <c r="X63" s="533">
        <f t="shared" si="21"/>
        <v>1025752.625867769</v>
      </c>
      <c r="Y63" s="533">
        <f t="shared" si="21"/>
        <v>933909.58391381381</v>
      </c>
      <c r="Z63" s="533">
        <f t="shared" si="21"/>
        <v>842066.54195985862</v>
      </c>
      <c r="AA63" s="533">
        <f t="shared" si="21"/>
        <v>750223.50000590342</v>
      </c>
      <c r="AB63" s="533">
        <f t="shared" si="21"/>
        <v>658380.45805194834</v>
      </c>
      <c r="AC63" s="533">
        <f t="shared" si="21"/>
        <v>566537.41609799303</v>
      </c>
      <c r="AD63" s="533">
        <f t="shared" si="21"/>
        <v>474694.37414403789</v>
      </c>
      <c r="AE63" s="533">
        <f t="shared" si="21"/>
        <v>382851.3321900827</v>
      </c>
      <c r="AF63" s="533">
        <f t="shared" si="21"/>
        <v>291008.2902361275</v>
      </c>
      <c r="AG63" s="533">
        <f t="shared" si="21"/>
        <v>199165.2482821724</v>
      </c>
      <c r="AH63" s="533">
        <f t="shared" si="21"/>
        <v>107322.20632821725</v>
      </c>
      <c r="AI63" s="533">
        <f t="shared" si="21"/>
        <v>15479.164374262102</v>
      </c>
      <c r="AJ63" s="533">
        <f t="shared" si="21"/>
        <v>0</v>
      </c>
      <c r="AK63" s="533">
        <f t="shared" si="21"/>
        <v>0</v>
      </c>
      <c r="AL63" s="533">
        <f>SUM(Q63:AK63)</f>
        <v>15986880.965737902</v>
      </c>
    </row>
    <row r="64" spans="4:38" x14ac:dyDescent="0.45">
      <c r="N64" s="535">
        <f>SUM(N62:N63)</f>
        <v>13036789.530000001</v>
      </c>
      <c r="O64" s="535">
        <f t="shared" ref="O64:AL64" si="22">SUM(O62:O63)</f>
        <v>14868241.599999998</v>
      </c>
      <c r="P64" s="535">
        <f t="shared" si="22"/>
        <v>10239754.790000003</v>
      </c>
      <c r="Q64" s="535">
        <f t="shared" si="22"/>
        <v>14220490.498193024</v>
      </c>
      <c r="R64" s="535">
        <f t="shared" si="22"/>
        <v>14132775.233405538</v>
      </c>
      <c r="S64" s="535">
        <f t="shared" si="22"/>
        <v>14045059.968618054</v>
      </c>
      <c r="T64" s="535">
        <f t="shared" si="22"/>
        <v>14544280.085863184</v>
      </c>
      <c r="U64" s="535">
        <f t="shared" si="22"/>
        <v>14452437.043909227</v>
      </c>
      <c r="V64" s="535">
        <f t="shared" si="22"/>
        <v>14360594.001955273</v>
      </c>
      <c r="W64" s="535">
        <f t="shared" si="22"/>
        <v>14268750.960001318</v>
      </c>
      <c r="X64" s="535">
        <f t="shared" si="22"/>
        <v>14176907.918047363</v>
      </c>
      <c r="Y64" s="535">
        <f t="shared" si="22"/>
        <v>14085064.876093408</v>
      </c>
      <c r="Z64" s="535">
        <f t="shared" si="22"/>
        <v>13993221.834139453</v>
      </c>
      <c r="AA64" s="535">
        <f t="shared" si="22"/>
        <v>13901378.792185497</v>
      </c>
      <c r="AB64" s="535">
        <f t="shared" si="22"/>
        <v>13809535.750231542</v>
      </c>
      <c r="AC64" s="535">
        <f t="shared" si="22"/>
        <v>13717692.708277587</v>
      </c>
      <c r="AD64" s="535">
        <f t="shared" si="22"/>
        <v>13625849.666323632</v>
      </c>
      <c r="AE64" s="535">
        <f t="shared" si="22"/>
        <v>13534006.624369677</v>
      </c>
      <c r="AF64" s="535">
        <f t="shared" si="22"/>
        <v>13442163.58241572</v>
      </c>
      <c r="AG64" s="535">
        <f t="shared" si="22"/>
        <v>13350320.540461766</v>
      </c>
      <c r="AH64" s="535">
        <f t="shared" si="22"/>
        <v>13258477.498507811</v>
      </c>
      <c r="AI64" s="535">
        <f t="shared" si="22"/>
        <v>13166634.456553856</v>
      </c>
      <c r="AJ64" s="535">
        <f t="shared" si="22"/>
        <v>2216486.8469965602</v>
      </c>
      <c r="AK64" s="535">
        <f t="shared" si="22"/>
        <v>0</v>
      </c>
      <c r="AL64" s="535">
        <f t="shared" si="22"/>
        <v>266302128.88654941</v>
      </c>
    </row>
    <row r="65" spans="2:46" x14ac:dyDescent="0.45">
      <c r="N65" s="533"/>
    </row>
    <row r="66" spans="2:46" x14ac:dyDescent="0.45">
      <c r="I66" s="533"/>
      <c r="J66" s="801"/>
      <c r="K66" s="533"/>
      <c r="L66" s="813"/>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4.0058918067738878</v>
      </c>
      <c r="G67" s="852">
        <f ca="1">AL67/AL$28</f>
        <v>41.560245450837215</v>
      </c>
      <c r="I67" s="533">
        <f ca="1">AL67</f>
        <v>358136910.7846632</v>
      </c>
      <c r="J67" s="898">
        <f>-J53</f>
        <v>358136910.7846632</v>
      </c>
      <c r="K67" s="533">
        <f ca="1">I67-J67</f>
        <v>0</v>
      </c>
      <c r="L67" s="813">
        <f ca="1">IF(J67&lt;&gt;0,K67/J67,0)</f>
        <v>0</v>
      </c>
      <c r="N67" s="566">
        <f>SUMIF('10. Inputs &amp; Calcs'!$D$143:$D$148,$E$10,'10. Inputs &amp; Calcs'!F$143:F$148)</f>
        <v>1522381</v>
      </c>
      <c r="O67" s="566">
        <f>SUMIF('10. Inputs &amp; Calcs'!$D$143:$D$148,$E$10,'10. Inputs &amp; Calcs'!G$143:G$148)</f>
        <v>2645202</v>
      </c>
      <c r="P67" s="566">
        <f>SUMIF('10. Inputs &amp; Calcs'!$D$143:$D$148,$E$10,'10. Inputs &amp; Calcs'!H$143:H$148)</f>
        <v>1475617</v>
      </c>
      <c r="Q67" s="997">
        <f ca="1">-SUMIF('10. Inputs &amp; Calcs'!$D$279:$D$284,$E$10,'10. Inputs &amp; Calcs'!I$279:I$284)</f>
        <v>1520513.3739093961</v>
      </c>
      <c r="R67" s="997">
        <f ca="1">-SUMIF('10. Inputs &amp; Calcs'!$D$279:$D$284,$E$10,'10. Inputs &amp; Calcs'!J$279:J$284)</f>
        <v>1520513.3739093961</v>
      </c>
      <c r="S67" s="997">
        <f ca="1">-SUMIF('10. Inputs &amp; Calcs'!$D$279:$D$284,$E$10,'10. Inputs &amp; Calcs'!K$279:K$284)</f>
        <v>1520513.3739093961</v>
      </c>
      <c r="T67" s="533">
        <f ca="1">-SUMIF('10. Inputs &amp; Calcs'!$D$279:$D$284,$E$10,'10. Inputs &amp; Calcs'!L$279:L$284)</f>
        <v>1592066.9444463088</v>
      </c>
      <c r="U67" s="533">
        <f ca="1">-SUMIF('10. Inputs &amp; Calcs'!$D$279:$D$284,$E$10,'10. Inputs &amp; Calcs'!M$279:M$284)</f>
        <v>1592066.9444463088</v>
      </c>
      <c r="V67" s="533">
        <f ca="1">-SUMIF('10. Inputs &amp; Calcs'!$D$279:$D$284,$E$10,'10. Inputs &amp; Calcs'!N$279:N$284)</f>
        <v>1592066.9444463088</v>
      </c>
      <c r="W67" s="533">
        <f ca="1">-SUMIF('10. Inputs &amp; Calcs'!$D$279:$D$284,$E$10,'10. Inputs &amp; Calcs'!O$279:O$284)</f>
        <v>1592066.9444463088</v>
      </c>
      <c r="X67" s="533">
        <f ca="1">-SUMIF('10. Inputs &amp; Calcs'!$D$279:$D$284,$E$10,'10. Inputs &amp; Calcs'!P$279:P$284)</f>
        <v>1592066.9444463088</v>
      </c>
      <c r="Y67" s="533">
        <f ca="1">-SUMIF('10. Inputs &amp; Calcs'!$D$279:$D$284,$E$10,'10. Inputs &amp; Calcs'!Q$279:Q$284)</f>
        <v>1592066.9444463088</v>
      </c>
      <c r="Z67" s="533">
        <f ca="1">-SUMIF('10. Inputs &amp; Calcs'!$D$279:$D$284,$E$10,'10. Inputs &amp; Calcs'!R$279:R$284)</f>
        <v>1592066.9444463088</v>
      </c>
      <c r="AA67" s="533">
        <f ca="1">-SUMIF('10. Inputs &amp; Calcs'!$D$279:$D$284,$E$10,'10. Inputs &amp; Calcs'!S$279:S$284)</f>
        <v>1592066.9444463088</v>
      </c>
      <c r="AB67" s="533">
        <f ca="1">-SUMIF('10. Inputs &amp; Calcs'!$D$279:$D$284,$E$10,'10. Inputs &amp; Calcs'!T$279:T$284)</f>
        <v>1592066.9444463088</v>
      </c>
      <c r="AC67" s="533">
        <f ca="1">-SUMIF('10. Inputs &amp; Calcs'!$D$279:$D$284,$E$10,'10. Inputs &amp; Calcs'!U$279:U$284)</f>
        <v>1592066.9444463088</v>
      </c>
      <c r="AD67" s="533">
        <f ca="1">-SUMIF('10. Inputs &amp; Calcs'!$D$279:$D$284,$E$10,'10. Inputs &amp; Calcs'!V$279:V$284)</f>
        <v>1592066.9444463088</v>
      </c>
      <c r="AE67" s="533">
        <f ca="1">-SUMIF('10. Inputs &amp; Calcs'!$D$279:$D$284,$E$10,'10. Inputs &amp; Calcs'!W$279:W$284)</f>
        <v>1592066.9444463088</v>
      </c>
      <c r="AF67" s="533">
        <f ca="1">-SUMIF('10. Inputs &amp; Calcs'!$D$279:$D$284,$E$10,'10. Inputs &amp; Calcs'!X$279:X$284)</f>
        <v>1592066.9444463088</v>
      </c>
      <c r="AG67" s="533">
        <f ca="1">-SUMIF('10. Inputs &amp; Calcs'!$D$279:$D$284,$E$10,'10. Inputs &amp; Calcs'!Y$279:Y$284)</f>
        <v>1592066.9444463088</v>
      </c>
      <c r="AH67" s="533">
        <f ca="1">-SUMIF('10. Inputs &amp; Calcs'!$D$279:$D$284,$E$10,'10. Inputs &amp; Calcs'!Z$279:Z$284)</f>
        <v>1592066.9444463088</v>
      </c>
      <c r="AI67" s="533">
        <f ca="1">-SUMIF('10. Inputs &amp; Calcs'!$D$279:$D$284,$E$10,'10. Inputs &amp; Calcs'!AA$279:AA$284)</f>
        <v>1592066.9444463088</v>
      </c>
      <c r="AJ67" s="533">
        <f ca="1">-SUMIF('10. Inputs &amp; Calcs'!$D$279:$D$284,$E$10,'10. Inputs &amp; Calcs'!AB$279:AB$284)</f>
        <v>328102299.55179405</v>
      </c>
      <c r="AK67" s="533">
        <f ca="1">-SUMIF('10. Inputs &amp; Calcs'!$D$279:$D$284,$E$10,'10. Inputs &amp; Calcs'!AC$279:AC$284)</f>
        <v>0</v>
      </c>
      <c r="AL67" s="533">
        <f ca="1">SUM(Q67:AK67)</f>
        <v>358136910.7846632</v>
      </c>
    </row>
    <row r="68" spans="2:46" x14ac:dyDescent="0.45">
      <c r="N68" s="533"/>
    </row>
    <row r="69" spans="2:46" x14ac:dyDescent="0.45">
      <c r="N69" s="533"/>
    </row>
    <row r="71" spans="2:46" x14ac:dyDescent="0.45">
      <c r="D71" t="s">
        <v>1038</v>
      </c>
      <c r="N71" s="533">
        <f>SUMIF('10. Inputs &amp; Calcs'!$D$763:$D$768,$E$10,'10. Inputs &amp; Calcs'!F$763:F$768)</f>
        <v>4108399000</v>
      </c>
      <c r="O71" s="533">
        <f>SUMIF('10. Inputs &amp; Calcs'!$D$763:$D$768,$E$10,'10. Inputs &amp; Calcs'!G$763:G$768)</f>
        <v>4417641000</v>
      </c>
      <c r="P71" s="533">
        <f>SUMIF('10. Inputs &amp; Calcs'!$D$763:$D$768,$E$10,'10. Inputs &amp; Calcs'!H$763:H$768)</f>
        <v>4071467000</v>
      </c>
      <c r="Q71" s="801">
        <f>SUMIF('10. Inputs &amp; Calcs'!$D$763:$D$768,$E$10,'10. Inputs &amp; Calcs'!I$763:I$768)</f>
        <v>4071467000</v>
      </c>
      <c r="R71" s="801">
        <f>SUMIF('10. Inputs &amp; Calcs'!$D$763:$D$768,$E$10,'10. Inputs &amp; Calcs'!J$763:J$768)</f>
        <v>4071467000</v>
      </c>
      <c r="S71" s="801">
        <f>SUMIF('10. Inputs &amp; Calcs'!$D$763:$D$768,$E$10,'10. Inputs &amp; Calcs'!K$763:K$768)</f>
        <v>4071467000</v>
      </c>
      <c r="T71" s="801">
        <f>SUMIF('10. Inputs &amp; Calcs'!$D$763:$D$768,$E$10,'10. Inputs &amp; Calcs'!L$763:L$768)</f>
        <v>4071467000</v>
      </c>
      <c r="U71" s="801">
        <f>SUMIF('10. Inputs &amp; Calcs'!$D$763:$D$768,$E$10,'10. Inputs &amp; Calcs'!M$763:M$768)</f>
        <v>4071467000</v>
      </c>
      <c r="V71" s="801">
        <f>SUMIF('10. Inputs &amp; Calcs'!$D$763:$D$768,$E$10,'10. Inputs &amp; Calcs'!N$763:N$768)</f>
        <v>4071467000</v>
      </c>
      <c r="W71" s="801">
        <f>SUMIF('10. Inputs &amp; Calcs'!$D$763:$D$768,$E$10,'10. Inputs &amp; Calcs'!O$763:O$768)</f>
        <v>4071467000</v>
      </c>
      <c r="X71" s="801">
        <f>SUMIF('10. Inputs &amp; Calcs'!$D$763:$D$768,$E$10,'10. Inputs &amp; Calcs'!P$763:P$768)</f>
        <v>4071467000</v>
      </c>
      <c r="Y71" s="801">
        <f>SUMIF('10. Inputs &amp; Calcs'!$D$763:$D$768,$E$10,'10. Inputs &amp; Calcs'!Q$763:Q$768)</f>
        <v>4071467000</v>
      </c>
      <c r="Z71" s="801">
        <f>SUMIF('10. Inputs &amp; Calcs'!$D$763:$D$768,$E$10,'10. Inputs &amp; Calcs'!R$763:R$768)</f>
        <v>4071467000</v>
      </c>
      <c r="AA71" s="801">
        <f>SUMIF('10. Inputs &amp; Calcs'!$D$763:$D$768,$E$10,'10. Inputs &amp; Calcs'!S$763:S$768)</f>
        <v>4071467000</v>
      </c>
      <c r="AB71" s="801">
        <f>SUMIF('10. Inputs &amp; Calcs'!$D$763:$D$768,$E$10,'10. Inputs &amp; Calcs'!T$763:T$768)</f>
        <v>4071467000</v>
      </c>
      <c r="AC71" s="801">
        <f>SUMIF('10. Inputs &amp; Calcs'!$D$763:$D$768,$E$10,'10. Inputs &amp; Calcs'!U$763:U$768)</f>
        <v>4071467000</v>
      </c>
      <c r="AD71" s="801">
        <f>SUMIF('10. Inputs &amp; Calcs'!$D$763:$D$768,$E$10,'10. Inputs &amp; Calcs'!V$763:V$768)</f>
        <v>4071467000</v>
      </c>
      <c r="AE71" s="801">
        <f>SUMIF('10. Inputs &amp; Calcs'!$D$763:$D$768,$E$10,'10. Inputs &amp; Calcs'!W$763:W$768)</f>
        <v>4071467000</v>
      </c>
      <c r="AF71" s="533">
        <f>SUMIF('10. Inputs &amp; Calcs'!$D$763:$D$768,$E$10,'10. Inputs &amp; Calcs'!X$763:X$768)</f>
        <v>4071467000</v>
      </c>
      <c r="AG71" s="533">
        <f>SUMIF('10. Inputs &amp; Calcs'!$D$763:$D$768,$E$10,'10. Inputs &amp; Calcs'!Y$763:Y$768)</f>
        <v>4071467000</v>
      </c>
      <c r="AH71" s="533">
        <f>SUMIF('10. Inputs &amp; Calcs'!$D$763:$D$768,$E$10,'10. Inputs &amp; Calcs'!Z$763:Z$768)</f>
        <v>4071467000</v>
      </c>
      <c r="AI71" s="533">
        <f>SUMIF('10. Inputs &amp; Calcs'!$D$763:$D$768,$E$10,'10. Inputs &amp; Calcs'!AA$763:AA$768)</f>
        <v>4071467000</v>
      </c>
      <c r="AJ71" s="533">
        <f>SUMIF('10. Inputs &amp; Calcs'!$D$763:$D$768,$E$10,'10. Inputs &amp; Calcs'!AB$763:AB$768)</f>
        <v>4071467000</v>
      </c>
      <c r="AK71" s="533">
        <f>SUMIF('10. Inputs &amp; Calcs'!$D$763:$D$768,$E$10,'10. Inputs &amp; Calcs'!AC$763:AC$768)</f>
        <v>4071467000</v>
      </c>
      <c r="AL71" s="533">
        <f>SUM(Q71:AK71)</f>
        <v>85500807000</v>
      </c>
    </row>
    <row r="72" spans="2:46" x14ac:dyDescent="0.45">
      <c r="D72" t="s">
        <v>233</v>
      </c>
      <c r="N72" s="533">
        <f t="shared" ref="N72:AL72" si="23">N67</f>
        <v>1522381</v>
      </c>
      <c r="O72" s="533">
        <f t="shared" si="23"/>
        <v>2645202</v>
      </c>
      <c r="P72" s="533">
        <f t="shared" si="23"/>
        <v>1475617</v>
      </c>
      <c r="Q72" s="801">
        <f t="shared" ca="1" si="23"/>
        <v>1520513.3739093961</v>
      </c>
      <c r="R72" s="801">
        <f t="shared" ca="1" si="23"/>
        <v>1520513.3739093961</v>
      </c>
      <c r="S72" s="801">
        <f t="shared" ca="1" si="23"/>
        <v>1520513.3739093961</v>
      </c>
      <c r="T72" s="801">
        <f t="shared" ca="1" si="23"/>
        <v>1592066.9444463088</v>
      </c>
      <c r="U72" s="801">
        <f t="shared" ca="1" si="23"/>
        <v>1592066.9444463088</v>
      </c>
      <c r="V72" s="801">
        <f t="shared" ca="1" si="23"/>
        <v>1592066.9444463088</v>
      </c>
      <c r="W72" s="801">
        <f t="shared" ca="1" si="23"/>
        <v>1592066.9444463088</v>
      </c>
      <c r="X72" s="801">
        <f t="shared" ca="1" si="23"/>
        <v>1592066.9444463088</v>
      </c>
      <c r="Y72" s="801">
        <f t="shared" ca="1" si="23"/>
        <v>1592066.9444463088</v>
      </c>
      <c r="Z72" s="801">
        <f t="shared" ca="1" si="23"/>
        <v>1592066.9444463088</v>
      </c>
      <c r="AA72" s="801">
        <f t="shared" ca="1" si="23"/>
        <v>1592066.9444463088</v>
      </c>
      <c r="AB72" s="801">
        <f t="shared" ca="1" si="23"/>
        <v>1592066.9444463088</v>
      </c>
      <c r="AC72" s="801">
        <f t="shared" ca="1" si="23"/>
        <v>1592066.9444463088</v>
      </c>
      <c r="AD72" s="801">
        <f t="shared" ca="1" si="23"/>
        <v>1592066.9444463088</v>
      </c>
      <c r="AE72" s="801">
        <f t="shared" ca="1" si="23"/>
        <v>1592066.9444463088</v>
      </c>
      <c r="AF72" s="533">
        <f t="shared" ca="1" si="23"/>
        <v>1592066.9444463088</v>
      </c>
      <c r="AG72" s="533">
        <f t="shared" ca="1" si="23"/>
        <v>1592066.9444463088</v>
      </c>
      <c r="AH72" s="533">
        <f t="shared" ca="1" si="23"/>
        <v>1592066.9444463088</v>
      </c>
      <c r="AI72" s="533">
        <f t="shared" ca="1" si="23"/>
        <v>1592066.9444463088</v>
      </c>
      <c r="AJ72" s="533">
        <f t="shared" ca="1" si="23"/>
        <v>328102299.55179405</v>
      </c>
      <c r="AK72" s="533">
        <f t="shared" ca="1" si="23"/>
        <v>0</v>
      </c>
      <c r="AL72" s="533">
        <f t="shared" ca="1" si="23"/>
        <v>358136910.7846632</v>
      </c>
    </row>
    <row r="73" spans="2:46" x14ac:dyDescent="0.45">
      <c r="D73" t="s">
        <v>1037</v>
      </c>
      <c r="N73" s="559">
        <f>N48/N71</f>
        <v>-1.3390666835318466E-2</v>
      </c>
      <c r="O73" s="559">
        <f t="shared" ref="O73:AL73" si="24">O48/O71</f>
        <v>-1.2917107462004166E-2</v>
      </c>
      <c r="P73" s="559">
        <f t="shared" si="24"/>
        <v>-1.2742777452615156E-2</v>
      </c>
      <c r="Q73" s="581">
        <f ca="1">Q48/Q71</f>
        <v>-1.3049244139181333E-2</v>
      </c>
      <c r="R73" s="581">
        <f t="shared" ca="1" si="24"/>
        <v>-1.3084920641080801E-2</v>
      </c>
      <c r="S73" s="581">
        <f t="shared" ca="1" si="24"/>
        <v>-1.3084607847467579E-2</v>
      </c>
      <c r="T73" s="581">
        <f t="shared" ca="1" si="24"/>
        <v>-1.3020477628794443E-2</v>
      </c>
      <c r="U73" s="581">
        <f t="shared" ca="1" si="24"/>
        <v>-1.2905895508639995E-2</v>
      </c>
      <c r="V73" s="581">
        <f t="shared" ca="1" si="24"/>
        <v>-1.273887208028229E-2</v>
      </c>
      <c r="W73" s="581">
        <f t="shared" ca="1" si="24"/>
        <v>-1.2513988099211646E-2</v>
      </c>
      <c r="X73" s="581">
        <f t="shared" ca="1" si="24"/>
        <v>-1.2225386838979628E-2</v>
      </c>
      <c r="Y73" s="581">
        <f t="shared" ca="1" si="24"/>
        <v>-1.186674236140043E-2</v>
      </c>
      <c r="Z73" s="581">
        <f t="shared" ca="1" si="24"/>
        <v>-1.1431225619857276E-2</v>
      </c>
      <c r="AA73" s="581">
        <f t="shared" ca="1" si="24"/>
        <v>-1.0911468253338014E-2</v>
      </c>
      <c r="AB73" s="581">
        <f t="shared" ca="1" si="24"/>
        <v>-1.0299523919717645E-2</v>
      </c>
      <c r="AC73" s="581">
        <f t="shared" ca="1" si="24"/>
        <v>-9.5868270071279849E-3</v>
      </c>
      <c r="AD73" s="581">
        <f t="shared" ca="1" si="24"/>
        <v>-8.7641485519708087E-3</v>
      </c>
      <c r="AE73" s="581">
        <f t="shared" ca="1" si="24"/>
        <v>-7.821549181203492E-3</v>
      </c>
      <c r="AF73" s="559">
        <f t="shared" ca="1" si="24"/>
        <v>-6.7483288849149708E-3</v>
      </c>
      <c r="AG73" s="559">
        <f t="shared" ca="1" si="24"/>
        <v>-5.5329734128736928E-3</v>
      </c>
      <c r="AH73" s="559">
        <f t="shared" ca="1" si="24"/>
        <v>-4.1630970756223393E-3</v>
      </c>
      <c r="AI73" s="559">
        <f t="shared" ca="1" si="24"/>
        <v>-2.6253817167699307E-3</v>
      </c>
      <c r="AJ73" s="559">
        <f t="shared" ca="1" si="24"/>
        <v>-5.3952544098936548E-5</v>
      </c>
      <c r="AK73" s="559">
        <f t="shared" ca="1" si="24"/>
        <v>0</v>
      </c>
      <c r="AL73" s="559">
        <f t="shared" ca="1" si="24"/>
        <v>-9.1632672053587258E-3</v>
      </c>
    </row>
    <row r="74" spans="2:46" x14ac:dyDescent="0.45">
      <c r="Q74" s="581"/>
      <c r="R74" s="581"/>
      <c r="S74" s="581"/>
      <c r="T74" s="581"/>
      <c r="U74" s="581"/>
      <c r="V74" s="581"/>
      <c r="W74" s="582"/>
      <c r="X74" s="18"/>
      <c r="Y74" s="18"/>
      <c r="Z74" s="18"/>
      <c r="AA74" s="18"/>
      <c r="AB74" s="18"/>
      <c r="AC74" s="18"/>
      <c r="AD74" s="18"/>
      <c r="AE74" s="18"/>
    </row>
    <row r="75" spans="2:46" hidden="1"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hidden="1" outlineLevel="1" x14ac:dyDescent="0.45">
      <c r="D76" t="s">
        <v>1539</v>
      </c>
      <c r="F76" s="18"/>
      <c r="G76" s="18"/>
      <c r="I76" s="18"/>
      <c r="J76" s="18"/>
      <c r="K76" s="18"/>
      <c r="L76" s="18"/>
      <c r="O76" s="533"/>
      <c r="P76" s="533">
        <f>SUMIF('10. Inputs &amp; Calcs'!$D$628:$D$633,$E$10,'10. Inputs &amp; Calcs'!$H$628:$H$633)</f>
        <v>31984426.030000001</v>
      </c>
      <c r="Q76" s="801">
        <f t="shared" ref="Q76:AK76" si="25">P83</f>
        <v>31984426.030000001</v>
      </c>
      <c r="R76" s="801">
        <f t="shared" ca="1" si="25"/>
        <v>32039938.791582055</v>
      </c>
      <c r="S76" s="801">
        <f t="shared" ca="1" si="25"/>
        <v>31920021.023589134</v>
      </c>
      <c r="T76" s="801">
        <f t="shared" ca="1" si="25"/>
        <v>31624672.726021253</v>
      </c>
      <c r="U76" s="801">
        <f t="shared" ca="1" si="25"/>
        <v>30970015.719852425</v>
      </c>
      <c r="V76" s="801">
        <f t="shared" ca="1" si="25"/>
        <v>30131672.629775681</v>
      </c>
      <c r="W76" s="801">
        <f t="shared" ca="1" si="25"/>
        <v>29109643.455791034</v>
      </c>
      <c r="X76" s="801">
        <f t="shared" ca="1" si="25"/>
        <v>27995771.239852421</v>
      </c>
      <c r="Y76" s="801">
        <f t="shared" ca="1" si="25"/>
        <v>26698212.940005906</v>
      </c>
      <c r="Z76" s="801">
        <f t="shared" ca="1" si="25"/>
        <v>25216968.556251474</v>
      </c>
      <c r="AA76" s="801">
        <f t="shared" ca="1" si="25"/>
        <v>23552038.088589139</v>
      </c>
      <c r="AB76" s="801">
        <f t="shared" ca="1" si="25"/>
        <v>21703421.537018888</v>
      </c>
      <c r="AC76" s="801">
        <f t="shared" ca="1" si="25"/>
        <v>19671118.901540726</v>
      </c>
      <c r="AD76" s="801">
        <f t="shared" ca="1" si="25"/>
        <v>17455130.182154663</v>
      </c>
      <c r="AE76" s="801">
        <f t="shared" ca="1" si="25"/>
        <v>15055455.37886068</v>
      </c>
      <c r="AF76" s="533">
        <f t="shared" ca="1" si="25"/>
        <v>12472094.49165879</v>
      </c>
      <c r="AG76" s="533">
        <f t="shared" ca="1" si="25"/>
        <v>9705047.52054899</v>
      </c>
      <c r="AH76" s="533">
        <f t="shared" ca="1" si="25"/>
        <v>6754314.4655312803</v>
      </c>
      <c r="AI76" s="533">
        <f t="shared" ca="1" si="25"/>
        <v>3619895.3266056627</v>
      </c>
      <c r="AJ76" s="533">
        <f t="shared" ca="1" si="25"/>
        <v>301790.10377213173</v>
      </c>
      <c r="AK76" s="533">
        <f t="shared" ca="1" si="25"/>
        <v>0</v>
      </c>
      <c r="AL76" s="533">
        <f>P76</f>
        <v>31984426.030000001</v>
      </c>
      <c r="AM76" s="18"/>
      <c r="AN76" s="18"/>
      <c r="AO76" s="18"/>
      <c r="AP76" s="18"/>
      <c r="AQ76" s="18"/>
      <c r="AR76" s="18"/>
      <c r="AS76" s="18"/>
      <c r="AT76" s="18"/>
    </row>
    <row r="77" spans="2:46" hidden="1" outlineLevel="1" x14ac:dyDescent="0.45">
      <c r="D77" t="s">
        <v>1546</v>
      </c>
      <c r="F77" s="18"/>
      <c r="G77" s="18"/>
      <c r="I77" s="18"/>
      <c r="J77" s="18"/>
      <c r="K77" s="18"/>
      <c r="L77" s="18"/>
      <c r="N77" s="533"/>
      <c r="O77" s="533"/>
      <c r="P77" s="533">
        <f>IF(P84&gt;P76,P84-P76,0)</f>
        <v>0</v>
      </c>
      <c r="Q77" s="801">
        <f>IF(Q84&gt;Q76,Q84-Q76,0)</f>
        <v>55512.761582054198</v>
      </c>
      <c r="R77" s="801">
        <f ca="1">IF(R84&gt;R76,R84-R76,0)</f>
        <v>0</v>
      </c>
      <c r="S77" s="801">
        <f t="shared" ref="S77:AK77" ca="1" si="26">IF(S84&gt;S76,S84-S76,0)</f>
        <v>0</v>
      </c>
      <c r="T77" s="801">
        <f t="shared" ca="1" si="26"/>
        <v>0</v>
      </c>
      <c r="U77" s="801">
        <f t="shared" ca="1" si="26"/>
        <v>0</v>
      </c>
      <c r="V77" s="801">
        <f t="shared" ca="1" si="26"/>
        <v>0</v>
      </c>
      <c r="W77" s="801">
        <f t="shared" ca="1" si="26"/>
        <v>0</v>
      </c>
      <c r="X77" s="801">
        <f t="shared" ca="1" si="26"/>
        <v>0</v>
      </c>
      <c r="Y77" s="801">
        <f t="shared" ca="1" si="26"/>
        <v>0</v>
      </c>
      <c r="Z77" s="801">
        <f t="shared" ca="1" si="26"/>
        <v>0</v>
      </c>
      <c r="AA77" s="801">
        <f t="shared" ca="1" si="26"/>
        <v>0</v>
      </c>
      <c r="AB77" s="801">
        <f t="shared" ca="1" si="26"/>
        <v>0</v>
      </c>
      <c r="AC77" s="801">
        <f t="shared" ca="1" si="26"/>
        <v>0</v>
      </c>
      <c r="AD77" s="801">
        <f t="shared" ca="1" si="26"/>
        <v>0</v>
      </c>
      <c r="AE77" s="801">
        <f t="shared" ca="1" si="26"/>
        <v>0</v>
      </c>
      <c r="AF77" s="533">
        <f t="shared" ca="1" si="26"/>
        <v>0</v>
      </c>
      <c r="AG77" s="533">
        <f t="shared" ca="1" si="26"/>
        <v>0</v>
      </c>
      <c r="AH77" s="533">
        <f t="shared" ca="1" si="26"/>
        <v>0</v>
      </c>
      <c r="AI77" s="533">
        <f t="shared" ca="1" si="26"/>
        <v>0</v>
      </c>
      <c r="AJ77" s="533">
        <f t="shared" ca="1" si="26"/>
        <v>0</v>
      </c>
      <c r="AK77" s="533">
        <f t="shared" ca="1" si="26"/>
        <v>0</v>
      </c>
      <c r="AL77" s="533">
        <f ca="1">SUM(P77:AK77)</f>
        <v>55512.761582054198</v>
      </c>
      <c r="AM77" s="18"/>
      <c r="AN77" s="18"/>
      <c r="AO77" s="18"/>
      <c r="AP77" s="18"/>
      <c r="AQ77" s="18"/>
      <c r="AR77" s="18"/>
      <c r="AS77" s="18"/>
      <c r="AT77" s="18"/>
    </row>
    <row r="78" spans="2:46" hidden="1" outlineLevel="1" x14ac:dyDescent="0.45">
      <c r="D78" t="s">
        <v>1547</v>
      </c>
      <c r="F78" s="18"/>
      <c r="G78" s="18"/>
      <c r="I78" s="18"/>
      <c r="J78" s="18"/>
      <c r="K78" s="18"/>
      <c r="L78" s="18"/>
      <c r="N78" s="533"/>
      <c r="O78" s="533"/>
      <c r="P78" s="533">
        <f>IF(P84&lt;P76,P84-P76,0)</f>
        <v>0</v>
      </c>
      <c r="Q78" s="801">
        <f>IF(Q84&lt;Q76,Q84-Q76,0)</f>
        <v>0</v>
      </c>
      <c r="R78" s="801">
        <f ca="1">IF(R84&lt;R76,R84-R76,0)</f>
        <v>-119917.76799291745</v>
      </c>
      <c r="S78" s="801">
        <f t="shared" ref="S78:AK78" ca="1" si="27">IF(S84&lt;S76,S84-S76,0)</f>
        <v>-295348.29756788164</v>
      </c>
      <c r="T78" s="801">
        <f t="shared" ca="1" si="27"/>
        <v>-654657.00616883114</v>
      </c>
      <c r="U78" s="801">
        <f t="shared" ca="1" si="27"/>
        <v>-838343.09007674456</v>
      </c>
      <c r="V78" s="801">
        <f t="shared" ca="1" si="27"/>
        <v>-1022029.1739846505</v>
      </c>
      <c r="W78" s="801">
        <f t="shared" ca="1" si="27"/>
        <v>-1113872.2159386128</v>
      </c>
      <c r="X78" s="801">
        <f t="shared" ca="1" si="27"/>
        <v>-1297558.2998465188</v>
      </c>
      <c r="Y78" s="801">
        <f t="shared" ca="1" si="27"/>
        <v>-1481244.3837544322</v>
      </c>
      <c r="Z78" s="801">
        <f t="shared" ca="1" si="27"/>
        <v>-1664930.4676623382</v>
      </c>
      <c r="AA78" s="801">
        <f t="shared" ca="1" si="27"/>
        <v>-1848616.5515702516</v>
      </c>
      <c r="AB78" s="801">
        <f t="shared" ca="1" si="27"/>
        <v>-2032302.6354781576</v>
      </c>
      <c r="AC78" s="801">
        <f t="shared" ca="1" si="27"/>
        <v>-2215988.7193860635</v>
      </c>
      <c r="AD78" s="801">
        <f t="shared" ca="1" si="27"/>
        <v>-2399674.8032939788</v>
      </c>
      <c r="AE78" s="801">
        <f t="shared" ca="1" si="27"/>
        <v>-2583360.8872018866</v>
      </c>
      <c r="AF78" s="533">
        <f t="shared" ca="1" si="27"/>
        <v>-2767046.9711097963</v>
      </c>
      <c r="AG78" s="533">
        <f t="shared" ca="1" si="27"/>
        <v>-2950733.0550177069</v>
      </c>
      <c r="AH78" s="533">
        <f t="shared" ca="1" si="27"/>
        <v>-3134419.138925618</v>
      </c>
      <c r="AI78" s="533">
        <f t="shared" ca="1" si="27"/>
        <v>-3318105.2228335314</v>
      </c>
      <c r="AJ78" s="533">
        <f t="shared" ca="1" si="27"/>
        <v>-301790.10377213173</v>
      </c>
      <c r="AK78" s="533">
        <f t="shared" ca="1" si="27"/>
        <v>0</v>
      </c>
      <c r="AL78" s="533">
        <f ca="1">SUM(P78:AK78)</f>
        <v>-32039938.791582055</v>
      </c>
      <c r="AM78" s="18"/>
      <c r="AN78" s="18"/>
      <c r="AO78" s="18"/>
      <c r="AP78" s="18"/>
      <c r="AQ78" s="18"/>
      <c r="AR78" s="18"/>
      <c r="AS78" s="18"/>
      <c r="AT78" s="18"/>
    </row>
    <row r="79" spans="2:46" hidden="1" outlineLevel="1" x14ac:dyDescent="0.45">
      <c r="D79" t="s">
        <v>1537</v>
      </c>
      <c r="F79" s="18"/>
      <c r="G79" s="18"/>
      <c r="I79" s="18"/>
      <c r="J79" s="18"/>
      <c r="K79" s="18"/>
      <c r="L79" s="18"/>
      <c r="N79" s="533"/>
      <c r="O79" s="533"/>
      <c r="P79" s="533"/>
      <c r="Q79" s="801">
        <f ca="1">'10. Inputs &amp; Calcs'!I148*0</f>
        <v>0</v>
      </c>
      <c r="R79" s="801">
        <f ca="1">'10. Inputs &amp; Calcs'!J148*0</f>
        <v>0</v>
      </c>
      <c r="S79" s="801">
        <f ca="1">'10. Inputs &amp; Calcs'!K148*0</f>
        <v>0</v>
      </c>
      <c r="T79" s="801"/>
      <c r="U79" s="801"/>
      <c r="V79" s="801"/>
      <c r="W79" s="801"/>
      <c r="X79" s="801"/>
      <c r="Y79" s="801"/>
      <c r="Z79" s="801"/>
      <c r="AA79" s="801"/>
      <c r="AB79" s="801"/>
      <c r="AC79" s="801"/>
      <c r="AD79" s="801"/>
      <c r="AE79" s="801"/>
      <c r="AF79" s="533"/>
      <c r="AG79" s="533"/>
      <c r="AH79" s="533"/>
      <c r="AI79" s="533"/>
      <c r="AJ79" s="533"/>
      <c r="AK79" s="533"/>
      <c r="AL79" s="533">
        <f ca="1">SUM(P79:AK79)</f>
        <v>0</v>
      </c>
      <c r="AM79" s="18"/>
      <c r="AN79" s="18"/>
      <c r="AO79" s="18"/>
      <c r="AP79" s="18"/>
      <c r="AQ79" s="18"/>
      <c r="AR79" s="18"/>
      <c r="AS79" s="18"/>
      <c r="AT79" s="18"/>
    </row>
    <row r="80" spans="2:46" hidden="1" outlineLevel="1" x14ac:dyDescent="0.45">
      <c r="D80" t="s">
        <v>1540</v>
      </c>
      <c r="F80" s="18"/>
      <c r="G80" s="18"/>
      <c r="I80" s="18"/>
      <c r="J80" s="18"/>
      <c r="K80" s="18"/>
      <c r="L80" s="18"/>
      <c r="N80" s="533"/>
      <c r="O80" s="533"/>
      <c r="P80" s="533">
        <f t="shared" ref="P80:AL80" si="28">P19</f>
        <v>9299695.160000002</v>
      </c>
      <c r="Q80" s="801">
        <f t="shared" si="28"/>
        <v>12960878.028508771</v>
      </c>
      <c r="R80" s="801">
        <f t="shared" si="28"/>
        <v>12960878.028508771</v>
      </c>
      <c r="S80" s="801">
        <f t="shared" si="28"/>
        <v>12960878.028508771</v>
      </c>
      <c r="T80" s="801">
        <f t="shared" si="28"/>
        <v>13570801.700438596</v>
      </c>
      <c r="U80" s="801">
        <f t="shared" si="28"/>
        <v>13570801.700438596</v>
      </c>
      <c r="V80" s="801">
        <f t="shared" si="28"/>
        <v>13570801.700438596</v>
      </c>
      <c r="W80" s="801">
        <f t="shared" si="28"/>
        <v>13570801.700438596</v>
      </c>
      <c r="X80" s="801">
        <f t="shared" si="28"/>
        <v>13570801.700438596</v>
      </c>
      <c r="Y80" s="801">
        <f t="shared" si="28"/>
        <v>13570801.700438596</v>
      </c>
      <c r="Z80" s="801">
        <f t="shared" si="28"/>
        <v>13570801.700438596</v>
      </c>
      <c r="AA80" s="801">
        <f t="shared" si="28"/>
        <v>13570801.700438596</v>
      </c>
      <c r="AB80" s="801">
        <f t="shared" si="28"/>
        <v>13570801.700438596</v>
      </c>
      <c r="AC80" s="801">
        <f t="shared" si="28"/>
        <v>13570801.700438596</v>
      </c>
      <c r="AD80" s="801">
        <f t="shared" si="28"/>
        <v>13570801.700438596</v>
      </c>
      <c r="AE80" s="801">
        <f t="shared" si="28"/>
        <v>13570801.700438596</v>
      </c>
      <c r="AF80" s="533">
        <f t="shared" si="28"/>
        <v>13570801.700438596</v>
      </c>
      <c r="AG80" s="533">
        <f t="shared" si="28"/>
        <v>13570801.700438596</v>
      </c>
      <c r="AH80" s="533">
        <f t="shared" si="28"/>
        <v>13570801.700438596</v>
      </c>
      <c r="AI80" s="533">
        <f t="shared" si="28"/>
        <v>13570801.700438596</v>
      </c>
      <c r="AJ80" s="533">
        <f t="shared" si="28"/>
        <v>2287213.7697368418</v>
      </c>
      <c r="AK80" s="533">
        <f t="shared" si="28"/>
        <v>0</v>
      </c>
      <c r="AL80" s="533">
        <f t="shared" si="28"/>
        <v>258302675.06228063</v>
      </c>
      <c r="AM80" s="18"/>
      <c r="AN80" s="18"/>
      <c r="AO80" s="18"/>
      <c r="AP80" s="18"/>
      <c r="AQ80" s="18"/>
      <c r="AR80" s="18"/>
      <c r="AS80" s="18"/>
      <c r="AT80" s="18"/>
    </row>
    <row r="81" spans="1:46" hidden="1" outlineLevel="1" x14ac:dyDescent="0.45">
      <c r="D81" t="s">
        <v>379</v>
      </c>
      <c r="F81" s="18"/>
      <c r="G81" s="18"/>
      <c r="I81" s="18"/>
      <c r="J81" s="18"/>
      <c r="K81" s="18"/>
      <c r="L81" s="18"/>
      <c r="N81" s="533"/>
      <c r="O81" s="533"/>
      <c r="P81" s="533">
        <f t="shared" ref="P81:AL81" si="29">-P21</f>
        <v>-808054</v>
      </c>
      <c r="Q81" s="801">
        <f t="shared" si="29"/>
        <v>-400785.89552826161</v>
      </c>
      <c r="R81" s="801">
        <f t="shared" si="29"/>
        <v>-400785.89552826161</v>
      </c>
      <c r="S81" s="801">
        <f t="shared" si="29"/>
        <v>-400785.89552826161</v>
      </c>
      <c r="T81" s="801">
        <f t="shared" si="29"/>
        <v>-419646.40825900336</v>
      </c>
      <c r="U81" s="801">
        <f t="shared" si="29"/>
        <v>-419646.40825900336</v>
      </c>
      <c r="V81" s="801">
        <f t="shared" si="29"/>
        <v>-419646.40825900336</v>
      </c>
      <c r="W81" s="801">
        <f t="shared" si="29"/>
        <v>-419646.40825900336</v>
      </c>
      <c r="X81" s="801">
        <f t="shared" si="29"/>
        <v>-419646.40825900336</v>
      </c>
      <c r="Y81" s="801">
        <f t="shared" si="29"/>
        <v>-419646.40825900336</v>
      </c>
      <c r="Z81" s="801">
        <f t="shared" si="29"/>
        <v>-419646.40825900336</v>
      </c>
      <c r="AA81" s="801">
        <f t="shared" si="29"/>
        <v>-419646.40825900336</v>
      </c>
      <c r="AB81" s="801">
        <f t="shared" si="29"/>
        <v>-419646.40825900336</v>
      </c>
      <c r="AC81" s="801">
        <f t="shared" si="29"/>
        <v>-419646.40825900336</v>
      </c>
      <c r="AD81" s="801">
        <f t="shared" si="29"/>
        <v>-419646.40825900336</v>
      </c>
      <c r="AE81" s="801">
        <f t="shared" si="29"/>
        <v>-419646.40825900336</v>
      </c>
      <c r="AF81" s="533">
        <f t="shared" si="29"/>
        <v>-419646.40825900336</v>
      </c>
      <c r="AG81" s="533">
        <f t="shared" si="29"/>
        <v>-419646.40825900336</v>
      </c>
      <c r="AH81" s="533">
        <f t="shared" si="29"/>
        <v>-419646.40825900336</v>
      </c>
      <c r="AI81" s="533">
        <f t="shared" si="29"/>
        <v>-419646.40825900336</v>
      </c>
      <c r="AJ81" s="533">
        <f t="shared" si="29"/>
        <v>-70726.922740281458</v>
      </c>
      <c r="AK81" s="533">
        <f t="shared" si="29"/>
        <v>0</v>
      </c>
      <c r="AL81" s="533">
        <f t="shared" si="29"/>
        <v>-7987427.141469121</v>
      </c>
      <c r="AM81" s="18"/>
      <c r="AN81" s="18"/>
      <c r="AO81" s="18"/>
      <c r="AP81" s="18"/>
      <c r="AQ81" s="18"/>
      <c r="AR81" s="18"/>
      <c r="AS81" s="18"/>
      <c r="AT81" s="18"/>
    </row>
    <row r="82" spans="1:46" hidden="1" outlineLevel="1" x14ac:dyDescent="0.45">
      <c r="D82" t="s">
        <v>1545</v>
      </c>
      <c r="F82" s="18"/>
      <c r="G82" s="18"/>
      <c r="I82" s="18"/>
      <c r="J82" s="18"/>
      <c r="K82" s="18"/>
      <c r="L82" s="18"/>
      <c r="N82" s="533"/>
      <c r="O82" s="533"/>
      <c r="P82" s="533">
        <f t="shared" ref="P82:AL82" si="30">-P80-P81</f>
        <v>-8491641.160000002</v>
      </c>
      <c r="Q82" s="801">
        <f t="shared" si="30"/>
        <v>-12560092.132980509</v>
      </c>
      <c r="R82" s="801">
        <f t="shared" si="30"/>
        <v>-12560092.132980509</v>
      </c>
      <c r="S82" s="801">
        <f t="shared" si="30"/>
        <v>-12560092.132980509</v>
      </c>
      <c r="T82" s="801">
        <f t="shared" si="30"/>
        <v>-13151155.292179594</v>
      </c>
      <c r="U82" s="801">
        <f t="shared" si="30"/>
        <v>-13151155.292179594</v>
      </c>
      <c r="V82" s="801">
        <f t="shared" si="30"/>
        <v>-13151155.292179594</v>
      </c>
      <c r="W82" s="801">
        <f t="shared" si="30"/>
        <v>-13151155.292179594</v>
      </c>
      <c r="X82" s="801">
        <f t="shared" si="30"/>
        <v>-13151155.292179594</v>
      </c>
      <c r="Y82" s="801">
        <f t="shared" si="30"/>
        <v>-13151155.292179594</v>
      </c>
      <c r="Z82" s="801">
        <f t="shared" si="30"/>
        <v>-13151155.292179594</v>
      </c>
      <c r="AA82" s="801">
        <f t="shared" si="30"/>
        <v>-13151155.292179594</v>
      </c>
      <c r="AB82" s="801">
        <f t="shared" si="30"/>
        <v>-13151155.292179594</v>
      </c>
      <c r="AC82" s="801">
        <f t="shared" si="30"/>
        <v>-13151155.292179594</v>
      </c>
      <c r="AD82" s="801">
        <f t="shared" si="30"/>
        <v>-13151155.292179594</v>
      </c>
      <c r="AE82" s="801">
        <f t="shared" si="30"/>
        <v>-13151155.292179594</v>
      </c>
      <c r="AF82" s="533">
        <f t="shared" si="30"/>
        <v>-13151155.292179594</v>
      </c>
      <c r="AG82" s="533">
        <f t="shared" si="30"/>
        <v>-13151155.292179594</v>
      </c>
      <c r="AH82" s="533">
        <f t="shared" si="30"/>
        <v>-13151155.292179594</v>
      </c>
      <c r="AI82" s="533">
        <f t="shared" si="30"/>
        <v>-13151155.292179594</v>
      </c>
      <c r="AJ82" s="533">
        <f t="shared" si="30"/>
        <v>-2216486.8469965602</v>
      </c>
      <c r="AK82" s="533">
        <f t="shared" si="30"/>
        <v>0</v>
      </c>
      <c r="AL82" s="533">
        <f t="shared" si="30"/>
        <v>-250315247.9208115</v>
      </c>
      <c r="AM82" s="18"/>
      <c r="AN82" s="18"/>
      <c r="AO82" s="18"/>
      <c r="AP82" s="18"/>
      <c r="AQ82" s="18"/>
      <c r="AR82" s="18"/>
      <c r="AS82" s="18"/>
      <c r="AT82" s="18"/>
    </row>
    <row r="83" spans="1:46" hidden="1" outlineLevel="1" x14ac:dyDescent="0.45">
      <c r="D83" t="s">
        <v>1544</v>
      </c>
      <c r="F83" s="18"/>
      <c r="G83" s="18"/>
      <c r="I83" s="18"/>
      <c r="J83" s="18"/>
      <c r="K83" s="18"/>
      <c r="L83" s="18"/>
      <c r="N83" s="535"/>
      <c r="O83" s="535"/>
      <c r="P83" s="535">
        <f>SUM(P76:P82)</f>
        <v>31984426.030000001</v>
      </c>
      <c r="Q83" s="1135">
        <f t="shared" ref="Q83:AL83" ca="1" si="31">SUM(Q76:Q82)</f>
        <v>32039938.791582055</v>
      </c>
      <c r="R83" s="1135">
        <f ca="1">SUM(R76:R82)</f>
        <v>31920021.023589134</v>
      </c>
      <c r="S83" s="1135">
        <f t="shared" ca="1" si="31"/>
        <v>31624672.726021253</v>
      </c>
      <c r="T83" s="1135">
        <f t="shared" ca="1" si="31"/>
        <v>30970015.719852425</v>
      </c>
      <c r="U83" s="1135">
        <f t="shared" ca="1" si="31"/>
        <v>30131672.629775681</v>
      </c>
      <c r="V83" s="1135">
        <f t="shared" ca="1" si="31"/>
        <v>29109643.455791034</v>
      </c>
      <c r="W83" s="1135">
        <f t="shared" ca="1" si="31"/>
        <v>27995771.239852421</v>
      </c>
      <c r="X83" s="1135">
        <f t="shared" ca="1" si="31"/>
        <v>26698212.940005906</v>
      </c>
      <c r="Y83" s="1135">
        <f t="shared" ca="1" si="31"/>
        <v>25216968.556251474</v>
      </c>
      <c r="Z83" s="1135">
        <f t="shared" ca="1" si="31"/>
        <v>23552038.088589139</v>
      </c>
      <c r="AA83" s="1135">
        <f t="shared" ca="1" si="31"/>
        <v>21703421.537018888</v>
      </c>
      <c r="AB83" s="1135">
        <f t="shared" ca="1" si="31"/>
        <v>19671118.901540726</v>
      </c>
      <c r="AC83" s="1135">
        <f t="shared" ca="1" si="31"/>
        <v>17455130.182154663</v>
      </c>
      <c r="AD83" s="1135">
        <f t="shared" ca="1" si="31"/>
        <v>15055455.37886068</v>
      </c>
      <c r="AE83" s="1135">
        <f t="shared" ca="1" si="31"/>
        <v>12472094.49165879</v>
      </c>
      <c r="AF83" s="535">
        <f t="shared" ca="1" si="31"/>
        <v>9705047.52054899</v>
      </c>
      <c r="AG83" s="535">
        <f t="shared" ca="1" si="31"/>
        <v>6754314.4655312803</v>
      </c>
      <c r="AH83" s="535">
        <f t="shared" ca="1" si="31"/>
        <v>3619895.3266056627</v>
      </c>
      <c r="AI83" s="535">
        <f t="shared" ca="1" si="31"/>
        <v>301790.10377213173</v>
      </c>
      <c r="AJ83" s="535">
        <f t="shared" ca="1" si="31"/>
        <v>0</v>
      </c>
      <c r="AK83" s="535">
        <f t="shared" ca="1" si="31"/>
        <v>0</v>
      </c>
      <c r="AL83" s="535">
        <f t="shared" ca="1" si="31"/>
        <v>0</v>
      </c>
      <c r="AM83" s="18"/>
      <c r="AN83" s="18"/>
      <c r="AO83" s="18"/>
      <c r="AP83" s="18"/>
      <c r="AQ83" s="18"/>
      <c r="AR83" s="18"/>
      <c r="AS83" s="18"/>
      <c r="AT83" s="18"/>
    </row>
    <row r="84" spans="1:46" hidden="1" outlineLevel="1" x14ac:dyDescent="0.45">
      <c r="F84" s="18"/>
      <c r="G84" s="18"/>
      <c r="I84" s="18"/>
      <c r="J84" s="18"/>
      <c r="K84" s="18"/>
      <c r="L84" s="18"/>
      <c r="P84" s="533">
        <f>SUMIF('10. Inputs &amp; Calcs'!$D$628:$D$633,$E$10,'10. Inputs &amp; Calcs'!H$628:H$633)</f>
        <v>31984426.030000001</v>
      </c>
      <c r="Q84" s="801">
        <f>SUMIF('10. Inputs &amp; Calcs'!$D$628:$D$633,$E$10,'10. Inputs &amp; Calcs'!I$628:I$633)</f>
        <v>32039938.791582055</v>
      </c>
      <c r="R84" s="801">
        <f>SUMIF('10. Inputs &amp; Calcs'!$D$628:$D$633,$E$10,'10. Inputs &amp; Calcs'!J$628:J$633)</f>
        <v>31920021.023589138</v>
      </c>
      <c r="S84" s="801">
        <f>SUMIF('10. Inputs &amp; Calcs'!$D$628:$D$633,$E$10,'10. Inputs &amp; Calcs'!K$628:K$633)</f>
        <v>31624672.726021253</v>
      </c>
      <c r="T84" s="801">
        <f>SUMIF('10. Inputs &amp; Calcs'!$D$628:$D$633,$E$10,'10. Inputs &amp; Calcs'!L$628:L$633)</f>
        <v>30970015.719852421</v>
      </c>
      <c r="U84" s="801">
        <f>SUMIF('10. Inputs &amp; Calcs'!$D$628:$D$633,$E$10,'10. Inputs &amp; Calcs'!M$628:M$633)</f>
        <v>30131672.629775681</v>
      </c>
      <c r="V84" s="801">
        <f>SUMIF('10. Inputs &amp; Calcs'!$D$628:$D$633,$E$10,'10. Inputs &amp; Calcs'!N$628:N$633)</f>
        <v>29109643.45579103</v>
      </c>
      <c r="W84" s="801">
        <f>SUMIF('10. Inputs &amp; Calcs'!$D$628:$D$633,$E$10,'10. Inputs &amp; Calcs'!O$628:O$633)</f>
        <v>27995771.239852421</v>
      </c>
      <c r="X84" s="801">
        <f>SUMIF('10. Inputs &amp; Calcs'!$D$628:$D$633,$E$10,'10. Inputs &amp; Calcs'!P$628:P$633)</f>
        <v>26698212.940005902</v>
      </c>
      <c r="Y84" s="801">
        <f>SUMIF('10. Inputs &amp; Calcs'!$D$628:$D$633,$E$10,'10. Inputs &amp; Calcs'!Q$628:Q$633)</f>
        <v>25216968.556251474</v>
      </c>
      <c r="Z84" s="801">
        <f>SUMIF('10. Inputs &amp; Calcs'!$D$628:$D$633,$E$10,'10. Inputs &amp; Calcs'!R$628:R$633)</f>
        <v>23552038.088589136</v>
      </c>
      <c r="AA84" s="801">
        <f>SUMIF('10. Inputs &amp; Calcs'!$D$628:$D$633,$E$10,'10. Inputs &amp; Calcs'!S$628:S$633)</f>
        <v>21703421.537018888</v>
      </c>
      <c r="AB84" s="801">
        <f>SUMIF('10. Inputs &amp; Calcs'!$D$628:$D$633,$E$10,'10. Inputs &amp; Calcs'!T$628:T$633)</f>
        <v>19671118.90154073</v>
      </c>
      <c r="AC84" s="801">
        <f>SUMIF('10. Inputs &amp; Calcs'!$D$628:$D$633,$E$10,'10. Inputs &amp; Calcs'!U$628:U$633)</f>
        <v>17455130.182154663</v>
      </c>
      <c r="AD84" s="801">
        <f>SUMIF('10. Inputs &amp; Calcs'!$D$628:$D$633,$E$10,'10. Inputs &amp; Calcs'!V$628:V$633)</f>
        <v>15055455.378860684</v>
      </c>
      <c r="AE84" s="801">
        <f>SUMIF('10. Inputs &amp; Calcs'!$D$628:$D$633,$E$10,'10. Inputs &amp; Calcs'!W$628:W$633)</f>
        <v>12472094.491658794</v>
      </c>
      <c r="AF84" s="533">
        <f>SUMIF('10. Inputs &amp; Calcs'!$D$628:$D$633,$E$10,'10. Inputs &amp; Calcs'!X$628:X$633)</f>
        <v>9705047.5205489937</v>
      </c>
      <c r="AG84" s="533">
        <f>SUMIF('10. Inputs &amp; Calcs'!$D$628:$D$633,$E$10,'10. Inputs &amp; Calcs'!Y$628:Y$633)</f>
        <v>6754314.4655312831</v>
      </c>
      <c r="AH84" s="533">
        <f>SUMIF('10. Inputs &amp; Calcs'!$D$628:$D$633,$E$10,'10. Inputs &amp; Calcs'!Z$628:Z$633)</f>
        <v>3619895.3266056622</v>
      </c>
      <c r="AI84" s="533">
        <f>SUMIF('10. Inputs &amp; Calcs'!$D$628:$D$633,$E$10,'10. Inputs &amp; Calcs'!AA$628:AA$633)</f>
        <v>301790.10377213109</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hidden="1"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hidden="1" outlineLevel="1" x14ac:dyDescent="0.45">
      <c r="D86" t="s">
        <v>1539</v>
      </c>
      <c r="F86" s="18"/>
      <c r="G86" s="18"/>
      <c r="I86" s="18"/>
      <c r="J86" s="18"/>
      <c r="K86" s="18"/>
      <c r="L86" s="18"/>
      <c r="O86" s="533"/>
      <c r="P86" s="533">
        <f>SUMIF('10. Inputs &amp; Calcs'!$D$396:$D$400,$E$10,'10. Inputs &amp; Calcs'!$H$396:$H$400)</f>
        <v>69531298.599999994</v>
      </c>
      <c r="Q86" s="801">
        <f t="shared" ref="Q86:AK86" si="32">P93</f>
        <v>71006915.600000009</v>
      </c>
      <c r="R86" s="801">
        <f t="shared" si="32"/>
        <v>82492176.628508762</v>
      </c>
      <c r="S86" s="801">
        <f t="shared" si="32"/>
        <v>95453054.657017544</v>
      </c>
      <c r="T86" s="801">
        <f t="shared" si="32"/>
        <v>108413932.68552631</v>
      </c>
      <c r="U86" s="801">
        <f t="shared" si="32"/>
        <v>121984734.3859649</v>
      </c>
      <c r="V86" s="801">
        <f t="shared" si="32"/>
        <v>135555536.08640349</v>
      </c>
      <c r="W86" s="801">
        <f t="shared" si="32"/>
        <v>149126337.78684211</v>
      </c>
      <c r="X86" s="801">
        <f t="shared" si="32"/>
        <v>162697139.4872807</v>
      </c>
      <c r="Y86" s="801">
        <f t="shared" si="32"/>
        <v>176267941.18771929</v>
      </c>
      <c r="Z86" s="801">
        <f t="shared" si="32"/>
        <v>189838742.88815787</v>
      </c>
      <c r="AA86" s="801">
        <f t="shared" si="32"/>
        <v>203409544.58859646</v>
      </c>
      <c r="AB86" s="801">
        <f t="shared" si="32"/>
        <v>216980346.28903508</v>
      </c>
      <c r="AC86" s="801">
        <f t="shared" si="32"/>
        <v>230551147.98947367</v>
      </c>
      <c r="AD86" s="801">
        <f t="shared" si="32"/>
        <v>244121949.68991223</v>
      </c>
      <c r="AE86" s="801">
        <f t="shared" si="32"/>
        <v>257692751.39035082</v>
      </c>
      <c r="AF86" s="533">
        <f t="shared" si="32"/>
        <v>271263553.09078944</v>
      </c>
      <c r="AG86" s="533">
        <f t="shared" si="32"/>
        <v>284834354.79122812</v>
      </c>
      <c r="AH86" s="533">
        <f t="shared" si="32"/>
        <v>298405156.49166656</v>
      </c>
      <c r="AI86" s="533">
        <f t="shared" si="32"/>
        <v>311975958.19210523</v>
      </c>
      <c r="AJ86" s="533">
        <f t="shared" si="32"/>
        <v>325546759.89254379</v>
      </c>
      <c r="AK86" s="533">
        <f t="shared" si="32"/>
        <v>309833926.63149118</v>
      </c>
      <c r="AL86" s="533">
        <f>P86</f>
        <v>69531298.599999994</v>
      </c>
      <c r="AM86" s="18"/>
      <c r="AN86" s="18"/>
      <c r="AO86" s="18"/>
      <c r="AP86" s="18"/>
      <c r="AQ86" s="18"/>
      <c r="AR86" s="18"/>
      <c r="AS86" s="18"/>
      <c r="AT86" s="18"/>
    </row>
    <row r="87" spans="1:46" hidden="1" outlineLevel="1" x14ac:dyDescent="0.45">
      <c r="D87" t="s">
        <v>1546</v>
      </c>
      <c r="F87" s="18"/>
      <c r="G87" s="18"/>
      <c r="I87" s="18"/>
      <c r="J87" s="18"/>
      <c r="K87" s="18"/>
      <c r="L87" s="18"/>
      <c r="N87" s="533"/>
      <c r="O87" s="533"/>
      <c r="P87" s="533">
        <f t="shared" ref="P87:AK87" si="33">IF(P94&gt;P86,P94-P86-P89,0)</f>
        <v>0</v>
      </c>
      <c r="Q87" s="801">
        <f>IF(Q94&gt;Q86,Q94-Q86-Q89,0)</f>
        <v>11485261.028508753</v>
      </c>
      <c r="R87" s="801">
        <f t="shared" si="33"/>
        <v>12960878.028508782</v>
      </c>
      <c r="S87" s="801">
        <f t="shared" si="33"/>
        <v>12960878.028508767</v>
      </c>
      <c r="T87" s="801">
        <f t="shared" si="33"/>
        <v>13570801.700438589</v>
      </c>
      <c r="U87" s="801">
        <f t="shared" si="33"/>
        <v>13570801.700438589</v>
      </c>
      <c r="V87" s="801">
        <f t="shared" si="33"/>
        <v>13570801.700438619</v>
      </c>
      <c r="W87" s="801">
        <f t="shared" si="33"/>
        <v>13570801.700438589</v>
      </c>
      <c r="X87" s="801">
        <f t="shared" si="33"/>
        <v>13570801.700438589</v>
      </c>
      <c r="Y87" s="801">
        <f t="shared" si="33"/>
        <v>13570801.700438589</v>
      </c>
      <c r="Z87" s="801">
        <f t="shared" si="33"/>
        <v>13570801.700438589</v>
      </c>
      <c r="AA87" s="801">
        <f t="shared" si="33"/>
        <v>13570801.700438619</v>
      </c>
      <c r="AB87" s="801">
        <f t="shared" si="33"/>
        <v>13570801.700438589</v>
      </c>
      <c r="AC87" s="801">
        <f t="shared" si="33"/>
        <v>13570801.700438589</v>
      </c>
      <c r="AD87" s="801">
        <f t="shared" si="33"/>
        <v>13570801.700438619</v>
      </c>
      <c r="AE87" s="801">
        <f t="shared" si="33"/>
        <v>13570801.700438619</v>
      </c>
      <c r="AF87" s="533">
        <f t="shared" si="33"/>
        <v>13570801.700438619</v>
      </c>
      <c r="AG87" s="533">
        <f t="shared" si="33"/>
        <v>13570801.700438499</v>
      </c>
      <c r="AH87" s="533">
        <f t="shared" si="33"/>
        <v>13570801.700438678</v>
      </c>
      <c r="AI87" s="533">
        <f t="shared" si="33"/>
        <v>13570801.700438619</v>
      </c>
      <c r="AJ87" s="533">
        <f t="shared" si="33"/>
        <v>0</v>
      </c>
      <c r="AK87" s="533">
        <f t="shared" si="33"/>
        <v>0</v>
      </c>
      <c r="AL87" s="533">
        <f>SUM(P87:AK87)</f>
        <v>254539844.29254389</v>
      </c>
      <c r="AM87" s="18"/>
      <c r="AN87" s="18"/>
      <c r="AO87" s="18"/>
      <c r="AP87" s="18"/>
      <c r="AQ87" s="18"/>
      <c r="AR87" s="18"/>
      <c r="AS87" s="18"/>
      <c r="AT87" s="18"/>
    </row>
    <row r="88" spans="1:46" hidden="1"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hidden="1" outlineLevel="1" x14ac:dyDescent="0.45">
      <c r="A89">
        <v>0</v>
      </c>
      <c r="D89" t="s">
        <v>1537</v>
      </c>
      <c r="F89" s="18"/>
      <c r="G89" s="18"/>
      <c r="I89" s="18"/>
      <c r="J89" s="18"/>
      <c r="K89" s="18"/>
      <c r="L89" s="18"/>
      <c r="N89" s="533"/>
      <c r="O89" s="533"/>
      <c r="P89" s="533">
        <f>SUMIF('10. Inputs &amp; Calcs'!$D$143:$D$148,$E$10,'10. Inputs &amp; Calcs'!$H$143:$H$148)</f>
        <v>1475617</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-14237216.261052625</v>
      </c>
      <c r="AM89" s="18"/>
      <c r="AN89" s="18"/>
      <c r="AO89" s="18"/>
      <c r="AP89" s="18"/>
      <c r="AQ89" s="18"/>
      <c r="AR89" s="18"/>
      <c r="AS89" s="18"/>
      <c r="AT89" s="18"/>
    </row>
    <row r="90" spans="1:46" hidden="1" outlineLevel="1" x14ac:dyDescent="0.45">
      <c r="D90" t="s">
        <v>1542</v>
      </c>
      <c r="F90" s="18"/>
      <c r="G90" s="18"/>
      <c r="I90" s="18"/>
      <c r="J90" s="18"/>
      <c r="K90" s="18"/>
      <c r="L90" s="18"/>
      <c r="N90" s="533"/>
      <c r="O90" s="533"/>
      <c r="P90" s="533">
        <f t="shared" ref="P90:AL90" si="34">P23</f>
        <v>1816987.6800000002</v>
      </c>
      <c r="Q90" s="801">
        <f t="shared" si="34"/>
        <v>1725816.5154191265</v>
      </c>
      <c r="R90" s="801">
        <f t="shared" si="34"/>
        <v>1634645.3508382528</v>
      </c>
      <c r="S90" s="801">
        <f t="shared" si="34"/>
        <v>1543474.1862573794</v>
      </c>
      <c r="T90" s="801">
        <f t="shared" si="34"/>
        <v>1448012.6139315234</v>
      </c>
      <c r="U90" s="801">
        <f t="shared" si="34"/>
        <v>1352551.0416056674</v>
      </c>
      <c r="V90" s="801">
        <f t="shared" si="34"/>
        <v>1257089.4692798115</v>
      </c>
      <c r="W90" s="801">
        <f t="shared" si="34"/>
        <v>1161627.8969539555</v>
      </c>
      <c r="X90" s="801">
        <f t="shared" si="34"/>
        <v>1066166.3246280996</v>
      </c>
      <c r="Y90" s="801">
        <f t="shared" si="34"/>
        <v>970704.75230224361</v>
      </c>
      <c r="Z90" s="801">
        <f t="shared" si="34"/>
        <v>875243.17997638753</v>
      </c>
      <c r="AA90" s="801">
        <f t="shared" si="34"/>
        <v>779781.60765053157</v>
      </c>
      <c r="AB90" s="801">
        <f t="shared" si="34"/>
        <v>684320.03532467561</v>
      </c>
      <c r="AC90" s="801">
        <f t="shared" si="34"/>
        <v>588858.46299881954</v>
      </c>
      <c r="AD90" s="801">
        <f t="shared" si="34"/>
        <v>493396.89067296352</v>
      </c>
      <c r="AE90" s="801">
        <f t="shared" si="34"/>
        <v>397935.3183471075</v>
      </c>
      <c r="AF90" s="533">
        <f t="shared" si="34"/>
        <v>302473.74602125149</v>
      </c>
      <c r="AG90" s="533">
        <f t="shared" si="34"/>
        <v>207012.17369539553</v>
      </c>
      <c r="AH90" s="533">
        <f t="shared" si="34"/>
        <v>111550.60136953955</v>
      </c>
      <c r="AI90" s="533">
        <f t="shared" si="34"/>
        <v>16089.029043683589</v>
      </c>
      <c r="AJ90" s="533">
        <f t="shared" si="34"/>
        <v>0</v>
      </c>
      <c r="AK90" s="533">
        <f t="shared" si="34"/>
        <v>0</v>
      </c>
      <c r="AL90" s="533">
        <f t="shared" si="34"/>
        <v>16616749.196316415</v>
      </c>
      <c r="AM90" s="18"/>
      <c r="AN90" s="18"/>
      <c r="AO90" s="18"/>
      <c r="AP90" s="18"/>
      <c r="AQ90" s="18"/>
      <c r="AR90" s="18"/>
      <c r="AS90" s="18"/>
      <c r="AT90" s="18"/>
    </row>
    <row r="91" spans="1:46" hidden="1" outlineLevel="1" x14ac:dyDescent="0.45">
      <c r="D91" t="s">
        <v>1543</v>
      </c>
      <c r="F91" s="18"/>
      <c r="G91" s="18"/>
      <c r="I91" s="18"/>
      <c r="J91" s="18"/>
      <c r="K91" s="18"/>
      <c r="L91" s="18"/>
      <c r="N91" s="533"/>
      <c r="O91" s="533"/>
      <c r="P91" s="533">
        <f t="shared" ref="P91:AL91" si="35">-P25</f>
        <v>-68874.049999999988</v>
      </c>
      <c r="Q91" s="801">
        <f t="shared" si="35"/>
        <v>-65418.150206611564</v>
      </c>
      <c r="R91" s="801">
        <f t="shared" si="35"/>
        <v>-61962.250413223133</v>
      </c>
      <c r="S91" s="801">
        <f t="shared" si="35"/>
        <v>-58506.350619834717</v>
      </c>
      <c r="T91" s="801">
        <f t="shared" si="35"/>
        <v>-54887.820247933887</v>
      </c>
      <c r="U91" s="801">
        <f t="shared" si="35"/>
        <v>-51269.289876033065</v>
      </c>
      <c r="V91" s="801">
        <f t="shared" si="35"/>
        <v>-47650.759504132235</v>
      </c>
      <c r="W91" s="801">
        <f t="shared" si="35"/>
        <v>-44032.229132231412</v>
      </c>
      <c r="X91" s="801">
        <f t="shared" si="35"/>
        <v>-40413.698760330582</v>
      </c>
      <c r="Y91" s="801">
        <f t="shared" si="35"/>
        <v>-36795.16838842976</v>
      </c>
      <c r="Z91" s="801">
        <f t="shared" si="35"/>
        <v>-33176.63801652893</v>
      </c>
      <c r="AA91" s="801">
        <f t="shared" si="35"/>
        <v>-29558.107644628104</v>
      </c>
      <c r="AB91" s="801">
        <f t="shared" si="35"/>
        <v>-25939.577272727278</v>
      </c>
      <c r="AC91" s="801">
        <f t="shared" si="35"/>
        <v>-22321.046900826448</v>
      </c>
      <c r="AD91" s="801">
        <f t="shared" si="35"/>
        <v>-18702.516528925622</v>
      </c>
      <c r="AE91" s="801">
        <f t="shared" si="35"/>
        <v>-15083.986157024792</v>
      </c>
      <c r="AF91" s="533">
        <f t="shared" si="35"/>
        <v>-11465.455785123964</v>
      </c>
      <c r="AG91" s="533">
        <f t="shared" si="35"/>
        <v>-7846.925413223139</v>
      </c>
      <c r="AH91" s="533">
        <f t="shared" si="35"/>
        <v>-4228.3950413223129</v>
      </c>
      <c r="AI91" s="533">
        <f t="shared" si="35"/>
        <v>-609.86466942148752</v>
      </c>
      <c r="AJ91" s="533">
        <f t="shared" si="35"/>
        <v>0</v>
      </c>
      <c r="AK91" s="533">
        <f t="shared" si="35"/>
        <v>0</v>
      </c>
      <c r="AL91" s="533">
        <f t="shared" si="35"/>
        <v>-629868.23057851219</v>
      </c>
      <c r="AM91" s="18"/>
      <c r="AN91" s="18"/>
      <c r="AO91" s="18"/>
      <c r="AP91" s="18"/>
      <c r="AQ91" s="18"/>
      <c r="AR91" s="18"/>
      <c r="AS91" s="18"/>
      <c r="AT91" s="18"/>
    </row>
    <row r="92" spans="1:46" hidden="1" outlineLevel="1" x14ac:dyDescent="0.45">
      <c r="D92" t="s">
        <v>1545</v>
      </c>
      <c r="F92" s="18"/>
      <c r="G92" s="18"/>
      <c r="I92" s="18"/>
      <c r="J92" s="18"/>
      <c r="K92" s="18"/>
      <c r="L92" s="18"/>
      <c r="N92" s="533"/>
      <c r="O92" s="533"/>
      <c r="P92" s="533">
        <f t="shared" ref="P92:AL92" si="36">-P90-P91</f>
        <v>-1748113.6300000001</v>
      </c>
      <c r="Q92" s="801">
        <f t="shared" si="36"/>
        <v>-1660398.365212515</v>
      </c>
      <c r="R92" s="801">
        <f t="shared" si="36"/>
        <v>-1572683.1004250296</v>
      </c>
      <c r="S92" s="801">
        <f t="shared" si="36"/>
        <v>-1484967.8356375447</v>
      </c>
      <c r="T92" s="801">
        <f t="shared" si="36"/>
        <v>-1393124.7936835894</v>
      </c>
      <c r="U92" s="801">
        <f t="shared" si="36"/>
        <v>-1301281.7517296344</v>
      </c>
      <c r="V92" s="801">
        <f t="shared" si="36"/>
        <v>-1209438.7097756793</v>
      </c>
      <c r="W92" s="801">
        <f t="shared" si="36"/>
        <v>-1117595.6678217242</v>
      </c>
      <c r="X92" s="801">
        <f t="shared" si="36"/>
        <v>-1025752.625867769</v>
      </c>
      <c r="Y92" s="801">
        <f t="shared" si="36"/>
        <v>-933909.58391381381</v>
      </c>
      <c r="Z92" s="801">
        <f t="shared" si="36"/>
        <v>-842066.54195985862</v>
      </c>
      <c r="AA92" s="801">
        <f t="shared" si="36"/>
        <v>-750223.50000590342</v>
      </c>
      <c r="AB92" s="801">
        <f t="shared" si="36"/>
        <v>-658380.45805194834</v>
      </c>
      <c r="AC92" s="801">
        <f t="shared" si="36"/>
        <v>-566537.41609799303</v>
      </c>
      <c r="AD92" s="801">
        <f t="shared" si="36"/>
        <v>-474694.37414403789</v>
      </c>
      <c r="AE92" s="801">
        <f t="shared" si="36"/>
        <v>-382851.3321900827</v>
      </c>
      <c r="AF92" s="533">
        <f t="shared" si="36"/>
        <v>-291008.2902361275</v>
      </c>
      <c r="AG92" s="533">
        <f t="shared" si="36"/>
        <v>-199165.2482821724</v>
      </c>
      <c r="AH92" s="533">
        <f t="shared" si="36"/>
        <v>-107322.20632821725</v>
      </c>
      <c r="AI92" s="533">
        <f t="shared" si="36"/>
        <v>-15479.164374262102</v>
      </c>
      <c r="AJ92" s="533">
        <f t="shared" si="36"/>
        <v>0</v>
      </c>
      <c r="AK92" s="533">
        <f t="shared" si="36"/>
        <v>0</v>
      </c>
      <c r="AL92" s="533">
        <f t="shared" si="36"/>
        <v>-15986880.965737903</v>
      </c>
      <c r="AM92" s="18"/>
      <c r="AN92" s="18"/>
      <c r="AO92" s="18"/>
      <c r="AP92" s="18"/>
      <c r="AQ92" s="18"/>
      <c r="AR92" s="18"/>
      <c r="AS92" s="18"/>
      <c r="AT92" s="18"/>
    </row>
    <row r="93" spans="1:46" hidden="1" outlineLevel="1" x14ac:dyDescent="0.45">
      <c r="D93" t="s">
        <v>1544</v>
      </c>
      <c r="F93" s="18"/>
      <c r="G93" s="18"/>
      <c r="I93" s="18"/>
      <c r="J93" s="18"/>
      <c r="K93" s="18"/>
      <c r="L93" s="18"/>
      <c r="N93" s="535"/>
      <c r="O93" s="535"/>
      <c r="P93" s="535">
        <f>SUM(P86:P92)</f>
        <v>71006915.600000009</v>
      </c>
      <c r="Q93" s="1135">
        <f t="shared" ref="Q93:AL93" si="37">SUM(Q86:Q92)</f>
        <v>82492176.628508762</v>
      </c>
      <c r="R93" s="1135">
        <f t="shared" si="37"/>
        <v>95453054.657017544</v>
      </c>
      <c r="S93" s="1135">
        <f t="shared" si="37"/>
        <v>108413932.68552631</v>
      </c>
      <c r="T93" s="1135">
        <f>SUM(T86:T92)</f>
        <v>121984734.3859649</v>
      </c>
      <c r="U93" s="1135">
        <f t="shared" si="37"/>
        <v>135555536.08640349</v>
      </c>
      <c r="V93" s="1135">
        <f t="shared" si="37"/>
        <v>149126337.78684211</v>
      </c>
      <c r="W93" s="1135">
        <f t="shared" si="37"/>
        <v>162697139.4872807</v>
      </c>
      <c r="X93" s="1135">
        <f t="shared" si="37"/>
        <v>176267941.18771929</v>
      </c>
      <c r="Y93" s="1135">
        <f t="shared" si="37"/>
        <v>189838742.88815787</v>
      </c>
      <c r="Z93" s="1135">
        <f t="shared" si="37"/>
        <v>203409544.58859646</v>
      </c>
      <c r="AA93" s="1135">
        <f t="shared" si="37"/>
        <v>216980346.28903508</v>
      </c>
      <c r="AB93" s="1135">
        <f t="shared" si="37"/>
        <v>230551147.98947367</v>
      </c>
      <c r="AC93" s="1135">
        <f t="shared" si="37"/>
        <v>244121949.68991223</v>
      </c>
      <c r="AD93" s="1135">
        <f t="shared" si="37"/>
        <v>257692751.39035082</v>
      </c>
      <c r="AE93" s="1135">
        <f t="shared" si="37"/>
        <v>271263553.09078944</v>
      </c>
      <c r="AF93" s="535">
        <f t="shared" si="37"/>
        <v>284834354.79122812</v>
      </c>
      <c r="AG93" s="535">
        <f t="shared" si="37"/>
        <v>298405156.49166656</v>
      </c>
      <c r="AH93" s="535">
        <f t="shared" si="37"/>
        <v>311975958.19210523</v>
      </c>
      <c r="AI93" s="535">
        <f t="shared" si="37"/>
        <v>325546759.89254379</v>
      </c>
      <c r="AJ93" s="535">
        <f t="shared" si="37"/>
        <v>309833926.63149118</v>
      </c>
      <c r="AK93" s="535">
        <f t="shared" si="37"/>
        <v>309833926.63149118</v>
      </c>
      <c r="AL93" s="535">
        <f t="shared" si="37"/>
        <v>309833926.6314913</v>
      </c>
      <c r="AM93" s="18"/>
      <c r="AN93" s="18"/>
      <c r="AO93" s="18"/>
      <c r="AP93" s="18"/>
      <c r="AQ93" s="18"/>
      <c r="AR93" s="18"/>
      <c r="AS93" s="18"/>
      <c r="AT93" s="18"/>
    </row>
    <row r="94" spans="1:46" hidden="1" outlineLevel="1" x14ac:dyDescent="0.45">
      <c r="F94" s="18"/>
      <c r="G94" s="18"/>
      <c r="I94" s="18"/>
      <c r="J94" s="18"/>
      <c r="K94" s="18"/>
      <c r="L94" s="18"/>
      <c r="P94" s="533">
        <f>SUMIF('10. Inputs &amp; Calcs'!$D$396:$D$400,$E$10,'10. Inputs &amp; Calcs'!H$396:H$400)</f>
        <v>69531298.599999994</v>
      </c>
      <c r="Q94" s="801">
        <f>SUMIF('10. Inputs &amp; Calcs'!$D$396:$D$400,$E$10,'10. Inputs &amp; Calcs'!I$396:I$400)</f>
        <v>82492176.628508762</v>
      </c>
      <c r="R94" s="801">
        <f>SUMIF('10. Inputs &amp; Calcs'!$D$396:$D$400,$E$10,'10. Inputs &amp; Calcs'!J$396:J$400)</f>
        <v>95453054.657017544</v>
      </c>
      <c r="S94" s="801">
        <f>SUMIF('10. Inputs &amp; Calcs'!$D$396:$D$400,$E$10,'10. Inputs &amp; Calcs'!K$396:K$400)</f>
        <v>108413932.68552631</v>
      </c>
      <c r="T94" s="801">
        <f>SUMIF('10. Inputs &amp; Calcs'!$D$396:$D$400,$E$10,'10. Inputs &amp; Calcs'!L$396:L$400)</f>
        <v>121984734.3859649</v>
      </c>
      <c r="U94" s="801">
        <f>SUMIF('10. Inputs &amp; Calcs'!$D$396:$D$400,$E$10,'10. Inputs &amp; Calcs'!M$396:M$400)</f>
        <v>135555536.08640349</v>
      </c>
      <c r="V94" s="801">
        <f>SUMIF('10. Inputs &amp; Calcs'!$D$396:$D$400,$E$10,'10. Inputs &amp; Calcs'!N$396:N$400)</f>
        <v>149126337.78684211</v>
      </c>
      <c r="W94" s="801">
        <f>SUMIF('10. Inputs &amp; Calcs'!$D$396:$D$400,$E$10,'10. Inputs &amp; Calcs'!O$396:O$400)</f>
        <v>162697139.4872807</v>
      </c>
      <c r="X94" s="801">
        <f>SUMIF('10. Inputs &amp; Calcs'!$D$396:$D$400,$E$10,'10. Inputs &amp; Calcs'!P$396:P$400)</f>
        <v>176267941.18771929</v>
      </c>
      <c r="Y94" s="801">
        <f>SUMIF('10. Inputs &amp; Calcs'!$D$396:$D$400,$E$10,'10. Inputs &amp; Calcs'!Q$396:Q$400)</f>
        <v>189838742.88815787</v>
      </c>
      <c r="Z94" s="801">
        <f>SUMIF('10. Inputs &amp; Calcs'!$D$396:$D$400,$E$10,'10. Inputs &amp; Calcs'!R$396:R$400)</f>
        <v>203409544.58859646</v>
      </c>
      <c r="AA94" s="801">
        <f>SUMIF('10. Inputs &amp; Calcs'!$D$396:$D$400,$E$10,'10. Inputs &amp; Calcs'!S$396:S$400)</f>
        <v>216980346.28903508</v>
      </c>
      <c r="AB94" s="801">
        <f>SUMIF('10. Inputs &amp; Calcs'!$D$396:$D$400,$E$10,'10. Inputs &amp; Calcs'!T$396:T$400)</f>
        <v>230551147.98947367</v>
      </c>
      <c r="AC94" s="801">
        <f>SUMIF('10. Inputs &amp; Calcs'!$D$396:$D$400,$E$10,'10. Inputs &amp; Calcs'!U$396:U$400)</f>
        <v>244121949.68991226</v>
      </c>
      <c r="AD94" s="801">
        <f>SUMIF('10. Inputs &amp; Calcs'!$D$396:$D$400,$E$10,'10. Inputs &amp; Calcs'!V$396:V$400)</f>
        <v>257692751.39035085</v>
      </c>
      <c r="AE94" s="801">
        <f>SUMIF('10. Inputs &amp; Calcs'!$D$396:$D$400,$E$10,'10. Inputs &amp; Calcs'!W$396:W$400)</f>
        <v>271263553.09078944</v>
      </c>
      <c r="AF94" s="533">
        <f>SUMIF('10. Inputs &amp; Calcs'!$D$396:$D$400,$E$10,'10. Inputs &amp; Calcs'!X$396:X$400)</f>
        <v>284834354.79122806</v>
      </c>
      <c r="AG94" s="533">
        <f>SUMIF('10. Inputs &amp; Calcs'!$D$396:$D$400,$E$10,'10. Inputs &amp; Calcs'!Y$396:Y$400)</f>
        <v>298405156.49166662</v>
      </c>
      <c r="AH94" s="533">
        <f>SUMIF('10. Inputs &amp; Calcs'!$D$396:$D$400,$E$10,'10. Inputs &amp; Calcs'!Z$396:Z$400)</f>
        <v>311975958.19210523</v>
      </c>
      <c r="AI94" s="533">
        <f>SUMIF('10. Inputs &amp; Calcs'!$D$396:$D$400,$E$10,'10. Inputs &amp; Calcs'!AA$396:AA$400)</f>
        <v>325546759.89254385</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hidden="1"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hidden="1" outlineLevel="1" x14ac:dyDescent="0.45">
      <c r="F96" s="18"/>
      <c r="G96" s="18"/>
      <c r="I96" s="18"/>
      <c r="J96" s="18"/>
      <c r="K96" s="18"/>
      <c r="L96" s="18"/>
      <c r="P96" s="533">
        <f>P94-P95</f>
        <v>60750597.659999996</v>
      </c>
      <c r="Q96" s="801">
        <f t="shared" ref="Q96:AL96" si="38">Q94-Q95</f>
        <v>72325049.224298239</v>
      </c>
      <c r="R96" s="801">
        <f t="shared" si="38"/>
        <v>83899500.788596496</v>
      </c>
      <c r="S96" s="801">
        <f t="shared" si="38"/>
        <v>95473952.352894738</v>
      </c>
      <c r="T96" s="801">
        <f t="shared" si="38"/>
        <v>108890706.66842104</v>
      </c>
      <c r="U96" s="801">
        <f t="shared" si="38"/>
        <v>122307460.98394735</v>
      </c>
      <c r="V96" s="801">
        <f t="shared" si="38"/>
        <v>135724215.2994737</v>
      </c>
      <c r="W96" s="801">
        <f t="shared" si="38"/>
        <v>149140969.61500001</v>
      </c>
      <c r="X96" s="801">
        <f t="shared" si="38"/>
        <v>162557723.93052632</v>
      </c>
      <c r="Y96" s="801">
        <f t="shared" si="38"/>
        <v>175974478.24605262</v>
      </c>
      <c r="Z96" s="801">
        <f t="shared" si="38"/>
        <v>189391232.56157893</v>
      </c>
      <c r="AA96" s="801">
        <f t="shared" si="38"/>
        <v>202807986.87710527</v>
      </c>
      <c r="AB96" s="801">
        <f t="shared" si="38"/>
        <v>216224741.19263157</v>
      </c>
      <c r="AC96" s="801">
        <f t="shared" si="38"/>
        <v>229641495.50815788</v>
      </c>
      <c r="AD96" s="801">
        <f t="shared" si="38"/>
        <v>243058249.82368419</v>
      </c>
      <c r="AE96" s="801">
        <f t="shared" si="38"/>
        <v>256475004.13921049</v>
      </c>
      <c r="AF96" s="533">
        <f t="shared" si="38"/>
        <v>269891758.45473683</v>
      </c>
      <c r="AG96" s="533">
        <f t="shared" si="38"/>
        <v>283308512.77026314</v>
      </c>
      <c r="AH96" s="533">
        <f t="shared" si="38"/>
        <v>296725267.08578944</v>
      </c>
      <c r="AI96" s="533">
        <f t="shared" si="38"/>
        <v>310142021.40131581</v>
      </c>
      <c r="AJ96" s="533">
        <f t="shared" si="38"/>
        <v>0</v>
      </c>
      <c r="AK96" s="533">
        <f t="shared" si="38"/>
        <v>0</v>
      </c>
      <c r="AL96" s="533">
        <f t="shared" si="38"/>
        <v>0</v>
      </c>
      <c r="AM96" s="18"/>
      <c r="AN96" s="18"/>
      <c r="AO96" s="18"/>
      <c r="AP96" s="18"/>
      <c r="AQ96" s="18"/>
      <c r="AR96" s="18"/>
      <c r="AS96" s="18"/>
      <c r="AT96" s="18"/>
    </row>
    <row r="97" spans="3:46" hidden="1"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hidden="1"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hidden="1"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hidden="1"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hidden="1" outlineLevel="1" x14ac:dyDescent="0.45">
      <c r="P101" s="896">
        <f>SUM(P99:P100)</f>
        <v>7399</v>
      </c>
      <c r="Q101" s="1137">
        <f t="shared" ref="Q101:AK101" si="39">SUM(Q99:Q100)</f>
        <v>7399</v>
      </c>
      <c r="R101" s="1137">
        <f t="shared" si="39"/>
        <v>7399</v>
      </c>
      <c r="S101" s="1137">
        <f t="shared" si="39"/>
        <v>7399</v>
      </c>
      <c r="T101" s="1137">
        <f t="shared" si="39"/>
        <v>7399</v>
      </c>
      <c r="U101" s="1137">
        <f t="shared" si="39"/>
        <v>7399</v>
      </c>
      <c r="V101" s="1137">
        <f t="shared" si="39"/>
        <v>7399</v>
      </c>
      <c r="W101" s="1137">
        <f t="shared" si="39"/>
        <v>7399</v>
      </c>
      <c r="X101" s="1137">
        <f t="shared" si="39"/>
        <v>7399</v>
      </c>
      <c r="Y101" s="1137">
        <f t="shared" si="39"/>
        <v>7399</v>
      </c>
      <c r="Z101" s="1137">
        <f t="shared" si="39"/>
        <v>7399</v>
      </c>
      <c r="AA101" s="1137">
        <f t="shared" si="39"/>
        <v>7399</v>
      </c>
      <c r="AB101" s="1137">
        <f t="shared" si="39"/>
        <v>7399</v>
      </c>
      <c r="AC101" s="1137">
        <f t="shared" si="39"/>
        <v>7399</v>
      </c>
      <c r="AD101" s="1137">
        <f t="shared" si="39"/>
        <v>7399</v>
      </c>
      <c r="AE101" s="1137">
        <f t="shared" si="39"/>
        <v>7399</v>
      </c>
      <c r="AF101" s="896">
        <f t="shared" si="39"/>
        <v>7399</v>
      </c>
      <c r="AG101" s="896">
        <f t="shared" si="39"/>
        <v>7399</v>
      </c>
      <c r="AH101" s="896">
        <f t="shared" si="39"/>
        <v>7399</v>
      </c>
      <c r="AI101" s="896">
        <f t="shared" si="39"/>
        <v>7399</v>
      </c>
      <c r="AJ101" s="896">
        <f t="shared" si="39"/>
        <v>7399</v>
      </c>
      <c r="AK101" s="896">
        <f t="shared" si="39"/>
        <v>0</v>
      </c>
      <c r="AL101" s="18"/>
      <c r="AM101" s="18"/>
      <c r="AN101" s="18"/>
      <c r="AO101" s="18"/>
      <c r="AP101" s="18"/>
      <c r="AQ101" s="18"/>
      <c r="AR101" s="18"/>
      <c r="AS101" s="18"/>
      <c r="AT101" s="18"/>
    </row>
    <row r="102" spans="3:46" collapsed="1"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Review'!$F$3:$W$3,'9d. Forecast Results - Gau'!N$1,'11. Table - Expenditure Review'!$F210:$W210)</f>
        <v>1.4473657586976172E-2</v>
      </c>
      <c r="O104" s="800">
        <f>SUMIF('11. Table - Expenditure Review'!$F$3:$W$3,'9d. Forecast Results - Gau'!O$1,'11. Table - Expenditure Review'!$F210:$W210)</f>
        <v>5.4457768087850366E-3</v>
      </c>
      <c r="P104" s="800">
        <f>SUMIF('11. Table - Expenditure Review'!$F$3:$W$3,'9d. Forecast Results - Gau'!P$1,'11. Table - Expenditure Review'!$F210:$W210)</f>
        <v>8.6890375017410773E-2</v>
      </c>
      <c r="Q104" s="916">
        <f t="shared" ref="Q104:AL104" si="40">IF(Q19&lt;&gt;0,Q21/Q19,0)</f>
        <v>3.0922742629526503E-2</v>
      </c>
      <c r="R104" s="916">
        <f t="shared" si="40"/>
        <v>3.0922742629526503E-2</v>
      </c>
      <c r="S104" s="916">
        <f t="shared" si="40"/>
        <v>3.0922742629526503E-2</v>
      </c>
      <c r="T104" s="916">
        <f t="shared" si="40"/>
        <v>3.0922742629526503E-2</v>
      </c>
      <c r="U104" s="916">
        <f t="shared" si="40"/>
        <v>3.0922742629526503E-2</v>
      </c>
      <c r="V104" s="916">
        <f t="shared" si="40"/>
        <v>3.0922742629526503E-2</v>
      </c>
      <c r="W104" s="916">
        <f t="shared" si="40"/>
        <v>3.0922742629526503E-2</v>
      </c>
      <c r="X104" s="916">
        <f t="shared" si="40"/>
        <v>3.0922742629526503E-2</v>
      </c>
      <c r="Y104" s="916">
        <f t="shared" si="40"/>
        <v>3.0922742629526503E-2</v>
      </c>
      <c r="Z104" s="916">
        <f t="shared" si="40"/>
        <v>3.0922742629526503E-2</v>
      </c>
      <c r="AA104" s="916">
        <f t="shared" si="40"/>
        <v>3.0922742629526503E-2</v>
      </c>
      <c r="AB104" s="916">
        <f t="shared" si="40"/>
        <v>3.0922742629526503E-2</v>
      </c>
      <c r="AC104" s="916">
        <f t="shared" si="40"/>
        <v>3.0922742629526503E-2</v>
      </c>
      <c r="AD104" s="916">
        <f t="shared" si="40"/>
        <v>3.0922742629526503E-2</v>
      </c>
      <c r="AE104" s="916">
        <f t="shared" si="40"/>
        <v>3.0922742629526503E-2</v>
      </c>
      <c r="AF104" s="916">
        <f t="shared" si="40"/>
        <v>3.0922742629526503E-2</v>
      </c>
      <c r="AG104" s="916">
        <f t="shared" si="40"/>
        <v>3.0922742629526503E-2</v>
      </c>
      <c r="AH104" s="916">
        <f t="shared" si="40"/>
        <v>3.0922742629526503E-2</v>
      </c>
      <c r="AI104" s="916">
        <f t="shared" si="40"/>
        <v>3.0922742629526503E-2</v>
      </c>
      <c r="AJ104" s="916">
        <f t="shared" si="40"/>
        <v>3.0922742629526507E-2</v>
      </c>
      <c r="AK104" s="916">
        <f t="shared" si="40"/>
        <v>0</v>
      </c>
      <c r="AL104" s="916">
        <f t="shared" si="40"/>
        <v>3.0922742629526517E-2</v>
      </c>
    </row>
    <row r="105" spans="3:46" x14ac:dyDescent="0.45">
      <c r="C105" t="str">
        <f>'11. Table - Expenditure Review'!C211</f>
        <v>E1.44</v>
      </c>
      <c r="D105" t="str">
        <f>'11. Table - Expenditure Review'!E211</f>
        <v>Rental Collections/Rentals Raised</v>
      </c>
      <c r="N105" s="800">
        <f>SUMIF('11. Table - Expenditure Review'!$F$3:$W$3,'9d. Forecast Results - Gau'!N$1,'11. Table - Expenditure Review'!$F211:$W211)</f>
        <v>0.12024850296859706</v>
      </c>
      <c r="O105" s="800">
        <f>SUMIF('11. Table - Expenditure Review'!$F$3:$W$3,'9d. Forecast Results - Gau'!O$1,'11. Table - Expenditure Review'!$F211:$W211)</f>
        <v>4.127869112613522E-2</v>
      </c>
      <c r="P105" s="800">
        <f>SUMIF('11. Table - Expenditure Review'!$F$3:$W$3,'9d. Forecast Results - Gau'!P$1,'11. Table - Expenditure Review'!$F211:$W211)</f>
        <v>3.7905623003453709E-2</v>
      </c>
      <c r="Q105" s="916">
        <f t="shared" ref="Q105:AL105" si="41">IF(Q23&lt;&gt;0,Q25/Q23,0)</f>
        <v>3.7905623003453709E-2</v>
      </c>
      <c r="R105" s="916">
        <f t="shared" si="41"/>
        <v>3.7905623003453709E-2</v>
      </c>
      <c r="S105" s="916">
        <f t="shared" si="41"/>
        <v>3.7905623003453709E-2</v>
      </c>
      <c r="T105" s="916">
        <f t="shared" si="41"/>
        <v>3.7905623003453709E-2</v>
      </c>
      <c r="U105" s="916">
        <f t="shared" si="41"/>
        <v>3.7905623003453709E-2</v>
      </c>
      <c r="V105" s="916">
        <f t="shared" si="41"/>
        <v>3.7905623003453709E-2</v>
      </c>
      <c r="W105" s="916">
        <f t="shared" si="41"/>
        <v>3.7905623003453709E-2</v>
      </c>
      <c r="X105" s="916">
        <f t="shared" si="41"/>
        <v>3.7905623003453709E-2</v>
      </c>
      <c r="Y105" s="916">
        <f t="shared" si="41"/>
        <v>3.7905623003453709E-2</v>
      </c>
      <c r="Z105" s="916">
        <f t="shared" si="41"/>
        <v>3.7905623003453709E-2</v>
      </c>
      <c r="AA105" s="916">
        <f t="shared" si="41"/>
        <v>3.7905623003453709E-2</v>
      </c>
      <c r="AB105" s="916">
        <f t="shared" si="41"/>
        <v>3.7905623003453709E-2</v>
      </c>
      <c r="AC105" s="916">
        <f t="shared" si="41"/>
        <v>3.7905623003453709E-2</v>
      </c>
      <c r="AD105" s="916">
        <f t="shared" si="41"/>
        <v>3.7905623003453709E-2</v>
      </c>
      <c r="AE105" s="916">
        <f t="shared" si="41"/>
        <v>3.7905623003453709E-2</v>
      </c>
      <c r="AF105" s="916">
        <f t="shared" si="41"/>
        <v>3.7905623003453709E-2</v>
      </c>
      <c r="AG105" s="916">
        <f t="shared" si="41"/>
        <v>3.7905623003453709E-2</v>
      </c>
      <c r="AH105" s="916">
        <f t="shared" si="41"/>
        <v>3.7905623003453702E-2</v>
      </c>
      <c r="AI105" s="916">
        <f t="shared" si="41"/>
        <v>3.7905623003453709E-2</v>
      </c>
      <c r="AJ105" s="916">
        <f t="shared" si="41"/>
        <v>0</v>
      </c>
      <c r="AK105" s="916">
        <f t="shared" si="41"/>
        <v>0</v>
      </c>
      <c r="AL105" s="916">
        <f t="shared" si="41"/>
        <v>3.7905623003453695E-2</v>
      </c>
    </row>
    <row r="106" spans="3:46" x14ac:dyDescent="0.45">
      <c r="C106" t="str">
        <f>'11. Table - Expenditure Review'!C212</f>
        <v>E1.45</v>
      </c>
      <c r="D106" t="str">
        <f>'11. Table - Expenditure Review'!E212</f>
        <v>No. of Sales Accounts Where Any Collections Were Made/Sales Accounts Raised</v>
      </c>
      <c r="N106" s="800">
        <f>SUMIF('11. Table - Expenditure Review'!$F$3:$W$3,'9d. Forecast Results - Gau'!N$1,'11. Table - Expenditure Review'!$F212:$W212)</f>
        <v>1.2510425354462052E-2</v>
      </c>
      <c r="O106" s="800">
        <f>SUMIF('11. Table - Expenditure Review'!$F$3:$W$3,'9d. Forecast Results - Gau'!O$1,'11. Table - Expenditure Review'!$F212:$W212)</f>
        <v>1.5290519877675841E-2</v>
      </c>
      <c r="P106" s="800">
        <f>SUMIF('11. Table - Expenditure Review'!$F$3:$W$3,'9d. Forecast Results - Gau'!P$1,'11. Table - Expenditure Review'!$F212:$W212)</f>
        <v>5.7553956834532375E-3</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Review'!$F$3:$W$3,'9d. Forecast Results - Gau'!N$1,'11. Table - Expenditure Review'!$F213:$W213)</f>
        <v>6.9871159563924673E-2</v>
      </c>
      <c r="O107" s="800">
        <f>SUMIF('11. Table - Expenditure Review'!$F$3:$W$3,'9d. Forecast Results - Gau'!O$1,'11. Table - Expenditure Review'!$F213:$W213)</f>
        <v>3.8461538461538464E-2</v>
      </c>
      <c r="P107" s="800">
        <f>SUMIF('11. Table - Expenditure Review'!$F$3:$W$3,'9d. Forecast Results - Gau'!P$1,'11. Table - Expenditure Review'!$F213:$W213)</f>
        <v>4.2381974248927042E-2</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Review'!$F$3:$W$3,'9d. Forecast Results - Gau'!N$1,'11. Table - Expenditure Review'!$F214:$W214)</f>
        <v>0</v>
      </c>
      <c r="O108" s="800">
        <f>SUMIF('11. Table - Expenditure Review'!$F$3:$W$3,'9d. Forecast Results - Gau'!O$1,'11. Table - Expenditure Review'!$F214:$W214)</f>
        <v>0</v>
      </c>
      <c r="P108" s="800">
        <f>SUMIF('11. Table - Expenditure Review'!$F$3:$W$3,'9d. Forecast Results - Gau'!P$1,'11. Table - Expenditure Review'!$F214:$W214)</f>
        <v>0</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Review'!$F$3:$W$3,'9d. Forecast Results - Gau'!N$1,'11. Table - Expenditure Review'!$F215:$W215)</f>
        <v>0</v>
      </c>
      <c r="O109" s="800">
        <f>SUMIF('11. Table - Expenditure Review'!$F$3:$W$3,'9d. Forecast Results - Gau'!O$1,'11. Table - Expenditure Review'!$F215:$W215)</f>
        <v>0</v>
      </c>
      <c r="P109" s="800">
        <f>SUMIF('11. Table - Expenditure Review'!$F$3:$W$3,'9d. Forecast Results - Gau'!P$1,'11.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Review'!$F$3:$W$3,'9d. Forecast Results - Gau'!N$1,'11. Table - Expenditure Review'!$F216:$W216)</f>
        <v>27.965580545306178</v>
      </c>
      <c r="O110" s="800">
        <f>SUMIF('11. Table - Expenditure Review'!$F$3:$W$3,'9d. Forecast Results - Gau'!O$1,'11. Table - Expenditure Review'!$F216:$W216)</f>
        <v>20.064060344894862</v>
      </c>
      <c r="P110" s="800">
        <f>SUMIF('11. Table - Expenditure Review'!$F$3:$W$3,'9d. Forecast Results - Gau'!P$1,'11. Table - Expenditure Review'!$F216:$W216)</f>
        <v>22.177921983057889</v>
      </c>
      <c r="Q110" s="914">
        <f t="shared" ref="Q110:AL110" ca="1" si="42">IF(Q28&lt;&gt;0,Q47/Q28,0)</f>
        <v>114.96204596181175</v>
      </c>
      <c r="R110" s="914">
        <f t="shared" ca="1" si="42"/>
        <v>116.12703628317945</v>
      </c>
      <c r="S110" s="914">
        <f t="shared" ca="1" si="42"/>
        <v>116.99052565265278</v>
      </c>
      <c r="T110" s="914">
        <f t="shared" ca="1" si="42"/>
        <v>112.71469159700422</v>
      </c>
      <c r="U110" s="914">
        <f t="shared" ca="1" si="42"/>
        <v>112.58245069547088</v>
      </c>
      <c r="V110" s="914">
        <f t="shared" ca="1" si="42"/>
        <v>111.99125111406745</v>
      </c>
      <c r="W110" s="914">
        <f t="shared" ca="1" si="42"/>
        <v>110.88276249039912</v>
      </c>
      <c r="X110" s="914">
        <f t="shared" ca="1" si="42"/>
        <v>109.19294765552901</v>
      </c>
      <c r="Y110" s="914">
        <f t="shared" ca="1" si="42"/>
        <v>106.85155339445267</v>
      </c>
      <c r="Z110" s="914">
        <f t="shared" ca="1" si="42"/>
        <v>103.7815573072308</v>
      </c>
      <c r="AA110" s="914">
        <f t="shared" ca="1" si="42"/>
        <v>99.898567004932062</v>
      </c>
      <c r="AB110" s="914">
        <f t="shared" ca="1" si="42"/>
        <v>95.110167546674049</v>
      </c>
      <c r="AC110" s="914">
        <f t="shared" ca="1" si="42"/>
        <v>89.315212666767394</v>
      </c>
      <c r="AD110" s="914">
        <f t="shared" ca="1" si="42"/>
        <v>82.403054951509603</v>
      </c>
      <c r="AE110" s="914">
        <f t="shared" ca="1" si="42"/>
        <v>74.252709700513478</v>
      </c>
      <c r="AF110" s="914">
        <f t="shared" ca="1" si="42"/>
        <v>64.731946744257954</v>
      </c>
      <c r="AG110" s="914">
        <f t="shared" ca="1" si="42"/>
        <v>53.696303984157716</v>
      </c>
      <c r="AH110" s="914">
        <f t="shared" ca="1" si="42"/>
        <v>40.988015869826143</v>
      </c>
      <c r="AI110" s="914">
        <f t="shared" ca="1" si="42"/>
        <v>26.434849425918316</v>
      </c>
      <c r="AJ110" s="914">
        <f t="shared" ca="1" si="42"/>
        <v>4.105832890135872</v>
      </c>
      <c r="AK110" s="914">
        <f t="shared" ca="1" si="42"/>
        <v>0</v>
      </c>
      <c r="AL110" s="914">
        <f t="shared" ca="1" si="42"/>
        <v>91.917939677010196</v>
      </c>
    </row>
    <row r="111" spans="3:46" x14ac:dyDescent="0.45">
      <c r="C111" t="str">
        <f>'11. Table - Expenditure Review'!C217</f>
        <v>E1.50</v>
      </c>
      <c r="D111" t="str">
        <f>'11. Table - Expenditure Review'!E217</f>
        <v>Maintenance as % of Expenses</v>
      </c>
      <c r="N111" s="800">
        <f>SUMIF('11. Table - Expenditure Review'!$F$3:$W$3,'9d. Forecast Results - Gau'!N$1,'11. Table - Expenditure Review'!$F217:$W217)</f>
        <v>0.53741164043210865</v>
      </c>
      <c r="O111" s="800">
        <f>SUMIF('11. Table - Expenditure Review'!$F$3:$W$3,'9d. Forecast Results - Gau'!O$1,'11. Table - Expenditure Review'!$F217:$W217)</f>
        <v>0.37691642525906238</v>
      </c>
      <c r="P111" s="800">
        <f>SUMIF('11. Table - Expenditure Review'!$F$3:$W$3,'9d. Forecast Results - Gau'!P$1,'11. Table - Expenditure Review'!$F217:$W217)</f>
        <v>0.51294643719195587</v>
      </c>
      <c r="Q111" s="914">
        <f t="shared" ref="Q111:AL111" si="43">IF(Q47&lt;&gt;0,Q33/Q47,0)</f>
        <v>0.50597713590360449</v>
      </c>
      <c r="R111" s="914">
        <f t="shared" si="43"/>
        <v>0.5042718990526841</v>
      </c>
      <c r="S111" s="914">
        <f t="shared" si="43"/>
        <v>0.5023787694569315</v>
      </c>
      <c r="T111" s="914">
        <f t="shared" si="43"/>
        <v>0.49951489966931317</v>
      </c>
      <c r="U111" s="914">
        <f t="shared" si="43"/>
        <v>0.49661110804351477</v>
      </c>
      <c r="V111" s="914">
        <f t="shared" si="43"/>
        <v>0.49330785994660964</v>
      </c>
      <c r="W111" s="914">
        <f t="shared" si="43"/>
        <v>0.48951664110436643</v>
      </c>
      <c r="X111" s="914">
        <f t="shared" si="43"/>
        <v>0.4851207001277561</v>
      </c>
      <c r="Y111" s="914">
        <f t="shared" si="43"/>
        <v>0.47996281269722907</v>
      </c>
      <c r="Z111" s="914">
        <f t="shared" si="43"/>
        <v>0.47382607953681199</v>
      </c>
      <c r="AA111" s="914">
        <f t="shared" si="43"/>
        <v>0.46640264601374593</v>
      </c>
      <c r="AB111" s="914">
        <f t="shared" si="43"/>
        <v>0.45724044156526222</v>
      </c>
      <c r="AC111" s="914">
        <f t="shared" si="43"/>
        <v>0.44564752947456343</v>
      </c>
      <c r="AD111" s="914">
        <f t="shared" si="43"/>
        <v>0.43050868688438948</v>
      </c>
      <c r="AE111" s="914">
        <f t="shared" si="43"/>
        <v>0.40990328887017385</v>
      </c>
      <c r="AF111" s="914">
        <f t="shared" si="43"/>
        <v>0.38021805036618678</v>
      </c>
      <c r="AG111" s="914">
        <f t="shared" si="43"/>
        <v>0.33375539419762251</v>
      </c>
      <c r="AH111" s="914">
        <f t="shared" si="43"/>
        <v>0.25068943221526718</v>
      </c>
      <c r="AI111" s="914">
        <f t="shared" si="43"/>
        <v>5.9655413097127422E-2</v>
      </c>
      <c r="AJ111" s="914">
        <f t="shared" si="43"/>
        <v>0</v>
      </c>
      <c r="AK111" s="914">
        <f t="shared" si="43"/>
        <v>0</v>
      </c>
      <c r="AL111" s="914">
        <f t="shared" si="43"/>
        <v>0.46113658534200253</v>
      </c>
    </row>
    <row r="112" spans="3:46" x14ac:dyDescent="0.45">
      <c r="C112" t="str">
        <f>'11. Table - Expenditure Review'!C218</f>
        <v>E1.51</v>
      </c>
      <c r="D112" t="str">
        <f>'11. Table - Expenditure Review'!E218</f>
        <v>Maintenance Cost per Unit</v>
      </c>
      <c r="N112" s="801">
        <f>SUMIF('11. Table - Expenditure Review'!$F$3:$W$3,'9d. Forecast Results - Gau'!N$1,'11. Table - Expenditure Review'!$F218:$W218)</f>
        <v>0</v>
      </c>
      <c r="O112" s="801">
        <f>SUMIF('11. Table - Expenditure Review'!$F$3:$W$3,'9d. Forecast Results - Gau'!O$1,'11. Table - Expenditure Review'!$F218:$W218)</f>
        <v>0</v>
      </c>
      <c r="P112" s="801">
        <f>SUMIF('11. Table - Expenditure Review'!$F$3:$W$3,'9d. Forecast Results - Gau'!P$1,'11. Table - Expenditure Review'!$F218:$W218)</f>
        <v>15975.443034238489</v>
      </c>
      <c r="Q112" s="566">
        <f t="shared" ref="Q112:AL112" si="44">IF(Q13&lt;&gt;0,Q33/Q13,0)</f>
        <v>16854.092401121605</v>
      </c>
      <c r="R112" s="566">
        <f t="shared" si="44"/>
        <v>17781.067483183291</v>
      </c>
      <c r="S112" s="566">
        <f t="shared" si="44"/>
        <v>18759.026194758368</v>
      </c>
      <c r="T112" s="566">
        <f t="shared" si="44"/>
        <v>19790.772635470075</v>
      </c>
      <c r="U112" s="566">
        <f t="shared" si="44"/>
        <v>20879.265130420928</v>
      </c>
      <c r="V112" s="566">
        <f t="shared" si="44"/>
        <v>22027.624712594079</v>
      </c>
      <c r="W112" s="566">
        <f t="shared" si="44"/>
        <v>23239.144071786752</v>
      </c>
      <c r="X112" s="566">
        <f t="shared" si="44"/>
        <v>24517.296995735021</v>
      </c>
      <c r="Y112" s="566">
        <f t="shared" si="44"/>
        <v>25865.748330500446</v>
      </c>
      <c r="Z112" s="566">
        <f t="shared" si="44"/>
        <v>27288.364488677969</v>
      </c>
      <c r="AA112" s="566">
        <f t="shared" si="44"/>
        <v>28789.224535555262</v>
      </c>
      <c r="AB112" s="566">
        <f t="shared" si="44"/>
        <v>30372.631885010796</v>
      </c>
      <c r="AC112" s="566">
        <f t="shared" si="44"/>
        <v>32043.12663868639</v>
      </c>
      <c r="AD112" s="566">
        <f t="shared" si="44"/>
        <v>33805.498603814143</v>
      </c>
      <c r="AE112" s="566">
        <f t="shared" si="44"/>
        <v>35664.80102702391</v>
      </c>
      <c r="AF112" s="566">
        <f t="shared" si="44"/>
        <v>37626.365083510231</v>
      </c>
      <c r="AG112" s="566">
        <f t="shared" si="44"/>
        <v>39695.815163103289</v>
      </c>
      <c r="AH112" s="566">
        <f t="shared" si="44"/>
        <v>41879.084997073973</v>
      </c>
      <c r="AI112" s="566">
        <f t="shared" si="44"/>
        <v>44182.434671913041</v>
      </c>
      <c r="AJ112" s="566">
        <f t="shared" si="44"/>
        <v>0</v>
      </c>
      <c r="AK112" s="566">
        <f t="shared" si="44"/>
        <v>0</v>
      </c>
      <c r="AL112" s="566">
        <f t="shared" si="44"/>
        <v>0</v>
      </c>
    </row>
    <row r="113" spans="1:38" x14ac:dyDescent="0.45">
      <c r="C113" t="str">
        <f>'11. Table - Expenditure Review'!C219</f>
        <v>E1.52</v>
      </c>
      <c r="D113" t="str">
        <f>'11. Table - Expenditure Review'!E219</f>
        <v>Net Deficit as % of HSDG Grant -  NDoHS Calc  (excl staff costs)</v>
      </c>
      <c r="N113" s="802">
        <f>SUMIF('11. Table - Expenditure Review'!$F$3:$W$3,'9d. Forecast Results - Gau'!N$1,'11. Table - Expenditure Review'!$F219:$W219)</f>
        <v>1.0349453760455107E-2</v>
      </c>
      <c r="O113" s="802">
        <f>SUMIF('11. Table - Expenditure Review'!$F$3:$W$3,'9d. Forecast Results - Gau'!O$1,'11. Table - Expenditure Review'!$F219:$W219)</f>
        <v>9.8155461387650095E-3</v>
      </c>
      <c r="P113" s="802">
        <f>SUMIF('11. Table - Expenditure Review'!$F$3:$W$3,'9d. Forecast Results - Gau'!P$1,'11. Table - Expenditure Review'!$F219:$W219)</f>
        <v>0</v>
      </c>
      <c r="Q113" s="915">
        <f t="shared" ref="Q113:AL113" ca="1" si="45">IF(Q71&lt;&gt;0,-Q48/Q71,0)</f>
        <v>1.3049244139181333E-2</v>
      </c>
      <c r="R113" s="915">
        <f t="shared" ca="1" si="45"/>
        <v>1.3084920641080801E-2</v>
      </c>
      <c r="S113" s="915">
        <f t="shared" ca="1" si="45"/>
        <v>1.3084607847467579E-2</v>
      </c>
      <c r="T113" s="915">
        <f t="shared" ca="1" si="45"/>
        <v>1.3020477628794443E-2</v>
      </c>
      <c r="U113" s="915">
        <f t="shared" ca="1" si="45"/>
        <v>1.2905895508639995E-2</v>
      </c>
      <c r="V113" s="915">
        <f t="shared" ca="1" si="45"/>
        <v>1.273887208028229E-2</v>
      </c>
      <c r="W113" s="915">
        <f t="shared" ca="1" si="45"/>
        <v>1.2513988099211646E-2</v>
      </c>
      <c r="X113" s="915">
        <f t="shared" ca="1" si="45"/>
        <v>1.2225386838979628E-2</v>
      </c>
      <c r="Y113" s="915">
        <f t="shared" ca="1" si="45"/>
        <v>1.186674236140043E-2</v>
      </c>
      <c r="Z113" s="915">
        <f t="shared" ca="1" si="45"/>
        <v>1.1431225619857276E-2</v>
      </c>
      <c r="AA113" s="915">
        <f t="shared" ca="1" si="45"/>
        <v>1.0911468253338014E-2</v>
      </c>
      <c r="AB113" s="915">
        <f t="shared" ca="1" si="45"/>
        <v>1.0299523919717645E-2</v>
      </c>
      <c r="AC113" s="915">
        <f t="shared" ca="1" si="45"/>
        <v>9.5868270071279849E-3</v>
      </c>
      <c r="AD113" s="915">
        <f t="shared" ca="1" si="45"/>
        <v>8.7641485519708087E-3</v>
      </c>
      <c r="AE113" s="915">
        <f t="shared" ca="1" si="45"/>
        <v>7.821549181203492E-3</v>
      </c>
      <c r="AF113" s="915">
        <f t="shared" ca="1" si="45"/>
        <v>6.7483288849149708E-3</v>
      </c>
      <c r="AG113" s="915">
        <f t="shared" ca="1" si="45"/>
        <v>5.5329734128736928E-3</v>
      </c>
      <c r="AH113" s="915">
        <f t="shared" ca="1" si="45"/>
        <v>4.1630970756223393E-3</v>
      </c>
      <c r="AI113" s="915">
        <f t="shared" ca="1" si="45"/>
        <v>2.6253817167699307E-3</v>
      </c>
      <c r="AJ113" s="915">
        <f t="shared" ca="1" si="45"/>
        <v>5.3952544098936548E-5</v>
      </c>
      <c r="AK113" s="915">
        <f t="shared" ca="1" si="45"/>
        <v>0</v>
      </c>
      <c r="AL113" s="915">
        <f t="shared" ca="1" si="45"/>
        <v>9.1632672053587258E-3</v>
      </c>
    </row>
    <row r="114" spans="1:38" x14ac:dyDescent="0.45">
      <c r="C114" t="str">
        <f>'11. Table - Expenditure Review'!C220</f>
        <v>E1.53</v>
      </c>
      <c r="D114" t="str">
        <f>'11. Table - Expenditure Review'!E220</f>
        <v>Net Deficit (Surplus) as % of HSDG Grant - Calculated Above</v>
      </c>
      <c r="N114" s="802">
        <f>SUMIF('11. Table - Expenditure Review'!$F$3:$W$3,'9d. Forecast Results - Gau'!N$1,'11. Table - Expenditure Review'!$F220:$W220)</f>
        <v>1.3008292095182467E-2</v>
      </c>
      <c r="O114" s="802">
        <f>SUMIF('11. Table - Expenditure Review'!$F$3:$W$3,'9d. Forecast Results - Gau'!O$1,'11. Table - Expenditure Review'!$F220:$W220)</f>
        <v>1.2305955491982159E-2</v>
      </c>
      <c r="P114" s="802">
        <f>SUMIF('11. Table - Expenditure Review'!$F$3:$W$3,'9d. Forecast Results - Gau'!P$1,'11. Table - Expenditure Review'!$F220:$W220)</f>
        <v>1.2373879227479104E-2</v>
      </c>
      <c r="Q114" s="915">
        <f t="shared" ref="Q114:AL114" ca="1" si="46">IF(Q71&lt;&gt;0,-Q48/Q71,0)</f>
        <v>1.3049244139181333E-2</v>
      </c>
      <c r="R114" s="915">
        <f t="shared" ca="1" si="46"/>
        <v>1.3084920641080801E-2</v>
      </c>
      <c r="S114" s="915">
        <f t="shared" ca="1" si="46"/>
        <v>1.3084607847467579E-2</v>
      </c>
      <c r="T114" s="915">
        <f t="shared" ca="1" si="46"/>
        <v>1.3020477628794443E-2</v>
      </c>
      <c r="U114" s="915">
        <f t="shared" ca="1" si="46"/>
        <v>1.2905895508639995E-2</v>
      </c>
      <c r="V114" s="915">
        <f t="shared" ca="1" si="46"/>
        <v>1.273887208028229E-2</v>
      </c>
      <c r="W114" s="915">
        <f t="shared" ca="1" si="46"/>
        <v>1.2513988099211646E-2</v>
      </c>
      <c r="X114" s="915">
        <f t="shared" ca="1" si="46"/>
        <v>1.2225386838979628E-2</v>
      </c>
      <c r="Y114" s="915">
        <f t="shared" ca="1" si="46"/>
        <v>1.186674236140043E-2</v>
      </c>
      <c r="Z114" s="915">
        <f t="shared" ca="1" si="46"/>
        <v>1.1431225619857276E-2</v>
      </c>
      <c r="AA114" s="915">
        <f t="shared" ca="1" si="46"/>
        <v>1.0911468253338014E-2</v>
      </c>
      <c r="AB114" s="915">
        <f t="shared" ca="1" si="46"/>
        <v>1.0299523919717645E-2</v>
      </c>
      <c r="AC114" s="915">
        <f t="shared" ca="1" si="46"/>
        <v>9.5868270071279849E-3</v>
      </c>
      <c r="AD114" s="915">
        <f t="shared" ca="1" si="46"/>
        <v>8.7641485519708087E-3</v>
      </c>
      <c r="AE114" s="915">
        <f t="shared" ca="1" si="46"/>
        <v>7.821549181203492E-3</v>
      </c>
      <c r="AF114" s="915">
        <f t="shared" ca="1" si="46"/>
        <v>6.7483288849149708E-3</v>
      </c>
      <c r="AG114" s="915">
        <f t="shared" ca="1" si="46"/>
        <v>5.5329734128736928E-3</v>
      </c>
      <c r="AH114" s="915">
        <f t="shared" ca="1" si="46"/>
        <v>4.1630970756223393E-3</v>
      </c>
      <c r="AI114" s="915">
        <f t="shared" ca="1" si="46"/>
        <v>2.6253817167699307E-3</v>
      </c>
      <c r="AJ114" s="915">
        <f t="shared" ca="1" si="46"/>
        <v>5.3952544098936548E-5</v>
      </c>
      <c r="AK114" s="915">
        <f t="shared" ca="1" si="46"/>
        <v>0</v>
      </c>
      <c r="AL114" s="915">
        <f t="shared" ca="1" si="46"/>
        <v>9.1632672053587258E-3</v>
      </c>
    </row>
    <row r="115" spans="1:38" x14ac:dyDescent="0.45">
      <c r="C115" t="str">
        <f>'11. Table - Expenditure Review'!C221</f>
        <v>E1.54</v>
      </c>
      <c r="D115" t="str">
        <f>'11. Table - Expenditure Review'!E221</f>
        <v>EEDBS as % of HSDG</v>
      </c>
      <c r="N115" s="802">
        <f>SUMIF('11. Table - Expenditure Review'!$F$3:$W$3,'9d. Forecast Results - Gau'!N$1,'11. Table - Expenditure Review'!$F221:$W221)</f>
        <v>3.7055334693636134E-4</v>
      </c>
      <c r="O115" s="802">
        <f>SUMIF('11. Table - Expenditure Review'!$F$3:$W$3,'9d. Forecast Results - Gau'!O$1,'11. Table - Expenditure Review'!$F221:$W221)</f>
        <v>5.987815669041464E-4</v>
      </c>
      <c r="P115" s="802">
        <f>SUMIF('11. Table - Expenditure Review'!$F$3:$W$3,'9d. Forecast Results - Gau'!P$1,'11. Table - Expenditure Review'!$F221:$W221)</f>
        <v>3.6242882479460109E-4</v>
      </c>
      <c r="Q115" s="580">
        <f t="shared" ref="Q115:AL115" ca="1" si="47">IF(Q71&lt;&gt;0,Q67/Q71,0)</f>
        <v>3.7345590027117897E-4</v>
      </c>
      <c r="R115" s="580">
        <f t="shared" ca="1" si="47"/>
        <v>3.7345590027117897E-4</v>
      </c>
      <c r="S115" s="580">
        <f t="shared" ca="1" si="47"/>
        <v>3.7345590027117897E-4</v>
      </c>
      <c r="T115" s="580">
        <f t="shared" ca="1" si="47"/>
        <v>3.9103029557805791E-4</v>
      </c>
      <c r="U115" s="580">
        <f t="shared" ca="1" si="47"/>
        <v>3.9103029557805791E-4</v>
      </c>
      <c r="V115" s="580">
        <f t="shared" ca="1" si="47"/>
        <v>3.9103029557805791E-4</v>
      </c>
      <c r="W115" s="580">
        <f t="shared" ca="1" si="47"/>
        <v>3.9103029557805791E-4</v>
      </c>
      <c r="X115" s="580">
        <f t="shared" ca="1" si="47"/>
        <v>3.9103029557805791E-4</v>
      </c>
      <c r="Y115" s="580">
        <f t="shared" ca="1" si="47"/>
        <v>3.9103029557805791E-4</v>
      </c>
      <c r="Z115" s="580">
        <f t="shared" ca="1" si="47"/>
        <v>3.9103029557805791E-4</v>
      </c>
      <c r="AA115" s="580">
        <f t="shared" ca="1" si="47"/>
        <v>3.9103029557805791E-4</v>
      </c>
      <c r="AB115" s="580">
        <f t="shared" ca="1" si="47"/>
        <v>3.9103029557805791E-4</v>
      </c>
      <c r="AC115" s="580">
        <f t="shared" ca="1" si="47"/>
        <v>3.9103029557805791E-4</v>
      </c>
      <c r="AD115" s="580">
        <f t="shared" ca="1" si="47"/>
        <v>3.9103029557805791E-4</v>
      </c>
      <c r="AE115" s="580">
        <f t="shared" ca="1" si="47"/>
        <v>3.9103029557805791E-4</v>
      </c>
      <c r="AF115" s="580">
        <f t="shared" ca="1" si="47"/>
        <v>3.9103029557805791E-4</v>
      </c>
      <c r="AG115" s="580">
        <f t="shared" ca="1" si="47"/>
        <v>3.9103029557805791E-4</v>
      </c>
      <c r="AH115" s="580">
        <f t="shared" ca="1" si="47"/>
        <v>3.9103029557805791E-4</v>
      </c>
      <c r="AI115" s="580">
        <f t="shared" ca="1" si="47"/>
        <v>3.9103029557805791E-4</v>
      </c>
      <c r="AJ115" s="580">
        <f t="shared" ca="1" si="47"/>
        <v>8.0585769097918286E-2</v>
      </c>
      <c r="AK115" s="580">
        <f t="shared" ca="1" si="47"/>
        <v>0</v>
      </c>
      <c r="AL115" s="580">
        <f t="shared" ca="1" si="47"/>
        <v>4.1886962632371781E-3</v>
      </c>
    </row>
    <row r="116" spans="1:38" x14ac:dyDescent="0.45">
      <c r="C116" t="str">
        <f>'11. Table - Expenditure Review'!C222</f>
        <v>E1.55</v>
      </c>
      <c r="D116" t="str">
        <f>'11. Table - Expenditure Review'!E222</f>
        <v>Debtors Balance as % of Rental Raised</v>
      </c>
      <c r="N116" s="802">
        <f>SUMIF('11. Table - Expenditure Review'!$F$3:$W$3,'9d. Forecast Results - Gau'!N$1,'11. Table - Expenditure Review'!$F222:$W222)</f>
        <v>0</v>
      </c>
      <c r="O116" s="802">
        <f>SUMIF('11. Table - Expenditure Review'!$F$3:$W$3,'9d. Forecast Results - Gau'!O$1,'11. Table - Expenditure Review'!$F222:$W222)</f>
        <v>0</v>
      </c>
      <c r="P116" s="802">
        <f>SUMIF('11. Table - Expenditure Review'!$F$3:$W$3,'9d. Forecast Results - Gau'!P$1,'11. Table - Expenditure Review'!$F222:$W222)</f>
        <v>17.602995541499762</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Review'!$F$3:$W$3,'9d. Forecast Results - Gau'!N$1,'11. Table - Expenditure Review'!$F223:$W223)</f>
        <v>0</v>
      </c>
      <c r="O117" s="801">
        <f>SUMIF('11. Table - Expenditure Review'!$F$3:$W$3,'9d. Forecast Results - Gau'!O$1,'11. Table - Expenditure Review'!$F223:$W223)</f>
        <v>0</v>
      </c>
      <c r="P117" s="801">
        <f>SUMIF('11. Table - Expenditure Review'!$F$3:$W$3,'9d. Forecast Results - Gau'!P$1,'11. Table - Expenditure Review'!$F223:$W223)</f>
        <v>2595.3721928702612</v>
      </c>
      <c r="Q117" s="566">
        <f t="shared" ref="Q117:AL117" si="48">IF(Q13&lt;&gt;0,Q47/Q13/12,0)</f>
        <v>2775.8323458335963</v>
      </c>
      <c r="R117" s="566">
        <f t="shared" si="48"/>
        <v>2938.4060987380149</v>
      </c>
      <c r="S117" s="566">
        <f t="shared" si="48"/>
        <v>3111.7003303829842</v>
      </c>
      <c r="T117" s="566">
        <f t="shared" si="48"/>
        <v>3301.6653838507264</v>
      </c>
      <c r="U117" s="566">
        <f t="shared" si="48"/>
        <v>3503.6243303602291</v>
      </c>
      <c r="V117" s="566">
        <f t="shared" si="48"/>
        <v>3721.0746914003007</v>
      </c>
      <c r="W117" s="566">
        <f t="shared" si="48"/>
        <v>3956.1379056420574</v>
      </c>
      <c r="X117" s="566">
        <f t="shared" si="48"/>
        <v>4211.5458739234746</v>
      </c>
      <c r="Y117" s="566">
        <f t="shared" si="48"/>
        <v>4490.9292355977313</v>
      </c>
      <c r="Z117" s="566">
        <f t="shared" si="48"/>
        <v>4799.2933953307775</v>
      </c>
      <c r="AA117" s="566">
        <f t="shared" si="48"/>
        <v>5143.8431259648087</v>
      </c>
      <c r="AB117" s="566">
        <f t="shared" si="48"/>
        <v>5535.4960475931002</v>
      </c>
      <c r="AC117" s="566">
        <f t="shared" si="48"/>
        <v>5991.8666134472041</v>
      </c>
      <c r="AD117" s="566">
        <f t="shared" si="48"/>
        <v>6543.7120538468953</v>
      </c>
      <c r="AE117" s="566">
        <f t="shared" si="48"/>
        <v>7250.6535881767886</v>
      </c>
      <c r="AF117" s="566">
        <f t="shared" si="48"/>
        <v>8246.6637778138956</v>
      </c>
      <c r="AG117" s="566">
        <f t="shared" si="48"/>
        <v>9911.4041433786024</v>
      </c>
      <c r="AH117" s="566">
        <f t="shared" si="48"/>
        <v>13921.303817702872</v>
      </c>
      <c r="AI117" s="566">
        <f t="shared" si="48"/>
        <v>61718.951639780797</v>
      </c>
      <c r="AJ117" s="566">
        <f t="shared" si="48"/>
        <v>0</v>
      </c>
      <c r="AK117" s="566">
        <f t="shared" si="48"/>
        <v>0</v>
      </c>
      <c r="AL117" s="566">
        <f t="shared" si="48"/>
        <v>0</v>
      </c>
    </row>
    <row r="118" spans="1:38" x14ac:dyDescent="0.45">
      <c r="C118" t="str">
        <f>'11. Table - Expenditure Review'!C224</f>
        <v>E1.57</v>
      </c>
      <c r="D118" t="str">
        <f>'11. Table - Expenditure Review'!E224</f>
        <v>Net Surplus/Deficit p.u.p.m.</v>
      </c>
      <c r="N118" s="801">
        <f>SUMIF('11. Table - Expenditure Review'!$F$3:$W$3,'9d. Forecast Results - Gau'!N$1,'11. Table - Expenditure Review'!$F224:$W224)</f>
        <v>0</v>
      </c>
      <c r="O118" s="801">
        <f>SUMIF('11. Table - Expenditure Review'!$F$3:$W$3,'9d. Forecast Results - Gau'!O$1,'11. Table - Expenditure Review'!$F224:$W224)</f>
        <v>0</v>
      </c>
      <c r="P118" s="801">
        <f>SUMIF('11. Table - Expenditure Review'!$F$3:$W$3,'9d. Forecast Results - Gau'!P$1,'11. Table - Expenditure Review'!$F224:$W224)</f>
        <v>-2478.3471535156764</v>
      </c>
      <c r="Q118" s="566">
        <f t="shared" ref="Q118:AL118" ca="1" si="49">IF(Q13&lt;&gt;0,Q48/Q13/12,0)</f>
        <v>-2751.6867043515745</v>
      </c>
      <c r="R118" s="566">
        <f t="shared" ca="1" si="49"/>
        <v>-2913.1027224288787</v>
      </c>
      <c r="S118" s="566">
        <f t="shared" ca="1" si="49"/>
        <v>-3085.1024472379709</v>
      </c>
      <c r="T118" s="566">
        <f t="shared" ca="1" si="49"/>
        <v>-3272.3731475231375</v>
      </c>
      <c r="U118" s="566">
        <f t="shared" ca="1" si="49"/>
        <v>-3472.5038110544515</v>
      </c>
      <c r="V118" s="566">
        <f t="shared" ca="1" si="49"/>
        <v>-3687.8482147390991</v>
      </c>
      <c r="W118" s="566">
        <f t="shared" ca="1" si="49"/>
        <v>-3920.4593401302664</v>
      </c>
      <c r="X118" s="566">
        <f t="shared" ca="1" si="49"/>
        <v>-4172.9761131069645</v>
      </c>
      <c r="Y118" s="566">
        <f t="shared" ca="1" si="49"/>
        <v>-4448.8996244883911</v>
      </c>
      <c r="Z118" s="566">
        <f t="shared" ca="1" si="49"/>
        <v>-4753.0492116833584</v>
      </c>
      <c r="AA118" s="566">
        <f t="shared" ca="1" si="49"/>
        <v>-5092.3524661867677</v>
      </c>
      <c r="AB118" s="566">
        <f t="shared" ca="1" si="49"/>
        <v>-5477.2951612906281</v>
      </c>
      <c r="AC118" s="566">
        <f t="shared" ca="1" si="49"/>
        <v>-5924.7798716196658</v>
      </c>
      <c r="AD118" s="566">
        <f t="shared" ca="1" si="49"/>
        <v>-6464.3010167476323</v>
      </c>
      <c r="AE118" s="566">
        <f t="shared" ca="1" si="49"/>
        <v>-7153.0052516053538</v>
      </c>
      <c r="AF118" s="566">
        <f t="shared" ca="1" si="49"/>
        <v>-8119.2666548694151</v>
      </c>
      <c r="AG118" s="566">
        <f t="shared" ca="1" si="49"/>
        <v>-9726.8215295304908</v>
      </c>
      <c r="AH118" s="566">
        <f t="shared" ca="1" si="49"/>
        <v>-13581.660545827612</v>
      </c>
      <c r="AI118" s="566">
        <f t="shared" ca="1" si="49"/>
        <v>-59384.194567956212</v>
      </c>
      <c r="AJ118" s="566">
        <f t="shared" si="49"/>
        <v>0</v>
      </c>
      <c r="AK118" s="566">
        <f t="shared" si="49"/>
        <v>0</v>
      </c>
      <c r="AL118" s="566">
        <f t="shared" si="49"/>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1522381</v>
      </c>
      <c r="O127" s="615">
        <f>SUMIF('10. Inputs &amp; Calcs'!$D$143:$D$148,$E$10,'10. Inputs &amp; Calcs'!G$143:G$148)</f>
        <v>2645202</v>
      </c>
      <c r="P127" s="615">
        <f>SUMIF('10. Inputs &amp; Calcs'!$D$143:$D$148,$E$10,'10. Inputs &amp; Calcs'!H$143:H$148)</f>
        <v>1475617</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165038.01</v>
      </c>
      <c r="O128" s="615">
        <f>SUMIF('10. Inputs &amp; Calcs'!$D$432:$D$437,$E$10,'10. Inputs &amp; Calcs'!G$432:G$437)</f>
        <v>71162.38</v>
      </c>
      <c r="P128" s="615">
        <f>SUMIF('10. Inputs &amp; Calcs'!$D$432:$D$437,$E$10,'10. Inputs &amp; Calcs'!H$432:H$437)</f>
        <v>808054</v>
      </c>
      <c r="Q128" s="615">
        <f>SUMIF('10. Inputs &amp; Calcs'!$D$432:$D$437,$E$10,'10. Inputs &amp; Calcs'!I$432:I$437)</f>
        <v>400785.89552826161</v>
      </c>
      <c r="R128" s="615">
        <f>SUMIF('10. Inputs &amp; Calcs'!$D$432:$D$437,$E$10,'10. Inputs &amp; Calcs'!J$432:J$437)</f>
        <v>400785.89552826161</v>
      </c>
      <c r="S128" s="615">
        <f>SUMIF('10. Inputs &amp; Calcs'!$D$432:$D$437,$E$10,'10. Inputs &amp; Calcs'!K$432:K$437)</f>
        <v>400785.89552826161</v>
      </c>
      <c r="T128" s="615">
        <f>SUMIF('10. Inputs &amp; Calcs'!$D$432:$D$437,$E$10,'10. Inputs &amp; Calcs'!L$432:L$437)</f>
        <v>419646.40825900336</v>
      </c>
      <c r="U128" s="615">
        <f>SUMIF('10. Inputs &amp; Calcs'!$D$432:$D$437,$E$10,'10. Inputs &amp; Calcs'!M$432:M$437)</f>
        <v>419646.40825900336</v>
      </c>
      <c r="V128" s="615">
        <f>SUMIF('10. Inputs &amp; Calcs'!$D$432:$D$437,$E$10,'10. Inputs &amp; Calcs'!N$432:N$437)</f>
        <v>419646.40825900336</v>
      </c>
      <c r="W128" s="615">
        <f>SUMIF('10. Inputs &amp; Calcs'!$D$432:$D$437,$E$10,'10. Inputs &amp; Calcs'!O$432:O$437)</f>
        <v>419646.40825900336</v>
      </c>
      <c r="X128" s="615">
        <f>SUMIF('10. Inputs &amp; Calcs'!$D$432:$D$437,$E$10,'10. Inputs &amp; Calcs'!P$432:P$437)</f>
        <v>419646.40825900336</v>
      </c>
      <c r="Y128" s="615">
        <f>SUMIF('10. Inputs &amp; Calcs'!$D$432:$D$437,$E$10,'10. Inputs &amp; Calcs'!Q$432:Q$437)</f>
        <v>419646.40825900336</v>
      </c>
      <c r="Z128" s="615">
        <f>SUMIF('10. Inputs &amp; Calcs'!$D$432:$D$437,$E$10,'10. Inputs &amp; Calcs'!R$432:R$437)</f>
        <v>419646.40825900336</v>
      </c>
      <c r="AA128" s="615">
        <f>SUMIF('10. Inputs &amp; Calcs'!$D$432:$D$437,$E$10,'10. Inputs &amp; Calcs'!S$432:S$437)</f>
        <v>419646.40825900336</v>
      </c>
      <c r="AB128" s="615">
        <f>SUMIF('10. Inputs &amp; Calcs'!$D$432:$D$437,$E$10,'10. Inputs &amp; Calcs'!T$432:T$437)</f>
        <v>419646.40825900336</v>
      </c>
      <c r="AC128" s="615">
        <f>SUMIF('10. Inputs &amp; Calcs'!$D$432:$D$437,$E$10,'10. Inputs &amp; Calcs'!U$432:U$437)</f>
        <v>419646.40825900336</v>
      </c>
      <c r="AD128" s="615">
        <f>SUMIF('10. Inputs &amp; Calcs'!$D$432:$D$437,$E$10,'10. Inputs &amp; Calcs'!V$432:V$437)</f>
        <v>419646.40825900336</v>
      </c>
      <c r="AE128" s="615">
        <f>SUMIF('10. Inputs &amp; Calcs'!$D$432:$D$437,$E$10,'10. Inputs &amp; Calcs'!W$432:W$437)</f>
        <v>419646.40825900336</v>
      </c>
      <c r="AF128" s="615">
        <f>SUMIF('10. Inputs &amp; Calcs'!$D$432:$D$437,$E$10,'10. Inputs &amp; Calcs'!X$432:X$437)</f>
        <v>419646.40825900336</v>
      </c>
      <c r="AG128" s="615">
        <f>SUMIF('10. Inputs &amp; Calcs'!$D$432:$D$437,$E$10,'10. Inputs &amp; Calcs'!Y$432:Y$437)</f>
        <v>419646.40825900336</v>
      </c>
      <c r="AH128" s="615">
        <f>SUMIF('10. Inputs &amp; Calcs'!$D$432:$D$437,$E$10,'10. Inputs &amp; Calcs'!Z$432:Z$437)</f>
        <v>419646.40825900336</v>
      </c>
      <c r="AI128" s="615">
        <f>SUMIF('10. Inputs &amp; Calcs'!$D$432:$D$437,$E$10,'10. Inputs &amp; Calcs'!AA$432:AA$437)</f>
        <v>419646.40825900336</v>
      </c>
      <c r="AJ128" s="615">
        <f>SUMIF('10. Inputs &amp; Calcs'!$D$432:$D$437,$E$10,'10. Inputs &amp; Calcs'!AB$432:AB$437)</f>
        <v>70726.922740281458</v>
      </c>
      <c r="AK128" s="615">
        <f>SUMIF('10. Inputs &amp; Calcs'!$D$432:$D$437,$E$10,'10. Inputs &amp; Calcs'!AC$432:AC$437)</f>
        <v>0</v>
      </c>
      <c r="AL128" s="615">
        <f>SUMIF('10. Inputs &amp; Calcs'!$D$432:$D$437,$E$10,'10. Inputs &amp; Calcs'!AD$432:AD$437)</f>
        <v>7987427.141469121</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245920.3</v>
      </c>
      <c r="O129" s="615">
        <f>SUMIF('10. Inputs &amp; Calcs'!$D$574:$D$579,$E$10,'10. Inputs &amp; Calcs'!G$574:G$579)</f>
        <v>80599.11</v>
      </c>
      <c r="P129" s="615">
        <f>SUMIF('10. Inputs &amp; Calcs'!$D$574:$D$579,$E$10,'10. Inputs &amp; Calcs'!H$574:H$579)</f>
        <v>68874.049999999988</v>
      </c>
      <c r="Q129" s="615">
        <f>SUMIF('10. Inputs &amp; Calcs'!$D$574:$D$579,$E$10,'10. Inputs &amp; Calcs'!I$574:I$579)</f>
        <v>65418.150206611564</v>
      </c>
      <c r="R129" s="615">
        <f>SUMIF('10. Inputs &amp; Calcs'!$D$574:$D$579,$E$10,'10. Inputs &amp; Calcs'!J$574:J$579)</f>
        <v>61962.250413223133</v>
      </c>
      <c r="S129" s="615">
        <f>SUMIF('10. Inputs &amp; Calcs'!$D$574:$D$579,$E$10,'10. Inputs &amp; Calcs'!K$574:K$579)</f>
        <v>58506.350619834717</v>
      </c>
      <c r="T129" s="615">
        <f>SUMIF('10. Inputs &amp; Calcs'!$D$574:$D$579,$E$10,'10. Inputs &amp; Calcs'!L$574:L$579)</f>
        <v>54887.820247933887</v>
      </c>
      <c r="U129" s="615">
        <f>SUMIF('10. Inputs &amp; Calcs'!$D$574:$D$579,$E$10,'10. Inputs &amp; Calcs'!M$574:M$579)</f>
        <v>51269.289876033065</v>
      </c>
      <c r="V129" s="615">
        <f>SUMIF('10. Inputs &amp; Calcs'!$D$574:$D$579,$E$10,'10. Inputs &amp; Calcs'!N$574:N$579)</f>
        <v>47650.759504132235</v>
      </c>
      <c r="W129" s="615">
        <f>SUMIF('10. Inputs &amp; Calcs'!$D$574:$D$579,$E$10,'10. Inputs &amp; Calcs'!O$574:O$579)</f>
        <v>44032.229132231412</v>
      </c>
      <c r="X129" s="615">
        <f>SUMIF('10. Inputs &amp; Calcs'!$D$574:$D$579,$E$10,'10. Inputs &amp; Calcs'!P$574:P$579)</f>
        <v>40413.698760330582</v>
      </c>
      <c r="Y129" s="615">
        <f>SUMIF('10. Inputs &amp; Calcs'!$D$574:$D$579,$E$10,'10. Inputs &amp; Calcs'!Q$574:Q$579)</f>
        <v>36795.16838842976</v>
      </c>
      <c r="Z129" s="615">
        <f>SUMIF('10. Inputs &amp; Calcs'!$D$574:$D$579,$E$10,'10. Inputs &amp; Calcs'!R$574:R$579)</f>
        <v>33176.63801652893</v>
      </c>
      <c r="AA129" s="615">
        <f>SUMIF('10. Inputs &amp; Calcs'!$D$574:$D$579,$E$10,'10. Inputs &amp; Calcs'!S$574:S$579)</f>
        <v>29558.107644628104</v>
      </c>
      <c r="AB129" s="615">
        <f>SUMIF('10. Inputs &amp; Calcs'!$D$574:$D$579,$E$10,'10. Inputs &amp; Calcs'!T$574:T$579)</f>
        <v>25939.577272727278</v>
      </c>
      <c r="AC129" s="615">
        <f>SUMIF('10. Inputs &amp; Calcs'!$D$574:$D$579,$E$10,'10. Inputs &amp; Calcs'!U$574:U$579)</f>
        <v>22321.046900826448</v>
      </c>
      <c r="AD129" s="615">
        <f>SUMIF('10. Inputs &amp; Calcs'!$D$574:$D$579,$E$10,'10. Inputs &amp; Calcs'!V$574:V$579)</f>
        <v>18702.516528925622</v>
      </c>
      <c r="AE129" s="615">
        <f>SUMIF('10. Inputs &amp; Calcs'!$D$574:$D$579,$E$10,'10. Inputs &amp; Calcs'!W$574:W$579)</f>
        <v>15083.986157024792</v>
      </c>
      <c r="AF129" s="615">
        <f>SUMIF('10. Inputs &amp; Calcs'!$D$574:$D$579,$E$10,'10. Inputs &amp; Calcs'!X$574:X$579)</f>
        <v>11465.455785123964</v>
      </c>
      <c r="AG129" s="615">
        <f>SUMIF('10. Inputs &amp; Calcs'!$D$574:$D$579,$E$10,'10. Inputs &amp; Calcs'!Y$574:Y$579)</f>
        <v>7846.925413223139</v>
      </c>
      <c r="AH129" s="615">
        <f>SUMIF('10. Inputs &amp; Calcs'!$D$574:$D$579,$E$10,'10. Inputs &amp; Calcs'!Z$574:Z$579)</f>
        <v>4228.3950413223129</v>
      </c>
      <c r="AI129" s="615">
        <f>SUMIF('10. Inputs &amp; Calcs'!$D$574:$D$579,$E$10,'10. Inputs &amp; Calcs'!AA$574:AA$579)</f>
        <v>609.86466942148752</v>
      </c>
      <c r="AJ129" s="615">
        <f>SUMIF('10. Inputs &amp; Calcs'!$D$574:$D$579,$E$10,'10. Inputs &amp; Calcs'!AB$574:AB$579)</f>
        <v>0</v>
      </c>
      <c r="AK129" s="615">
        <f>SUMIF('10. Inputs &amp; Calcs'!$D$574:$D$579,$E$10,'10. Inputs &amp; Calcs'!AC$574:AC$579)</f>
        <v>0</v>
      </c>
      <c r="AL129" s="615">
        <f>SUMIF('10. Inputs &amp; Calcs'!$D$574:$D$579,$E$10,'10. Inputs &amp; Calcs'!AD$574:AD$579)</f>
        <v>629868.23057851219</v>
      </c>
    </row>
    <row r="130" spans="1:38" x14ac:dyDescent="0.45">
      <c r="A130" s="583"/>
      <c r="B130" s="583"/>
      <c r="C130" s="583"/>
      <c r="D130" s="747" t="s">
        <v>330</v>
      </c>
      <c r="E130" s="583"/>
      <c r="M130" s="583"/>
      <c r="N130" s="613">
        <f t="shared" ref="N130:AL130" si="50">SUM(N127:N129)</f>
        <v>1933339.31</v>
      </c>
      <c r="O130" s="613">
        <f t="shared" si="50"/>
        <v>2796963.4899999998</v>
      </c>
      <c r="P130" s="613">
        <f t="shared" si="50"/>
        <v>2352545.0499999998</v>
      </c>
      <c r="Q130" s="613">
        <f t="shared" si="50"/>
        <v>676613.93030180235</v>
      </c>
      <c r="R130" s="613">
        <f t="shared" si="50"/>
        <v>673158.03050841391</v>
      </c>
      <c r="S130" s="613">
        <f t="shared" si="50"/>
        <v>669702.13071502547</v>
      </c>
      <c r="T130" s="613">
        <f t="shared" si="50"/>
        <v>497913.10456992942</v>
      </c>
      <c r="U130" s="613">
        <f t="shared" si="50"/>
        <v>494294.5741980286</v>
      </c>
      <c r="V130" s="613">
        <f t="shared" si="50"/>
        <v>490676.04382612777</v>
      </c>
      <c r="W130" s="613">
        <f t="shared" si="50"/>
        <v>487057.51345422689</v>
      </c>
      <c r="X130" s="613">
        <f t="shared" si="50"/>
        <v>483438.98308232607</v>
      </c>
      <c r="Y130" s="613">
        <f t="shared" si="50"/>
        <v>479820.45271042525</v>
      </c>
      <c r="Z130" s="613">
        <f t="shared" ref="Z130:AJ130" si="51">SUM(Z127:Z129)</f>
        <v>476201.92233852443</v>
      </c>
      <c r="AA130" s="613">
        <f t="shared" si="51"/>
        <v>472583.3919666236</v>
      </c>
      <c r="AB130" s="613">
        <f t="shared" si="51"/>
        <v>468964.86159472278</v>
      </c>
      <c r="AC130" s="613">
        <f t="shared" si="51"/>
        <v>465346.33122282196</v>
      </c>
      <c r="AD130" s="613">
        <f t="shared" si="51"/>
        <v>461727.80085092114</v>
      </c>
      <c r="AE130" s="613">
        <f t="shared" si="51"/>
        <v>458109.27047902031</v>
      </c>
      <c r="AF130" s="613">
        <f t="shared" si="51"/>
        <v>454490.74010711949</v>
      </c>
      <c r="AG130" s="613">
        <f t="shared" si="51"/>
        <v>450872.20973521867</v>
      </c>
      <c r="AH130" s="613">
        <f t="shared" si="51"/>
        <v>447253.67936331785</v>
      </c>
      <c r="AI130" s="613">
        <f t="shared" si="51"/>
        <v>443635.14899141702</v>
      </c>
      <c r="AJ130" s="613">
        <f t="shared" si="51"/>
        <v>16091654.953617467</v>
      </c>
      <c r="AK130" s="613">
        <f t="shared" si="50"/>
        <v>0</v>
      </c>
      <c r="AL130" s="613">
        <f t="shared" si="50"/>
        <v>25643515.073633481</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595000</v>
      </c>
      <c r="R132" s="615">
        <f>SUMIF('10. Inputs &amp; Calcs'!$D$508:$D$513,$E$10,'10. Inputs &amp; Calcs'!J$508:J$513)</f>
        <v>627725</v>
      </c>
      <c r="S132" s="615">
        <f>SUMIF('10. Inputs &amp; Calcs'!$D$508:$D$513,$E$10,'10. Inputs &amp; Calcs'!K$508:K$513)</f>
        <v>662249.875</v>
      </c>
      <c r="T132" s="615">
        <f>SUMIF('10. Inputs &amp; Calcs'!$D$508:$D$513,$E$10,'10. Inputs &amp; Calcs'!L$508:L$513)</f>
        <v>731552.37662499992</v>
      </c>
      <c r="U132" s="615">
        <f>SUMIF('10. Inputs &amp; Calcs'!$D$508:$D$513,$E$10,'10. Inputs &amp; Calcs'!M$508:M$513)</f>
        <v>771787.75733937498</v>
      </c>
      <c r="V132" s="615">
        <f>SUMIF('10. Inputs &amp; Calcs'!$D$508:$D$513,$E$10,'10. Inputs &amp; Calcs'!N$508:N$513)</f>
        <v>814236.08399304049</v>
      </c>
      <c r="W132" s="615">
        <f>SUMIF('10. Inputs &amp; Calcs'!$D$508:$D$513,$E$10,'10. Inputs &amp; Calcs'!O$508:O$513)</f>
        <v>859019.06861265784</v>
      </c>
      <c r="X132" s="615">
        <f>SUMIF('10. Inputs &amp; Calcs'!$D$508:$D$513,$E$10,'10. Inputs &amp; Calcs'!P$508:P$513)</f>
        <v>906265.11738635402</v>
      </c>
      <c r="Y132" s="615">
        <f>SUMIF('10. Inputs &amp; Calcs'!$D$508:$D$513,$E$10,'10. Inputs &amp; Calcs'!Q$508:Q$513)</f>
        <v>956109.69884260313</v>
      </c>
      <c r="Z132" s="615">
        <f>SUMIF('10. Inputs &amp; Calcs'!$D$508:$D$513,$E$10,'10. Inputs &amp; Calcs'!R$508:R$513)</f>
        <v>1008695.7322789464</v>
      </c>
      <c r="AA132" s="615">
        <f>SUMIF('10. Inputs &amp; Calcs'!$D$508:$D$513,$E$10,'10. Inputs &amp; Calcs'!S$508:S$513)</f>
        <v>1064173.9975542882</v>
      </c>
      <c r="AB132" s="615">
        <f>SUMIF('10. Inputs &amp; Calcs'!$D$508:$D$513,$E$10,'10. Inputs &amp; Calcs'!T$508:T$513)</f>
        <v>1122703.5674197741</v>
      </c>
      <c r="AC132" s="615">
        <f>SUMIF('10. Inputs &amp; Calcs'!$D$508:$D$513,$E$10,'10. Inputs &amp; Calcs'!U$508:U$513)</f>
        <v>1184452.2636278619</v>
      </c>
      <c r="AD132" s="615">
        <f>SUMIF('10. Inputs &amp; Calcs'!$D$508:$D$513,$E$10,'10. Inputs &amp; Calcs'!V$508:V$513)</f>
        <v>1249597.138127394</v>
      </c>
      <c r="AE132" s="615">
        <f>SUMIF('10. Inputs &amp; Calcs'!$D$508:$D$513,$E$10,'10. Inputs &amp; Calcs'!W$508:W$513)</f>
        <v>1318324.9807244006</v>
      </c>
      <c r="AF132" s="615">
        <f>SUMIF('10. Inputs &amp; Calcs'!$D$508:$D$513,$E$10,'10. Inputs &amp; Calcs'!X$508:X$513)</f>
        <v>1390832.8546642428</v>
      </c>
      <c r="AG132" s="615">
        <f>SUMIF('10. Inputs &amp; Calcs'!$D$508:$D$513,$E$10,'10. Inputs &amp; Calcs'!Y$508:Y$513)</f>
        <v>1467328.6616707759</v>
      </c>
      <c r="AH132" s="615">
        <f>SUMIF('10. Inputs &amp; Calcs'!$D$508:$D$513,$E$10,'10. Inputs &amp; Calcs'!Z$508:Z$513)</f>
        <v>1548031.7380626686</v>
      </c>
      <c r="AI132" s="615">
        <f>SUMIF('10. Inputs &amp; Calcs'!$D$508:$D$513,$E$10,'10. Inputs &amp; Calcs'!AA$508:AA$513)</f>
        <v>1633173.4836561151</v>
      </c>
      <c r="AJ132" s="615">
        <f>SUMIF('10. Inputs &amp; Calcs'!$D$508:$D$513,$E$10,'10. Inputs &amp; Calcs'!AB$508:AB$513)</f>
        <v>290392.92560514633</v>
      </c>
      <c r="AK132" s="615">
        <f>SUMIF('10. Inputs &amp; Calcs'!$D$508:$D$513,$E$10,'10. Inputs &amp; Calcs'!AC$508:AC$513)</f>
        <v>0</v>
      </c>
      <c r="AL132" s="615">
        <f>SUMIF('10. Inputs &amp; Calcs'!$D$508:$D$513,$E$10,'10. Inputs &amp; Calcs'!AD$508:AD$513)</f>
        <v>20201652.321190648</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55425160.545555554</v>
      </c>
      <c r="O133" s="615">
        <f>SUMIF('10. Inputs &amp; Calcs'!$D$742:$D$747,$E$10,'10. Inputs &amp; Calcs'!G$742:G$747)</f>
        <v>57214905.015555553</v>
      </c>
      <c r="P133" s="615">
        <f>SUMIF('10. Inputs &amp; Calcs'!$D$742:$D$747,$E$10,'10. Inputs &amp; Calcs'!H$742:H$747)</f>
        <v>52758725.936666667</v>
      </c>
      <c r="Q133" s="615">
        <f>SUMIF('10. Inputs &amp; Calcs'!$D$742:$D$747,$E$10,'10. Inputs &amp; Calcs'!I$742:I$747)</f>
        <v>53000770.933355078</v>
      </c>
      <c r="R133" s="615">
        <f>SUMIF('10. Inputs &amp; Calcs'!$D$742:$D$747,$E$10,'10. Inputs &amp; Calcs'!J$742:J$747)</f>
        <v>53109845.733720817</v>
      </c>
      <c r="S133" s="615">
        <f>SUMIF('10. Inputs &amp; Calcs'!$D$742:$D$747,$E$10,'10. Inputs &amp; Calcs'!K$742:K$747)</f>
        <v>53070591.430053376</v>
      </c>
      <c r="T133" s="615">
        <f>SUMIF('10. Inputs &amp; Calcs'!$D$742:$D$747,$E$10,'10. Inputs &amp; Calcs'!L$742:L$747)</f>
        <v>52755426.841756761</v>
      </c>
      <c r="U133" s="615">
        <f>SUMIF('10. Inputs &amp; Calcs'!$D$742:$D$747,$E$10,'10. Inputs &amp; Calcs'!M$742:M$747)</f>
        <v>52245055.609671615</v>
      </c>
      <c r="V133" s="615">
        <f>SUMIF('10. Inputs &amp; Calcs'!$D$742:$D$747,$E$10,'10. Inputs &amp; Calcs'!N$742:N$747)</f>
        <v>51518958.375860788</v>
      </c>
      <c r="W133" s="615">
        <f>SUMIF('10. Inputs &amp; Calcs'!$D$742:$D$747,$E$10,'10. Inputs &amp; Calcs'!O$742:O$747)</f>
        <v>50554949.153111517</v>
      </c>
      <c r="X133" s="615">
        <f>SUMIF('10. Inputs &amp; Calcs'!$D$742:$D$747,$E$10,'10. Inputs &amp; Calcs'!P$742:P$747)</f>
        <v>49329054.066772848</v>
      </c>
      <c r="Y133" s="615">
        <f>SUMIF('10. Inputs &amp; Calcs'!$D$742:$D$747,$E$10,'10. Inputs &amp; Calcs'!Q$742:Q$747)</f>
        <v>47815381.799748756</v>
      </c>
      <c r="Z133" s="615">
        <f>SUMIF('10. Inputs &amp; Calcs'!$D$742:$D$747,$E$10,'10. Inputs &amp; Calcs'!R$742:R$747)</f>
        <v>45985985.194800034</v>
      </c>
      <c r="AA133" s="615">
        <f>SUMIF('10. Inputs &amp; Calcs'!$D$742:$D$747,$E$10,'10. Inputs &amp; Calcs'!S$742:S$747)</f>
        <v>43810713.433362707</v>
      </c>
      <c r="AB133" s="615">
        <f>SUMIF('10. Inputs &amp; Calcs'!$D$742:$D$747,$E$10,'10. Inputs &amp; Calcs'!T$742:T$747)</f>
        <v>41257054.172953002</v>
      </c>
      <c r="AC133" s="615">
        <f>SUMIF('10. Inputs &amp; Calcs'!$D$742:$D$747,$E$10,'10. Inputs &amp; Calcs'!U$742:U$747)</f>
        <v>38289964.98576232</v>
      </c>
      <c r="AD133" s="615">
        <f>SUMIF('10. Inputs &amp; Calcs'!$D$742:$D$747,$E$10,'10. Inputs &amp; Calcs'!V$742:V$747)</f>
        <v>34871693.399107471</v>
      </c>
      <c r="AE133" s="615">
        <f>SUMIF('10. Inputs &amp; Calcs'!$D$742:$D$747,$E$10,'10. Inputs &amp; Calcs'!W$742:W$747)</f>
        <v>30961584.793838661</v>
      </c>
      <c r="AF133" s="615">
        <f>SUMIF('10. Inputs &amp; Calcs'!$D$742:$D$747,$E$10,'10. Inputs &amp; Calcs'!X$742:X$747)</f>
        <v>26515877.369457982</v>
      </c>
      <c r="AG133" s="615">
        <f>SUMIF('10. Inputs &amp; Calcs'!$D$742:$D$747,$E$10,'10. Inputs &amp; Calcs'!Y$742:Y$747)</f>
        <v>21487483.334394068</v>
      </c>
      <c r="AH133" s="615">
        <f>SUMIF('10. Inputs &amp; Calcs'!$D$742:$D$747,$E$10,'10. Inputs &amp; Calcs'!Z$742:Z$747)</f>
        <v>15825755.426430516</v>
      </c>
      <c r="AI133" s="615">
        <f>SUMIF('10. Inputs &amp; Calcs'!$D$742:$D$747,$E$10,'10. Inputs &amp; Calcs'!AA$742:AA$747)</f>
        <v>9476237.8115044273</v>
      </c>
      <c r="AJ133" s="615">
        <f>SUMIF('10. Inputs &amp; Calcs'!$D$742:$D$747,$E$10,'10. Inputs &amp; Calcs'!AB$742:AB$747)</f>
        <v>0</v>
      </c>
      <c r="AK133" s="615">
        <f>SUMIF('10. Inputs &amp; Calcs'!$D$742:$D$747,$E$10,'10. Inputs &amp; Calcs'!AC$742:AC$747)</f>
        <v>0</v>
      </c>
      <c r="AL133" s="615">
        <f>SUMIF('10. Inputs &amp; Calcs'!$D$742:$D$747,$E$10,'10. Inputs &amp; Calcs'!AD$742:AD$747)</f>
        <v>771882383.86566269</v>
      </c>
    </row>
    <row r="134" spans="1:38" x14ac:dyDescent="0.45">
      <c r="A134" s="583"/>
      <c r="B134" s="583"/>
      <c r="C134" s="583"/>
      <c r="D134" s="747" t="s">
        <v>369</v>
      </c>
      <c r="E134" s="583"/>
      <c r="M134" s="583"/>
      <c r="N134" s="613">
        <f t="shared" ref="N134:AL134" si="52">SUM(N132:N133)</f>
        <v>55425160.545555554</v>
      </c>
      <c r="O134" s="613">
        <f t="shared" si="52"/>
        <v>57214905.015555553</v>
      </c>
      <c r="P134" s="613">
        <f t="shared" si="52"/>
        <v>52758725.936666667</v>
      </c>
      <c r="Q134" s="613">
        <f t="shared" si="52"/>
        <v>53595770.933355078</v>
      </c>
      <c r="R134" s="613">
        <f t="shared" si="52"/>
        <v>53737570.733720817</v>
      </c>
      <c r="S134" s="613">
        <f t="shared" si="52"/>
        <v>53732841.305053376</v>
      </c>
      <c r="T134" s="613">
        <f t="shared" si="52"/>
        <v>53486979.218381763</v>
      </c>
      <c r="U134" s="613">
        <f t="shared" si="52"/>
        <v>53016843.367010988</v>
      </c>
      <c r="V134" s="613">
        <f t="shared" si="52"/>
        <v>52333194.459853828</v>
      </c>
      <c r="W134" s="613">
        <f t="shared" si="52"/>
        <v>51413968.221724175</v>
      </c>
      <c r="X134" s="613">
        <f t="shared" si="52"/>
        <v>50235319.184159204</v>
      </c>
      <c r="Y134" s="613">
        <f t="shared" si="52"/>
        <v>48771491.498591356</v>
      </c>
      <c r="Z134" s="613">
        <f t="shared" ref="Z134:AJ134" si="53">SUM(Z132:Z133)</f>
        <v>46994680.927078977</v>
      </c>
      <c r="AA134" s="613">
        <f t="shared" si="53"/>
        <v>44874887.430916995</v>
      </c>
      <c r="AB134" s="613">
        <f t="shared" si="53"/>
        <v>42379757.740372777</v>
      </c>
      <c r="AC134" s="613">
        <f t="shared" si="53"/>
        <v>39474417.249390185</v>
      </c>
      <c r="AD134" s="613">
        <f t="shared" si="53"/>
        <v>36121290.537234865</v>
      </c>
      <c r="AE134" s="613">
        <f t="shared" si="53"/>
        <v>32279909.774563063</v>
      </c>
      <c r="AF134" s="613">
        <f t="shared" si="53"/>
        <v>27906710.224122226</v>
      </c>
      <c r="AG134" s="613">
        <f t="shared" si="53"/>
        <v>22954811.996064842</v>
      </c>
      <c r="AH134" s="613">
        <f t="shared" si="53"/>
        <v>17373787.164493185</v>
      </c>
      <c r="AI134" s="613">
        <f t="shared" si="53"/>
        <v>11109411.295160543</v>
      </c>
      <c r="AJ134" s="613">
        <f t="shared" si="53"/>
        <v>290392.92560514633</v>
      </c>
      <c r="AK134" s="613">
        <f t="shared" si="52"/>
        <v>0</v>
      </c>
      <c r="AL134" s="613">
        <f t="shared" si="52"/>
        <v>792084036.18685329</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54">N130-N134</f>
        <v>-53491821.235555552</v>
      </c>
      <c r="O136" s="613">
        <f t="shared" si="54"/>
        <v>-54417941.525555551</v>
      </c>
      <c r="P136" s="613">
        <f t="shared" si="54"/>
        <v>-50406180.88666667</v>
      </c>
      <c r="Q136" s="613">
        <f t="shared" si="54"/>
        <v>-52919157.003053278</v>
      </c>
      <c r="R136" s="613">
        <f t="shared" si="54"/>
        <v>-53064412.703212403</v>
      </c>
      <c r="S136" s="613">
        <f t="shared" si="54"/>
        <v>-53063139.174338348</v>
      </c>
      <c r="T136" s="613">
        <f t="shared" si="54"/>
        <v>-52989066.113811836</v>
      </c>
      <c r="U136" s="613">
        <f t="shared" si="54"/>
        <v>-52522548.792812958</v>
      </c>
      <c r="V136" s="613">
        <f t="shared" si="54"/>
        <v>-51842518.416027702</v>
      </c>
      <c r="W136" s="613">
        <f t="shared" si="54"/>
        <v>-50926910.708269946</v>
      </c>
      <c r="X136" s="613">
        <f t="shared" si="54"/>
        <v>-49751880.20107688</v>
      </c>
      <c r="Y136" s="613">
        <f t="shared" si="54"/>
        <v>-48291671.045880929</v>
      </c>
      <c r="Z136" s="613">
        <f t="shared" si="54"/>
        <v>-46518479.004740454</v>
      </c>
      <c r="AA136" s="613">
        <f t="shared" si="54"/>
        <v>-44402304.038950369</v>
      </c>
      <c r="AB136" s="613">
        <f t="shared" si="54"/>
        <v>-41910792.878778055</v>
      </c>
      <c r="AC136" s="613">
        <f t="shared" si="54"/>
        <v>-39009070.91816736</v>
      </c>
      <c r="AD136" s="613">
        <f t="shared" si="54"/>
        <v>-35659562.736383945</v>
      </c>
      <c r="AE136" s="613">
        <f t="shared" si="54"/>
        <v>-31821800.504084043</v>
      </c>
      <c r="AF136" s="613">
        <f t="shared" si="54"/>
        <v>-27452219.484015107</v>
      </c>
      <c r="AG136" s="613">
        <f t="shared" si="54"/>
        <v>-22503939.786329623</v>
      </c>
      <c r="AH136" s="613">
        <f t="shared" si="54"/>
        <v>-16926533.485129867</v>
      </c>
      <c r="AI136" s="613">
        <f t="shared" si="54"/>
        <v>-10665776.146169126</v>
      </c>
      <c r="AJ136" s="613">
        <f t="shared" si="54"/>
        <v>15801262.02801232</v>
      </c>
      <c r="AK136" s="613">
        <f t="shared" si="54"/>
        <v>0</v>
      </c>
      <c r="AL136" s="613">
        <f t="shared" si="54"/>
        <v>-766440521.11321986</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4108399000</v>
      </c>
      <c r="O138" s="615">
        <f>SUMIF('10. Inputs &amp; Calcs'!$D$763:$D$768,$E$10,'10. Inputs &amp; Calcs'!G$763:G$768)</f>
        <v>4417641000</v>
      </c>
      <c r="P138" s="615">
        <f>SUMIF('10. Inputs &amp; Calcs'!$D$763:$D$768,$E$10,'10. Inputs &amp; Calcs'!H$763:H$768)</f>
        <v>4071467000</v>
      </c>
      <c r="Q138" s="615">
        <f>SUMIF('10. Inputs &amp; Calcs'!$D$763:$D$768,$E$10,'10. Inputs &amp; Calcs'!I$763:I$768)</f>
        <v>4071467000</v>
      </c>
      <c r="R138" s="615">
        <f>SUMIF('10. Inputs &amp; Calcs'!$D$763:$D$768,$E$10,'10. Inputs &amp; Calcs'!J$763:J$768)</f>
        <v>4071467000</v>
      </c>
      <c r="S138" s="615">
        <f>SUMIF('10. Inputs &amp; Calcs'!$D$763:$D$768,$E$10,'10. Inputs &amp; Calcs'!K$763:K$768)</f>
        <v>4071467000</v>
      </c>
      <c r="T138" s="615">
        <f>SUMIF('10. Inputs &amp; Calcs'!$D$763:$D$768,$E$10,'10. Inputs &amp; Calcs'!L$763:L$768)</f>
        <v>4071467000</v>
      </c>
      <c r="U138" s="615">
        <f>SUMIF('10. Inputs &amp; Calcs'!$D$763:$D$768,$E$10,'10. Inputs &amp; Calcs'!M$763:M$768)</f>
        <v>4071467000</v>
      </c>
      <c r="V138" s="615">
        <f>SUMIF('10. Inputs &amp; Calcs'!$D$763:$D$768,$E$10,'10. Inputs &amp; Calcs'!N$763:N$768)</f>
        <v>4071467000</v>
      </c>
      <c r="W138" s="615">
        <f>SUMIF('10. Inputs &amp; Calcs'!$D$763:$D$768,$E$10,'10. Inputs &amp; Calcs'!O$763:O$768)</f>
        <v>4071467000</v>
      </c>
      <c r="X138" s="615">
        <f>SUMIF('10. Inputs &amp; Calcs'!$D$763:$D$768,$E$10,'10. Inputs &amp; Calcs'!P$763:P$768)</f>
        <v>4071467000</v>
      </c>
      <c r="Y138" s="615">
        <f>SUMIF('10. Inputs &amp; Calcs'!$D$763:$D$768,$E$10,'10. Inputs &amp; Calcs'!Q$763:Q$768)</f>
        <v>4071467000</v>
      </c>
      <c r="Z138" s="615">
        <f>SUMIF('10. Inputs &amp; Calcs'!$D$763:$D$768,$E$10,'10. Inputs &amp; Calcs'!R$763:R$768)</f>
        <v>4071467000</v>
      </c>
      <c r="AA138" s="615">
        <f>SUMIF('10. Inputs &amp; Calcs'!$D$763:$D$768,$E$10,'10. Inputs &amp; Calcs'!S$763:S$768)</f>
        <v>4071467000</v>
      </c>
      <c r="AB138" s="615">
        <f>SUMIF('10. Inputs &amp; Calcs'!$D$763:$D$768,$E$10,'10. Inputs &amp; Calcs'!T$763:T$768)</f>
        <v>4071467000</v>
      </c>
      <c r="AC138" s="615">
        <f>SUMIF('10. Inputs &amp; Calcs'!$D$763:$D$768,$E$10,'10. Inputs &amp; Calcs'!U$763:U$768)</f>
        <v>4071467000</v>
      </c>
      <c r="AD138" s="615">
        <f>SUMIF('10. Inputs &amp; Calcs'!$D$763:$D$768,$E$10,'10. Inputs &amp; Calcs'!V$763:V$768)</f>
        <v>4071467000</v>
      </c>
      <c r="AE138" s="615">
        <f>SUMIF('10. Inputs &amp; Calcs'!$D$763:$D$768,$E$10,'10. Inputs &amp; Calcs'!W$763:W$768)</f>
        <v>4071467000</v>
      </c>
      <c r="AF138" s="615">
        <f>SUMIF('10. Inputs &amp; Calcs'!$D$763:$D$768,$E$10,'10. Inputs &amp; Calcs'!X$763:X$768)</f>
        <v>4071467000</v>
      </c>
      <c r="AG138" s="615">
        <f>SUMIF('10. Inputs &amp; Calcs'!$D$763:$D$768,$E$10,'10. Inputs &amp; Calcs'!Y$763:Y$768)</f>
        <v>4071467000</v>
      </c>
      <c r="AH138" s="615">
        <f>SUMIF('10. Inputs &amp; Calcs'!$D$763:$D$768,$E$10,'10. Inputs &amp; Calcs'!Z$763:Z$768)</f>
        <v>4071467000</v>
      </c>
      <c r="AI138" s="615">
        <f>SUMIF('10. Inputs &amp; Calcs'!$D$763:$D$768,$E$10,'10. Inputs &amp; Calcs'!AA$763:AA$768)</f>
        <v>4071467000</v>
      </c>
      <c r="AJ138" s="615">
        <f>SUMIF('10. Inputs &amp; Calcs'!$D$763:$D$768,$E$10,'10. Inputs &amp; Calcs'!AB$763:AB$768)</f>
        <v>4071467000</v>
      </c>
      <c r="AK138" s="615">
        <f>SUMIF('10. Inputs &amp; Calcs'!$D$763:$D$768,$E$10,'10. Inputs &amp; Calcs'!AC$763:AC$768)</f>
        <v>4071467000</v>
      </c>
      <c r="AL138" s="615">
        <f>SUMIF('10. Inputs &amp; Calcs'!$D$763:$D$768,$E$10,'10. Inputs &amp; Calcs'!AD$763:AD$768)</f>
        <v>98098314000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55">N136/N138</f>
        <v>-1.3020113488382105E-2</v>
      </c>
      <c r="O140" s="789">
        <f t="shared" si="55"/>
        <v>-1.2318325895100022E-2</v>
      </c>
      <c r="P140" s="789">
        <f t="shared" si="55"/>
        <v>-1.2380348627820555E-2</v>
      </c>
      <c r="Q140" s="789">
        <f t="shared" si="55"/>
        <v>-1.2997565006188993E-2</v>
      </c>
      <c r="R140" s="789">
        <f t="shared" si="55"/>
        <v>-1.3033241508088461E-2</v>
      </c>
      <c r="S140" s="789">
        <f t="shared" si="55"/>
        <v>-1.3032928714475237E-2</v>
      </c>
      <c r="T140" s="789">
        <f t="shared" si="55"/>
        <v>-1.3014735502906405E-2</v>
      </c>
      <c r="U140" s="789">
        <f t="shared" si="55"/>
        <v>-1.2900153382751956E-2</v>
      </c>
      <c r="V140" s="789">
        <f t="shared" si="55"/>
        <v>-1.2733129954394252E-2</v>
      </c>
      <c r="W140" s="789">
        <f t="shared" si="55"/>
        <v>-1.2508245973323607E-2</v>
      </c>
      <c r="X140" s="789">
        <f t="shared" si="55"/>
        <v>-1.2219644713091591E-2</v>
      </c>
      <c r="Y140" s="789">
        <f t="shared" si="55"/>
        <v>-1.1861000235512391E-2</v>
      </c>
      <c r="Z140" s="789">
        <f t="shared" si="55"/>
        <v>-1.1425483493969239E-2</v>
      </c>
      <c r="AA140" s="789">
        <f t="shared" si="55"/>
        <v>-1.0905726127449975E-2</v>
      </c>
      <c r="AB140" s="789">
        <f t="shared" si="55"/>
        <v>-1.0293781793829608E-2</v>
      </c>
      <c r="AC140" s="789">
        <f t="shared" si="55"/>
        <v>-9.5810848812399457E-3</v>
      </c>
      <c r="AD140" s="789">
        <f t="shared" si="55"/>
        <v>-8.7584064260827713E-3</v>
      </c>
      <c r="AE140" s="789">
        <f t="shared" si="55"/>
        <v>-7.8158070553154529E-3</v>
      </c>
      <c r="AF140" s="789">
        <f t="shared" si="55"/>
        <v>-6.7425867590269325E-3</v>
      </c>
      <c r="AG140" s="789">
        <f t="shared" si="55"/>
        <v>-5.5272312869856545E-3</v>
      </c>
      <c r="AH140" s="789">
        <f t="shared" si="55"/>
        <v>-4.157354949734301E-3</v>
      </c>
      <c r="AI140" s="789">
        <f t="shared" si="55"/>
        <v>-2.6196395908818925E-3</v>
      </c>
      <c r="AJ140" s="789">
        <f t="shared" si="55"/>
        <v>3.8809750952205485E-3</v>
      </c>
      <c r="AK140" s="789">
        <f t="shared" si="55"/>
        <v>0</v>
      </c>
      <c r="AL140" s="789">
        <f t="shared" si="55"/>
        <v>-7.8129836269481643E-3</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56">O$12</f>
        <v>0</v>
      </c>
      <c r="P145" s="785">
        <f t="shared" si="56"/>
        <v>456</v>
      </c>
      <c r="Q145" s="785">
        <f t="shared" si="56"/>
        <v>541</v>
      </c>
      <c r="R145" s="785">
        <f t="shared" si="56"/>
        <v>626</v>
      </c>
      <c r="S145" s="785">
        <f t="shared" si="56"/>
        <v>711</v>
      </c>
      <c r="T145" s="785">
        <f t="shared" si="56"/>
        <v>800</v>
      </c>
      <c r="U145" s="785">
        <f t="shared" si="56"/>
        <v>889</v>
      </c>
      <c r="V145" s="785">
        <f t="shared" si="56"/>
        <v>978</v>
      </c>
      <c r="W145" s="785">
        <f t="shared" si="56"/>
        <v>1067</v>
      </c>
      <c r="X145" s="785">
        <f t="shared" si="56"/>
        <v>1156</v>
      </c>
      <c r="Y145" s="785">
        <f t="shared" si="56"/>
        <v>1245</v>
      </c>
      <c r="Z145" s="785">
        <f t="shared" si="56"/>
        <v>1334</v>
      </c>
      <c r="AA145" s="785">
        <f t="shared" si="56"/>
        <v>1423</v>
      </c>
      <c r="AB145" s="785">
        <f t="shared" si="56"/>
        <v>1512</v>
      </c>
      <c r="AC145" s="785">
        <f t="shared" si="56"/>
        <v>1601</v>
      </c>
      <c r="AD145" s="785">
        <f t="shared" si="56"/>
        <v>1690</v>
      </c>
      <c r="AE145" s="785">
        <f t="shared" si="56"/>
        <v>1779</v>
      </c>
      <c r="AF145" s="785">
        <f t="shared" si="56"/>
        <v>1868</v>
      </c>
      <c r="AG145" s="785">
        <f t="shared" si="56"/>
        <v>1957</v>
      </c>
      <c r="AH145" s="785">
        <f t="shared" si="56"/>
        <v>2046</v>
      </c>
      <c r="AI145" s="785">
        <f t="shared" si="56"/>
        <v>2135</v>
      </c>
      <c r="AJ145" s="785">
        <f t="shared" si="56"/>
        <v>2150</v>
      </c>
      <c r="AK145" s="785">
        <f t="shared" si="56"/>
        <v>0</v>
      </c>
    </row>
    <row r="146" spans="4:37" x14ac:dyDescent="0.45">
      <c r="D146" s="451"/>
      <c r="N146" s="536" t="str">
        <f>N$5</f>
        <v>2013/14</v>
      </c>
      <c r="O146" s="536" t="str">
        <f t="shared" ref="O146:AK146" si="57">O$5</f>
        <v>2014/15</v>
      </c>
      <c r="P146" s="536" t="str">
        <f t="shared" si="57"/>
        <v>2015/16</v>
      </c>
      <c r="Q146" s="536" t="str">
        <f t="shared" si="57"/>
        <v>2016/17</v>
      </c>
      <c r="R146" s="536" t="str">
        <f t="shared" si="57"/>
        <v>2017/18</v>
      </c>
      <c r="S146" s="536" t="str">
        <f t="shared" si="57"/>
        <v>2018/19</v>
      </c>
      <c r="T146" s="536" t="str">
        <f t="shared" si="57"/>
        <v>2019/20</v>
      </c>
      <c r="U146" s="536" t="str">
        <f t="shared" si="57"/>
        <v>2020/21</v>
      </c>
      <c r="V146" s="536" t="str">
        <f t="shared" si="57"/>
        <v>2021/22</v>
      </c>
      <c r="W146" s="536" t="str">
        <f t="shared" si="57"/>
        <v>2022/23</v>
      </c>
      <c r="X146" s="536" t="str">
        <f t="shared" si="57"/>
        <v>2023/24</v>
      </c>
      <c r="Y146" s="536" t="str">
        <f t="shared" si="57"/>
        <v>2024/25</v>
      </c>
      <c r="Z146" s="536" t="str">
        <f t="shared" si="57"/>
        <v>2025/26</v>
      </c>
      <c r="AA146" s="536" t="str">
        <f t="shared" si="57"/>
        <v>2026/27</v>
      </c>
      <c r="AB146" s="536" t="str">
        <f t="shared" si="57"/>
        <v>2027/28</v>
      </c>
      <c r="AC146" s="536" t="str">
        <f t="shared" si="57"/>
        <v>2028/29</v>
      </c>
      <c r="AD146" s="536" t="str">
        <f t="shared" si="57"/>
        <v>2029/30</v>
      </c>
      <c r="AE146" s="536" t="str">
        <f t="shared" si="57"/>
        <v>2030/31</v>
      </c>
      <c r="AF146" s="536" t="str">
        <f t="shared" si="57"/>
        <v>2031/32</v>
      </c>
      <c r="AG146" s="536" t="str">
        <f t="shared" si="57"/>
        <v>3032/33</v>
      </c>
      <c r="AH146" s="536" t="str">
        <f t="shared" si="57"/>
        <v>2033/34</v>
      </c>
      <c r="AI146" s="536" t="str">
        <f t="shared" si="57"/>
        <v>2034/35</v>
      </c>
      <c r="AJ146" s="536" t="str">
        <f t="shared" si="57"/>
        <v>2035/36</v>
      </c>
      <c r="AK146" s="536" t="str">
        <f t="shared" si="5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58">O$13</f>
        <v>0</v>
      </c>
      <c r="P147" s="785">
        <f t="shared" si="58"/>
        <v>1694</v>
      </c>
      <c r="Q147" s="785">
        <f t="shared" si="58"/>
        <v>1609</v>
      </c>
      <c r="R147" s="785">
        <f t="shared" si="58"/>
        <v>1524</v>
      </c>
      <c r="S147" s="785">
        <f t="shared" si="58"/>
        <v>1439</v>
      </c>
      <c r="T147" s="785">
        <f t="shared" si="58"/>
        <v>1350</v>
      </c>
      <c r="U147" s="785">
        <f t="shared" si="58"/>
        <v>1261</v>
      </c>
      <c r="V147" s="785">
        <f t="shared" si="58"/>
        <v>1172</v>
      </c>
      <c r="W147" s="785">
        <f t="shared" si="58"/>
        <v>1083</v>
      </c>
      <c r="X147" s="785">
        <f t="shared" si="58"/>
        <v>994</v>
      </c>
      <c r="Y147" s="785">
        <f t="shared" si="58"/>
        <v>905</v>
      </c>
      <c r="Z147" s="785">
        <f t="shared" si="58"/>
        <v>816</v>
      </c>
      <c r="AA147" s="785">
        <f t="shared" si="58"/>
        <v>727</v>
      </c>
      <c r="AB147" s="785">
        <f t="shared" si="58"/>
        <v>638</v>
      </c>
      <c r="AC147" s="785">
        <f t="shared" si="58"/>
        <v>549</v>
      </c>
      <c r="AD147" s="785">
        <f t="shared" si="58"/>
        <v>460</v>
      </c>
      <c r="AE147" s="785">
        <f t="shared" si="58"/>
        <v>371</v>
      </c>
      <c r="AF147" s="785">
        <f t="shared" si="58"/>
        <v>282</v>
      </c>
      <c r="AG147" s="785">
        <f t="shared" si="58"/>
        <v>193</v>
      </c>
      <c r="AH147" s="785">
        <f t="shared" si="58"/>
        <v>104</v>
      </c>
      <c r="AI147" s="785">
        <f t="shared" si="58"/>
        <v>15</v>
      </c>
      <c r="AJ147" s="785">
        <f t="shared" si="58"/>
        <v>0</v>
      </c>
      <c r="AK147" s="785">
        <f t="shared" si="58"/>
        <v>0</v>
      </c>
    </row>
    <row r="148" spans="4:37" x14ac:dyDescent="0.45">
      <c r="D148" s="451"/>
      <c r="E148" s="803" t="str">
        <f>D$12</f>
        <v>No. of Sales Accounts</v>
      </c>
      <c r="F148" s="803"/>
      <c r="G148" s="803"/>
      <c r="H148" s="803"/>
      <c r="I148" s="803"/>
      <c r="J148" s="803"/>
      <c r="K148" s="803"/>
      <c r="L148" s="803"/>
      <c r="M148" s="803"/>
      <c r="N148" s="785">
        <f>N$12</f>
        <v>0</v>
      </c>
      <c r="O148" s="785">
        <f t="shared" si="56"/>
        <v>0</v>
      </c>
      <c r="P148" s="785">
        <f t="shared" si="56"/>
        <v>456</v>
      </c>
      <c r="Q148" s="785">
        <f t="shared" si="56"/>
        <v>541</v>
      </c>
      <c r="R148" s="785">
        <f t="shared" si="56"/>
        <v>626</v>
      </c>
      <c r="S148" s="785">
        <f t="shared" si="56"/>
        <v>711</v>
      </c>
      <c r="T148" s="785">
        <f t="shared" si="56"/>
        <v>800</v>
      </c>
      <c r="U148" s="785">
        <f t="shared" si="56"/>
        <v>889</v>
      </c>
      <c r="V148" s="785">
        <f t="shared" si="56"/>
        <v>978</v>
      </c>
      <c r="W148" s="785">
        <f t="shared" si="56"/>
        <v>1067</v>
      </c>
      <c r="X148" s="785">
        <f t="shared" si="56"/>
        <v>1156</v>
      </c>
      <c r="Y148" s="785">
        <f t="shared" si="56"/>
        <v>1245</v>
      </c>
      <c r="Z148" s="785">
        <f t="shared" si="56"/>
        <v>1334</v>
      </c>
      <c r="AA148" s="785">
        <f t="shared" si="56"/>
        <v>1423</v>
      </c>
      <c r="AB148" s="785">
        <f t="shared" si="56"/>
        <v>1512</v>
      </c>
      <c r="AC148" s="785">
        <f t="shared" si="56"/>
        <v>1601</v>
      </c>
      <c r="AD148" s="785">
        <f t="shared" si="56"/>
        <v>1690</v>
      </c>
      <c r="AE148" s="785">
        <f t="shared" si="56"/>
        <v>1779</v>
      </c>
      <c r="AF148" s="785">
        <f t="shared" si="56"/>
        <v>1868</v>
      </c>
      <c r="AG148" s="785">
        <f t="shared" si="56"/>
        <v>1957</v>
      </c>
      <c r="AH148" s="785">
        <f t="shared" si="56"/>
        <v>2046</v>
      </c>
      <c r="AI148" s="785">
        <f t="shared" si="56"/>
        <v>2135</v>
      </c>
      <c r="AJ148" s="785">
        <f t="shared" si="56"/>
        <v>2150</v>
      </c>
      <c r="AK148" s="785">
        <f t="shared" si="5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9">O$5</f>
        <v>2014/15</v>
      </c>
      <c r="P170" s="536" t="str">
        <f t="shared" si="59"/>
        <v>2015/16</v>
      </c>
      <c r="Q170" s="536" t="str">
        <f t="shared" si="59"/>
        <v>2016/17</v>
      </c>
      <c r="R170" s="536" t="str">
        <f t="shared" si="59"/>
        <v>2017/18</v>
      </c>
      <c r="S170" s="536" t="str">
        <f t="shared" si="59"/>
        <v>2018/19</v>
      </c>
      <c r="T170" s="536" t="str">
        <f t="shared" si="59"/>
        <v>2019/20</v>
      </c>
      <c r="U170" s="536" t="str">
        <f t="shared" si="59"/>
        <v>2020/21</v>
      </c>
      <c r="V170" s="536" t="str">
        <f t="shared" si="59"/>
        <v>2021/22</v>
      </c>
      <c r="W170" s="536" t="str">
        <f t="shared" si="59"/>
        <v>2022/23</v>
      </c>
      <c r="X170" s="536" t="str">
        <f t="shared" si="59"/>
        <v>2023/24</v>
      </c>
      <c r="Y170" s="536" t="str">
        <f t="shared" si="59"/>
        <v>2024/25</v>
      </c>
      <c r="Z170" s="536" t="str">
        <f t="shared" si="59"/>
        <v>2025/26</v>
      </c>
      <c r="AA170" s="536" t="str">
        <f t="shared" si="59"/>
        <v>2026/27</v>
      </c>
      <c r="AB170" s="536" t="str">
        <f t="shared" si="59"/>
        <v>2027/28</v>
      </c>
      <c r="AC170" s="536" t="str">
        <f t="shared" si="59"/>
        <v>2028/29</v>
      </c>
      <c r="AD170" s="536" t="str">
        <f t="shared" si="59"/>
        <v>2029/30</v>
      </c>
      <c r="AE170" s="536" t="str">
        <f t="shared" si="59"/>
        <v>2030/31</v>
      </c>
      <c r="AF170" s="536" t="str">
        <f t="shared" si="59"/>
        <v>2031/32</v>
      </c>
      <c r="AG170" s="536" t="str">
        <f t="shared" si="59"/>
        <v>3032/33</v>
      </c>
      <c r="AH170" s="536" t="str">
        <f t="shared" si="59"/>
        <v>2033/34</v>
      </c>
      <c r="AI170" s="536" t="str">
        <f t="shared" si="59"/>
        <v>2034/35</v>
      </c>
      <c r="AJ170" s="536" t="str">
        <f t="shared" si="59"/>
        <v>2035/36</v>
      </c>
      <c r="AK170" s="536" t="str">
        <f t="shared" si="59"/>
        <v>2036/37</v>
      </c>
    </row>
    <row r="171" spans="4:37" x14ac:dyDescent="0.45">
      <c r="E171" s="803" t="str">
        <f>D48</f>
        <v>Net Surplus / (Deficit)</v>
      </c>
      <c r="F171" s="803"/>
      <c r="G171" s="803"/>
      <c r="H171" s="803"/>
      <c r="I171" s="803"/>
      <c r="J171" s="803"/>
      <c r="K171" s="803"/>
      <c r="L171" s="803"/>
      <c r="M171" s="803"/>
      <c r="N171" s="533">
        <f t="shared" ref="N171:AK171" si="60">N48</f>
        <v>-55014202.235555552</v>
      </c>
      <c r="O171" s="533">
        <f t="shared" si="60"/>
        <v>-57063143.525555551</v>
      </c>
      <c r="P171" s="533">
        <f t="shared" si="60"/>
        <v>-51881797.88666667</v>
      </c>
      <c r="Q171" s="579">
        <f t="shared" ca="1" si="60"/>
        <v>-53129566.887620203</v>
      </c>
      <c r="R171" s="579">
        <f t="shared" ca="1" si="60"/>
        <v>-53274822.587779328</v>
      </c>
      <c r="S171" s="579">
        <f t="shared" ca="1" si="60"/>
        <v>-53273549.058905281</v>
      </c>
      <c r="T171" s="533">
        <f t="shared" ca="1" si="60"/>
        <v>-53012444.989874825</v>
      </c>
      <c r="U171" s="533">
        <f t="shared" ca="1" si="60"/>
        <v>-52545927.668875955</v>
      </c>
      <c r="V171" s="533">
        <f t="shared" ca="1" si="60"/>
        <v>-51865897.292090692</v>
      </c>
      <c r="W171" s="533">
        <f t="shared" ca="1" si="60"/>
        <v>-50950289.584332943</v>
      </c>
      <c r="X171" s="533">
        <f t="shared" ca="1" si="60"/>
        <v>-49775259.077139869</v>
      </c>
      <c r="Y171" s="533">
        <f t="shared" ca="1" si="60"/>
        <v>-48315049.921943925</v>
      </c>
      <c r="Z171" s="533">
        <f t="shared" ca="1" si="60"/>
        <v>-46541857.880803443</v>
      </c>
      <c r="AA171" s="533">
        <f t="shared" ca="1" si="60"/>
        <v>-44425682.915013365</v>
      </c>
      <c r="AB171" s="533">
        <f t="shared" ca="1" si="60"/>
        <v>-41934171.754841045</v>
      </c>
      <c r="AC171" s="533">
        <f t="shared" ca="1" si="60"/>
        <v>-39032449.794230357</v>
      </c>
      <c r="AD171" s="533">
        <f t="shared" ca="1" si="60"/>
        <v>-35682941.612446934</v>
      </c>
      <c r="AE171" s="533">
        <f t="shared" ca="1" si="60"/>
        <v>-31845179.380147036</v>
      </c>
      <c r="AF171" s="533">
        <f t="shared" ca="1" si="60"/>
        <v>-27475598.3600781</v>
      </c>
      <c r="AG171" s="533">
        <f t="shared" ca="1" si="60"/>
        <v>-22527318.662392616</v>
      </c>
      <c r="AH171" s="533">
        <f t="shared" ca="1" si="60"/>
        <v>-16949912.36119286</v>
      </c>
      <c r="AI171" s="533">
        <f t="shared" ca="1" si="60"/>
        <v>-10689155.022232119</v>
      </c>
      <c r="AJ171" s="533">
        <f t="shared" ca="1" si="60"/>
        <v>-219666.00286486489</v>
      </c>
      <c r="AK171" s="533">
        <f t="shared" ca="1" si="60"/>
        <v>0</v>
      </c>
    </row>
    <row r="172" spans="4:37" x14ac:dyDescent="0.45">
      <c r="E172" s="803" t="str">
        <f>D47</f>
        <v>Total Expenditure</v>
      </c>
      <c r="F172" s="803"/>
      <c r="G172" s="803"/>
      <c r="H172" s="803"/>
      <c r="I172" s="803"/>
      <c r="J172" s="803"/>
      <c r="K172" s="803"/>
      <c r="L172" s="803"/>
      <c r="M172" s="803"/>
      <c r="N172" s="533">
        <f t="shared" ref="N172:AK172" si="61">N47</f>
        <v>55425160.545555554</v>
      </c>
      <c r="O172" s="533">
        <f t="shared" si="61"/>
        <v>57214905.015555553</v>
      </c>
      <c r="P172" s="533">
        <f t="shared" si="61"/>
        <v>52758725.936666667</v>
      </c>
      <c r="Q172" s="579">
        <f t="shared" si="61"/>
        <v>53595770.933355078</v>
      </c>
      <c r="R172" s="579">
        <f t="shared" si="61"/>
        <v>53737570.733720817</v>
      </c>
      <c r="S172" s="579">
        <f t="shared" si="61"/>
        <v>53732841.305053376</v>
      </c>
      <c r="T172" s="533">
        <f t="shared" si="61"/>
        <v>53486979.218381763</v>
      </c>
      <c r="U172" s="533">
        <f t="shared" si="61"/>
        <v>53016843.367010988</v>
      </c>
      <c r="V172" s="533">
        <f t="shared" si="61"/>
        <v>52333194.459853828</v>
      </c>
      <c r="W172" s="533">
        <f t="shared" si="61"/>
        <v>51413968.221724175</v>
      </c>
      <c r="X172" s="533">
        <f t="shared" si="61"/>
        <v>50235319.184159204</v>
      </c>
      <c r="Y172" s="533">
        <f t="shared" si="61"/>
        <v>48771491.498591356</v>
      </c>
      <c r="Z172" s="533">
        <f t="shared" si="61"/>
        <v>46994680.927078977</v>
      </c>
      <c r="AA172" s="533">
        <f t="shared" si="61"/>
        <v>44874887.430916995</v>
      </c>
      <c r="AB172" s="533">
        <f t="shared" si="61"/>
        <v>42379757.740372777</v>
      </c>
      <c r="AC172" s="533">
        <f t="shared" si="61"/>
        <v>39474417.249390185</v>
      </c>
      <c r="AD172" s="533">
        <f t="shared" si="61"/>
        <v>36121290.537234865</v>
      </c>
      <c r="AE172" s="533">
        <f t="shared" si="61"/>
        <v>32279909.774563063</v>
      </c>
      <c r="AF172" s="533">
        <f t="shared" si="61"/>
        <v>27906710.224122226</v>
      </c>
      <c r="AG172" s="533">
        <f t="shared" si="61"/>
        <v>22954811.996064842</v>
      </c>
      <c r="AH172" s="533">
        <f t="shared" si="61"/>
        <v>17373787.164493185</v>
      </c>
      <c r="AI172" s="533">
        <f t="shared" si="61"/>
        <v>11109411.295160543</v>
      </c>
      <c r="AJ172" s="533">
        <f t="shared" si="61"/>
        <v>290392.92560514633</v>
      </c>
      <c r="AK172" s="533">
        <f t="shared" si="61"/>
        <v>0</v>
      </c>
    </row>
    <row r="173" spans="4:37" x14ac:dyDescent="0.45">
      <c r="E173" s="803" t="str">
        <f>D28</f>
        <v>Total Income</v>
      </c>
      <c r="F173" s="803"/>
      <c r="G173" s="803"/>
      <c r="H173" s="803"/>
      <c r="I173" s="803"/>
      <c r="J173" s="803"/>
      <c r="K173" s="803"/>
      <c r="L173" s="803"/>
      <c r="M173" s="803"/>
      <c r="N173" s="533">
        <f t="shared" ref="N173:AK173" si="62">N28</f>
        <v>410958.31</v>
      </c>
      <c r="O173" s="533">
        <f t="shared" si="62"/>
        <v>151761.49</v>
      </c>
      <c r="P173" s="533">
        <f t="shared" si="62"/>
        <v>876928.05</v>
      </c>
      <c r="Q173" s="579">
        <f t="shared" ca="1" si="62"/>
        <v>466204.04573487316</v>
      </c>
      <c r="R173" s="579">
        <f t="shared" ca="1" si="62"/>
        <v>462748.14594148472</v>
      </c>
      <c r="S173" s="579">
        <f t="shared" ca="1" si="62"/>
        <v>459292.24614809634</v>
      </c>
      <c r="T173" s="533">
        <f t="shared" ca="1" si="62"/>
        <v>474534.22850693727</v>
      </c>
      <c r="U173" s="533">
        <f t="shared" ca="1" si="62"/>
        <v>470915.69813503645</v>
      </c>
      <c r="V173" s="533">
        <f t="shared" ca="1" si="62"/>
        <v>467297.16776313563</v>
      </c>
      <c r="W173" s="533">
        <f t="shared" ca="1" si="62"/>
        <v>463678.63739123475</v>
      </c>
      <c r="X173" s="533">
        <f t="shared" ca="1" si="62"/>
        <v>460060.10701933393</v>
      </c>
      <c r="Y173" s="533">
        <f t="shared" ca="1" si="62"/>
        <v>456441.5766474331</v>
      </c>
      <c r="Z173" s="533">
        <f t="shared" ca="1" si="62"/>
        <v>452823.04627553228</v>
      </c>
      <c r="AA173" s="533">
        <f t="shared" ca="1" si="62"/>
        <v>449204.51590363146</v>
      </c>
      <c r="AB173" s="533">
        <f t="shared" ca="1" si="62"/>
        <v>445585.98553173064</v>
      </c>
      <c r="AC173" s="533">
        <f t="shared" ca="1" si="62"/>
        <v>441967.45515982981</v>
      </c>
      <c r="AD173" s="533">
        <f t="shared" ca="1" si="62"/>
        <v>438348.92478792899</v>
      </c>
      <c r="AE173" s="533">
        <f t="shared" ca="1" si="62"/>
        <v>434730.39441602817</v>
      </c>
      <c r="AF173" s="533">
        <f t="shared" ca="1" si="62"/>
        <v>431111.86404412735</v>
      </c>
      <c r="AG173" s="533">
        <f t="shared" ca="1" si="62"/>
        <v>427493.33367222652</v>
      </c>
      <c r="AH173" s="533">
        <f t="shared" ca="1" si="62"/>
        <v>423874.8033003257</v>
      </c>
      <c r="AI173" s="533">
        <f t="shared" ca="1" si="62"/>
        <v>420256.27292842488</v>
      </c>
      <c r="AJ173" s="533">
        <f t="shared" ca="1" si="62"/>
        <v>70726.922740281458</v>
      </c>
      <c r="AK173" s="533">
        <f t="shared" ca="1" si="62"/>
        <v>0</v>
      </c>
    </row>
    <row r="195" spans="5:37" x14ac:dyDescent="0.45">
      <c r="N195" s="536" t="str">
        <f>N$170</f>
        <v>2013/14</v>
      </c>
      <c r="O195" s="536" t="str">
        <f t="shared" ref="O195:AK195" si="63">O$170</f>
        <v>2014/15</v>
      </c>
      <c r="P195" s="536" t="str">
        <f t="shared" si="63"/>
        <v>2015/16</v>
      </c>
      <c r="Q195" s="536" t="str">
        <f t="shared" si="63"/>
        <v>2016/17</v>
      </c>
      <c r="R195" s="536" t="str">
        <f t="shared" si="63"/>
        <v>2017/18</v>
      </c>
      <c r="S195" s="536" t="str">
        <f t="shared" si="63"/>
        <v>2018/19</v>
      </c>
      <c r="T195" s="536" t="str">
        <f t="shared" si="63"/>
        <v>2019/20</v>
      </c>
      <c r="U195" s="536" t="str">
        <f t="shared" si="63"/>
        <v>2020/21</v>
      </c>
      <c r="V195" s="536" t="str">
        <f t="shared" si="63"/>
        <v>2021/22</v>
      </c>
      <c r="W195" s="536" t="str">
        <f t="shared" si="63"/>
        <v>2022/23</v>
      </c>
      <c r="X195" s="536" t="str">
        <f t="shared" si="63"/>
        <v>2023/24</v>
      </c>
      <c r="Y195" s="536" t="str">
        <f t="shared" si="63"/>
        <v>2024/25</v>
      </c>
      <c r="Z195" s="536" t="str">
        <f t="shared" si="63"/>
        <v>2025/26</v>
      </c>
      <c r="AA195" s="536" t="str">
        <f t="shared" si="63"/>
        <v>2026/27</v>
      </c>
      <c r="AB195" s="536" t="str">
        <f t="shared" si="63"/>
        <v>2027/28</v>
      </c>
      <c r="AC195" s="536" t="str">
        <f t="shared" si="63"/>
        <v>2028/29</v>
      </c>
      <c r="AD195" s="536" t="str">
        <f t="shared" si="63"/>
        <v>2029/30</v>
      </c>
      <c r="AE195" s="536" t="str">
        <f t="shared" si="63"/>
        <v>2030/31</v>
      </c>
      <c r="AF195" s="536" t="str">
        <f t="shared" si="63"/>
        <v>2031/32</v>
      </c>
      <c r="AG195" s="536" t="str">
        <f t="shared" si="63"/>
        <v>3032/33</v>
      </c>
      <c r="AH195" s="536" t="str">
        <f t="shared" si="63"/>
        <v>2033/34</v>
      </c>
      <c r="AI195" s="536" t="str">
        <f t="shared" si="63"/>
        <v>2034/35</v>
      </c>
      <c r="AJ195" s="536" t="str">
        <f t="shared" si="63"/>
        <v>2035/36</v>
      </c>
      <c r="AK195" s="536" t="str">
        <f t="shared" si="63"/>
        <v>2036/37</v>
      </c>
    </row>
    <row r="196" spans="5:37" x14ac:dyDescent="0.45">
      <c r="E196" s="803" t="str">
        <f>D104</f>
        <v>Sales &amp; Loans Collections/Sales &amp; Loans Raised</v>
      </c>
      <c r="F196" s="803"/>
      <c r="G196" s="803"/>
      <c r="H196" s="803"/>
      <c r="I196" s="803"/>
      <c r="J196" s="803"/>
      <c r="K196" s="803"/>
      <c r="L196" s="803"/>
      <c r="M196" s="803"/>
      <c r="N196" s="813">
        <f t="shared" ref="N196:AK196" si="64">N104</f>
        <v>1.4473657586976172E-2</v>
      </c>
      <c r="O196" s="813">
        <f t="shared" si="64"/>
        <v>5.4457768087850366E-3</v>
      </c>
      <c r="P196" s="813">
        <f t="shared" si="64"/>
        <v>8.6890375017410773E-2</v>
      </c>
      <c r="Q196" s="813">
        <f t="shared" si="64"/>
        <v>3.0922742629526503E-2</v>
      </c>
      <c r="R196" s="813">
        <f t="shared" si="64"/>
        <v>3.0922742629526503E-2</v>
      </c>
      <c r="S196" s="813">
        <f t="shared" si="64"/>
        <v>3.0922742629526503E-2</v>
      </c>
      <c r="T196" s="813">
        <f t="shared" si="64"/>
        <v>3.0922742629526503E-2</v>
      </c>
      <c r="U196" s="813">
        <f t="shared" si="64"/>
        <v>3.0922742629526503E-2</v>
      </c>
      <c r="V196" s="813">
        <f t="shared" si="64"/>
        <v>3.0922742629526503E-2</v>
      </c>
      <c r="W196" s="813">
        <f t="shared" si="64"/>
        <v>3.0922742629526503E-2</v>
      </c>
      <c r="X196" s="813">
        <f t="shared" si="64"/>
        <v>3.0922742629526503E-2</v>
      </c>
      <c r="Y196" s="813">
        <f t="shared" si="64"/>
        <v>3.0922742629526503E-2</v>
      </c>
      <c r="Z196" s="813">
        <f t="shared" si="64"/>
        <v>3.0922742629526503E-2</v>
      </c>
      <c r="AA196" s="813">
        <f t="shared" si="64"/>
        <v>3.0922742629526503E-2</v>
      </c>
      <c r="AB196" s="813">
        <f t="shared" si="64"/>
        <v>3.0922742629526503E-2</v>
      </c>
      <c r="AC196" s="813">
        <f t="shared" si="64"/>
        <v>3.0922742629526503E-2</v>
      </c>
      <c r="AD196" s="813">
        <f t="shared" si="64"/>
        <v>3.0922742629526503E-2</v>
      </c>
      <c r="AE196" s="813">
        <f t="shared" si="64"/>
        <v>3.0922742629526503E-2</v>
      </c>
      <c r="AF196" s="813">
        <f t="shared" si="64"/>
        <v>3.0922742629526503E-2</v>
      </c>
      <c r="AG196" s="813">
        <f t="shared" si="64"/>
        <v>3.0922742629526503E-2</v>
      </c>
      <c r="AH196" s="813">
        <f t="shared" si="64"/>
        <v>3.0922742629526503E-2</v>
      </c>
      <c r="AI196" s="813">
        <f t="shared" si="64"/>
        <v>3.0922742629526503E-2</v>
      </c>
      <c r="AJ196" s="813">
        <f t="shared" si="64"/>
        <v>3.0922742629526507E-2</v>
      </c>
      <c r="AK196" s="813">
        <f t="shared" si="64"/>
        <v>0</v>
      </c>
    </row>
    <row r="219" spans="5:37" x14ac:dyDescent="0.45">
      <c r="N219" s="536" t="str">
        <f>N$170</f>
        <v>2013/14</v>
      </c>
      <c r="O219" s="536" t="str">
        <f t="shared" ref="O219:AK219" si="65">O$170</f>
        <v>2014/15</v>
      </c>
      <c r="P219" s="536" t="str">
        <f t="shared" si="65"/>
        <v>2015/16</v>
      </c>
      <c r="Q219" s="536" t="str">
        <f t="shared" si="65"/>
        <v>2016/17</v>
      </c>
      <c r="R219" s="536" t="str">
        <f t="shared" si="65"/>
        <v>2017/18</v>
      </c>
      <c r="S219" s="536" t="str">
        <f t="shared" si="65"/>
        <v>2018/19</v>
      </c>
      <c r="T219" s="536" t="str">
        <f t="shared" si="65"/>
        <v>2019/20</v>
      </c>
      <c r="U219" s="536" t="str">
        <f t="shared" si="65"/>
        <v>2020/21</v>
      </c>
      <c r="V219" s="536" t="str">
        <f t="shared" si="65"/>
        <v>2021/22</v>
      </c>
      <c r="W219" s="536" t="str">
        <f t="shared" si="65"/>
        <v>2022/23</v>
      </c>
      <c r="X219" s="536" t="str">
        <f t="shared" si="65"/>
        <v>2023/24</v>
      </c>
      <c r="Y219" s="536" t="str">
        <f t="shared" si="65"/>
        <v>2024/25</v>
      </c>
      <c r="Z219" s="536" t="str">
        <f t="shared" si="65"/>
        <v>2025/26</v>
      </c>
      <c r="AA219" s="536" t="str">
        <f t="shared" si="65"/>
        <v>2026/27</v>
      </c>
      <c r="AB219" s="536" t="str">
        <f t="shared" si="65"/>
        <v>2027/28</v>
      </c>
      <c r="AC219" s="536" t="str">
        <f t="shared" si="65"/>
        <v>2028/29</v>
      </c>
      <c r="AD219" s="536" t="str">
        <f t="shared" si="65"/>
        <v>2029/30</v>
      </c>
      <c r="AE219" s="536" t="str">
        <f t="shared" si="65"/>
        <v>2030/31</v>
      </c>
      <c r="AF219" s="536" t="str">
        <f t="shared" si="65"/>
        <v>2031/32</v>
      </c>
      <c r="AG219" s="536" t="str">
        <f t="shared" si="65"/>
        <v>3032/33</v>
      </c>
      <c r="AH219" s="536" t="str">
        <f t="shared" si="65"/>
        <v>2033/34</v>
      </c>
      <c r="AI219" s="536" t="str">
        <f t="shared" si="65"/>
        <v>2034/35</v>
      </c>
      <c r="AJ219" s="536" t="str">
        <f t="shared" si="65"/>
        <v>2035/36</v>
      </c>
      <c r="AK219" s="536" t="str">
        <f t="shared" si="65"/>
        <v>2036/37</v>
      </c>
    </row>
    <row r="220" spans="5:37" x14ac:dyDescent="0.45">
      <c r="E220" s="803" t="str">
        <f>D105</f>
        <v>Rental Collections/Rentals Raised</v>
      </c>
      <c r="F220" s="803"/>
      <c r="G220" s="803"/>
      <c r="H220" s="803"/>
      <c r="I220" s="803"/>
      <c r="J220" s="803"/>
      <c r="K220" s="803"/>
      <c r="L220" s="803"/>
      <c r="M220" s="803"/>
      <c r="N220" s="813">
        <f>N105</f>
        <v>0.12024850296859706</v>
      </c>
      <c r="O220" s="813">
        <f t="shared" ref="O220:AK220" si="66">O105</f>
        <v>4.127869112613522E-2</v>
      </c>
      <c r="P220" s="813">
        <f t="shared" si="66"/>
        <v>3.7905623003453709E-2</v>
      </c>
      <c r="Q220" s="813">
        <f t="shared" si="66"/>
        <v>3.7905623003453709E-2</v>
      </c>
      <c r="R220" s="813">
        <f t="shared" si="66"/>
        <v>3.7905623003453709E-2</v>
      </c>
      <c r="S220" s="813">
        <f t="shared" si="66"/>
        <v>3.7905623003453709E-2</v>
      </c>
      <c r="T220" s="813">
        <f t="shared" si="66"/>
        <v>3.7905623003453709E-2</v>
      </c>
      <c r="U220" s="813">
        <f t="shared" si="66"/>
        <v>3.7905623003453709E-2</v>
      </c>
      <c r="V220" s="813">
        <f t="shared" si="66"/>
        <v>3.7905623003453709E-2</v>
      </c>
      <c r="W220" s="813">
        <f t="shared" si="66"/>
        <v>3.7905623003453709E-2</v>
      </c>
      <c r="X220" s="813">
        <f t="shared" si="66"/>
        <v>3.7905623003453709E-2</v>
      </c>
      <c r="Y220" s="813">
        <f t="shared" si="66"/>
        <v>3.7905623003453709E-2</v>
      </c>
      <c r="Z220" s="813">
        <f t="shared" si="66"/>
        <v>3.7905623003453709E-2</v>
      </c>
      <c r="AA220" s="813">
        <f t="shared" si="66"/>
        <v>3.7905623003453709E-2</v>
      </c>
      <c r="AB220" s="813">
        <f t="shared" si="66"/>
        <v>3.7905623003453709E-2</v>
      </c>
      <c r="AC220" s="813">
        <f t="shared" si="66"/>
        <v>3.7905623003453709E-2</v>
      </c>
      <c r="AD220" s="813">
        <f t="shared" si="66"/>
        <v>3.7905623003453709E-2</v>
      </c>
      <c r="AE220" s="813">
        <f t="shared" si="66"/>
        <v>3.7905623003453709E-2</v>
      </c>
      <c r="AF220" s="813">
        <f t="shared" si="66"/>
        <v>3.7905623003453709E-2</v>
      </c>
      <c r="AG220" s="813">
        <f t="shared" si="66"/>
        <v>3.7905623003453709E-2</v>
      </c>
      <c r="AH220" s="813">
        <f t="shared" si="66"/>
        <v>3.7905623003453702E-2</v>
      </c>
      <c r="AI220" s="813">
        <f t="shared" si="66"/>
        <v>3.7905623003453709E-2</v>
      </c>
      <c r="AJ220" s="813">
        <f t="shared" si="66"/>
        <v>0</v>
      </c>
      <c r="AK220" s="813">
        <f t="shared" si="66"/>
        <v>0</v>
      </c>
    </row>
    <row r="243" spans="5:37" x14ac:dyDescent="0.45">
      <c r="N243" s="536" t="str">
        <f>N$170</f>
        <v>2013/14</v>
      </c>
      <c r="O243" s="536" t="str">
        <f t="shared" ref="O243:AK243" si="67">O$170</f>
        <v>2014/15</v>
      </c>
      <c r="P243" s="536" t="str">
        <f t="shared" si="67"/>
        <v>2015/16</v>
      </c>
      <c r="Q243" s="536" t="str">
        <f t="shared" si="67"/>
        <v>2016/17</v>
      </c>
      <c r="R243" s="536" t="str">
        <f t="shared" si="67"/>
        <v>2017/18</v>
      </c>
      <c r="S243" s="536" t="str">
        <f t="shared" si="67"/>
        <v>2018/19</v>
      </c>
      <c r="T243" s="536" t="str">
        <f t="shared" si="67"/>
        <v>2019/20</v>
      </c>
      <c r="U243" s="536" t="str">
        <f t="shared" si="67"/>
        <v>2020/21</v>
      </c>
      <c r="V243" s="536" t="str">
        <f t="shared" si="67"/>
        <v>2021/22</v>
      </c>
      <c r="W243" s="536" t="str">
        <f t="shared" si="67"/>
        <v>2022/23</v>
      </c>
      <c r="X243" s="536" t="str">
        <f t="shared" si="67"/>
        <v>2023/24</v>
      </c>
      <c r="Y243" s="536" t="str">
        <f t="shared" si="67"/>
        <v>2024/25</v>
      </c>
      <c r="Z243" s="536" t="str">
        <f t="shared" si="67"/>
        <v>2025/26</v>
      </c>
      <c r="AA243" s="536" t="str">
        <f t="shared" si="67"/>
        <v>2026/27</v>
      </c>
      <c r="AB243" s="536" t="str">
        <f t="shared" si="67"/>
        <v>2027/28</v>
      </c>
      <c r="AC243" s="536" t="str">
        <f t="shared" si="67"/>
        <v>2028/29</v>
      </c>
      <c r="AD243" s="536" t="str">
        <f t="shared" si="67"/>
        <v>2029/30</v>
      </c>
      <c r="AE243" s="536" t="str">
        <f t="shared" si="67"/>
        <v>2030/31</v>
      </c>
      <c r="AF243" s="536" t="str">
        <f t="shared" si="67"/>
        <v>2031/32</v>
      </c>
      <c r="AG243" s="536" t="str">
        <f t="shared" si="67"/>
        <v>3032/33</v>
      </c>
      <c r="AH243" s="536" t="str">
        <f t="shared" si="67"/>
        <v>2033/34</v>
      </c>
      <c r="AI243" s="536" t="str">
        <f t="shared" si="67"/>
        <v>2034/35</v>
      </c>
      <c r="AJ243" s="536" t="str">
        <f t="shared" si="67"/>
        <v>2035/36</v>
      </c>
      <c r="AK243" s="536" t="str">
        <f t="shared" si="67"/>
        <v>2036/37</v>
      </c>
    </row>
    <row r="244" spans="5:37" x14ac:dyDescent="0.45">
      <c r="E244" s="803" t="str">
        <f>D110</f>
        <v>Cost to Income Ratio</v>
      </c>
      <c r="F244" s="803"/>
      <c r="G244" s="803"/>
      <c r="H244" s="803"/>
      <c r="I244" s="803"/>
      <c r="J244" s="803"/>
      <c r="K244" s="803"/>
      <c r="L244" s="803"/>
      <c r="M244" s="803"/>
      <c r="N244" s="813">
        <f>N110</f>
        <v>27.965580545306178</v>
      </c>
      <c r="O244" s="813">
        <f t="shared" ref="O244:AK244" si="68">O110</f>
        <v>20.064060344894862</v>
      </c>
      <c r="P244" s="813">
        <f t="shared" si="68"/>
        <v>22.177921983057889</v>
      </c>
      <c r="Q244" s="813">
        <f t="shared" ca="1" si="68"/>
        <v>114.96204596181175</v>
      </c>
      <c r="R244" s="813">
        <f t="shared" ca="1" si="68"/>
        <v>116.12703628317945</v>
      </c>
      <c r="S244" s="813">
        <f t="shared" ca="1" si="68"/>
        <v>116.99052565265278</v>
      </c>
      <c r="T244" s="813">
        <f t="shared" ca="1" si="68"/>
        <v>112.71469159700422</v>
      </c>
      <c r="U244" s="813">
        <f t="shared" ca="1" si="68"/>
        <v>112.58245069547088</v>
      </c>
      <c r="V244" s="813">
        <f t="shared" ca="1" si="68"/>
        <v>111.99125111406745</v>
      </c>
      <c r="W244" s="813">
        <f t="shared" ca="1" si="68"/>
        <v>110.88276249039912</v>
      </c>
      <c r="X244" s="813">
        <f t="shared" ca="1" si="68"/>
        <v>109.19294765552901</v>
      </c>
      <c r="Y244" s="813">
        <f t="shared" ca="1" si="68"/>
        <v>106.85155339445267</v>
      </c>
      <c r="Z244" s="813">
        <f t="shared" ca="1" si="68"/>
        <v>103.7815573072308</v>
      </c>
      <c r="AA244" s="813">
        <f t="shared" ca="1" si="68"/>
        <v>99.898567004932062</v>
      </c>
      <c r="AB244" s="813">
        <f t="shared" ca="1" si="68"/>
        <v>95.110167546674049</v>
      </c>
      <c r="AC244" s="813">
        <f t="shared" ca="1" si="68"/>
        <v>89.315212666767394</v>
      </c>
      <c r="AD244" s="813">
        <f t="shared" ca="1" si="68"/>
        <v>82.403054951509603</v>
      </c>
      <c r="AE244" s="813">
        <f t="shared" ca="1" si="68"/>
        <v>74.252709700513478</v>
      </c>
      <c r="AF244" s="813">
        <f t="shared" ca="1" si="68"/>
        <v>64.731946744257954</v>
      </c>
      <c r="AG244" s="813">
        <f t="shared" ca="1" si="68"/>
        <v>53.696303984157716</v>
      </c>
      <c r="AH244" s="813">
        <f t="shared" ca="1" si="68"/>
        <v>40.988015869826143</v>
      </c>
      <c r="AI244" s="813">
        <f t="shared" ca="1" si="68"/>
        <v>26.434849425918316</v>
      </c>
      <c r="AJ244" s="813">
        <f t="shared" ca="1" si="68"/>
        <v>4.105832890135872</v>
      </c>
      <c r="AK244" s="813">
        <f t="shared" ca="1" si="68"/>
        <v>0</v>
      </c>
    </row>
    <row r="269" spans="5:37" x14ac:dyDescent="0.45">
      <c r="N269" s="536" t="str">
        <f>N$170</f>
        <v>2013/14</v>
      </c>
      <c r="O269" s="536" t="str">
        <f t="shared" ref="O269:AK269" si="69">O$170</f>
        <v>2014/15</v>
      </c>
      <c r="P269" s="536" t="str">
        <f t="shared" si="69"/>
        <v>2015/16</v>
      </c>
      <c r="Q269" s="536" t="str">
        <f t="shared" si="69"/>
        <v>2016/17</v>
      </c>
      <c r="R269" s="536" t="str">
        <f t="shared" si="69"/>
        <v>2017/18</v>
      </c>
      <c r="S269" s="536" t="str">
        <f t="shared" si="69"/>
        <v>2018/19</v>
      </c>
      <c r="T269" s="536" t="str">
        <f t="shared" si="69"/>
        <v>2019/20</v>
      </c>
      <c r="U269" s="536" t="str">
        <f t="shared" si="69"/>
        <v>2020/21</v>
      </c>
      <c r="V269" s="536" t="str">
        <f t="shared" si="69"/>
        <v>2021/22</v>
      </c>
      <c r="W269" s="536" t="str">
        <f t="shared" si="69"/>
        <v>2022/23</v>
      </c>
      <c r="X269" s="536" t="str">
        <f t="shared" si="69"/>
        <v>2023/24</v>
      </c>
      <c r="Y269" s="536" t="str">
        <f t="shared" si="69"/>
        <v>2024/25</v>
      </c>
      <c r="Z269" s="536" t="str">
        <f t="shared" si="69"/>
        <v>2025/26</v>
      </c>
      <c r="AA269" s="536" t="str">
        <f t="shared" si="69"/>
        <v>2026/27</v>
      </c>
      <c r="AB269" s="536" t="str">
        <f t="shared" si="69"/>
        <v>2027/28</v>
      </c>
      <c r="AC269" s="536" t="str">
        <f t="shared" si="69"/>
        <v>2028/29</v>
      </c>
      <c r="AD269" s="536" t="str">
        <f t="shared" si="69"/>
        <v>2029/30</v>
      </c>
      <c r="AE269" s="536" t="str">
        <f t="shared" si="69"/>
        <v>2030/31</v>
      </c>
      <c r="AF269" s="536" t="str">
        <f t="shared" si="69"/>
        <v>2031/32</v>
      </c>
      <c r="AG269" s="536" t="str">
        <f t="shared" si="69"/>
        <v>3032/33</v>
      </c>
      <c r="AH269" s="536" t="str">
        <f t="shared" si="69"/>
        <v>2033/34</v>
      </c>
      <c r="AI269" s="536" t="str">
        <f t="shared" si="69"/>
        <v>2034/35</v>
      </c>
      <c r="AJ269" s="536" t="str">
        <f t="shared" si="69"/>
        <v>2035/36</v>
      </c>
      <c r="AK269" s="536" t="str">
        <f t="shared" si="69"/>
        <v>2036/37</v>
      </c>
    </row>
    <row r="270" spans="5:37" x14ac:dyDescent="0.45">
      <c r="E270" s="803" t="str">
        <f>D111</f>
        <v>Maintenance as % of Expenses</v>
      </c>
      <c r="F270" s="803"/>
      <c r="G270" s="803"/>
      <c r="H270" s="803"/>
      <c r="I270" s="803"/>
      <c r="J270" s="803"/>
      <c r="K270" s="803"/>
      <c r="L270" s="803"/>
      <c r="M270" s="803"/>
      <c r="N270" s="813">
        <f>N111</f>
        <v>0.53741164043210865</v>
      </c>
      <c r="O270" s="813">
        <f t="shared" ref="O270:AK270" si="70">O111</f>
        <v>0.37691642525906238</v>
      </c>
      <c r="P270" s="813">
        <f t="shared" si="70"/>
        <v>0.51294643719195587</v>
      </c>
      <c r="Q270" s="813">
        <f t="shared" si="70"/>
        <v>0.50597713590360449</v>
      </c>
      <c r="R270" s="813">
        <f t="shared" si="70"/>
        <v>0.5042718990526841</v>
      </c>
      <c r="S270" s="813">
        <f t="shared" si="70"/>
        <v>0.5023787694569315</v>
      </c>
      <c r="T270" s="813">
        <f t="shared" si="70"/>
        <v>0.49951489966931317</v>
      </c>
      <c r="U270" s="813">
        <f t="shared" si="70"/>
        <v>0.49661110804351477</v>
      </c>
      <c r="V270" s="813">
        <f t="shared" si="70"/>
        <v>0.49330785994660964</v>
      </c>
      <c r="W270" s="813">
        <f t="shared" si="70"/>
        <v>0.48951664110436643</v>
      </c>
      <c r="X270" s="813">
        <f t="shared" si="70"/>
        <v>0.4851207001277561</v>
      </c>
      <c r="Y270" s="813">
        <f t="shared" si="70"/>
        <v>0.47996281269722907</v>
      </c>
      <c r="Z270" s="813">
        <f t="shared" si="70"/>
        <v>0.47382607953681199</v>
      </c>
      <c r="AA270" s="813">
        <f t="shared" si="70"/>
        <v>0.46640264601374593</v>
      </c>
      <c r="AB270" s="813">
        <f t="shared" si="70"/>
        <v>0.45724044156526222</v>
      </c>
      <c r="AC270" s="813">
        <f t="shared" si="70"/>
        <v>0.44564752947456343</v>
      </c>
      <c r="AD270" s="813">
        <f t="shared" si="70"/>
        <v>0.43050868688438948</v>
      </c>
      <c r="AE270" s="813">
        <f t="shared" si="70"/>
        <v>0.40990328887017385</v>
      </c>
      <c r="AF270" s="813">
        <f t="shared" si="70"/>
        <v>0.38021805036618678</v>
      </c>
      <c r="AG270" s="813">
        <f t="shared" si="70"/>
        <v>0.33375539419762251</v>
      </c>
      <c r="AH270" s="813">
        <f t="shared" si="70"/>
        <v>0.25068943221526718</v>
      </c>
      <c r="AI270" s="813">
        <f t="shared" si="70"/>
        <v>5.9655413097127422E-2</v>
      </c>
      <c r="AJ270" s="813">
        <f t="shared" si="70"/>
        <v>0</v>
      </c>
      <c r="AK270" s="813">
        <f t="shared" si="70"/>
        <v>0</v>
      </c>
    </row>
    <row r="293" spans="5:37" x14ac:dyDescent="0.45">
      <c r="N293" s="536" t="str">
        <f>N$170</f>
        <v>2013/14</v>
      </c>
      <c r="O293" s="536" t="str">
        <f t="shared" ref="O293:AK293" si="71">O$170</f>
        <v>2014/15</v>
      </c>
      <c r="P293" s="536" t="str">
        <f t="shared" si="71"/>
        <v>2015/16</v>
      </c>
      <c r="Q293" s="536" t="str">
        <f t="shared" si="71"/>
        <v>2016/17</v>
      </c>
      <c r="R293" s="536" t="str">
        <f t="shared" si="71"/>
        <v>2017/18</v>
      </c>
      <c r="S293" s="536" t="str">
        <f t="shared" si="71"/>
        <v>2018/19</v>
      </c>
      <c r="T293" s="536" t="str">
        <f t="shared" si="71"/>
        <v>2019/20</v>
      </c>
      <c r="U293" s="536" t="str">
        <f t="shared" si="71"/>
        <v>2020/21</v>
      </c>
      <c r="V293" s="536" t="str">
        <f t="shared" si="71"/>
        <v>2021/22</v>
      </c>
      <c r="W293" s="536" t="str">
        <f t="shared" si="71"/>
        <v>2022/23</v>
      </c>
      <c r="X293" s="536" t="str">
        <f t="shared" si="71"/>
        <v>2023/24</v>
      </c>
      <c r="Y293" s="536" t="str">
        <f t="shared" si="71"/>
        <v>2024/25</v>
      </c>
      <c r="Z293" s="536" t="str">
        <f t="shared" si="71"/>
        <v>2025/26</v>
      </c>
      <c r="AA293" s="536" t="str">
        <f t="shared" si="71"/>
        <v>2026/27</v>
      </c>
      <c r="AB293" s="536" t="str">
        <f t="shared" si="71"/>
        <v>2027/28</v>
      </c>
      <c r="AC293" s="536" t="str">
        <f t="shared" si="71"/>
        <v>2028/29</v>
      </c>
      <c r="AD293" s="536" t="str">
        <f t="shared" si="71"/>
        <v>2029/30</v>
      </c>
      <c r="AE293" s="536" t="str">
        <f t="shared" si="71"/>
        <v>2030/31</v>
      </c>
      <c r="AF293" s="536" t="str">
        <f t="shared" si="71"/>
        <v>2031/32</v>
      </c>
      <c r="AG293" s="536" t="str">
        <f t="shared" si="71"/>
        <v>3032/33</v>
      </c>
      <c r="AH293" s="536" t="str">
        <f t="shared" si="71"/>
        <v>2033/34</v>
      </c>
      <c r="AI293" s="536" t="str">
        <f t="shared" si="71"/>
        <v>2034/35</v>
      </c>
      <c r="AJ293" s="536" t="str">
        <f t="shared" si="71"/>
        <v>2035/36</v>
      </c>
      <c r="AK293" s="536" t="str">
        <f t="shared" si="71"/>
        <v>2036/37</v>
      </c>
    </row>
    <row r="294" spans="5:37" x14ac:dyDescent="0.45">
      <c r="E294" s="803" t="str">
        <f>D112</f>
        <v>Maintenance Cost per Unit</v>
      </c>
      <c r="F294" s="803"/>
      <c r="G294" s="803"/>
      <c r="H294" s="803"/>
      <c r="I294" s="803"/>
      <c r="J294" s="803"/>
      <c r="K294" s="803"/>
      <c r="L294" s="803"/>
      <c r="M294" s="803"/>
      <c r="N294" s="818">
        <f>N112</f>
        <v>0</v>
      </c>
      <c r="O294" s="818">
        <f t="shared" ref="O294:AK294" si="72">O112</f>
        <v>0</v>
      </c>
      <c r="P294" s="818">
        <f t="shared" si="72"/>
        <v>15975.443034238489</v>
      </c>
      <c r="Q294" s="818">
        <f t="shared" si="72"/>
        <v>16854.092401121605</v>
      </c>
      <c r="R294" s="818">
        <f t="shared" si="72"/>
        <v>17781.067483183291</v>
      </c>
      <c r="S294" s="818">
        <f t="shared" si="72"/>
        <v>18759.026194758368</v>
      </c>
      <c r="T294" s="818">
        <f t="shared" si="72"/>
        <v>19790.772635470075</v>
      </c>
      <c r="U294" s="818">
        <f t="shared" si="72"/>
        <v>20879.265130420928</v>
      </c>
      <c r="V294" s="818">
        <f t="shared" si="72"/>
        <v>22027.624712594079</v>
      </c>
      <c r="W294" s="818">
        <f t="shared" si="72"/>
        <v>23239.144071786752</v>
      </c>
      <c r="X294" s="818">
        <f t="shared" si="72"/>
        <v>24517.296995735021</v>
      </c>
      <c r="Y294" s="818">
        <f t="shared" si="72"/>
        <v>25865.748330500446</v>
      </c>
      <c r="Z294" s="818">
        <f t="shared" si="72"/>
        <v>27288.364488677969</v>
      </c>
      <c r="AA294" s="818">
        <f t="shared" si="72"/>
        <v>28789.224535555262</v>
      </c>
      <c r="AB294" s="818">
        <f t="shared" si="72"/>
        <v>30372.631885010796</v>
      </c>
      <c r="AC294" s="818">
        <f t="shared" si="72"/>
        <v>32043.12663868639</v>
      </c>
      <c r="AD294" s="818">
        <f t="shared" si="72"/>
        <v>33805.498603814143</v>
      </c>
      <c r="AE294" s="818">
        <f t="shared" si="72"/>
        <v>35664.80102702391</v>
      </c>
      <c r="AF294" s="818">
        <f t="shared" si="72"/>
        <v>37626.365083510231</v>
      </c>
      <c r="AG294" s="818">
        <f t="shared" si="72"/>
        <v>39695.815163103289</v>
      </c>
      <c r="AH294" s="818">
        <f t="shared" si="72"/>
        <v>41879.084997073973</v>
      </c>
      <c r="AI294" s="818">
        <f t="shared" si="72"/>
        <v>44182.434671913041</v>
      </c>
      <c r="AJ294" s="818">
        <f t="shared" si="72"/>
        <v>0</v>
      </c>
      <c r="AK294" s="818">
        <f t="shared" si="72"/>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1.0349453760455107E-2</v>
      </c>
      <c r="O317" s="813">
        <f t="shared" ref="O317:AK317" si="74">O113</f>
        <v>9.8155461387650095E-3</v>
      </c>
      <c r="P317" s="813">
        <f t="shared" si="74"/>
        <v>0</v>
      </c>
      <c r="Q317" s="813">
        <f t="shared" ca="1" si="74"/>
        <v>1.3049244139181333E-2</v>
      </c>
      <c r="R317" s="813">
        <f t="shared" ca="1" si="74"/>
        <v>1.3084920641080801E-2</v>
      </c>
      <c r="S317" s="813">
        <f t="shared" ca="1" si="74"/>
        <v>1.3084607847467579E-2</v>
      </c>
      <c r="T317" s="813">
        <f t="shared" ca="1" si="74"/>
        <v>1.3020477628794443E-2</v>
      </c>
      <c r="U317" s="813">
        <f t="shared" ca="1" si="74"/>
        <v>1.2905895508639995E-2</v>
      </c>
      <c r="V317" s="813">
        <f t="shared" ca="1" si="74"/>
        <v>1.273887208028229E-2</v>
      </c>
      <c r="W317" s="813">
        <f t="shared" ca="1" si="74"/>
        <v>1.2513988099211646E-2</v>
      </c>
      <c r="X317" s="813">
        <f t="shared" ca="1" si="74"/>
        <v>1.2225386838979628E-2</v>
      </c>
      <c r="Y317" s="813">
        <f t="shared" ca="1" si="74"/>
        <v>1.186674236140043E-2</v>
      </c>
      <c r="Z317" s="813">
        <f t="shared" ca="1" si="74"/>
        <v>1.1431225619857276E-2</v>
      </c>
      <c r="AA317" s="813">
        <f t="shared" ca="1" si="74"/>
        <v>1.0911468253338014E-2</v>
      </c>
      <c r="AB317" s="813">
        <f t="shared" ca="1" si="74"/>
        <v>1.0299523919717645E-2</v>
      </c>
      <c r="AC317" s="813">
        <f t="shared" ca="1" si="74"/>
        <v>9.5868270071279849E-3</v>
      </c>
      <c r="AD317" s="813">
        <f t="shared" ca="1" si="74"/>
        <v>8.7641485519708087E-3</v>
      </c>
      <c r="AE317" s="813">
        <f t="shared" ca="1" si="74"/>
        <v>7.821549181203492E-3</v>
      </c>
      <c r="AF317" s="813">
        <f t="shared" ca="1" si="74"/>
        <v>6.7483288849149708E-3</v>
      </c>
      <c r="AG317" s="813">
        <f t="shared" ca="1" si="74"/>
        <v>5.5329734128736928E-3</v>
      </c>
      <c r="AH317" s="813">
        <f t="shared" ca="1" si="74"/>
        <v>4.1630970756223393E-3</v>
      </c>
      <c r="AI317" s="813">
        <f t="shared" ca="1" si="74"/>
        <v>2.6253817167699307E-3</v>
      </c>
      <c r="AJ317" s="813">
        <f t="shared" ca="1" si="74"/>
        <v>5.3952544098936548E-5</v>
      </c>
      <c r="AK317" s="813">
        <f t="shared" ca="1" si="74"/>
        <v>0</v>
      </c>
    </row>
    <row r="339" spans="5:37" x14ac:dyDescent="0.45">
      <c r="N339" s="536" t="str">
        <f>N$170</f>
        <v>2013/14</v>
      </c>
      <c r="O339" s="536" t="str">
        <f t="shared" ref="O339:AK339" si="75">O$170</f>
        <v>2014/15</v>
      </c>
      <c r="P339" s="536" t="str">
        <f t="shared" si="75"/>
        <v>2015/16</v>
      </c>
      <c r="Q339" s="536" t="str">
        <f t="shared" si="75"/>
        <v>2016/17</v>
      </c>
      <c r="R339" s="536" t="str">
        <f t="shared" si="75"/>
        <v>2017/18</v>
      </c>
      <c r="S339" s="536" t="str">
        <f t="shared" si="75"/>
        <v>2018/19</v>
      </c>
      <c r="T339" s="536" t="str">
        <f t="shared" si="75"/>
        <v>2019/20</v>
      </c>
      <c r="U339" s="536" t="str">
        <f t="shared" si="75"/>
        <v>2020/21</v>
      </c>
      <c r="V339" s="536" t="str">
        <f t="shared" si="75"/>
        <v>2021/22</v>
      </c>
      <c r="W339" s="536" t="str">
        <f t="shared" si="75"/>
        <v>2022/23</v>
      </c>
      <c r="X339" s="536" t="str">
        <f t="shared" si="75"/>
        <v>2023/24</v>
      </c>
      <c r="Y339" s="536" t="str">
        <f t="shared" si="75"/>
        <v>2024/25</v>
      </c>
      <c r="Z339" s="536" t="str">
        <f t="shared" si="75"/>
        <v>2025/26</v>
      </c>
      <c r="AA339" s="536" t="str">
        <f t="shared" si="75"/>
        <v>2026/27</v>
      </c>
      <c r="AB339" s="536" t="str">
        <f t="shared" si="75"/>
        <v>2027/28</v>
      </c>
      <c r="AC339" s="536" t="str">
        <f t="shared" si="75"/>
        <v>2028/29</v>
      </c>
      <c r="AD339" s="536" t="str">
        <f t="shared" si="75"/>
        <v>2029/30</v>
      </c>
      <c r="AE339" s="536" t="str">
        <f t="shared" si="75"/>
        <v>2030/31</v>
      </c>
      <c r="AF339" s="536" t="str">
        <f t="shared" si="75"/>
        <v>2031/32</v>
      </c>
      <c r="AG339" s="536" t="str">
        <f t="shared" si="75"/>
        <v>3032/33</v>
      </c>
      <c r="AH339" s="536" t="str">
        <f t="shared" si="75"/>
        <v>2033/34</v>
      </c>
      <c r="AI339" s="536" t="str">
        <f t="shared" si="75"/>
        <v>2034/35</v>
      </c>
      <c r="AJ339" s="536" t="str">
        <f t="shared" si="75"/>
        <v>2035/36</v>
      </c>
      <c r="AK339" s="536" t="str">
        <f t="shared" si="75"/>
        <v>2036/37</v>
      </c>
    </row>
    <row r="340" spans="5:37" x14ac:dyDescent="0.45">
      <c r="E340" s="803" t="str">
        <f>D115</f>
        <v>EEDBS as % of HSDG</v>
      </c>
      <c r="F340" s="803"/>
      <c r="G340" s="803"/>
      <c r="H340" s="803"/>
      <c r="I340" s="803"/>
      <c r="J340" s="803"/>
      <c r="K340" s="803"/>
      <c r="L340" s="803"/>
      <c r="M340" s="803"/>
      <c r="N340" s="813">
        <f>N115</f>
        <v>3.7055334693636134E-4</v>
      </c>
      <c r="O340" s="813">
        <f t="shared" ref="O340:AK340" si="76">O115</f>
        <v>5.987815669041464E-4</v>
      </c>
      <c r="P340" s="813">
        <f t="shared" si="76"/>
        <v>3.6242882479460109E-4</v>
      </c>
      <c r="Q340" s="813">
        <f t="shared" ca="1" si="76"/>
        <v>3.7345590027117897E-4</v>
      </c>
      <c r="R340" s="813">
        <f t="shared" ca="1" si="76"/>
        <v>3.7345590027117897E-4</v>
      </c>
      <c r="S340" s="813">
        <f t="shared" ca="1" si="76"/>
        <v>3.7345590027117897E-4</v>
      </c>
      <c r="T340" s="813">
        <f t="shared" ca="1" si="76"/>
        <v>3.9103029557805791E-4</v>
      </c>
      <c r="U340" s="813">
        <f t="shared" ca="1" si="76"/>
        <v>3.9103029557805791E-4</v>
      </c>
      <c r="V340" s="813">
        <f t="shared" ca="1" si="76"/>
        <v>3.9103029557805791E-4</v>
      </c>
      <c r="W340" s="813">
        <f t="shared" ca="1" si="76"/>
        <v>3.9103029557805791E-4</v>
      </c>
      <c r="X340" s="813">
        <f t="shared" ca="1" si="76"/>
        <v>3.9103029557805791E-4</v>
      </c>
      <c r="Y340" s="813">
        <f t="shared" ca="1" si="76"/>
        <v>3.9103029557805791E-4</v>
      </c>
      <c r="Z340" s="813">
        <f t="shared" ca="1" si="76"/>
        <v>3.9103029557805791E-4</v>
      </c>
      <c r="AA340" s="813">
        <f t="shared" ca="1" si="76"/>
        <v>3.9103029557805791E-4</v>
      </c>
      <c r="AB340" s="813">
        <f t="shared" ca="1" si="76"/>
        <v>3.9103029557805791E-4</v>
      </c>
      <c r="AC340" s="813">
        <f t="shared" ca="1" si="76"/>
        <v>3.9103029557805791E-4</v>
      </c>
      <c r="AD340" s="813">
        <f t="shared" ca="1" si="76"/>
        <v>3.9103029557805791E-4</v>
      </c>
      <c r="AE340" s="813">
        <f t="shared" ca="1" si="76"/>
        <v>3.9103029557805791E-4</v>
      </c>
      <c r="AF340" s="813">
        <f t="shared" ca="1" si="76"/>
        <v>3.9103029557805791E-4</v>
      </c>
      <c r="AG340" s="813">
        <f t="shared" ca="1" si="76"/>
        <v>3.9103029557805791E-4</v>
      </c>
      <c r="AH340" s="813">
        <f t="shared" ca="1" si="76"/>
        <v>3.9103029557805791E-4</v>
      </c>
      <c r="AI340" s="813">
        <f t="shared" ca="1" si="76"/>
        <v>3.9103029557805791E-4</v>
      </c>
      <c r="AJ340" s="813">
        <f t="shared" ca="1" si="76"/>
        <v>8.0585769097918286E-2</v>
      </c>
      <c r="AK340" s="813">
        <f t="shared" ca="1" si="76"/>
        <v>0</v>
      </c>
    </row>
    <row r="363" spans="5:37" x14ac:dyDescent="0.45">
      <c r="N363" s="536" t="str">
        <f>N$170</f>
        <v>2013/14</v>
      </c>
      <c r="O363" s="536" t="str">
        <f t="shared" ref="O363:AK363" si="77">O$170</f>
        <v>2014/15</v>
      </c>
      <c r="P363" s="536" t="str">
        <f t="shared" si="77"/>
        <v>2015/16</v>
      </c>
      <c r="Q363" s="536" t="str">
        <f t="shared" si="77"/>
        <v>2016/17</v>
      </c>
      <c r="R363" s="536" t="str">
        <f t="shared" si="77"/>
        <v>2017/18</v>
      </c>
      <c r="S363" s="536" t="str">
        <f t="shared" si="77"/>
        <v>2018/19</v>
      </c>
      <c r="T363" s="536" t="str">
        <f t="shared" si="77"/>
        <v>2019/20</v>
      </c>
      <c r="U363" s="536" t="str">
        <f t="shared" si="77"/>
        <v>2020/21</v>
      </c>
      <c r="V363" s="536" t="str">
        <f t="shared" si="77"/>
        <v>2021/22</v>
      </c>
      <c r="W363" s="536" t="str">
        <f t="shared" si="77"/>
        <v>2022/23</v>
      </c>
      <c r="X363" s="536" t="str">
        <f t="shared" si="77"/>
        <v>2023/24</v>
      </c>
      <c r="Y363" s="536" t="str">
        <f t="shared" si="77"/>
        <v>2024/25</v>
      </c>
      <c r="Z363" s="536" t="str">
        <f t="shared" si="77"/>
        <v>2025/26</v>
      </c>
      <c r="AA363" s="536" t="str">
        <f t="shared" si="77"/>
        <v>2026/27</v>
      </c>
      <c r="AB363" s="536" t="str">
        <f t="shared" si="77"/>
        <v>2027/28</v>
      </c>
      <c r="AC363" s="536" t="str">
        <f t="shared" si="77"/>
        <v>2028/29</v>
      </c>
      <c r="AD363" s="536" t="str">
        <f t="shared" si="77"/>
        <v>2029/30</v>
      </c>
      <c r="AE363" s="536" t="str">
        <f t="shared" si="77"/>
        <v>2030/31</v>
      </c>
      <c r="AF363" s="536" t="str">
        <f t="shared" si="77"/>
        <v>2031/32</v>
      </c>
      <c r="AG363" s="536" t="str">
        <f t="shared" si="77"/>
        <v>3032/33</v>
      </c>
      <c r="AH363" s="536" t="str">
        <f t="shared" si="77"/>
        <v>2033/34</v>
      </c>
      <c r="AI363" s="536" t="str">
        <f t="shared" si="77"/>
        <v>2034/35</v>
      </c>
      <c r="AJ363" s="536" t="str">
        <f t="shared" si="77"/>
        <v>2035/36</v>
      </c>
      <c r="AK363" s="536" t="str">
        <f t="shared" si="77"/>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78">O117</f>
        <v>0</v>
      </c>
      <c r="P364" s="818">
        <f t="shared" si="78"/>
        <v>2595.3721928702612</v>
      </c>
      <c r="Q364" s="818">
        <f t="shared" si="78"/>
        <v>2775.8323458335963</v>
      </c>
      <c r="R364" s="818">
        <f t="shared" si="78"/>
        <v>2938.4060987380149</v>
      </c>
      <c r="S364" s="818">
        <f t="shared" si="78"/>
        <v>3111.7003303829842</v>
      </c>
      <c r="T364" s="818">
        <f t="shared" si="78"/>
        <v>3301.6653838507264</v>
      </c>
      <c r="U364" s="818">
        <f t="shared" si="78"/>
        <v>3503.6243303602291</v>
      </c>
      <c r="V364" s="818">
        <f t="shared" si="78"/>
        <v>3721.0746914003007</v>
      </c>
      <c r="W364" s="818">
        <f t="shared" si="78"/>
        <v>3956.1379056420574</v>
      </c>
      <c r="X364" s="818">
        <f t="shared" si="78"/>
        <v>4211.5458739234746</v>
      </c>
      <c r="Y364" s="818">
        <f t="shared" si="78"/>
        <v>4490.9292355977313</v>
      </c>
      <c r="Z364" s="818">
        <f t="shared" si="78"/>
        <v>4799.2933953307775</v>
      </c>
      <c r="AA364" s="818">
        <f t="shared" si="78"/>
        <v>5143.8431259648087</v>
      </c>
      <c r="AB364" s="818">
        <f t="shared" si="78"/>
        <v>5535.4960475931002</v>
      </c>
      <c r="AC364" s="818">
        <f t="shared" si="78"/>
        <v>5991.8666134472041</v>
      </c>
      <c r="AD364" s="818">
        <f t="shared" si="78"/>
        <v>6543.7120538468953</v>
      </c>
      <c r="AE364" s="818">
        <f t="shared" si="78"/>
        <v>7250.6535881767886</v>
      </c>
      <c r="AF364" s="818">
        <f t="shared" si="78"/>
        <v>8246.6637778138956</v>
      </c>
      <c r="AG364" s="818">
        <f t="shared" si="78"/>
        <v>9911.4041433786024</v>
      </c>
      <c r="AH364" s="818">
        <f t="shared" si="78"/>
        <v>13921.303817702872</v>
      </c>
      <c r="AI364" s="818">
        <f t="shared" si="78"/>
        <v>61718.951639780797</v>
      </c>
      <c r="AJ364" s="818">
        <f t="shared" si="78"/>
        <v>0</v>
      </c>
      <c r="AK364" s="818">
        <f t="shared" si="78"/>
        <v>0</v>
      </c>
    </row>
    <row r="387" spans="5:37" x14ac:dyDescent="0.45">
      <c r="N387" s="536" t="str">
        <f>N$170</f>
        <v>2013/14</v>
      </c>
      <c r="O387" s="536" t="str">
        <f t="shared" ref="O387:AK387" si="79">O$170</f>
        <v>2014/15</v>
      </c>
      <c r="P387" s="536" t="str">
        <f t="shared" si="79"/>
        <v>2015/16</v>
      </c>
      <c r="Q387" s="536" t="str">
        <f t="shared" si="79"/>
        <v>2016/17</v>
      </c>
      <c r="R387" s="536" t="str">
        <f t="shared" si="79"/>
        <v>2017/18</v>
      </c>
      <c r="S387" s="536" t="str">
        <f t="shared" si="79"/>
        <v>2018/19</v>
      </c>
      <c r="T387" s="536" t="str">
        <f t="shared" si="79"/>
        <v>2019/20</v>
      </c>
      <c r="U387" s="536" t="str">
        <f t="shared" si="79"/>
        <v>2020/21</v>
      </c>
      <c r="V387" s="536" t="str">
        <f t="shared" si="79"/>
        <v>2021/22</v>
      </c>
      <c r="W387" s="536" t="str">
        <f t="shared" si="79"/>
        <v>2022/23</v>
      </c>
      <c r="X387" s="536" t="str">
        <f t="shared" si="79"/>
        <v>2023/24</v>
      </c>
      <c r="Y387" s="536" t="str">
        <f t="shared" si="79"/>
        <v>2024/25</v>
      </c>
      <c r="Z387" s="536" t="str">
        <f t="shared" si="79"/>
        <v>2025/26</v>
      </c>
      <c r="AA387" s="536" t="str">
        <f t="shared" si="79"/>
        <v>2026/27</v>
      </c>
      <c r="AB387" s="536" t="str">
        <f t="shared" si="79"/>
        <v>2027/28</v>
      </c>
      <c r="AC387" s="536" t="str">
        <f t="shared" si="79"/>
        <v>2028/29</v>
      </c>
      <c r="AD387" s="536" t="str">
        <f t="shared" si="79"/>
        <v>2029/30</v>
      </c>
      <c r="AE387" s="536" t="str">
        <f t="shared" si="79"/>
        <v>2030/31</v>
      </c>
      <c r="AF387" s="536" t="str">
        <f t="shared" si="79"/>
        <v>2031/32</v>
      </c>
      <c r="AG387" s="536" t="str">
        <f t="shared" si="79"/>
        <v>3032/33</v>
      </c>
      <c r="AH387" s="536" t="str">
        <f t="shared" si="79"/>
        <v>2033/34</v>
      </c>
      <c r="AI387" s="536" t="str">
        <f t="shared" si="79"/>
        <v>2034/35</v>
      </c>
      <c r="AJ387" s="536" t="str">
        <f t="shared" si="79"/>
        <v>2035/36</v>
      </c>
      <c r="AK387" s="536" t="str">
        <f t="shared" si="79"/>
        <v>2036/37</v>
      </c>
    </row>
    <row r="388" spans="5:37" x14ac:dyDescent="0.45">
      <c r="E388" s="803" t="str">
        <f>D118</f>
        <v>Net Surplus/Deficit p.u.p.m.</v>
      </c>
      <c r="F388" s="803"/>
      <c r="G388" s="803"/>
      <c r="H388" s="803"/>
      <c r="I388" s="803"/>
      <c r="J388" s="803"/>
      <c r="K388" s="803"/>
      <c r="L388" s="803"/>
      <c r="M388" s="803"/>
      <c r="N388" s="818">
        <f>N118</f>
        <v>0</v>
      </c>
      <c r="O388" s="818">
        <f t="shared" ref="O388:AK388" si="80">O118</f>
        <v>0</v>
      </c>
      <c r="P388" s="818">
        <f t="shared" si="80"/>
        <v>-2478.3471535156764</v>
      </c>
      <c r="Q388" s="818">
        <f t="shared" ca="1" si="80"/>
        <v>-2751.6867043515745</v>
      </c>
      <c r="R388" s="818">
        <f t="shared" ca="1" si="80"/>
        <v>-2913.1027224288787</v>
      </c>
      <c r="S388" s="818">
        <f t="shared" ca="1" si="80"/>
        <v>-3085.1024472379709</v>
      </c>
      <c r="T388" s="818">
        <f t="shared" ca="1" si="80"/>
        <v>-3272.3731475231375</v>
      </c>
      <c r="U388" s="818">
        <f t="shared" ca="1" si="80"/>
        <v>-3472.5038110544515</v>
      </c>
      <c r="V388" s="818">
        <f t="shared" ca="1" si="80"/>
        <v>-3687.8482147390991</v>
      </c>
      <c r="W388" s="818">
        <f t="shared" ca="1" si="80"/>
        <v>-3920.4593401302664</v>
      </c>
      <c r="X388" s="818">
        <f t="shared" ca="1" si="80"/>
        <v>-4172.9761131069645</v>
      </c>
      <c r="Y388" s="818">
        <f t="shared" ca="1" si="80"/>
        <v>-4448.8996244883911</v>
      </c>
      <c r="Z388" s="818">
        <f t="shared" ca="1" si="80"/>
        <v>-4753.0492116833584</v>
      </c>
      <c r="AA388" s="818">
        <f t="shared" ca="1" si="80"/>
        <v>-5092.3524661867677</v>
      </c>
      <c r="AB388" s="818">
        <f t="shared" ca="1" si="80"/>
        <v>-5477.2951612906281</v>
      </c>
      <c r="AC388" s="818">
        <f t="shared" ca="1" si="80"/>
        <v>-5924.7798716196658</v>
      </c>
      <c r="AD388" s="818">
        <f t="shared" ca="1" si="80"/>
        <v>-6464.3010167476323</v>
      </c>
      <c r="AE388" s="818">
        <f t="shared" ca="1" si="80"/>
        <v>-7153.0052516053538</v>
      </c>
      <c r="AF388" s="818">
        <f t="shared" ca="1" si="80"/>
        <v>-8119.2666548694151</v>
      </c>
      <c r="AG388" s="818">
        <f t="shared" ca="1" si="80"/>
        <v>-9726.8215295304908</v>
      </c>
      <c r="AH388" s="818">
        <f t="shared" ca="1" si="80"/>
        <v>-13581.660545827612</v>
      </c>
      <c r="AI388" s="818">
        <f t="shared" ca="1" si="80"/>
        <v>-59384.194567956212</v>
      </c>
      <c r="AJ388" s="818">
        <f t="shared" si="80"/>
        <v>0</v>
      </c>
      <c r="AK388" s="818">
        <f t="shared" si="80"/>
        <v>0</v>
      </c>
    </row>
  </sheetData>
  <sheetProtection formatCells="0" formatColumns="0" formatRows="0"/>
  <mergeCells count="4">
    <mergeCell ref="F3:G3"/>
    <mergeCell ref="I3:L3"/>
    <mergeCell ref="N3:P3"/>
    <mergeCell ref="Q3:A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vince" prompt="Select province from the list, or select Total to see the national view. " xr:uid="{2BA4F8F7-B4B0-4FE6-84C6-B1B9B90D58B0}">
          <x14:formula1>
            <xm:f>'14. Permanent Info'!$C$7:$C$12</xm:f>
          </x14:formula1>
          <xm:sqref>E10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D3E9C-9FA2-4348-BA96-5EFE33054110}">
  <sheetPr codeName="Sheet15">
    <tabColor theme="4" tint="0.39997558519241921"/>
  </sheetPr>
  <dimension ref="D4:AD13"/>
  <sheetViews>
    <sheetView workbookViewId="0"/>
  </sheetViews>
  <sheetFormatPr defaultRowHeight="14.25" x14ac:dyDescent="0.45"/>
  <cols>
    <col min="1" max="1" width="2.73046875" customWidth="1"/>
    <col min="2" max="2" width="2.46484375" customWidth="1"/>
    <col min="3" max="3" width="3.19921875" customWidth="1"/>
    <col min="4" max="4" width="31.796875" bestFit="1" customWidth="1"/>
    <col min="5" max="5" width="14.73046875" bestFit="1" customWidth="1"/>
    <col min="6" max="29" width="10.265625" customWidth="1"/>
    <col min="30" max="30" width="14.73046875" bestFit="1" customWidth="1"/>
  </cols>
  <sheetData>
    <row r="4" spans="4:30" x14ac:dyDescent="0.45">
      <c r="E4" s="583"/>
      <c r="F4" s="586">
        <v>-3</v>
      </c>
      <c r="G4" s="586">
        <v>-2</v>
      </c>
      <c r="H4" s="586">
        <v>-1</v>
      </c>
      <c r="I4" s="587">
        <v>0</v>
      </c>
      <c r="J4" s="587">
        <v>1</v>
      </c>
      <c r="K4" s="588">
        <v>2</v>
      </c>
      <c r="L4" s="587">
        <v>3</v>
      </c>
      <c r="M4" s="588">
        <v>4</v>
      </c>
      <c r="N4" s="587">
        <v>5</v>
      </c>
      <c r="O4" s="588">
        <v>6</v>
      </c>
      <c r="P4" s="587">
        <v>7</v>
      </c>
      <c r="Q4" s="588">
        <v>8</v>
      </c>
      <c r="R4" s="529">
        <v>9</v>
      </c>
      <c r="S4" s="530">
        <v>10</v>
      </c>
      <c r="T4" s="529">
        <v>11</v>
      </c>
      <c r="U4" s="529">
        <v>12</v>
      </c>
      <c r="V4" s="530">
        <v>13</v>
      </c>
      <c r="W4" s="529">
        <v>14</v>
      </c>
      <c r="X4" s="529">
        <v>15</v>
      </c>
      <c r="Y4" s="530">
        <v>16</v>
      </c>
      <c r="Z4" s="529">
        <v>17</v>
      </c>
      <c r="AA4" s="529">
        <v>18</v>
      </c>
      <c r="AB4" s="530">
        <v>19</v>
      </c>
      <c r="AC4" s="529">
        <v>20</v>
      </c>
      <c r="AD4" s="536" t="s">
        <v>1420</v>
      </c>
    </row>
    <row r="5" spans="4:30" x14ac:dyDescent="0.45">
      <c r="E5" s="536" t="s">
        <v>1420</v>
      </c>
      <c r="F5" s="806" t="s">
        <v>102</v>
      </c>
      <c r="G5" s="806" t="s">
        <v>103</v>
      </c>
      <c r="H5" s="806" t="s">
        <v>104</v>
      </c>
      <c r="I5" s="807" t="s">
        <v>1345</v>
      </c>
      <c r="J5" s="808" t="s">
        <v>1346</v>
      </c>
      <c r="K5" s="807" t="s">
        <v>1347</v>
      </c>
      <c r="L5" s="808" t="s">
        <v>1348</v>
      </c>
      <c r="M5" s="807" t="s">
        <v>1349</v>
      </c>
      <c r="N5" s="808" t="s">
        <v>1350</v>
      </c>
      <c r="O5" s="807" t="s">
        <v>1351</v>
      </c>
      <c r="P5" s="808" t="s">
        <v>1352</v>
      </c>
      <c r="Q5" s="807" t="s">
        <v>1353</v>
      </c>
      <c r="R5" s="578" t="s">
        <v>1354</v>
      </c>
      <c r="S5" s="536" t="s">
        <v>1355</v>
      </c>
      <c r="T5" s="536" t="s">
        <v>1410</v>
      </c>
      <c r="U5" s="536" t="s">
        <v>1411</v>
      </c>
      <c r="V5" s="536" t="s">
        <v>1412</v>
      </c>
      <c r="W5" s="536" t="s">
        <v>1413</v>
      </c>
      <c r="X5" s="536" t="s">
        <v>1414</v>
      </c>
      <c r="Y5" s="536" t="s">
        <v>1415</v>
      </c>
      <c r="Z5" s="536" t="s">
        <v>1416</v>
      </c>
      <c r="AA5" s="536" t="s">
        <v>1417</v>
      </c>
      <c r="AB5" s="536" t="s">
        <v>1418</v>
      </c>
      <c r="AC5" s="809" t="s">
        <v>1419</v>
      </c>
      <c r="AD5" s="583"/>
    </row>
    <row r="8" spans="4:30" x14ac:dyDescent="0.45">
      <c r="D8" t="s">
        <v>1536</v>
      </c>
    </row>
    <row r="9" spans="4:30" x14ac:dyDescent="0.45">
      <c r="D9" s="583" t="str">
        <f>'12. Inputs-Props &amp; Debtors 2016'!C$77</f>
        <v>EC</v>
      </c>
    </row>
    <row r="10" spans="4:30" x14ac:dyDescent="0.45">
      <c r="D10" s="583" t="str">
        <f>'12. Inputs-Props &amp; Debtors 2016'!C$78</f>
        <v>FS</v>
      </c>
    </row>
    <row r="11" spans="4:30" x14ac:dyDescent="0.45">
      <c r="D11" s="583" t="str">
        <f>'12. Inputs-Props &amp; Debtors 2016'!C$79</f>
        <v>Gau</v>
      </c>
    </row>
    <row r="12" spans="4:30" x14ac:dyDescent="0.45">
      <c r="D12" s="583" t="str">
        <f>'12. Inputs-Props &amp; Debtors 2016'!C$80</f>
        <v>KZN</v>
      </c>
    </row>
    <row r="13" spans="4:30" x14ac:dyDescent="0.45">
      <c r="D13" s="583" t="str">
        <f>'12. Inputs-Props &amp; Debtors 2016'!C$81</f>
        <v>WC</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80563-D8CD-4B05-99C6-4E9A9069E7D5}">
  <sheetPr codeName="Sheet16">
    <tabColor theme="5" tint="0.59999389629810485"/>
  </sheetPr>
  <dimension ref="A1:BM388"/>
  <sheetViews>
    <sheetView showGridLines="0" view="pageBreakPreview" zoomScale="75" zoomScaleNormal="100" zoomScaleSheetLayoutView="75" workbookViewId="0">
      <selection activeCell="C7" sqref="C7"/>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KZN 2013/14</v>
      </c>
      <c r="O1" s="803" t="str">
        <f t="shared" si="0"/>
        <v>KZN 2014/15</v>
      </c>
      <c r="P1" s="803" t="str">
        <f t="shared" si="0"/>
        <v>KZN 2015/16</v>
      </c>
      <c r="Q1" s="803" t="str">
        <f t="shared" si="0"/>
        <v>KZN 2016/17</v>
      </c>
      <c r="R1" s="803" t="str">
        <f t="shared" si="0"/>
        <v>KZN 2017/18</v>
      </c>
      <c r="S1" s="803" t="str">
        <f t="shared" si="0"/>
        <v>KZN 2018/19</v>
      </c>
      <c r="T1" s="803" t="str">
        <f t="shared" si="0"/>
        <v>KZN 2019/20</v>
      </c>
      <c r="U1" s="803" t="str">
        <f t="shared" si="0"/>
        <v>KZN 2020/21</v>
      </c>
      <c r="V1" s="803" t="str">
        <f t="shared" si="0"/>
        <v>KZN 2021/22</v>
      </c>
      <c r="W1" s="803" t="str">
        <f t="shared" si="0"/>
        <v>KZN 2022/23</v>
      </c>
      <c r="X1" s="803" t="str">
        <f t="shared" si="0"/>
        <v>KZN 2023/24</v>
      </c>
      <c r="Y1" s="803" t="str">
        <f t="shared" si="0"/>
        <v>KZN 2024/25</v>
      </c>
      <c r="Z1" s="803"/>
      <c r="AA1" s="803"/>
      <c r="AB1" s="803"/>
      <c r="AC1" s="803"/>
      <c r="AD1" s="803"/>
      <c r="AE1" s="803"/>
      <c r="AF1" s="803"/>
      <c r="AG1" s="803"/>
      <c r="AH1" s="803"/>
      <c r="AI1" s="803"/>
      <c r="AJ1" s="803" t="str">
        <f>$E$10&amp;" "&amp;AJ5</f>
        <v>KZN 2035/36</v>
      </c>
      <c r="AK1" s="803" t="str">
        <f>$E$10&amp;" "&amp;AK5</f>
        <v>KZN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KZN</v>
      </c>
      <c r="E3" s="60"/>
      <c r="F3" s="1361" t="s">
        <v>1460</v>
      </c>
      <c r="G3" s="1361"/>
      <c r="I3" s="1344" t="s">
        <v>1457</v>
      </c>
      <c r="J3" s="1350"/>
      <c r="K3" s="1350"/>
      <c r="L3" s="134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841" t="s">
        <v>1328</v>
      </c>
      <c r="J4" s="841" t="s">
        <v>1405</v>
      </c>
      <c r="K4" s="841" t="s">
        <v>1453</v>
      </c>
      <c r="L4" s="841"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890" t="str">
        <f>'7. Scenario Detailed'!E12</f>
        <v>BC</v>
      </c>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-ROUND('9e. Forecast Results - KZN'!AL127,0)</f>
        <v>-17026220</v>
      </c>
      <c r="M6" s="783"/>
      <c r="N6" s="781">
        <f>-'9e. Forecast Results - KZN'!N127</f>
        <v>-10104396</v>
      </c>
      <c r="O6" s="781">
        <f>-'9e. Forecast Results - KZN'!O127</f>
        <v>-13221991</v>
      </c>
      <c r="P6" s="781">
        <f>-'9e. Forecast Results - KZN'!P127</f>
        <v>-8660989</v>
      </c>
      <c r="Q6" s="781">
        <f>-'9e. Forecast Results - KZN'!Q127</f>
        <v>-210409.8845669291</v>
      </c>
      <c r="R6" s="781">
        <f>-'9e. Forecast Results - KZN'!R127</f>
        <v>-210409.8845669291</v>
      </c>
      <c r="S6" s="781">
        <f>-'9e. Forecast Results - KZN'!S127</f>
        <v>-210409.8845669291</v>
      </c>
      <c r="T6" s="781">
        <f>-'9e. Forecast Results - KZN'!T127</f>
        <v>-23378.876062992123</v>
      </c>
      <c r="U6" s="781">
        <f>-'9e. Forecast Results - KZN'!U127</f>
        <v>-23378.876062992123</v>
      </c>
      <c r="V6" s="781">
        <f>-'9e. Forecast Results - KZN'!V127</f>
        <v>-23378.876062992123</v>
      </c>
      <c r="W6" s="781">
        <f>-'9e. Forecast Results - KZN'!W127</f>
        <v>-23378.876062992123</v>
      </c>
      <c r="X6" s="781">
        <f>-'9e. Forecast Results - KZN'!X127</f>
        <v>-23378.876062992123</v>
      </c>
      <c r="Y6" s="781">
        <f>-'9e. Forecast Results - KZN'!Y127</f>
        <v>-23378.876062992123</v>
      </c>
      <c r="Z6" s="781">
        <f>-'9e. Forecast Results - KZN'!Z127</f>
        <v>-23378.876062992123</v>
      </c>
      <c r="AA6" s="781">
        <f>-'9e. Forecast Results - KZN'!AA127</f>
        <v>-23378.876062992123</v>
      </c>
      <c r="AB6" s="781">
        <f>-'9e. Forecast Results - KZN'!AB127</f>
        <v>-23378.876062992123</v>
      </c>
      <c r="AC6" s="781">
        <f>-'9e. Forecast Results - KZN'!AC127</f>
        <v>-23378.876062992123</v>
      </c>
      <c r="AD6" s="781">
        <f>-'9e. Forecast Results - KZN'!AD127</f>
        <v>-23378.876062992123</v>
      </c>
      <c r="AE6" s="781">
        <f>-'9e. Forecast Results - KZN'!AE127</f>
        <v>-23378.876062992123</v>
      </c>
      <c r="AF6" s="781">
        <f>-'9e. Forecast Results - KZN'!AF127</f>
        <v>-23378.876062992123</v>
      </c>
      <c r="AG6" s="781">
        <f>-'9e. Forecast Results - KZN'!AG127</f>
        <v>-23378.876062992123</v>
      </c>
      <c r="AH6" s="781">
        <f>-'9e. Forecast Results - KZN'!AH127</f>
        <v>-23378.876062992123</v>
      </c>
      <c r="AI6" s="781">
        <f>-'9e. Forecast Results - KZN'!AI127</f>
        <v>-23378.876062992123</v>
      </c>
      <c r="AJ6" s="781">
        <f>-'9e. Forecast Results - KZN'!AJ127</f>
        <v>-16020928.030877186</v>
      </c>
      <c r="AK6" s="781">
        <f>-'9e. Forecast Results - KZN'!AK127</f>
        <v>0</v>
      </c>
      <c r="AL6" s="781">
        <f>-'9e. Forecast Results - KZN'!AL127</f>
        <v>-17026219.701585848</v>
      </c>
    </row>
    <row r="7" spans="1:38" outlineLevel="1" x14ac:dyDescent="0.45">
      <c r="D7" s="1102" t="s">
        <v>1324</v>
      </c>
      <c r="E7" s="781">
        <f ca="1">ROUND('9e. Forecast Results - KZN'!AL51,0)</f>
        <v>-944553507</v>
      </c>
      <c r="M7" s="783"/>
      <c r="N7" s="781">
        <f>'9e. Forecast Results - KZN'!N51</f>
        <v>-50871121.044444449</v>
      </c>
      <c r="O7" s="781">
        <f>'9e. Forecast Results - KZN'!O51</f>
        <v>-57558593.629444435</v>
      </c>
      <c r="P7" s="781">
        <f>'9e. Forecast Results - KZN'!P51</f>
        <v>-68664631.99333334</v>
      </c>
      <c r="Q7" s="781">
        <f ca="1">'9e. Forecast Results - KZN'!Q51</f>
        <v>-68333830.554473817</v>
      </c>
      <c r="R7" s="781">
        <f ca="1">'9e. Forecast Results - KZN'!R51</f>
        <v>-65887506.471090525</v>
      </c>
      <c r="S7" s="781">
        <f ca="1">'9e. Forecast Results - KZN'!S51</f>
        <v>-62946965.58384338</v>
      </c>
      <c r="T7" s="781">
        <f ca="1">'9e. Forecast Results - KZN'!T51</f>
        <v>-62298903.164927401</v>
      </c>
      <c r="U7" s="781">
        <f ca="1">'9e. Forecast Results - KZN'!U51</f>
        <v>-61848324.272219233</v>
      </c>
      <c r="V7" s="781">
        <f ca="1">'9e. Forecast Results - KZN'!V51</f>
        <v>-61150823.495859824</v>
      </c>
      <c r="W7" s="781">
        <f ca="1">'9e. Forecast Results - KZN'!W51</f>
        <v>-60180743.58734142</v>
      </c>
      <c r="X7" s="781">
        <f ca="1">'9e. Forecast Results - KZN'!X51</f>
        <v>-58910351.939518437</v>
      </c>
      <c r="Y7" s="781">
        <f ca="1">'9e. Forecast Results - KZN'!Y51</f>
        <v>-57309689.910334095</v>
      </c>
      <c r="Z7" s="781">
        <f ca="1">'9e. Forecast Results - KZN'!Z51</f>
        <v>-55346411.850116737</v>
      </c>
      <c r="AA7" s="781">
        <f ca="1">'9e. Forecast Results - KZN'!AA51</f>
        <v>-52985613.155634455</v>
      </c>
      <c r="AB7" s="781">
        <f ca="1">'9e. Forecast Results - KZN'!AB51</f>
        <v>-50189646.630793676</v>
      </c>
      <c r="AC7" s="781">
        <f ca="1">'9e. Forecast Results - KZN'!AC51</f>
        <v>-46917926.387849219</v>
      </c>
      <c r="AD7" s="781">
        <f ca="1">'9e. Forecast Results - KZN'!AD51</f>
        <v>-43126718.474090755</v>
      </c>
      <c r="AE7" s="781">
        <f ca="1">'9e. Forecast Results - KZN'!AE51</f>
        <v>-38768917.357007094</v>
      </c>
      <c r="AF7" s="781">
        <f ca="1">'9e. Forecast Results - KZN'!AF51</f>
        <v>-33793807.345715009</v>
      </c>
      <c r="AG7" s="781">
        <f ca="1">'9e. Forecast Results - KZN'!AG51</f>
        <v>-28146807.967774194</v>
      </c>
      <c r="AH7" s="781">
        <f ca="1">'9e. Forecast Results - KZN'!AH51</f>
        <v>-21769202.25818086</v>
      </c>
      <c r="AI7" s="781">
        <f ca="1">'9e. Forecast Results - KZN'!AI51</f>
        <v>-14597846.851114951</v>
      </c>
      <c r="AJ7" s="781">
        <f ca="1">'9e. Forecast Results - KZN'!AJ51</f>
        <v>-43469.278956009039</v>
      </c>
      <c r="AK7" s="781">
        <f ca="1">'9e. Forecast Results - KZN'!AK51</f>
        <v>0</v>
      </c>
      <c r="AL7" s="781">
        <f ca="1">'9e. Forecast Results - KZN'!AL48</f>
        <v>-944553506.53684103</v>
      </c>
    </row>
    <row r="8" spans="1:38" outlineLevel="1" x14ac:dyDescent="0.45">
      <c r="D8" s="1102" t="s">
        <v>1311</v>
      </c>
      <c r="E8" s="781">
        <f>'9e. Forecast Results - KZN'!$AL$20+'9e. Forecast Results - KZN'!$AL$24</f>
        <v>-243478480.50757852</v>
      </c>
      <c r="M8" s="783"/>
      <c r="N8" s="781">
        <f>'9e. Forecast Results - KZN'!N20+'9e. Forecast Results - KZN'!N24</f>
        <v>-34319459.680000007</v>
      </c>
      <c r="O8" s="781">
        <f>'9e. Forecast Results - KZN'!O20+'9e. Forecast Results - KZN'!O24</f>
        <v>-25757561.16</v>
      </c>
      <c r="P8" s="781">
        <f>'9e. Forecast Results - KZN'!P20+'9e. Forecast Results - KZN'!P24</f>
        <v>-22065425.940000001</v>
      </c>
      <c r="Q8" s="781">
        <f>'9e. Forecast Results - KZN'!Q20+'9e. Forecast Results - KZN'!Q24</f>
        <v>-24695605.82086717</v>
      </c>
      <c r="R8" s="781">
        <f>'9e. Forecast Results - KZN'!R20+'9e. Forecast Results - KZN'!R24</f>
        <v>-24416573.153274503</v>
      </c>
      <c r="S8" s="781">
        <f>'9e. Forecast Results - KZN'!S20+'9e. Forecast Results - KZN'!S24</f>
        <v>-24137540.485681839</v>
      </c>
      <c r="T8" s="781">
        <f>'9e. Forecast Results - KZN'!T20+'9e. Forecast Results - KZN'!T24</f>
        <v>-11538627.625726392</v>
      </c>
      <c r="U8" s="781">
        <f>'9e. Forecast Results - KZN'!U20+'9e. Forecast Results - KZN'!U24</f>
        <v>-11416550.833654601</v>
      </c>
      <c r="V8" s="781">
        <f>'9e. Forecast Results - KZN'!V20+'9e. Forecast Results - KZN'!V24</f>
        <v>-11294474.041582812</v>
      </c>
      <c r="W8" s="781">
        <f>'9e. Forecast Results - KZN'!W20+'9e. Forecast Results - KZN'!W24</f>
        <v>-11172397.24951102</v>
      </c>
      <c r="X8" s="781">
        <f>'9e. Forecast Results - KZN'!X20+'9e. Forecast Results - KZN'!X24</f>
        <v>-11050320.457439229</v>
      </c>
      <c r="Y8" s="781">
        <f>'9e. Forecast Results - KZN'!Y20+'9e. Forecast Results - KZN'!Y24</f>
        <v>-10928243.665367438</v>
      </c>
      <c r="Z8" s="781">
        <f>'9e. Forecast Results - KZN'!Z20+'9e. Forecast Results - KZN'!Z24</f>
        <v>-10806166.873295646</v>
      </c>
      <c r="AA8" s="781">
        <f>'9e. Forecast Results - KZN'!AA20+'9e. Forecast Results - KZN'!AA24</f>
        <v>-10684090.081223857</v>
      </c>
      <c r="AB8" s="781">
        <f>'9e. Forecast Results - KZN'!AB20+'9e. Forecast Results - KZN'!AB24</f>
        <v>-10562013.289152065</v>
      </c>
      <c r="AC8" s="781">
        <f>'9e. Forecast Results - KZN'!AC20+'9e. Forecast Results - KZN'!AC24</f>
        <v>-10439936.497080274</v>
      </c>
      <c r="AD8" s="781">
        <f>'9e. Forecast Results - KZN'!AD20+'9e. Forecast Results - KZN'!AD24</f>
        <v>-10317859.705008484</v>
      </c>
      <c r="AE8" s="781">
        <f>'9e. Forecast Results - KZN'!AE20+'9e. Forecast Results - KZN'!AE24</f>
        <v>-10195782.912936693</v>
      </c>
      <c r="AF8" s="781">
        <f>'9e. Forecast Results - KZN'!AF20+'9e. Forecast Results - KZN'!AF24</f>
        <v>-10073706.120864902</v>
      </c>
      <c r="AG8" s="781">
        <f>'9e. Forecast Results - KZN'!AG20+'9e. Forecast Results - KZN'!AG24</f>
        <v>-9951629.3287931103</v>
      </c>
      <c r="AH8" s="781">
        <f>'9e. Forecast Results - KZN'!AH20+'9e. Forecast Results - KZN'!AH24</f>
        <v>-9829552.5367213208</v>
      </c>
      <c r="AI8" s="781">
        <f>'9e. Forecast Results - KZN'!AI20+'9e. Forecast Results - KZN'!AI24</f>
        <v>-9707475.7446495295</v>
      </c>
      <c r="AJ8" s="781">
        <f>'9e. Forecast Results - KZN'!AJ20+'9e. Forecast Results - KZN'!AJ24</f>
        <v>-259934.08474757615</v>
      </c>
      <c r="AK8" s="781">
        <f>'9e. Forecast Results - KZN'!AK20+'9e. Forecast Results - KZN'!AK24</f>
        <v>0</v>
      </c>
      <c r="AL8" s="781">
        <f>'9e. Forecast Results - KZN'!AL20+'9e. Forecast Results - KZN'!AL24</f>
        <v>-243478480.50757852</v>
      </c>
    </row>
    <row r="9" spans="1:38" outlineLevel="1" x14ac:dyDescent="0.45">
      <c r="D9" s="1102" t="s">
        <v>1322</v>
      </c>
      <c r="E9" s="1110">
        <f>-(SUMIF('10. Inputs &amp; Calcs'!$D$396:$D$400,$E$10,'10. Inputs &amp; Calcs'!AC$396:AC$400)+SUMIF('10. Inputs &amp; Calcs'!$D$628:$D$633,$E$10,'10. Inputs &amp; Calcs'!AC$628:AC$633))</f>
        <v>0</v>
      </c>
      <c r="M9" s="1029"/>
      <c r="N9" s="780"/>
      <c r="O9" s="780"/>
      <c r="P9" s="781">
        <f>-('10. Inputs &amp; Calcs'!H$191+SUMIF('10. Inputs &amp; Calcs'!$D$628:$D$633,$E$10,'10. Inputs &amp; Calcs'!H$628:H$633))</f>
        <v>-58470897.030000001</v>
      </c>
      <c r="Q9" s="781">
        <f>-('10. Inputs &amp; Calcs'!I$191+SUMIF('10. Inputs &amp; Calcs'!$D$628:$D$633,$E$10,'10. Inputs &amp; Calcs'!I$628:I$633))</f>
        <v>-57408684.061549589</v>
      </c>
      <c r="R9" s="781">
        <f>-('10. Inputs &amp; Calcs'!J$191+SUMIF('10. Inputs &amp; Calcs'!$D$628:$D$633,$E$10,'10. Inputs &amp; Calcs'!J$628:J$633))</f>
        <v>-55788405.757913843</v>
      </c>
      <c r="S9" s="781">
        <f>-('10. Inputs &amp; Calcs'!K$191+SUMIF('10. Inputs &amp; Calcs'!$D$628:$D$633,$E$10,'10. Inputs &amp; Calcs'!K$628:K$633))</f>
        <v>-53610062.119092762</v>
      </c>
      <c r="T9" s="781">
        <f>-('10. Inputs &amp; Calcs'!L$191+SUMIF('10. Inputs &amp; Calcs'!$D$628:$D$633,$E$10,'10. Inputs &amp; Calcs'!L$628:L$633))</f>
        <v>-52938822.663025722</v>
      </c>
      <c r="U9" s="781">
        <f>-('10. Inputs &amp; Calcs'!M$191+SUMIF('10. Inputs &amp; Calcs'!$D$628:$D$633,$E$10,'10. Inputs &amp; Calcs'!M$628:M$633))</f>
        <v>-52023429.622815102</v>
      </c>
      <c r="V9" s="781">
        <f>-('10. Inputs &amp; Calcs'!N$191+SUMIF('10. Inputs &amp; Calcs'!$D$628:$D$633,$E$10,'10. Inputs &amp; Calcs'!N$628:N$633))</f>
        <v>-50863882.998460896</v>
      </c>
      <c r="W9" s="781">
        <f>-('10. Inputs &amp; Calcs'!O$191+SUMIF('10. Inputs &amp; Calcs'!$D$628:$D$633,$E$10,'10. Inputs &amp; Calcs'!O$628:O$633))</f>
        <v>-49582259.582034901</v>
      </c>
      <c r="X9" s="781">
        <f>-('10. Inputs &amp; Calcs'!P$191+SUMIF('10. Inputs &amp; Calcs'!$D$628:$D$633,$E$10,'10. Inputs &amp; Calcs'!P$628:P$633))</f>
        <v>-48056482.581465319</v>
      </c>
      <c r="Y9" s="781">
        <f>-('10. Inputs &amp; Calcs'!Q$191+SUMIF('10. Inputs &amp; Calcs'!$D$628:$D$633,$E$10,'10. Inputs &amp; Calcs'!Q$628:Q$633))</f>
        <v>-46286551.996752158</v>
      </c>
      <c r="Z9" s="781">
        <f>-('10. Inputs &amp; Calcs'!R$191+SUMIF('10. Inputs &amp; Calcs'!$D$628:$D$633,$E$10,'10. Inputs &amp; Calcs'!R$628:R$633))</f>
        <v>-44272467.827895418</v>
      </c>
      <c r="AA9" s="781">
        <f>-('10. Inputs &amp; Calcs'!S$191+SUMIF('10. Inputs &amp; Calcs'!$D$628:$D$633,$E$10,'10. Inputs &amp; Calcs'!S$628:S$633))</f>
        <v>-42014230.074895099</v>
      </c>
      <c r="AB9" s="781">
        <f>-('10. Inputs &amp; Calcs'!T$191+SUMIF('10. Inputs &amp; Calcs'!$D$628:$D$633,$E$10,'10. Inputs &amp; Calcs'!T$628:T$633))</f>
        <v>-39511838.737751193</v>
      </c>
      <c r="AC9" s="781">
        <f>-('10. Inputs &amp; Calcs'!U$191+SUMIF('10. Inputs &amp; Calcs'!$D$628:$D$633,$E$10,'10. Inputs &amp; Calcs'!U$628:U$633))</f>
        <v>-36765293.816463701</v>
      </c>
      <c r="AD9" s="781">
        <f>-('10. Inputs &amp; Calcs'!V$191+SUMIF('10. Inputs &amp; Calcs'!$D$628:$D$633,$E$10,'10. Inputs &amp; Calcs'!V$628:V$633))</f>
        <v>-33774595.311032631</v>
      </c>
      <c r="AE9" s="781">
        <f>-('10. Inputs &amp; Calcs'!W$191+SUMIF('10. Inputs &amp; Calcs'!$D$628:$D$633,$E$10,'10. Inputs &amp; Calcs'!W$628:W$633))</f>
        <v>-30539743.221457981</v>
      </c>
      <c r="AF9" s="781">
        <f>-('10. Inputs &amp; Calcs'!X$191+SUMIF('10. Inputs &amp; Calcs'!$D$628:$D$633,$E$10,'10. Inputs &amp; Calcs'!X$628:X$633))</f>
        <v>-27060737.547739748</v>
      </c>
      <c r="AG9" s="781">
        <f>-('10. Inputs &amp; Calcs'!Y$191+SUMIF('10. Inputs &amp; Calcs'!$D$628:$D$633,$E$10,'10. Inputs &amp; Calcs'!Y$628:Y$633))</f>
        <v>-23337578.289877933</v>
      </c>
      <c r="AH9" s="781">
        <f>-('10. Inputs &amp; Calcs'!Z$191+SUMIF('10. Inputs &amp; Calcs'!$D$628:$D$633,$E$10,'10. Inputs &amp; Calcs'!Z$628:Z$633))</f>
        <v>-19370265.447872534</v>
      </c>
      <c r="AI9" s="781">
        <f>-('10. Inputs &amp; Calcs'!AA$191+SUMIF('10. Inputs &amp; Calcs'!$D$628:$D$633,$E$10,'10. Inputs &amp; Calcs'!AA$628:AA$633))</f>
        <v>-15530085.197373206</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
        <v>4</v>
      </c>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99" t="str">
        <f>'5. Dashboard Live'!C13</f>
        <v>BC</v>
      </c>
      <c r="M11" s="542"/>
    </row>
    <row r="12" spans="1:38" x14ac:dyDescent="0.45">
      <c r="D12" t="s">
        <v>1330</v>
      </c>
      <c r="N12" s="578"/>
      <c r="O12" s="578"/>
      <c r="P12" s="784">
        <f>SUMIF('10. Inputs &amp; Calcs'!$D$78:$D$83,$E$10,'10. Inputs &amp; Calcs'!H$78:H$83)</f>
        <v>778</v>
      </c>
      <c r="Q12" s="784">
        <f>SUMIF('10. Inputs &amp; Calcs'!$D$78:$D$83,$E$10,'10. Inputs &amp; Calcs'!I$78:I$83)</f>
        <v>1034</v>
      </c>
      <c r="R12" s="784">
        <f>SUMIF('10. Inputs &amp; Calcs'!$D$78:$D$83,$E$10,'10. Inputs &amp; Calcs'!J$78:J$83)</f>
        <v>1290</v>
      </c>
      <c r="S12" s="784">
        <f>SUMIF('10. Inputs &amp; Calcs'!$D$78:$D$83,$E$10,'10. Inputs &amp; Calcs'!K$78:K$83)</f>
        <v>1546</v>
      </c>
      <c r="T12" s="784">
        <f>SUMIF('10. Inputs &amp; Calcs'!$D$78:$D$83,$E$10,'10. Inputs &amp; Calcs'!L$78:L$83)</f>
        <v>1658</v>
      </c>
      <c r="U12" s="784">
        <f>SUMIF('10. Inputs &amp; Calcs'!$D$78:$D$83,$E$10,'10. Inputs &amp; Calcs'!M$78:M$83)</f>
        <v>1770</v>
      </c>
      <c r="V12" s="784">
        <f>SUMIF('10. Inputs &amp; Calcs'!$D$78:$D$83,$E$10,'10. Inputs &amp; Calcs'!N$78:N$83)</f>
        <v>1882</v>
      </c>
      <c r="W12" s="784">
        <f>SUMIF('10. Inputs &amp; Calcs'!$D$78:$D$83,$E$10,'10. Inputs &amp; Calcs'!O$78:O$83)</f>
        <v>1994</v>
      </c>
      <c r="X12" s="784">
        <f>SUMIF('10. Inputs &amp; Calcs'!$D$78:$D$83,$E$10,'10. Inputs &amp; Calcs'!P$78:P$83)</f>
        <v>2106</v>
      </c>
      <c r="Y12" s="784">
        <f>SUMIF('10. Inputs &amp; Calcs'!$D$78:$D$83,$E$10,'10. Inputs &amp; Calcs'!Q$78:Q$83)</f>
        <v>2218</v>
      </c>
      <c r="Z12" s="784">
        <f>SUMIF('10. Inputs &amp; Calcs'!$D$78:$D$83,$E$10,'10. Inputs &amp; Calcs'!R$78:R$83)</f>
        <v>2330</v>
      </c>
      <c r="AA12" s="784">
        <f>SUMIF('10. Inputs &amp; Calcs'!$D$78:$D$83,$E$10,'10. Inputs &amp; Calcs'!S$78:S$83)</f>
        <v>2442</v>
      </c>
      <c r="AB12" s="784">
        <f>SUMIF('10. Inputs &amp; Calcs'!$D$78:$D$83,$E$10,'10. Inputs &amp; Calcs'!T$78:T$83)</f>
        <v>2554</v>
      </c>
      <c r="AC12" s="784">
        <f>SUMIF('10. Inputs &amp; Calcs'!$D$78:$D$83,$E$10,'10. Inputs &amp; Calcs'!U$78:U$83)</f>
        <v>2666</v>
      </c>
      <c r="AD12" s="784">
        <f>SUMIF('10. Inputs &amp; Calcs'!$D$78:$D$83,$E$10,'10. Inputs &amp; Calcs'!V$78:V$83)</f>
        <v>2778</v>
      </c>
      <c r="AE12" s="784">
        <f>SUMIF('10. Inputs &amp; Calcs'!$D$78:$D$83,$E$10,'10. Inputs &amp; Calcs'!W$78:W$83)</f>
        <v>2890</v>
      </c>
      <c r="AF12" s="784">
        <f>SUMIF('10. Inputs &amp; Calcs'!$D$78:$D$83,$E$10,'10. Inputs &amp; Calcs'!X$78:X$83)</f>
        <v>3002</v>
      </c>
      <c r="AG12" s="784">
        <f>SUMIF('10. Inputs &amp; Calcs'!$D$78:$D$83,$E$10,'10. Inputs &amp; Calcs'!Y$78:Y$83)</f>
        <v>3114</v>
      </c>
      <c r="AH12" s="784">
        <f>SUMIF('10. Inputs &amp; Calcs'!$D$78:$D$83,$E$10,'10. Inputs &amp; Calcs'!Z$78:Z$83)</f>
        <v>3226</v>
      </c>
      <c r="AI12" s="784">
        <f>SUMIF('10. Inputs &amp; Calcs'!$D$78:$D$83,$E$10,'10. Inputs &amp; Calcs'!AA$78:AA$83)</f>
        <v>3338</v>
      </c>
      <c r="AJ12" s="784">
        <f>SUMIF('10. Inputs &amp; Calcs'!$D$78:$D$83,$E$10,'10. Inputs &amp; Calcs'!AB$78:AB$83)</f>
        <v>3341</v>
      </c>
      <c r="AK12" s="784">
        <f>SUMIF('10. Inputs &amp; Calcs'!$D$78:$D$83,$E$10,'10. Inputs &amp; Calcs'!AC$78:AC$83)</f>
        <v>0</v>
      </c>
      <c r="AL12" s="536"/>
    </row>
    <row r="13" spans="1:38" x14ac:dyDescent="0.45">
      <c r="D13" t="s">
        <v>1329</v>
      </c>
      <c r="N13" s="578"/>
      <c r="O13" s="578"/>
      <c r="P13" s="784">
        <f>SUMIF('10. Inputs &amp; Calcs'!$D$520:$D$525,$E$10,'10. Inputs &amp; Calcs'!H$520:H$525)</f>
        <v>2563</v>
      </c>
      <c r="Q13" s="784">
        <f>SUMIF('10. Inputs &amp; Calcs'!$D$520:$D$525,$E$10,'10. Inputs &amp; Calcs'!I$520:I$525)</f>
        <v>2307</v>
      </c>
      <c r="R13" s="784">
        <f>SUMIF('10. Inputs &amp; Calcs'!$D$520:$D$525,$E$10,'10. Inputs &amp; Calcs'!J$520:J$525)</f>
        <v>2051</v>
      </c>
      <c r="S13" s="784">
        <f>SUMIF('10. Inputs &amp; Calcs'!$D$520:$D$525,$E$10,'10. Inputs &amp; Calcs'!K$520:K$525)</f>
        <v>1795</v>
      </c>
      <c r="T13" s="784">
        <f>SUMIF('10. Inputs &amp; Calcs'!$D$520:$D$525,$E$10,'10. Inputs &amp; Calcs'!L$520:L$525)</f>
        <v>1683</v>
      </c>
      <c r="U13" s="784">
        <f>SUMIF('10. Inputs &amp; Calcs'!$D$520:$D$525,$E$10,'10. Inputs &amp; Calcs'!M$520:M$525)</f>
        <v>1571</v>
      </c>
      <c r="V13" s="784">
        <f>SUMIF('10. Inputs &amp; Calcs'!$D$520:$D$525,$E$10,'10. Inputs &amp; Calcs'!N$520:N$525)</f>
        <v>1459</v>
      </c>
      <c r="W13" s="784">
        <f>SUMIF('10. Inputs &amp; Calcs'!$D$520:$D$525,$E$10,'10. Inputs &amp; Calcs'!O$520:O$525)</f>
        <v>1347</v>
      </c>
      <c r="X13" s="784">
        <f>SUMIF('10. Inputs &amp; Calcs'!$D$520:$D$525,$E$10,'10. Inputs &amp; Calcs'!P$520:P$525)</f>
        <v>1235</v>
      </c>
      <c r="Y13" s="784">
        <f>SUMIF('10. Inputs &amp; Calcs'!$D$520:$D$525,$E$10,'10. Inputs &amp; Calcs'!Q$520:Q$525)</f>
        <v>1123</v>
      </c>
      <c r="Z13" s="784">
        <f>SUMIF('10. Inputs &amp; Calcs'!$D$520:$D$525,$E$10,'10. Inputs &amp; Calcs'!R$520:R$525)</f>
        <v>1011</v>
      </c>
      <c r="AA13" s="784">
        <f>SUMIF('10. Inputs &amp; Calcs'!$D$520:$D$525,$E$10,'10. Inputs &amp; Calcs'!S$520:S$525)</f>
        <v>899</v>
      </c>
      <c r="AB13" s="784">
        <f>SUMIF('10. Inputs &amp; Calcs'!$D$520:$D$525,$E$10,'10. Inputs &amp; Calcs'!T$520:T$525)</f>
        <v>787</v>
      </c>
      <c r="AC13" s="784">
        <f>SUMIF('10. Inputs &amp; Calcs'!$D$520:$D$525,$E$10,'10. Inputs &amp; Calcs'!U$520:U$525)</f>
        <v>675</v>
      </c>
      <c r="AD13" s="784">
        <f>SUMIF('10. Inputs &amp; Calcs'!$D$520:$D$525,$E$10,'10. Inputs &amp; Calcs'!V$520:V$525)</f>
        <v>563</v>
      </c>
      <c r="AE13" s="784">
        <f>SUMIF('10. Inputs &amp; Calcs'!$D$520:$D$525,$E$10,'10. Inputs &amp; Calcs'!W$520:W$525)</f>
        <v>451</v>
      </c>
      <c r="AF13" s="784">
        <f>SUMIF('10. Inputs &amp; Calcs'!$D$520:$D$525,$E$10,'10. Inputs &amp; Calcs'!X$520:X$525)</f>
        <v>339</v>
      </c>
      <c r="AG13" s="784">
        <f>SUMIF('10. Inputs &amp; Calcs'!$D$520:$D$525,$E$10,'10. Inputs &amp; Calcs'!Y$520:Y$525)</f>
        <v>227</v>
      </c>
      <c r="AH13" s="784">
        <f>SUMIF('10. Inputs &amp; Calcs'!$D$520:$D$525,$E$10,'10. Inputs &amp; Calcs'!Z$520:Z$525)</f>
        <v>115</v>
      </c>
      <c r="AI13" s="784">
        <f>SUMIF('10. Inputs &amp; Calcs'!$D$520:$D$525,$E$10,'10. Inputs &amp; Calcs'!AA$520:AA$525)</f>
        <v>3</v>
      </c>
      <c r="AJ13" s="784">
        <f>SUMIF('10. Inputs &amp; Calcs'!$D$520:$D$525,$E$10,'10. Inputs &amp; Calcs'!AB$520:AB$525)</f>
        <v>0</v>
      </c>
      <c r="AK13" s="784">
        <f>SUMIF('10. Inputs &amp; Calcs'!$D$520:$D$525,$E$10,'10. Inputs &amp; Calcs'!AC$520:AC$525)</f>
        <v>0</v>
      </c>
      <c r="AL13" s="536"/>
    </row>
    <row r="14" spans="1: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M16" s="451"/>
    </row>
    <row r="18" spans="2:65" ht="5.25"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753">
        <f>AL19</f>
        <v>234551570.30299485</v>
      </c>
      <c r="J19" s="899">
        <v>234551570.30299485</v>
      </c>
      <c r="K19" s="753">
        <f t="shared" ref="K19:K28" si="1">I19-J19</f>
        <v>0</v>
      </c>
      <c r="L19" s="885">
        <f t="shared" ref="L19:L28" si="2">IF(J19&lt;&gt;0,K19/J19,0)</f>
        <v>0</v>
      </c>
      <c r="N19" s="763">
        <f>SUMIF('10. Inputs &amp; Calcs'!$D$423:$D$428,$E$10,'10. Inputs &amp; Calcs'!F$423:F$428)</f>
        <v>32365503.15000001</v>
      </c>
      <c r="O19" s="567">
        <f>SUMIF('10. Inputs &amp; Calcs'!$D$423:$D$428,$E$10,'10. Inputs &amp; Calcs'!G$423:G$428)</f>
        <v>24561066.859999999</v>
      </c>
      <c r="P19" s="764">
        <f>SUMIF('10. Inputs &amp; Calcs'!$D$423:$D$428,$E$10,'10. Inputs &amp; Calcs'!H$423:H$428)</f>
        <v>20484465.760000002</v>
      </c>
      <c r="Q19" s="748">
        <f>SUMIF('10. Inputs &amp; Calcs'!$D$423:$D$428,$E$10,'10. Inputs &amp; Calcs'!I$423:I$428)</f>
        <v>23427702.691208225</v>
      </c>
      <c r="R19" s="535">
        <f>SUMIF('10. Inputs &amp; Calcs'!$D$423:$D$428,$E$10,'10. Inputs &amp; Calcs'!J$423:J$428)</f>
        <v>23427702.691208225</v>
      </c>
      <c r="S19" s="535">
        <f>SUMIF('10. Inputs &amp; Calcs'!$D$423:$D$428,$E$10,'10. Inputs &amp; Calcs'!K$423:K$428)</f>
        <v>23427702.691208225</v>
      </c>
      <c r="T19" s="535">
        <f>SUMIF('10. Inputs &amp; Calcs'!$D$423:$D$428,$E$10,'10. Inputs &amp; Calcs'!L$423:L$428)</f>
        <v>10249619.927403599</v>
      </c>
      <c r="U19" s="535">
        <f>SUMIF('10. Inputs &amp; Calcs'!$D$423:$D$428,$E$10,'10. Inputs &amp; Calcs'!M$423:M$428)</f>
        <v>10249619.927403599</v>
      </c>
      <c r="V19" s="535">
        <f>SUMIF('10. Inputs &amp; Calcs'!$D$423:$D$428,$E$10,'10. Inputs &amp; Calcs'!N$423:N$428)</f>
        <v>10249619.927403599</v>
      </c>
      <c r="W19" s="535">
        <f>SUMIF('10. Inputs &amp; Calcs'!$D$423:$D$428,$E$10,'10. Inputs &amp; Calcs'!O$423:O$428)</f>
        <v>10249619.927403599</v>
      </c>
      <c r="X19" s="535">
        <f>SUMIF('10. Inputs &amp; Calcs'!$D$423:$D$428,$E$10,'10. Inputs &amp; Calcs'!P$423:P$428)</f>
        <v>10249619.927403599</v>
      </c>
      <c r="Y19" s="535">
        <f>SUMIF('10. Inputs &amp; Calcs'!$D$423:$D$428,$E$10,'10. Inputs &amp; Calcs'!Q$423:Q$428)</f>
        <v>10249619.927403599</v>
      </c>
      <c r="Z19" s="535">
        <f>SUMIF('10. Inputs &amp; Calcs'!$D$423:$D$428,$E$10,'10. Inputs &amp; Calcs'!R$423:R$428)</f>
        <v>10249619.927403599</v>
      </c>
      <c r="AA19" s="535">
        <f>SUMIF('10. Inputs &amp; Calcs'!$D$423:$D$428,$E$10,'10. Inputs &amp; Calcs'!S$423:S$428)</f>
        <v>10249619.927403599</v>
      </c>
      <c r="AB19" s="535">
        <f>SUMIF('10. Inputs &amp; Calcs'!$D$423:$D$428,$E$10,'10. Inputs &amp; Calcs'!T$423:T$428)</f>
        <v>10249619.927403599</v>
      </c>
      <c r="AC19" s="535">
        <f>SUMIF('10. Inputs &amp; Calcs'!$D$423:$D$428,$E$10,'10. Inputs &amp; Calcs'!U$423:U$428)</f>
        <v>10249619.927403599</v>
      </c>
      <c r="AD19" s="535">
        <f>SUMIF('10. Inputs &amp; Calcs'!$D$423:$D$428,$E$10,'10. Inputs &amp; Calcs'!V$423:V$428)</f>
        <v>10249619.927403599</v>
      </c>
      <c r="AE19" s="535">
        <f>SUMIF('10. Inputs &amp; Calcs'!$D$423:$D$428,$E$10,'10. Inputs &amp; Calcs'!W$423:W$428)</f>
        <v>10249619.927403599</v>
      </c>
      <c r="AF19" s="535">
        <f>SUMIF('10. Inputs &amp; Calcs'!$D$423:$D$428,$E$10,'10. Inputs &amp; Calcs'!X$423:X$428)</f>
        <v>10249619.927403599</v>
      </c>
      <c r="AG19" s="535">
        <f>SUMIF('10. Inputs &amp; Calcs'!$D$423:$D$428,$E$10,'10. Inputs &amp; Calcs'!Y$423:Y$428)</f>
        <v>10249619.927403599</v>
      </c>
      <c r="AH19" s="535">
        <f>SUMIF('10. Inputs &amp; Calcs'!$D$423:$D$428,$E$10,'10. Inputs &amp; Calcs'!Z$423:Z$428)</f>
        <v>10249619.927403599</v>
      </c>
      <c r="AI19" s="535">
        <f>SUMIF('10. Inputs &amp; Calcs'!$D$423:$D$428,$E$10,'10. Inputs &amp; Calcs'!AA$423:AA$428)</f>
        <v>10249619.927403599</v>
      </c>
      <c r="AJ19" s="535">
        <f>SUMIF('10. Inputs &amp; Calcs'!$D$423:$D$428,$E$10,'10. Inputs &amp; Calcs'!AB$423:AB$428)</f>
        <v>274543.39091259637</v>
      </c>
      <c r="AK19" s="749">
        <f>SUMIF('10. Inputs &amp; Calcs'!$D$423:$D$428,$E$10,'10. Inputs &amp; Calcs'!AC$423:AC$428)</f>
        <v>0</v>
      </c>
      <c r="AL19" s="753">
        <f>SUM(Q19:AK19)</f>
        <v>234551570.30299485</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754">
        <f>AL20</f>
        <v>-222070353.06934598</v>
      </c>
      <c r="J20" s="900">
        <v>-222070353.06934598</v>
      </c>
      <c r="K20" s="754">
        <f t="shared" si="1"/>
        <v>0</v>
      </c>
      <c r="L20" s="886">
        <f t="shared" si="2"/>
        <v>0</v>
      </c>
      <c r="N20" s="765">
        <f t="shared" ref="N20:AK20" si="4">N21-N19</f>
        <v>-31227915.180000011</v>
      </c>
      <c r="O20" s="766">
        <f t="shared" si="4"/>
        <v>-22792009.699999999</v>
      </c>
      <c r="P20" s="767">
        <f t="shared" si="4"/>
        <v>-19271829.350000001</v>
      </c>
      <c r="Q20" s="750">
        <f t="shared" si="4"/>
        <v>-22181041.898459833</v>
      </c>
      <c r="R20" s="751">
        <f t="shared" si="4"/>
        <v>-22181041.898459833</v>
      </c>
      <c r="S20" s="751">
        <f t="shared" si="4"/>
        <v>-22181041.898459833</v>
      </c>
      <c r="T20" s="751">
        <f t="shared" si="4"/>
        <v>-9704205.8305761777</v>
      </c>
      <c r="U20" s="751">
        <f t="shared" si="4"/>
        <v>-9704205.8305761777</v>
      </c>
      <c r="V20" s="751">
        <f t="shared" si="4"/>
        <v>-9704205.8305761777</v>
      </c>
      <c r="W20" s="751">
        <f t="shared" si="4"/>
        <v>-9704205.8305761777</v>
      </c>
      <c r="X20" s="751">
        <f t="shared" si="4"/>
        <v>-9704205.8305761777</v>
      </c>
      <c r="Y20" s="751">
        <f t="shared" si="4"/>
        <v>-9704205.8305761777</v>
      </c>
      <c r="Z20" s="751">
        <f t="shared" si="4"/>
        <v>-9704205.8305761777</v>
      </c>
      <c r="AA20" s="751">
        <f t="shared" si="4"/>
        <v>-9704205.8305761777</v>
      </c>
      <c r="AB20" s="751">
        <f t="shared" si="4"/>
        <v>-9704205.8305761777</v>
      </c>
      <c r="AC20" s="751">
        <f t="shared" si="4"/>
        <v>-9704205.8305761777</v>
      </c>
      <c r="AD20" s="751">
        <f t="shared" si="4"/>
        <v>-9704205.8305761777</v>
      </c>
      <c r="AE20" s="751">
        <f t="shared" si="4"/>
        <v>-9704205.8305761777</v>
      </c>
      <c r="AF20" s="751">
        <f t="shared" si="4"/>
        <v>-9704205.8305761777</v>
      </c>
      <c r="AG20" s="751">
        <f t="shared" si="4"/>
        <v>-9704205.8305761777</v>
      </c>
      <c r="AH20" s="751">
        <f t="shared" si="4"/>
        <v>-9704205.8305761777</v>
      </c>
      <c r="AI20" s="751">
        <f t="shared" si="4"/>
        <v>-9704205.8305761777</v>
      </c>
      <c r="AJ20" s="751">
        <f t="shared" si="4"/>
        <v>-259934.08474757615</v>
      </c>
      <c r="AK20" s="752">
        <f t="shared" si="4"/>
        <v>0</v>
      </c>
      <c r="AL20" s="754">
        <f>SUM(Q20:AK20)</f>
        <v>-222070353.06934598</v>
      </c>
      <c r="AO20" s="803" t="s">
        <v>1538</v>
      </c>
      <c r="AP20" s="533">
        <f>N51</f>
        <v>-50871121.044444449</v>
      </c>
      <c r="AQ20" s="533">
        <f t="shared" ref="AQ20:BM20" si="5">O51</f>
        <v>-57558593.629444435</v>
      </c>
      <c r="AR20" s="533">
        <f t="shared" si="5"/>
        <v>-68664631.99333334</v>
      </c>
      <c r="AS20" s="533">
        <f t="shared" ca="1" si="5"/>
        <v>-68333830.554473817</v>
      </c>
      <c r="AT20" s="533">
        <f t="shared" ca="1" si="5"/>
        <v>-65887506.471090525</v>
      </c>
      <c r="AU20" s="533">
        <f t="shared" ca="1" si="5"/>
        <v>-62946965.58384338</v>
      </c>
      <c r="AV20" s="533">
        <f t="shared" ca="1" si="5"/>
        <v>-62298903.164927401</v>
      </c>
      <c r="AW20" s="533">
        <f t="shared" ca="1" si="5"/>
        <v>-61848324.272219233</v>
      </c>
      <c r="AX20" s="533">
        <f t="shared" ca="1" si="5"/>
        <v>-61150823.495859824</v>
      </c>
      <c r="AY20" s="533">
        <f t="shared" ca="1" si="5"/>
        <v>-60180743.58734142</v>
      </c>
      <c r="AZ20" s="533">
        <f t="shared" ca="1" si="5"/>
        <v>-58910351.939518437</v>
      </c>
      <c r="BA20" s="533">
        <f t="shared" ca="1" si="5"/>
        <v>-57309689.910334095</v>
      </c>
      <c r="BB20" s="533">
        <f t="shared" ca="1" si="5"/>
        <v>-55346411.850116737</v>
      </c>
      <c r="BC20" s="533">
        <f t="shared" ca="1" si="5"/>
        <v>-52985613.155634455</v>
      </c>
      <c r="BD20" s="533">
        <f t="shared" ca="1" si="5"/>
        <v>-50189646.630793676</v>
      </c>
      <c r="BE20" s="533">
        <f t="shared" ca="1" si="5"/>
        <v>-46917926.387849219</v>
      </c>
      <c r="BF20" s="533">
        <f t="shared" ca="1" si="5"/>
        <v>-43126718.474090755</v>
      </c>
      <c r="BG20" s="533">
        <f t="shared" ca="1" si="5"/>
        <v>-38768917.357007094</v>
      </c>
      <c r="BH20" s="533">
        <f t="shared" ca="1" si="5"/>
        <v>-33793807.345715009</v>
      </c>
      <c r="BI20" s="533">
        <f t="shared" ca="1" si="5"/>
        <v>-28146807.967774194</v>
      </c>
      <c r="BJ20" s="533">
        <f t="shared" ca="1" si="5"/>
        <v>-21769202.25818086</v>
      </c>
      <c r="BK20" s="533">
        <f t="shared" ca="1" si="5"/>
        <v>-14597846.851114951</v>
      </c>
      <c r="BL20" s="533">
        <f t="shared" ca="1" si="5"/>
        <v>-43469.278956009039</v>
      </c>
      <c r="BM20" s="533">
        <f t="shared" ca="1" si="5"/>
        <v>0</v>
      </c>
    </row>
    <row r="21" spans="2:65" x14ac:dyDescent="0.45">
      <c r="D21" s="18" t="s">
        <v>1307</v>
      </c>
      <c r="F21" s="852">
        <f>P21/P$28</f>
        <v>0.53174518132786253</v>
      </c>
      <c r="G21" s="852">
        <f ca="1">AL21/AL$28</f>
        <v>0.60399499026999481</v>
      </c>
      <c r="I21" s="533">
        <f>AL21</f>
        <v>12481217.233648866</v>
      </c>
      <c r="J21" s="898">
        <v>12481217.233648866</v>
      </c>
      <c r="K21" s="533">
        <f t="shared" si="1"/>
        <v>0</v>
      </c>
      <c r="L21" s="813">
        <f t="shared" si="2"/>
        <v>0</v>
      </c>
      <c r="N21" s="566">
        <f>SUMIF('10. Inputs &amp; Calcs'!$D$432:$D$437,$E$10,'10. Inputs &amp; Calcs'!F$432:F$437)</f>
        <v>1137587.97</v>
      </c>
      <c r="O21" s="566">
        <f>SUMIF('10. Inputs &amp; Calcs'!$D$432:$D$437,$E$10,'10. Inputs &amp; Calcs'!G$432:G$437)</f>
        <v>1769057.1599999997</v>
      </c>
      <c r="P21" s="566">
        <f>SUMIF('10. Inputs &amp; Calcs'!$D$432:$D$437,$E$10,'10. Inputs &amp; Calcs'!H$432:H$437)</f>
        <v>1212636.4100000001</v>
      </c>
      <c r="Q21" s="566">
        <f>SUMIF('10. Inputs &amp; Calcs'!$D$432:$D$437,$E$10,'10. Inputs &amp; Calcs'!I$432:I$437)</f>
        <v>1246660.7927483923</v>
      </c>
      <c r="R21" s="566">
        <f>SUMIF('10. Inputs &amp; Calcs'!$D$432:$D$437,$E$10,'10. Inputs &amp; Calcs'!J$432:J$437)</f>
        <v>1246660.7927483923</v>
      </c>
      <c r="S21" s="566">
        <f>SUMIF('10. Inputs &amp; Calcs'!$D$432:$D$437,$E$10,'10. Inputs &amp; Calcs'!K$432:K$437)</f>
        <v>1246660.7927483923</v>
      </c>
      <c r="T21" s="566">
        <f>SUMIF('10. Inputs &amp; Calcs'!$D$432:$D$437,$E$10,'10. Inputs &amp; Calcs'!L$432:L$437)</f>
        <v>545414.09682742169</v>
      </c>
      <c r="U21" s="566">
        <f>SUMIF('10. Inputs &amp; Calcs'!$D$432:$D$437,$E$10,'10. Inputs &amp; Calcs'!M$432:M$437)</f>
        <v>545414.09682742169</v>
      </c>
      <c r="V21" s="566">
        <f>SUMIF('10. Inputs &amp; Calcs'!$D$432:$D$437,$E$10,'10. Inputs &amp; Calcs'!N$432:N$437)</f>
        <v>545414.09682742169</v>
      </c>
      <c r="W21" s="566">
        <f>SUMIF('10. Inputs &amp; Calcs'!$D$432:$D$437,$E$10,'10. Inputs &amp; Calcs'!O$432:O$437)</f>
        <v>545414.09682742169</v>
      </c>
      <c r="X21" s="566">
        <f>SUMIF('10. Inputs &amp; Calcs'!$D$432:$D$437,$E$10,'10. Inputs &amp; Calcs'!P$432:P$437)</f>
        <v>545414.09682742169</v>
      </c>
      <c r="Y21" s="566">
        <f>SUMIF('10. Inputs &amp; Calcs'!$D$432:$D$437,$E$10,'10. Inputs &amp; Calcs'!Q$432:Q$437)</f>
        <v>545414.09682742169</v>
      </c>
      <c r="Z21" s="566">
        <f>SUMIF('10. Inputs &amp; Calcs'!$D$432:$D$437,$E$10,'10. Inputs &amp; Calcs'!R$432:R$437)</f>
        <v>545414.09682742169</v>
      </c>
      <c r="AA21" s="566">
        <f>SUMIF('10. Inputs &amp; Calcs'!$D$432:$D$437,$E$10,'10. Inputs &amp; Calcs'!S$432:S$437)</f>
        <v>545414.09682742169</v>
      </c>
      <c r="AB21" s="566">
        <f>SUMIF('10. Inputs &amp; Calcs'!$D$432:$D$437,$E$10,'10. Inputs &amp; Calcs'!T$432:T$437)</f>
        <v>545414.09682742169</v>
      </c>
      <c r="AC21" s="566">
        <f>SUMIF('10. Inputs &amp; Calcs'!$D$432:$D$437,$E$10,'10. Inputs &amp; Calcs'!U$432:U$437)</f>
        <v>545414.09682742169</v>
      </c>
      <c r="AD21" s="566">
        <f>SUMIF('10. Inputs &amp; Calcs'!$D$432:$D$437,$E$10,'10. Inputs &amp; Calcs'!V$432:V$437)</f>
        <v>545414.09682742169</v>
      </c>
      <c r="AE21" s="566">
        <f>SUMIF('10. Inputs &amp; Calcs'!$D$432:$D$437,$E$10,'10. Inputs &amp; Calcs'!W$432:W$437)</f>
        <v>545414.09682742169</v>
      </c>
      <c r="AF21" s="566">
        <f>SUMIF('10. Inputs &amp; Calcs'!$D$432:$D$437,$E$10,'10. Inputs &amp; Calcs'!X$432:X$437)</f>
        <v>545414.09682742169</v>
      </c>
      <c r="AG21" s="566">
        <f>SUMIF('10. Inputs &amp; Calcs'!$D$432:$D$437,$E$10,'10. Inputs &amp; Calcs'!Y$432:Y$437)</f>
        <v>545414.09682742169</v>
      </c>
      <c r="AH21" s="566">
        <f>SUMIF('10. Inputs &amp; Calcs'!$D$432:$D$437,$E$10,'10. Inputs &amp; Calcs'!Z$432:Z$437)</f>
        <v>545414.09682742169</v>
      </c>
      <c r="AI21" s="566">
        <f>SUMIF('10. Inputs &amp; Calcs'!$D$432:$D$437,$E$10,'10. Inputs &amp; Calcs'!AA$432:AA$437)</f>
        <v>545414.09682742169</v>
      </c>
      <c r="AJ21" s="566">
        <f>SUMIF('10. Inputs &amp; Calcs'!$D$432:$D$437,$E$10,'10. Inputs &amp; Calcs'!AB$432:AB$437)</f>
        <v>14609.306165020222</v>
      </c>
      <c r="AK21" s="566">
        <f>SUMIF('10. Inputs &amp; Calcs'!$D$432:$D$437,$E$10,'10. Inputs &amp; Calcs'!AC$432:AC$437)</f>
        <v>0</v>
      </c>
      <c r="AL21" s="533">
        <f>SUM(AL19:AL20)</f>
        <v>12481217.233648866</v>
      </c>
      <c r="AO21" s="803" t="str">
        <f>'10. Inputs &amp; Calcs'!D190</f>
        <v>EEDBS utilised to settle Existing Sales Debtors Balances Owing</v>
      </c>
      <c r="AP21" s="533">
        <f t="shared" ref="AP21:BM21" si="6">N53</f>
        <v>-10104396</v>
      </c>
      <c r="AQ21" s="533">
        <f t="shared" si="6"/>
        <v>-13221991</v>
      </c>
      <c r="AR21" s="533">
        <f t="shared" si="6"/>
        <v>-8660989</v>
      </c>
      <c r="AS21" s="533">
        <f t="shared" ca="1" si="6"/>
        <v>-5046912</v>
      </c>
      <c r="AT21" s="533">
        <f t="shared" ca="1" si="6"/>
        <v>-5046912</v>
      </c>
      <c r="AU21" s="533">
        <f t="shared" ca="1" si="6"/>
        <v>-5046912</v>
      </c>
      <c r="AV21" s="533">
        <f t="shared" ca="1" si="6"/>
        <v>-2208024</v>
      </c>
      <c r="AW21" s="533">
        <f t="shared" ca="1" si="6"/>
        <v>-2208024</v>
      </c>
      <c r="AX21" s="533">
        <f t="shared" ca="1" si="6"/>
        <v>-2208024</v>
      </c>
      <c r="AY21" s="533">
        <f t="shared" ca="1" si="6"/>
        <v>-2208024</v>
      </c>
      <c r="AZ21" s="533">
        <f t="shared" ca="1" si="6"/>
        <v>-2208024</v>
      </c>
      <c r="BA21" s="533">
        <f t="shared" ca="1" si="6"/>
        <v>-2208024</v>
      </c>
      <c r="BB21" s="533">
        <f t="shared" ca="1" si="6"/>
        <v>-2208024</v>
      </c>
      <c r="BC21" s="533">
        <f t="shared" ca="1" si="6"/>
        <v>-2208024</v>
      </c>
      <c r="BD21" s="533">
        <f t="shared" ca="1" si="6"/>
        <v>-2208024</v>
      </c>
      <c r="BE21" s="533">
        <f t="shared" ca="1" si="6"/>
        <v>-2208024</v>
      </c>
      <c r="BF21" s="533">
        <f t="shared" ca="1" si="6"/>
        <v>-2208024</v>
      </c>
      <c r="BG21" s="533">
        <f t="shared" ca="1" si="6"/>
        <v>-2208024</v>
      </c>
      <c r="BH21" s="533">
        <f t="shared" ca="1" si="6"/>
        <v>-2208024</v>
      </c>
      <c r="BI21" s="533">
        <f t="shared" ca="1" si="6"/>
        <v>-2208024</v>
      </c>
      <c r="BJ21" s="533">
        <f t="shared" ca="1" si="6"/>
        <v>-2208024</v>
      </c>
      <c r="BK21" s="533">
        <f t="shared" ca="1" si="6"/>
        <v>-2208024</v>
      </c>
      <c r="BL21" s="533">
        <f t="shared" ca="1" si="6"/>
        <v>-305808966.51299489</v>
      </c>
      <c r="BM21" s="533">
        <f t="shared" ca="1" si="6"/>
        <v>0</v>
      </c>
    </row>
    <row r="22" spans="2:65" ht="21.75" customHeight="1" x14ac:dyDescent="0.45">
      <c r="D22" s="18"/>
      <c r="E22" s="18"/>
      <c r="F22" s="852"/>
      <c r="G22" s="852"/>
      <c r="I22" s="533"/>
      <c r="J22" s="898"/>
      <c r="K22" s="533"/>
      <c r="L22" s="813"/>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753">
        <f>AL23</f>
        <v>29591348.543831445</v>
      </c>
      <c r="J23" s="899">
        <v>29591348.543831445</v>
      </c>
      <c r="K23" s="753">
        <f t="shared" si="1"/>
        <v>0</v>
      </c>
      <c r="L23" s="885">
        <f t="shared" si="2"/>
        <v>0</v>
      </c>
      <c r="N23" s="763">
        <f>SUMIF('10. Inputs &amp; Calcs'!$D$538:$D$543,$E$10,'10. Inputs &amp; Calcs'!F$538:F$543)</f>
        <v>3932955.96</v>
      </c>
      <c r="O23" s="567">
        <f>SUMIF('10. Inputs &amp; Calcs'!$D$538:$D$543,$E$10,'10. Inputs &amp; Calcs'!G$538:G$543)</f>
        <v>3890597.44</v>
      </c>
      <c r="P23" s="764">
        <f>SUMIF('10. Inputs &amp; Calcs'!$D$538:$D$543,$E$10,'10. Inputs &amp; Calcs'!H$538:H$543)</f>
        <v>3861444.2399999998</v>
      </c>
      <c r="Q23" s="748">
        <f>SUMIF('10. Inputs &amp; Calcs'!$D$538:$D$543,$E$10,'10. Inputs &amp; Calcs'!I$538:I$543)</f>
        <v>3475751.7993289116</v>
      </c>
      <c r="R23" s="535">
        <f>SUMIF('10. Inputs &amp; Calcs'!$D$538:$D$543,$E$10,'10. Inputs &amp; Calcs'!J$538:J$543)</f>
        <v>3090059.3586578229</v>
      </c>
      <c r="S23" s="535">
        <f>SUMIF('10. Inputs &amp; Calcs'!$D$538:$D$543,$E$10,'10. Inputs &amp; Calcs'!K$538:K$543)</f>
        <v>2704366.9179867343</v>
      </c>
      <c r="T23" s="535">
        <f>SUMIF('10. Inputs &amp; Calcs'!$D$538:$D$543,$E$10,'10. Inputs &amp; Calcs'!L$538:L$543)</f>
        <v>2535626.4751931331</v>
      </c>
      <c r="U23" s="535">
        <f>SUMIF('10. Inputs &amp; Calcs'!$D$538:$D$543,$E$10,'10. Inputs &amp; Calcs'!M$538:M$543)</f>
        <v>2366886.0323995319</v>
      </c>
      <c r="V23" s="535">
        <f>SUMIF('10. Inputs &amp; Calcs'!$D$538:$D$543,$E$10,'10. Inputs &amp; Calcs'!N$538:N$543)</f>
        <v>2198145.5896059307</v>
      </c>
      <c r="W23" s="535">
        <f>SUMIF('10. Inputs &amp; Calcs'!$D$538:$D$543,$E$10,'10. Inputs &amp; Calcs'!O$538:O$543)</f>
        <v>2029405.1468123295</v>
      </c>
      <c r="X23" s="535">
        <f>SUMIF('10. Inputs &amp; Calcs'!$D$538:$D$543,$E$10,'10. Inputs &amp; Calcs'!P$538:P$543)</f>
        <v>1860664.7040187283</v>
      </c>
      <c r="Y23" s="535">
        <f>SUMIF('10. Inputs &amp; Calcs'!$D$538:$D$543,$E$10,'10. Inputs &amp; Calcs'!Q$538:Q$543)</f>
        <v>1691924.2612251269</v>
      </c>
      <c r="Z23" s="535">
        <f>SUMIF('10. Inputs &amp; Calcs'!$D$538:$D$543,$E$10,'10. Inputs &amp; Calcs'!R$538:R$543)</f>
        <v>1523183.8184315255</v>
      </c>
      <c r="AA23" s="535">
        <f>SUMIF('10. Inputs &amp; Calcs'!$D$538:$D$543,$E$10,'10. Inputs &amp; Calcs'!S$538:S$543)</f>
        <v>1354443.3756379241</v>
      </c>
      <c r="AB23" s="535">
        <f>SUMIF('10. Inputs &amp; Calcs'!$D$538:$D$543,$E$10,'10. Inputs &amp; Calcs'!T$538:T$543)</f>
        <v>1185702.9328443229</v>
      </c>
      <c r="AC23" s="535">
        <f>SUMIF('10. Inputs &amp; Calcs'!$D$538:$D$543,$E$10,'10. Inputs &amp; Calcs'!U$538:U$543)</f>
        <v>1016962.4900507217</v>
      </c>
      <c r="AD23" s="535">
        <f>SUMIF('10. Inputs &amp; Calcs'!$D$538:$D$543,$E$10,'10. Inputs &amp; Calcs'!V$538:V$543)</f>
        <v>848222.04725712049</v>
      </c>
      <c r="AE23" s="535">
        <f>SUMIF('10. Inputs &amp; Calcs'!$D$538:$D$543,$E$10,'10. Inputs &amp; Calcs'!W$538:W$543)</f>
        <v>679481.6044635193</v>
      </c>
      <c r="AF23" s="535">
        <f>SUMIF('10. Inputs &amp; Calcs'!$D$538:$D$543,$E$10,'10. Inputs &amp; Calcs'!X$538:X$543)</f>
        <v>510741.1616699181</v>
      </c>
      <c r="AG23" s="535">
        <f>SUMIF('10. Inputs &amp; Calcs'!$D$538:$D$543,$E$10,'10. Inputs &amp; Calcs'!Y$538:Y$543)</f>
        <v>342000.71887631685</v>
      </c>
      <c r="AH23" s="535">
        <f>SUMIF('10. Inputs &amp; Calcs'!$D$538:$D$543,$E$10,'10. Inputs &amp; Calcs'!Z$538:Z$543)</f>
        <v>173260.2760827156</v>
      </c>
      <c r="AI23" s="535">
        <f>SUMIF('10. Inputs &amp; Calcs'!$D$538:$D$543,$E$10,'10. Inputs &amp; Calcs'!AA$538:AA$543)</f>
        <v>4519.83328911432</v>
      </c>
      <c r="AJ23" s="535">
        <f>SUMIF('10. Inputs &amp; Calcs'!$D$538:$D$543,$E$10,'10. Inputs &amp; Calcs'!AB$538:AB$543)</f>
        <v>0</v>
      </c>
      <c r="AK23" s="749">
        <f>SUMIF('10. Inputs &amp; Calcs'!$D$538:$D$543,$E$10,'10. Inputs &amp; Calcs'!AC$538:AC$543)</f>
        <v>0</v>
      </c>
      <c r="AL23" s="753">
        <f>SUM(Q23:AK23)</f>
        <v>29591348.543831445</v>
      </c>
    </row>
    <row r="24" spans="2:65" x14ac:dyDescent="0.45">
      <c r="B24" t="s">
        <v>59</v>
      </c>
      <c r="D24" s="18" t="s">
        <v>1306</v>
      </c>
      <c r="F24" s="852"/>
      <c r="G24" s="852"/>
      <c r="I24" s="754">
        <f>AL24</f>
        <v>-21408127.438232541</v>
      </c>
      <c r="J24" s="900">
        <v>-21408127.438232541</v>
      </c>
      <c r="K24" s="754">
        <f t="shared" si="1"/>
        <v>0</v>
      </c>
      <c r="L24" s="886">
        <f t="shared" si="2"/>
        <v>0</v>
      </c>
      <c r="N24" s="765">
        <f t="shared" ref="N24:AK24" si="7">N25-N23</f>
        <v>-3091544.5</v>
      </c>
      <c r="O24" s="766">
        <f t="shared" si="7"/>
        <v>-2965551.46</v>
      </c>
      <c r="P24" s="767">
        <f t="shared" si="7"/>
        <v>-2793596.59</v>
      </c>
      <c r="Q24" s="750">
        <f t="shared" si="7"/>
        <v>-2514563.9224073356</v>
      </c>
      <c r="R24" s="751">
        <f t="shared" si="7"/>
        <v>-2235531.2548146704</v>
      </c>
      <c r="S24" s="751">
        <f t="shared" si="7"/>
        <v>-1956498.5872220057</v>
      </c>
      <c r="T24" s="751">
        <f t="shared" si="7"/>
        <v>-1834421.7951502148</v>
      </c>
      <c r="U24" s="751">
        <f t="shared" si="7"/>
        <v>-1712345.0030784239</v>
      </c>
      <c r="V24" s="751">
        <f t="shared" si="7"/>
        <v>-1590268.211006633</v>
      </c>
      <c r="W24" s="751">
        <f t="shared" si="7"/>
        <v>-1468191.4189348421</v>
      </c>
      <c r="X24" s="751">
        <f t="shared" si="7"/>
        <v>-1346114.6268630514</v>
      </c>
      <c r="Y24" s="751">
        <f t="shared" si="7"/>
        <v>-1224037.8347912603</v>
      </c>
      <c r="Z24" s="751">
        <f t="shared" si="7"/>
        <v>-1101961.0427194694</v>
      </c>
      <c r="AA24" s="751">
        <f t="shared" si="7"/>
        <v>-979884.25064767839</v>
      </c>
      <c r="AB24" s="751">
        <f t="shared" si="7"/>
        <v>-857807.45857588761</v>
      </c>
      <c r="AC24" s="751">
        <f t="shared" si="7"/>
        <v>-735730.66650409671</v>
      </c>
      <c r="AD24" s="751">
        <f t="shared" si="7"/>
        <v>-613653.87443230581</v>
      </c>
      <c r="AE24" s="751">
        <f t="shared" si="7"/>
        <v>-491577.08236051502</v>
      </c>
      <c r="AF24" s="751">
        <f t="shared" si="7"/>
        <v>-369500.29028872418</v>
      </c>
      <c r="AG24" s="751">
        <f t="shared" si="7"/>
        <v>-247423.49821693334</v>
      </c>
      <c r="AH24" s="751">
        <f t="shared" si="7"/>
        <v>-125346.70614514244</v>
      </c>
      <c r="AI24" s="751">
        <f t="shared" si="7"/>
        <v>-3269.9140733515419</v>
      </c>
      <c r="AJ24" s="751">
        <f t="shared" si="7"/>
        <v>0</v>
      </c>
      <c r="AK24" s="752">
        <f t="shared" si="7"/>
        <v>0</v>
      </c>
      <c r="AL24" s="754">
        <f>SUM(Q24:AK24)</f>
        <v>-21408127.438232541</v>
      </c>
    </row>
    <row r="25" spans="2:65" x14ac:dyDescent="0.45">
      <c r="D25" s="18" t="str">
        <f>'10. Inputs &amp; Calcs'!D573</f>
        <v>Total Rental Collected p.a.</v>
      </c>
      <c r="F25" s="852">
        <f>P25/P$28</f>
        <v>0.46825481867213747</v>
      </c>
      <c r="G25" s="852">
        <f ca="1">AL25/AL$28</f>
        <v>0.39600500973000519</v>
      </c>
      <c r="I25" s="533">
        <f>AL25</f>
        <v>8183221.105598907</v>
      </c>
      <c r="J25" s="898">
        <v>8183221.105598907</v>
      </c>
      <c r="K25" s="533">
        <f t="shared" si="1"/>
        <v>0</v>
      </c>
      <c r="L25" s="813">
        <f t="shared" si="2"/>
        <v>0</v>
      </c>
      <c r="N25" s="566">
        <f>SUMIF('10. Inputs &amp; Calcs'!$D$574:$D$579,$E$10,'10. Inputs &amp; Calcs'!F$574:F$579)</f>
        <v>841411.46</v>
      </c>
      <c r="O25" s="566">
        <f>SUMIF('10. Inputs &amp; Calcs'!$D$574:$D$579,$E$10,'10. Inputs &amp; Calcs'!G$574:G$579)</f>
        <v>925045.98</v>
      </c>
      <c r="P25" s="566">
        <f>SUMIF('10. Inputs &amp; Calcs'!$D$574:$D$579,$E$10,'10. Inputs &amp; Calcs'!H$574:H$579)</f>
        <v>1067847.6499999999</v>
      </c>
      <c r="Q25" s="535">
        <f>SUMIF('10. Inputs &amp; Calcs'!$D$574:$D$579,$E$10,'10. Inputs &amp; Calcs'!I$574:I$579)</f>
        <v>961187.87692157621</v>
      </c>
      <c r="R25" s="535">
        <f>SUMIF('10. Inputs &amp; Calcs'!$D$574:$D$579,$E$10,'10. Inputs &amp; Calcs'!J$574:J$579)</f>
        <v>854528.10384315252</v>
      </c>
      <c r="S25" s="535">
        <f>SUMIF('10. Inputs &amp; Calcs'!$D$574:$D$579,$E$10,'10. Inputs &amp; Calcs'!K$574:K$579)</f>
        <v>747868.33076472871</v>
      </c>
      <c r="T25" s="535">
        <f>SUMIF('10. Inputs &amp; Calcs'!$D$574:$D$579,$E$10,'10. Inputs &amp; Calcs'!L$574:L$579)</f>
        <v>701204.68004291842</v>
      </c>
      <c r="U25" s="535">
        <f>SUMIF('10. Inputs &amp; Calcs'!$D$574:$D$579,$E$10,'10. Inputs &amp; Calcs'!M$574:M$579)</f>
        <v>654541.02932110801</v>
      </c>
      <c r="V25" s="535">
        <f>SUMIF('10. Inputs &amp; Calcs'!$D$574:$D$579,$E$10,'10. Inputs &amp; Calcs'!N$574:N$579)</f>
        <v>607877.37859929772</v>
      </c>
      <c r="W25" s="535">
        <f>SUMIF('10. Inputs &amp; Calcs'!$D$574:$D$579,$E$10,'10. Inputs &amp; Calcs'!O$574:O$579)</f>
        <v>561213.72787748731</v>
      </c>
      <c r="X25" s="535">
        <f>SUMIF('10. Inputs &amp; Calcs'!$D$574:$D$579,$E$10,'10. Inputs &amp; Calcs'!P$574:P$579)</f>
        <v>514550.07715567696</v>
      </c>
      <c r="Y25" s="535">
        <f>SUMIF('10. Inputs &amp; Calcs'!$D$574:$D$579,$E$10,'10. Inputs &amp; Calcs'!Q$574:Q$579)</f>
        <v>467886.42643386655</v>
      </c>
      <c r="Z25" s="535">
        <f>SUMIF('10. Inputs &amp; Calcs'!$D$574:$D$579,$E$10,'10. Inputs &amp; Calcs'!R$574:R$579)</f>
        <v>421222.77571205614</v>
      </c>
      <c r="AA25" s="535">
        <f>SUMIF('10. Inputs &amp; Calcs'!$D$574:$D$579,$E$10,'10. Inputs &amp; Calcs'!S$574:S$579)</f>
        <v>374559.12499024568</v>
      </c>
      <c r="AB25" s="535">
        <f>SUMIF('10. Inputs &amp; Calcs'!$D$574:$D$579,$E$10,'10. Inputs &amp; Calcs'!T$574:T$579)</f>
        <v>327895.47426843533</v>
      </c>
      <c r="AC25" s="535">
        <f>SUMIF('10. Inputs &amp; Calcs'!$D$574:$D$579,$E$10,'10. Inputs &amp; Calcs'!U$574:U$579)</f>
        <v>281231.82354662498</v>
      </c>
      <c r="AD25" s="535">
        <f>SUMIF('10. Inputs &amp; Calcs'!$D$574:$D$579,$E$10,'10. Inputs &amp; Calcs'!V$574:V$579)</f>
        <v>234568.17282481462</v>
      </c>
      <c r="AE25" s="535">
        <f>SUMIF('10. Inputs &amp; Calcs'!$D$574:$D$579,$E$10,'10. Inputs &amp; Calcs'!W$574:W$579)</f>
        <v>187904.52210300427</v>
      </c>
      <c r="AF25" s="535">
        <f>SUMIF('10. Inputs &amp; Calcs'!$D$574:$D$579,$E$10,'10. Inputs &amp; Calcs'!X$574:X$579)</f>
        <v>141240.87138119392</v>
      </c>
      <c r="AG25" s="535">
        <f>SUMIF('10. Inputs &amp; Calcs'!$D$574:$D$579,$E$10,'10. Inputs &amp; Calcs'!Y$574:Y$579)</f>
        <v>94577.220659383529</v>
      </c>
      <c r="AH25" s="535">
        <f>SUMIF('10. Inputs &amp; Calcs'!$D$574:$D$579,$E$10,'10. Inputs &amp; Calcs'!Z$574:Z$579)</f>
        <v>47913.569937573164</v>
      </c>
      <c r="AI25" s="535">
        <f>SUMIF('10. Inputs &amp; Calcs'!$D$574:$D$579,$E$10,'10. Inputs &amp; Calcs'!AA$574:AA$579)</f>
        <v>1249.9192157627781</v>
      </c>
      <c r="AJ25" s="535">
        <f>SUMIF('10. Inputs &amp; Calcs'!$D$574:$D$579,$E$10,'10. Inputs &amp; Calcs'!AB$574:AB$579)</f>
        <v>0</v>
      </c>
      <c r="AK25" s="535">
        <f>SUMIF('10. Inputs &amp; Calcs'!$D$574:$D$579,$E$10,'10. Inputs &amp; Calcs'!AC$574:AC$579)</f>
        <v>0</v>
      </c>
      <c r="AL25" s="533">
        <f>SUM(Q25:AK25)</f>
        <v>8183221.105598907</v>
      </c>
    </row>
    <row r="26" spans="2:65" ht="6"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533">
        <f>AL27</f>
        <v>0</v>
      </c>
      <c r="J27" s="898">
        <v>0</v>
      </c>
      <c r="K27" s="533">
        <f t="shared" si="1"/>
        <v>0</v>
      </c>
      <c r="L27" s="813">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 ca="1">AL28/AL$28</f>
        <v>1</v>
      </c>
      <c r="I28" s="535">
        <f ca="1">AL28</f>
        <v>20664438.339247774</v>
      </c>
      <c r="J28" s="901">
        <v>20664438.339247774</v>
      </c>
      <c r="K28" s="535">
        <f t="shared" ca="1" si="1"/>
        <v>0</v>
      </c>
      <c r="L28" s="884">
        <f t="shared" ca="1" si="2"/>
        <v>0</v>
      </c>
      <c r="N28" s="992">
        <f t="shared" ref="N28:AL28" si="8">N25+N67*0+N21+N27</f>
        <v>1978999.43</v>
      </c>
      <c r="O28" s="992">
        <f t="shared" si="8"/>
        <v>2694103.1399999997</v>
      </c>
      <c r="P28" s="992">
        <f t="shared" si="8"/>
        <v>2280484.06</v>
      </c>
      <c r="Q28" s="992">
        <f t="shared" ca="1" si="8"/>
        <v>2207848.6696699685</v>
      </c>
      <c r="R28" s="992">
        <f t="shared" ca="1" si="8"/>
        <v>2101188.8965915451</v>
      </c>
      <c r="S28" s="992">
        <f t="shared" ca="1" si="8"/>
        <v>1994529.1235131212</v>
      </c>
      <c r="T28" s="992">
        <f t="shared" ca="1" si="8"/>
        <v>1246618.7768703401</v>
      </c>
      <c r="U28" s="992">
        <f t="shared" ca="1" si="8"/>
        <v>1199955.1261485298</v>
      </c>
      <c r="V28" s="992">
        <f t="shared" ca="1" si="8"/>
        <v>1153291.4754267195</v>
      </c>
      <c r="W28" s="992">
        <f t="shared" ca="1" si="8"/>
        <v>1106627.824704909</v>
      </c>
      <c r="X28" s="992">
        <f t="shared" ca="1" si="8"/>
        <v>1059964.1739830987</v>
      </c>
      <c r="Y28" s="992">
        <f t="shared" ca="1" si="8"/>
        <v>1013300.5232612882</v>
      </c>
      <c r="Z28" s="992">
        <f t="shared" ca="1" si="8"/>
        <v>966636.87253947789</v>
      </c>
      <c r="AA28" s="992">
        <f t="shared" ca="1" si="8"/>
        <v>919973.22181766736</v>
      </c>
      <c r="AB28" s="992">
        <f t="shared" ca="1" si="8"/>
        <v>873309.57109585707</v>
      </c>
      <c r="AC28" s="992">
        <f t="shared" ca="1" si="8"/>
        <v>826645.92037404666</v>
      </c>
      <c r="AD28" s="992">
        <f t="shared" ca="1" si="8"/>
        <v>779982.26965223625</v>
      </c>
      <c r="AE28" s="992">
        <f t="shared" ca="1" si="8"/>
        <v>733318.61893042596</v>
      </c>
      <c r="AF28" s="992">
        <f t="shared" ca="1" si="8"/>
        <v>686654.96820861567</v>
      </c>
      <c r="AG28" s="992">
        <f t="shared" ca="1" si="8"/>
        <v>639991.31748680526</v>
      </c>
      <c r="AH28" s="992">
        <f t="shared" ca="1" si="8"/>
        <v>593327.66676499485</v>
      </c>
      <c r="AI28" s="992">
        <f t="shared" ca="1" si="8"/>
        <v>546664.01604318444</v>
      </c>
      <c r="AJ28" s="992">
        <f t="shared" ca="1" si="8"/>
        <v>14609.306165020222</v>
      </c>
      <c r="AK28" s="992">
        <f t="shared" ca="1" si="8"/>
        <v>0</v>
      </c>
      <c r="AL28" s="992">
        <f t="shared" ca="1" si="8"/>
        <v>20664438.339247774</v>
      </c>
    </row>
    <row r="29" spans="2:65" x14ac:dyDescent="0.45">
      <c r="J29" s="902"/>
      <c r="N29" s="533"/>
      <c r="O29" s="533"/>
      <c r="P29" s="533"/>
      <c r="AL29" s="533"/>
    </row>
    <row r="30" spans="2:65" x14ac:dyDescent="0.45">
      <c r="D30" s="451" t="s">
        <v>934</v>
      </c>
      <c r="E30" s="451"/>
      <c r="J30" s="902"/>
      <c r="M30" s="451"/>
      <c r="N30" s="533"/>
      <c r="O30" s="533"/>
      <c r="P30" s="533"/>
    </row>
    <row r="31" spans="2:65" x14ac:dyDescent="0.45">
      <c r="B31" t="s">
        <v>59</v>
      </c>
      <c r="D31" t="str">
        <f>'11. Table - Expenditure Review'!E177</f>
        <v>Rates &amp; Taxes</v>
      </c>
      <c r="F31" s="885">
        <f t="shared" ref="F31:F47" si="9">P31/P$47</f>
        <v>0.18009552455161121</v>
      </c>
      <c r="G31" s="885">
        <f t="shared" ref="G31:G47" si="10">AL31/AL$47</f>
        <v>0.14830663942344757</v>
      </c>
      <c r="I31" s="753">
        <f t="shared" ref="I31:I48" si="11">AL31</f>
        <v>143148229.71577922</v>
      </c>
      <c r="J31" s="899">
        <v>143148229.71577922</v>
      </c>
      <c r="K31" s="753">
        <f t="shared" ref="K31:K48" si="12">I31-J31</f>
        <v>0</v>
      </c>
      <c r="L31" s="885">
        <f t="shared" ref="L31:L48" si="13">IF(J31&lt;&gt;0,K31/J31,0)</f>
        <v>0</v>
      </c>
      <c r="N31" s="566">
        <f>SUMIF('10. Inputs &amp; Calcs'!$D$650:$D$655,$E$10,'10. Inputs &amp; Calcs'!F$650:F$655)</f>
        <v>10013066.199999999</v>
      </c>
      <c r="O31" s="566">
        <f>SUMIF('10. Inputs &amp; Calcs'!$D$650:$D$655,$E$10,'10. Inputs &amp; Calcs'!G$650:G$655)</f>
        <v>9988926.7400000002</v>
      </c>
      <c r="P31" s="566">
        <f>SUMIF('10. Inputs &amp; Calcs'!$D$650:$D$655,$E$10,'10. Inputs &amp; Calcs'!H$650:H$655)</f>
        <v>12776897.890000001</v>
      </c>
      <c r="Q31" s="533">
        <f>SUMIF('10. Inputs &amp; Calcs'!$D$650:$D$655,$E$10,'10. Inputs &amp; Calcs'!I$650:I$655)</f>
        <v>12133242.341397833</v>
      </c>
      <c r="R31" s="533">
        <f>SUMIF('10. Inputs &amp; Calcs'!$D$650:$D$655,$E$10,'10. Inputs &amp; Calcs'!J$650:J$655)</f>
        <v>11380134.566332178</v>
      </c>
      <c r="S31" s="533">
        <f>SUMIF('10. Inputs &amp; Calcs'!$D$650:$D$655,$E$10,'10. Inputs &amp; Calcs'!K$650:K$655)</f>
        <v>10507481.877926573</v>
      </c>
      <c r="T31" s="533">
        <f>SUMIF('10. Inputs &amp; Calcs'!$D$650:$D$655,$E$10,'10. Inputs &amp; Calcs'!L$650:L$655)</f>
        <v>10393714.239877826</v>
      </c>
      <c r="U31" s="533">
        <f>SUMIF('10. Inputs &amp; Calcs'!$D$650:$D$655,$E$10,'10. Inputs &amp; Calcs'!M$650:M$655)</f>
        <v>10235647.028962988</v>
      </c>
      <c r="V31" s="533">
        <f>SUMIF('10. Inputs &amp; Calcs'!$D$650:$D$655,$E$10,'10. Inputs &amp; Calcs'!N$650:N$655)</f>
        <v>10028751.439271888</v>
      </c>
      <c r="W31" s="533">
        <f>SUMIF('10. Inputs &amp; Calcs'!$D$650:$D$655,$E$10,'10. Inputs &amp; Calcs'!O$650:O$655)</f>
        <v>9768134.5024521518</v>
      </c>
      <c r="X31" s="533">
        <f>SUMIF('10. Inputs &amp; Calcs'!$D$650:$D$655,$E$10,'10. Inputs &amp; Calcs'!P$650:P$655)</f>
        <v>9448512.7294784486</v>
      </c>
      <c r="Y31" s="533">
        <f>SUMIF('10. Inputs &amp; Calcs'!$D$650:$D$655,$E$10,'10. Inputs &amp; Calcs'!Q$650:Q$655)</f>
        <v>9064183.9546077214</v>
      </c>
      <c r="Z31" s="533">
        <f>SUMIF('10. Inputs &amp; Calcs'!$D$650:$D$655,$E$10,'10. Inputs &amp; Calcs'!R$650:R$655)</f>
        <v>8608997.26349454</v>
      </c>
      <c r="AA31" s="533">
        <f>SUMIF('10. Inputs &amp; Calcs'!$D$650:$D$655,$E$10,'10. Inputs &amp; Calcs'!S$650:S$655)</f>
        <v>8076320.8798962208</v>
      </c>
      <c r="AB31" s="533">
        <f>SUMIF('10. Inputs &amp; Calcs'!$D$650:$D$655,$E$10,'10. Inputs &amp; Calcs'!T$650:T$655)</f>
        <v>7459007.8773800153</v>
      </c>
      <c r="AC31" s="533">
        <f>SUMIF('10. Inputs &amp; Calcs'!$D$650:$D$655,$E$10,'10. Inputs &amp; Calcs'!U$650:U$655)</f>
        <v>6749359.5739253405</v>
      </c>
      <c r="AD31" s="533">
        <f>SUMIF('10. Inputs &amp; Calcs'!$D$650:$D$655,$E$10,'10. Inputs &amp; Calcs'!V$650:V$655)</f>
        <v>5939086.4582615765</v>
      </c>
      <c r="AE31" s="533">
        <f>SUMIF('10. Inputs &amp; Calcs'!$D$650:$D$655,$E$10,'10. Inputs &amp; Calcs'!W$650:W$655)</f>
        <v>5019266.487163675</v>
      </c>
      <c r="AF31" s="533">
        <f>SUMIF('10. Inputs &amp; Calcs'!$D$650:$D$655,$E$10,'10. Inputs &amp; Calcs'!X$650:X$655)</f>
        <v>3980300.5827087639</v>
      </c>
      <c r="AG31" s="533">
        <f>SUMIF('10. Inputs &amp; Calcs'!$D$650:$D$655,$E$10,'10. Inputs &amp; Calcs'!Y$650:Y$655)</f>
        <v>2811865.1476401421</v>
      </c>
      <c r="AH31" s="533">
        <f>SUMIF('10. Inputs &amp; Calcs'!$D$650:$D$655,$E$10,'10. Inputs &amp; Calcs'!Z$650:Z$655)</f>
        <v>1502861.4054512784</v>
      </c>
      <c r="AI31" s="533">
        <f>SUMIF('10. Inputs &amp; Calcs'!$D$650:$D$655,$E$10,'10. Inputs &amp; Calcs'!AA$650:AA$655)</f>
        <v>41361.359550028668</v>
      </c>
      <c r="AJ31" s="533">
        <f>SUMIF('10. Inputs &amp; Calcs'!$D$650:$D$655,$E$10,'10. Inputs &amp; Calcs'!AB$650:AB$655)</f>
        <v>0</v>
      </c>
      <c r="AK31" s="533">
        <f>SUMIF('10. Inputs &amp; Calcs'!$D$650:$D$655,$E$10,'10. Inputs &amp; Calcs'!AC$650:AC$655)</f>
        <v>0</v>
      </c>
      <c r="AL31" s="533">
        <f t="shared" ref="AL31:AL46" si="14">SUM(Q31:AK31)</f>
        <v>143148229.71577922</v>
      </c>
    </row>
    <row r="32" spans="2:65" x14ac:dyDescent="0.45">
      <c r="B32" t="s">
        <v>59</v>
      </c>
      <c r="D32" t="str">
        <f>'11. Table - Expenditure Review'!E178</f>
        <v>Municipal Charges</v>
      </c>
      <c r="F32" s="889">
        <f t="shared" si="9"/>
        <v>7.9816369540408189E-2</v>
      </c>
      <c r="G32" s="889">
        <f t="shared" si="10"/>
        <v>6.5727882838785695E-2</v>
      </c>
      <c r="I32" s="888">
        <f t="shared" si="11"/>
        <v>63441731.994709082</v>
      </c>
      <c r="J32" s="903">
        <v>63441731.994709082</v>
      </c>
      <c r="K32" s="888">
        <f t="shared" si="12"/>
        <v>0</v>
      </c>
      <c r="L32" s="889">
        <f t="shared" si="13"/>
        <v>0</v>
      </c>
      <c r="N32" s="566">
        <f>SUMIF('10. Inputs &amp; Calcs'!$D$659:$D$664,$E$10,'10. Inputs &amp; Calcs'!F$659:F$664)</f>
        <v>1942983.22</v>
      </c>
      <c r="O32" s="566">
        <f>SUMIF('10. Inputs &amp; Calcs'!$D$659:$D$664,$E$10,'10. Inputs &amp; Calcs'!G$659:G$664)</f>
        <v>7345953.8099999996</v>
      </c>
      <c r="P32" s="566">
        <f>SUMIF('10. Inputs &amp; Calcs'!$D$659:$D$664,$E$10,'10. Inputs &amp; Calcs'!H$659:H$664)</f>
        <v>5662581.5999999996</v>
      </c>
      <c r="Q32" s="533">
        <f>SUMIF('10. Inputs &amp; Calcs'!$D$659:$D$664,$E$10,'10. Inputs &amp; Calcs'!I$659:I$664)</f>
        <v>5377320.4906422161</v>
      </c>
      <c r="R32" s="533">
        <f>SUMIF('10. Inputs &amp; Calcs'!$D$659:$D$664,$E$10,'10. Inputs &amp; Calcs'!J$659:J$664)</f>
        <v>5043551.3499150751</v>
      </c>
      <c r="S32" s="533">
        <f>SUMIF('10. Inputs &amp; Calcs'!$D$659:$D$664,$E$10,'10. Inputs &amp; Calcs'!K$659:K$664)</f>
        <v>4656801.2092237556</v>
      </c>
      <c r="T32" s="533">
        <f>SUMIF('10. Inputs &amp; Calcs'!$D$659:$D$664,$E$10,'10. Inputs &amp; Calcs'!L$659:L$664)</f>
        <v>4606380.6345712412</v>
      </c>
      <c r="U32" s="533">
        <f>SUMIF('10. Inputs &amp; Calcs'!$D$659:$D$664,$E$10,'10. Inputs &amp; Calcs'!M$659:M$664)</f>
        <v>4536326.9730490474</v>
      </c>
      <c r="V32" s="533">
        <f>SUMIF('10. Inputs &amp; Calcs'!$D$659:$D$664,$E$10,'10. Inputs &amp; Calcs'!N$659:N$664)</f>
        <v>4444633.1073398348</v>
      </c>
      <c r="W32" s="533">
        <f>SUMIF('10. Inputs &amp; Calcs'!$D$659:$D$664,$E$10,'10. Inputs &amp; Calcs'!O$659:O$664)</f>
        <v>4329130.5273091355</v>
      </c>
      <c r="X32" s="533">
        <f>SUMIF('10. Inputs &amp; Calcs'!$D$659:$D$664,$E$10,'10. Inputs &amp; Calcs'!P$659:P$664)</f>
        <v>4187477.6483253567</v>
      </c>
      <c r="Y32" s="533">
        <f>SUMIF('10. Inputs &amp; Calcs'!$D$659:$D$664,$E$10,'10. Inputs &amp; Calcs'!Q$659:Q$664)</f>
        <v>4017147.3328082524</v>
      </c>
      <c r="Z32" s="533">
        <f>SUMIF('10. Inputs &amp; Calcs'!$D$659:$D$664,$E$10,'10. Inputs &amp; Calcs'!R$659:R$664)</f>
        <v>3815413.5626980816</v>
      </c>
      <c r="AA32" s="533">
        <f>SUMIF('10. Inputs &amp; Calcs'!$D$659:$D$664,$E$10,'10. Inputs &amp; Calcs'!S$659:S$664)</f>
        <v>3579337.207194047</v>
      </c>
      <c r="AB32" s="533">
        <f>SUMIF('10. Inputs &amp; Calcs'!$D$659:$D$664,$E$10,'10. Inputs &amp; Calcs'!T$659:T$664)</f>
        <v>3305750.8265574076</v>
      </c>
      <c r="AC32" s="533">
        <f>SUMIF('10. Inputs &amp; Calcs'!$D$659:$D$664,$E$10,'10. Inputs &amp; Calcs'!U$659:U$664)</f>
        <v>2991242.4489989751</v>
      </c>
      <c r="AD32" s="533">
        <f>SUMIF('10. Inputs &amp; Calcs'!$D$659:$D$664,$E$10,'10. Inputs &amp; Calcs'!V$659:V$664)</f>
        <v>2632138.2536587794</v>
      </c>
      <c r="AE32" s="533">
        <f>SUMIF('10. Inputs &amp; Calcs'!$D$659:$D$664,$E$10,'10. Inputs &amp; Calcs'!W$659:W$664)</f>
        <v>2224484.0884229406</v>
      </c>
      <c r="AF32" s="533">
        <f>SUMIF('10. Inputs &amp; Calcs'!$D$659:$D$664,$E$10,'10. Inputs &amp; Calcs'!X$659:X$664)</f>
        <v>1764025.7467938415</v>
      </c>
      <c r="AG32" s="533">
        <f>SUMIF('10. Inputs &amp; Calcs'!$D$659:$D$664,$E$10,'10. Inputs &amp; Calcs'!Y$659:Y$664)</f>
        <v>1246187.9232180621</v>
      </c>
      <c r="AH32" s="533">
        <f>SUMIF('10. Inputs &amp; Calcs'!$D$659:$D$664,$E$10,'10. Inputs &amp; Calcs'!Z$659:Z$664)</f>
        <v>666051.76116489596</v>
      </c>
      <c r="AI32" s="533">
        <f>SUMIF('10. Inputs &amp; Calcs'!$D$659:$D$664,$E$10,'10. Inputs &amp; Calcs'!AA$659:AA$664)</f>
        <v>18330.902818146918</v>
      </c>
      <c r="AJ32" s="533">
        <f>SUMIF('10. Inputs &amp; Calcs'!$D$659:$D$664,$E$10,'10. Inputs &amp; Calcs'!AB$659:AB$664)</f>
        <v>0</v>
      </c>
      <c r="AK32" s="533">
        <f>SUMIF('10. Inputs &amp; Calcs'!$D$659:$D$664,$E$10,'10. Inputs &amp; Calcs'!AC$659:AC$664)</f>
        <v>0</v>
      </c>
      <c r="AL32" s="533">
        <f t="shared" si="14"/>
        <v>63441731.994709082</v>
      </c>
    </row>
    <row r="33" spans="2:38" x14ac:dyDescent="0.45">
      <c r="B33" t="s">
        <v>59</v>
      </c>
      <c r="D33" t="str">
        <f>'11. Table - Expenditure Review'!E179</f>
        <v>Maintenance</v>
      </c>
      <c r="F33" s="889">
        <f t="shared" si="9"/>
        <v>0.42371686963485639</v>
      </c>
      <c r="G33" s="889">
        <f t="shared" si="10"/>
        <v>0.3489260777524768</v>
      </c>
      <c r="I33" s="888">
        <f t="shared" si="11"/>
        <v>336789711.68192005</v>
      </c>
      <c r="J33" s="903">
        <v>336789711.68192005</v>
      </c>
      <c r="K33" s="888">
        <f t="shared" si="12"/>
        <v>0</v>
      </c>
      <c r="L33" s="889">
        <f t="shared" si="13"/>
        <v>0</v>
      </c>
      <c r="N33" s="566">
        <f>SUMIF('10. Inputs &amp; Calcs'!$D$668:$D$673,$E$10,'10. Inputs &amp; Calcs'!F$668:F$673)</f>
        <v>21457726.75</v>
      </c>
      <c r="O33" s="566">
        <f>SUMIF('10. Inputs &amp; Calcs'!$D$668:$D$673,$E$10,'10. Inputs &amp; Calcs'!G$668:G$673)</f>
        <v>22270178.579999998</v>
      </c>
      <c r="P33" s="566">
        <f>SUMIF('10. Inputs &amp; Calcs'!$D$668:$D$673,$E$10,'10. Inputs &amp; Calcs'!H$668:H$673)</f>
        <v>30060642.490000002</v>
      </c>
      <c r="Q33" s="533">
        <f>SUMIF('10. Inputs &amp; Calcs'!$D$668:$D$673,$E$10,'10. Inputs &amp; Calcs'!I$668:I$673)</f>
        <v>28546292.175877355</v>
      </c>
      <c r="R33" s="533">
        <f>SUMIF('10. Inputs &amp; Calcs'!$D$668:$D$673,$E$10,'10. Inputs &amp; Calcs'!J$668:J$673)</f>
        <v>26774429.883668967</v>
      </c>
      <c r="S33" s="533">
        <f>SUMIF('10. Inputs &amp; Calcs'!$D$668:$D$673,$E$10,'10. Inputs &amp; Calcs'!K$668:K$673)</f>
        <v>24721310.205485623</v>
      </c>
      <c r="T33" s="533">
        <f>SUMIF('10. Inputs &amp; Calcs'!$D$668:$D$673,$E$10,'10. Inputs &amp; Calcs'!L$668:L$673)</f>
        <v>24453645.211700879</v>
      </c>
      <c r="U33" s="533">
        <f>SUMIF('10. Inputs &amp; Calcs'!$D$668:$D$673,$E$10,'10. Inputs &amp; Calcs'!M$668:M$673)</f>
        <v>24081755.105228223</v>
      </c>
      <c r="V33" s="533">
        <f>SUMIF('10. Inputs &amp; Calcs'!$D$668:$D$673,$E$10,'10. Inputs &amp; Calcs'!N$668:N$673)</f>
        <v>23594984.810278177</v>
      </c>
      <c r="W33" s="533">
        <f>SUMIF('10. Inputs &amp; Calcs'!$D$668:$D$673,$E$10,'10. Inputs &amp; Calcs'!O$668:O$673)</f>
        <v>22981822.473690309</v>
      </c>
      <c r="X33" s="533">
        <f>SUMIF('10. Inputs &amp; Calcs'!$D$668:$D$673,$E$10,'10. Inputs &amp; Calcs'!P$668:P$673)</f>
        <v>22229837.451026682</v>
      </c>
      <c r="Y33" s="533">
        <f>SUMIF('10. Inputs &amp; Calcs'!$D$668:$D$673,$E$10,'10. Inputs &amp; Calcs'!Q$668:Q$673)</f>
        <v>21325614.062887143</v>
      </c>
      <c r="Z33" s="533">
        <f>SUMIF('10. Inputs &amp; Calcs'!$D$668:$D$673,$E$10,'10. Inputs &amp; Calcs'!R$668:R$673)</f>
        <v>20254680.843762904</v>
      </c>
      <c r="AA33" s="533">
        <f>SUMIF('10. Inputs &amp; Calcs'!$D$668:$D$673,$E$10,'10. Inputs &amp; Calcs'!S$668:S$673)</f>
        <v>19001434.987994764</v>
      </c>
      <c r="AB33" s="533">
        <f>SUMIF('10. Inputs &amp; Calcs'!$D$668:$D$673,$E$10,'10. Inputs &amp; Calcs'!T$668:T$673)</f>
        <v>17549061.678539749</v>
      </c>
      <c r="AC33" s="533">
        <f>SUMIF('10. Inputs &amp; Calcs'!$D$668:$D$673,$E$10,'10. Inputs &amp; Calcs'!U$668:U$673)</f>
        <v>15879447.964205993</v>
      </c>
      <c r="AD33" s="533">
        <f>SUMIF('10. Inputs &amp; Calcs'!$D$668:$D$673,$E$10,'10. Inputs &amp; Calcs'!V$668:V$673)</f>
        <v>13973090.829717943</v>
      </c>
      <c r="AE33" s="533">
        <f>SUMIF('10. Inputs &amp; Calcs'!$D$668:$D$673,$E$10,'10. Inputs &amp; Calcs'!W$668:W$673)</f>
        <v>11808999.080344485</v>
      </c>
      <c r="AF33" s="533">
        <f>SUMIF('10. Inputs &amp; Calcs'!$D$668:$D$673,$E$10,'10. Inputs &amp; Calcs'!X$668:X$673)</f>
        <v>9364588.6387800518</v>
      </c>
      <c r="AG33" s="533">
        <f>SUMIF('10. Inputs &amp; Calcs'!$D$668:$D$673,$E$10,'10. Inputs &amp; Calcs'!Y$668:Y$673)</f>
        <v>6615570.826425489</v>
      </c>
      <c r="AH33" s="533">
        <f>SUMIF('10. Inputs &amp; Calcs'!$D$668:$D$673,$E$10,'10. Inputs &amp; Calcs'!Z$668:Z$673)</f>
        <v>3535833.1740796142</v>
      </c>
      <c r="AI33" s="533">
        <f>SUMIF('10. Inputs &amp; Calcs'!$D$668:$D$673,$E$10,'10. Inputs &amp; Calcs'!AA$668:AA$673)</f>
        <v>97312.278225756338</v>
      </c>
      <c r="AJ33" s="533">
        <f>SUMIF('10. Inputs &amp; Calcs'!$D$668:$D$673,$E$10,'10. Inputs &amp; Calcs'!AB$668:AB$673)</f>
        <v>0</v>
      </c>
      <c r="AK33" s="533">
        <f>SUMIF('10. Inputs &amp; Calcs'!$D$668:$D$673,$E$10,'10. Inputs &amp; Calcs'!AC$668:AC$673)</f>
        <v>0</v>
      </c>
      <c r="AL33" s="533">
        <f t="shared" si="14"/>
        <v>336789711.68192005</v>
      </c>
    </row>
    <row r="34" spans="2:38" x14ac:dyDescent="0.45">
      <c r="B34" t="s">
        <v>59</v>
      </c>
      <c r="D34" t="str">
        <f>'11. Table - Expenditure Review'!E180</f>
        <v>Property Payments</v>
      </c>
      <c r="F34" s="889">
        <f t="shared" si="9"/>
        <v>0</v>
      </c>
      <c r="G34" s="889">
        <f t="shared" si="10"/>
        <v>0</v>
      </c>
      <c r="I34" s="888">
        <f t="shared" si="11"/>
        <v>0</v>
      </c>
      <c r="J34" s="903">
        <v>0</v>
      </c>
      <c r="K34" s="888">
        <f t="shared" si="12"/>
        <v>0</v>
      </c>
      <c r="L34" s="889">
        <f t="shared" si="13"/>
        <v>0</v>
      </c>
      <c r="N34" s="566">
        <f>SUMIF('10. Inputs &amp; Calcs'!$D$677:$D$682,$E$10,'10. Inputs &amp; Calcs'!F$677:F$682)</f>
        <v>605783.96</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4"/>
        <v>0</v>
      </c>
    </row>
    <row r="35" spans="2:38" x14ac:dyDescent="0.45">
      <c r="B35" t="s">
        <v>1077</v>
      </c>
      <c r="D35" t="str">
        <f>'11. Table - Expenditure Review'!E181</f>
        <v>Administering Assets</v>
      </c>
      <c r="F35" s="889">
        <f t="shared" si="9"/>
        <v>0</v>
      </c>
      <c r="G35" s="889">
        <f t="shared" si="10"/>
        <v>0</v>
      </c>
      <c r="I35" s="888">
        <f t="shared" si="11"/>
        <v>0</v>
      </c>
      <c r="J35" s="903">
        <v>0</v>
      </c>
      <c r="K35" s="888">
        <f t="shared" si="12"/>
        <v>0</v>
      </c>
      <c r="L35" s="889">
        <f t="shared" si="13"/>
        <v>0</v>
      </c>
      <c r="N35" s="566">
        <f>SUMIF('10. Inputs &amp; Calcs'!$D$686:$D$691,$E$10,'10. Inputs &amp; Calcs'!F$686:F$691)</f>
        <v>0</v>
      </c>
      <c r="O35" s="566">
        <f>SUMIF('10. Inputs &amp; Calcs'!$D$686:$D$691,$E$10,'10. Inputs &amp; Calcs'!G$686:G$691)</f>
        <v>0</v>
      </c>
      <c r="P35" s="566">
        <f>SUMIF('10. Inputs &amp; Calcs'!$D$686:$D$691,$E$10,'10. Inputs &amp; Calcs'!H$686:H$691)</f>
        <v>0</v>
      </c>
      <c r="Q35" s="533">
        <f>SUMIF('10. Inputs &amp; Calcs'!$D$686:$D$691,$E$10,'10. Inputs &amp; Calcs'!I$686:I$691)</f>
        <v>0</v>
      </c>
      <c r="R35" s="533">
        <f>SUMIF('10. Inputs &amp; Calcs'!$D$686:$D$691,$E$10,'10. Inputs &amp; Calcs'!J$686:J$691)</f>
        <v>0</v>
      </c>
      <c r="S35" s="533">
        <f>SUMIF('10. Inputs &amp; Calcs'!$D$686:$D$691,$E$10,'10. Inputs &amp; Calcs'!K$686:K$691)</f>
        <v>0</v>
      </c>
      <c r="T35" s="533">
        <f>SUMIF('10. Inputs &amp; Calcs'!$D$686:$D$691,$E$10,'10. Inputs &amp; Calcs'!L$686:L$691)</f>
        <v>0</v>
      </c>
      <c r="U35" s="533">
        <f>SUMIF('10. Inputs &amp; Calcs'!$D$686:$D$691,$E$10,'10. Inputs &amp; Calcs'!M$686:M$691)</f>
        <v>0</v>
      </c>
      <c r="V35" s="533">
        <f>SUMIF('10. Inputs &amp; Calcs'!$D$686:$D$691,$E$10,'10. Inputs &amp; Calcs'!N$686:N$691)</f>
        <v>0</v>
      </c>
      <c r="W35" s="533">
        <f>SUMIF('10. Inputs &amp; Calcs'!$D$686:$D$691,$E$10,'10. Inputs &amp; Calcs'!O$686:O$691)</f>
        <v>0</v>
      </c>
      <c r="X35" s="533">
        <f>SUMIF('10. Inputs &amp; Calcs'!$D$686:$D$691,$E$10,'10. Inputs &amp; Calcs'!P$686:P$691)</f>
        <v>0</v>
      </c>
      <c r="Y35" s="533">
        <f>SUMIF('10. Inputs &amp; Calcs'!$D$686:$D$691,$E$10,'10. Inputs &amp; Calcs'!Q$686:Q$691)</f>
        <v>0</v>
      </c>
      <c r="Z35" s="533">
        <f>SUMIF('10. Inputs &amp; Calcs'!$D$686:$D$691,$E$10,'10. Inputs &amp; Calcs'!R$686:R$691)</f>
        <v>0</v>
      </c>
      <c r="AA35" s="533">
        <f>SUMIF('10. Inputs &amp; Calcs'!$D$686:$D$691,$E$10,'10. Inputs &amp; Calcs'!S$686:S$691)</f>
        <v>0</v>
      </c>
      <c r="AB35" s="533">
        <f>SUMIF('10. Inputs &amp; Calcs'!$D$686:$D$691,$E$10,'10. Inputs &amp; Calcs'!T$686:T$691)</f>
        <v>0</v>
      </c>
      <c r="AC35" s="533">
        <f>SUMIF('10. Inputs &amp; Calcs'!$D$686:$D$691,$E$10,'10. Inputs &amp; Calcs'!U$686:U$691)</f>
        <v>0</v>
      </c>
      <c r="AD35" s="533">
        <f>SUMIF('10. Inputs &amp; Calcs'!$D$686:$D$691,$E$10,'10. Inputs &amp; Calcs'!V$686:V$691)</f>
        <v>0</v>
      </c>
      <c r="AE35" s="533">
        <f>SUMIF('10. Inputs &amp; Calcs'!$D$686:$D$691,$E$10,'10. Inputs &amp; Calcs'!W$686:W$691)</f>
        <v>0</v>
      </c>
      <c r="AF35" s="533">
        <f>SUMIF('10. Inputs &amp; Calcs'!$D$686:$D$691,$E$10,'10. Inputs &amp; Calcs'!X$686:X$691)</f>
        <v>0</v>
      </c>
      <c r="AG35" s="533">
        <f>SUMIF('10. Inputs &amp; Calcs'!$D$686:$D$691,$E$10,'10. Inputs &amp; Calcs'!Y$686:Y$691)</f>
        <v>0</v>
      </c>
      <c r="AH35" s="533">
        <f>SUMIF('10. Inputs &amp; Calcs'!$D$686:$D$691,$E$10,'10. Inputs &amp; Calcs'!Z$686:Z$691)</f>
        <v>0</v>
      </c>
      <c r="AI35" s="533">
        <f>SUMIF('10. Inputs &amp; Calcs'!$D$686:$D$691,$E$10,'10. Inputs &amp; Calcs'!AA$686:AA$691)</f>
        <v>0</v>
      </c>
      <c r="AJ35" s="533">
        <f>SUMIF('10. Inputs &amp; Calcs'!$D$686:$D$691,$E$10,'10. Inputs &amp; Calcs'!AB$686:AB$691)</f>
        <v>0</v>
      </c>
      <c r="AK35" s="533">
        <f>SUMIF('10. Inputs &amp; Calcs'!$D$686:$D$691,$E$10,'10. Inputs &amp; Calcs'!AC$686:AC$691)</f>
        <v>0</v>
      </c>
      <c r="AL35" s="533">
        <f t="shared" si="14"/>
        <v>0</v>
      </c>
    </row>
    <row r="36" spans="2:38" x14ac:dyDescent="0.45">
      <c r="B36" t="s">
        <v>1075</v>
      </c>
      <c r="D36" t="str">
        <f>'10. Inputs &amp; Calcs'!D507</f>
        <v>Total Disposal Costs</v>
      </c>
      <c r="F36" s="889">
        <f t="shared" si="9"/>
        <v>0</v>
      </c>
      <c r="G36" s="889">
        <f t="shared" si="10"/>
        <v>2.9444067092566081E-2</v>
      </c>
      <c r="I36" s="888">
        <f t="shared" si="11"/>
        <v>28419941.92788031</v>
      </c>
      <c r="J36" s="903">
        <v>28419941.92788031</v>
      </c>
      <c r="K36" s="888">
        <f t="shared" si="12"/>
        <v>0</v>
      </c>
      <c r="L36" s="889">
        <f t="shared" si="13"/>
        <v>0</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1792000</v>
      </c>
      <c r="R36" s="533">
        <f>SUMIF('10. Inputs &amp; Calcs'!$D$508:$D$513,$E$10,'10. Inputs &amp; Calcs'!J$508:J$513)</f>
        <v>1890560</v>
      </c>
      <c r="S36" s="533">
        <f>SUMIF('10. Inputs &amp; Calcs'!$D$508:$D$513,$E$10,'10. Inputs &amp; Calcs'!K$508:K$513)</f>
        <v>1994540.8</v>
      </c>
      <c r="T36" s="533">
        <f>SUMIF('10. Inputs &amp; Calcs'!$D$508:$D$513,$E$10,'10. Inputs &amp; Calcs'!L$508:L$513)</f>
        <v>920605.2379999999</v>
      </c>
      <c r="U36" s="533">
        <f>SUMIF('10. Inputs &amp; Calcs'!$D$508:$D$513,$E$10,'10. Inputs &amp; Calcs'!M$508:M$513)</f>
        <v>971238.52609000006</v>
      </c>
      <c r="V36" s="533">
        <f>SUMIF('10. Inputs &amp; Calcs'!$D$508:$D$513,$E$10,'10. Inputs &amp; Calcs'!N$508:N$513)</f>
        <v>1024656.6450249499</v>
      </c>
      <c r="W36" s="533">
        <f>SUMIF('10. Inputs &amp; Calcs'!$D$508:$D$513,$E$10,'10. Inputs &amp; Calcs'!O$508:O$513)</f>
        <v>1081012.7605013221</v>
      </c>
      <c r="X36" s="533">
        <f>SUMIF('10. Inputs &amp; Calcs'!$D$508:$D$513,$E$10,'10. Inputs &amp; Calcs'!P$508:P$513)</f>
        <v>1140468.462328895</v>
      </c>
      <c r="Y36" s="533">
        <f>SUMIF('10. Inputs &amp; Calcs'!$D$508:$D$513,$E$10,'10. Inputs &amp; Calcs'!Q$508:Q$513)</f>
        <v>1203194.2277569838</v>
      </c>
      <c r="Z36" s="533">
        <f>SUMIF('10. Inputs &amp; Calcs'!$D$508:$D$513,$E$10,'10. Inputs &amp; Calcs'!R$508:R$513)</f>
        <v>1269369.9102836179</v>
      </c>
      <c r="AA36" s="533">
        <f>SUMIF('10. Inputs &amp; Calcs'!$D$508:$D$513,$E$10,'10. Inputs &amp; Calcs'!S$508:S$513)</f>
        <v>1339185.2553492167</v>
      </c>
      <c r="AB36" s="533">
        <f>SUMIF('10. Inputs &amp; Calcs'!$D$508:$D$513,$E$10,'10. Inputs &amp; Calcs'!T$508:T$513)</f>
        <v>1412840.4443934236</v>
      </c>
      <c r="AC36" s="533">
        <f>SUMIF('10. Inputs &amp; Calcs'!$D$508:$D$513,$E$10,'10. Inputs &amp; Calcs'!U$508:U$513)</f>
        <v>1490546.6688350621</v>
      </c>
      <c r="AD36" s="533">
        <f>SUMIF('10. Inputs &amp; Calcs'!$D$508:$D$513,$E$10,'10. Inputs &amp; Calcs'!V$508:V$513)</f>
        <v>1572526.7356209902</v>
      </c>
      <c r="AE36" s="533">
        <f>SUMIF('10. Inputs &amp; Calcs'!$D$508:$D$513,$E$10,'10. Inputs &amp; Calcs'!W$508:W$513)</f>
        <v>1659015.7060801445</v>
      </c>
      <c r="AF36" s="533">
        <f>SUMIF('10. Inputs &amp; Calcs'!$D$508:$D$513,$E$10,'10. Inputs &amp; Calcs'!X$508:X$513)</f>
        <v>1750261.5699145526</v>
      </c>
      <c r="AG36" s="533">
        <f>SUMIF('10. Inputs &amp; Calcs'!$D$508:$D$513,$E$10,'10. Inputs &amp; Calcs'!Y$508:Y$513)</f>
        <v>1846525.9562598527</v>
      </c>
      <c r="AH36" s="533">
        <f>SUMIF('10. Inputs &amp; Calcs'!$D$508:$D$513,$E$10,'10. Inputs &amp; Calcs'!Z$508:Z$513)</f>
        <v>1948084.8838541447</v>
      </c>
      <c r="AI36" s="533">
        <f>SUMIF('10. Inputs &amp; Calcs'!$D$508:$D$513,$E$10,'10. Inputs &amp; Calcs'!AA$508:AA$513)</f>
        <v>2055229.5524661224</v>
      </c>
      <c r="AJ36" s="533">
        <f>SUMIF('10. Inputs &amp; Calcs'!$D$508:$D$513,$E$10,'10. Inputs &amp; Calcs'!AB$508:AB$513)</f>
        <v>58078.58512102926</v>
      </c>
      <c r="AK36" s="533">
        <f>SUMIF('10. Inputs &amp; Calcs'!$D$508:$D$513,$E$10,'10. Inputs &amp; Calcs'!AC$508:AC$513)</f>
        <v>0</v>
      </c>
      <c r="AL36" s="533">
        <f t="shared" si="14"/>
        <v>28419941.92788031</v>
      </c>
    </row>
    <row r="37" spans="2:38" x14ac:dyDescent="0.45">
      <c r="B37" t="s">
        <v>59</v>
      </c>
      <c r="C37" t="str">
        <f>'10. Inputs &amp; Calcs'!E15</f>
        <v>Sc1</v>
      </c>
      <c r="D37" t="str">
        <f>'10. Inputs &amp; Calcs'!D703</f>
        <v>Management Costs Paid to Outsourced Rental Property Manager p.a.</v>
      </c>
      <c r="F37" s="889">
        <f t="shared" si="9"/>
        <v>0</v>
      </c>
      <c r="G37" s="889">
        <f t="shared" si="10"/>
        <v>0</v>
      </c>
      <c r="I37" s="888">
        <f t="shared" si="11"/>
        <v>0</v>
      </c>
      <c r="J37" s="903">
        <v>0</v>
      </c>
      <c r="K37" s="888">
        <f t="shared" si="12"/>
        <v>0</v>
      </c>
      <c r="L37" s="889">
        <f t="shared" si="13"/>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4"/>
        <v>0</v>
      </c>
    </row>
    <row r="38" spans="2:38" outlineLevel="1" x14ac:dyDescent="0.45">
      <c r="D38">
        <f>'11. Table - Expenditure Review'!E184</f>
        <v>0</v>
      </c>
      <c r="F38" s="889">
        <f t="shared" si="9"/>
        <v>0</v>
      </c>
      <c r="G38" s="889">
        <f t="shared" si="10"/>
        <v>0</v>
      </c>
      <c r="I38" s="888">
        <f t="shared" si="11"/>
        <v>0</v>
      </c>
      <c r="J38" s="903">
        <v>0</v>
      </c>
      <c r="K38" s="888">
        <f t="shared" si="12"/>
        <v>0</v>
      </c>
      <c r="L38" s="889">
        <f t="shared" si="13"/>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4"/>
        <v>0</v>
      </c>
    </row>
    <row r="39" spans="2:38" outlineLevel="1" x14ac:dyDescent="0.45">
      <c r="D39">
        <f>'11. Table - Expenditure Review'!E185</f>
        <v>0</v>
      </c>
      <c r="F39" s="889">
        <f t="shared" si="9"/>
        <v>0</v>
      </c>
      <c r="G39" s="889">
        <f t="shared" si="10"/>
        <v>0</v>
      </c>
      <c r="I39" s="888">
        <f t="shared" si="11"/>
        <v>0</v>
      </c>
      <c r="J39" s="903">
        <v>0</v>
      </c>
      <c r="K39" s="888">
        <f t="shared" si="12"/>
        <v>0</v>
      </c>
      <c r="L39" s="889">
        <f t="shared" si="13"/>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4"/>
        <v>0</v>
      </c>
    </row>
    <row r="40" spans="2:38" outlineLevel="1" x14ac:dyDescent="0.45">
      <c r="D40">
        <f>'11. Table - Expenditure Review'!E186</f>
        <v>0</v>
      </c>
      <c r="F40" s="889">
        <f t="shared" si="9"/>
        <v>0</v>
      </c>
      <c r="G40" s="889">
        <f t="shared" si="10"/>
        <v>0</v>
      </c>
      <c r="I40" s="888">
        <f t="shared" si="11"/>
        <v>0</v>
      </c>
      <c r="J40" s="903">
        <v>0</v>
      </c>
      <c r="K40" s="888">
        <f t="shared" si="12"/>
        <v>0</v>
      </c>
      <c r="L40" s="889">
        <f t="shared" si="13"/>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4"/>
        <v>0</v>
      </c>
    </row>
    <row r="41" spans="2:38" x14ac:dyDescent="0.45">
      <c r="B41" t="s">
        <v>59</v>
      </c>
      <c r="D41" t="str">
        <f>'11. Table - Expenditure Review'!E187</f>
        <v>Unallocated Expenses</v>
      </c>
      <c r="F41" s="889">
        <f t="shared" si="9"/>
        <v>0</v>
      </c>
      <c r="G41" s="889">
        <f t="shared" si="10"/>
        <v>0</v>
      </c>
      <c r="I41" s="888">
        <f t="shared" si="11"/>
        <v>0</v>
      </c>
      <c r="J41" s="903">
        <v>0</v>
      </c>
      <c r="K41" s="888">
        <f t="shared" si="12"/>
        <v>0</v>
      </c>
      <c r="L41" s="889">
        <f t="shared" si="13"/>
        <v>0</v>
      </c>
      <c r="N41" s="566">
        <f>SUMIF('10. Inputs &amp; Calcs'!$D$713:$D$718,$E$10,'10. Inputs &amp; Calcs'!F$713:F$718)</f>
        <v>0</v>
      </c>
      <c r="O41" s="566">
        <f>SUMIF('10. Inputs &amp; Calcs'!$D$713:$D$718,$E$10,'10. Inputs &amp; Calcs'!G$713:G$718)</f>
        <v>0</v>
      </c>
      <c r="P41" s="566">
        <f>SUMIF('10. Inputs &amp; Calcs'!$D$713:$D$718,$E$10,'10. Inputs &amp; Calcs'!H$713:H$718)</f>
        <v>0</v>
      </c>
      <c r="Q41" s="533">
        <f>SUMIF('10. Inputs &amp; Calcs'!$D$713:$D$718,$E$10,'10. Inputs &amp; Calcs'!I$713:I$718)</f>
        <v>0</v>
      </c>
      <c r="R41" s="533">
        <f>SUMIF('10. Inputs &amp; Calcs'!$D$713:$D$718,$E$10,'10. Inputs &amp; Calcs'!J$713:J$718)</f>
        <v>0</v>
      </c>
      <c r="S41" s="533">
        <f>SUMIF('10. Inputs &amp; Calcs'!$D$713:$D$718,$E$10,'10. Inputs &amp; Calcs'!K$713:K$718)</f>
        <v>0</v>
      </c>
      <c r="T41" s="533">
        <f>SUMIF('10. Inputs &amp; Calcs'!$D$713:$D$718,$E$10,'10. Inputs &amp; Calcs'!L$713:L$718)</f>
        <v>0</v>
      </c>
      <c r="U41" s="533">
        <f>SUMIF('10. Inputs &amp; Calcs'!$D$713:$D$718,$E$10,'10. Inputs &amp; Calcs'!M$713:M$718)</f>
        <v>0</v>
      </c>
      <c r="V41" s="533">
        <f>SUMIF('10. Inputs &amp; Calcs'!$D$713:$D$718,$E$10,'10. Inputs &amp; Calcs'!N$713:N$718)</f>
        <v>0</v>
      </c>
      <c r="W41" s="533">
        <f>SUMIF('10. Inputs &amp; Calcs'!$D$713:$D$718,$E$10,'10. Inputs &amp; Calcs'!O$713:O$718)</f>
        <v>0</v>
      </c>
      <c r="X41" s="533">
        <f>SUMIF('10. Inputs &amp; Calcs'!$D$713:$D$718,$E$10,'10. Inputs &amp; Calcs'!P$713:P$718)</f>
        <v>0</v>
      </c>
      <c r="Y41" s="533">
        <f>SUMIF('10. Inputs &amp; Calcs'!$D$713:$D$718,$E$10,'10. Inputs &amp; Calcs'!Q$713:Q$718)</f>
        <v>0</v>
      </c>
      <c r="Z41" s="533">
        <f>SUMIF('10. Inputs &amp; Calcs'!$D$713:$D$718,$E$10,'10. Inputs &amp; Calcs'!R$713:R$718)</f>
        <v>0</v>
      </c>
      <c r="AA41" s="533">
        <f>SUMIF('10. Inputs &amp; Calcs'!$D$713:$D$718,$E$10,'10. Inputs &amp; Calcs'!S$713:S$718)</f>
        <v>0</v>
      </c>
      <c r="AB41" s="533">
        <f>SUMIF('10. Inputs &amp; Calcs'!$D$713:$D$718,$E$10,'10. Inputs &amp; Calcs'!T$713:T$718)</f>
        <v>0</v>
      </c>
      <c r="AC41" s="533">
        <f>SUMIF('10. Inputs &amp; Calcs'!$D$713:$D$718,$E$10,'10. Inputs &amp; Calcs'!U$713:U$718)</f>
        <v>0</v>
      </c>
      <c r="AD41" s="533">
        <f>SUMIF('10. Inputs &amp; Calcs'!$D$713:$D$718,$E$10,'10. Inputs &amp; Calcs'!V$713:V$718)</f>
        <v>0</v>
      </c>
      <c r="AE41" s="533">
        <f>SUMIF('10. Inputs &amp; Calcs'!$D$713:$D$718,$E$10,'10. Inputs &amp; Calcs'!W$713:W$718)</f>
        <v>0</v>
      </c>
      <c r="AF41" s="533">
        <f>SUMIF('10. Inputs &amp; Calcs'!$D$713:$D$718,$E$10,'10. Inputs &amp; Calcs'!X$713:X$718)</f>
        <v>0</v>
      </c>
      <c r="AG41" s="533">
        <f>SUMIF('10. Inputs &amp; Calcs'!$D$713:$D$718,$E$10,'10. Inputs &amp; Calcs'!Y$713:Y$718)</f>
        <v>0</v>
      </c>
      <c r="AH41" s="533">
        <f>SUMIF('10. Inputs &amp; Calcs'!$D$713:$D$718,$E$10,'10. Inputs &amp; Calcs'!Z$713:Z$718)</f>
        <v>0</v>
      </c>
      <c r="AI41" s="533">
        <f>SUMIF('10. Inputs &amp; Calcs'!$D$713:$D$718,$E$10,'10. Inputs &amp; Calcs'!AA$713:AA$718)</f>
        <v>0</v>
      </c>
      <c r="AJ41" s="533">
        <f>SUMIF('10. Inputs &amp; Calcs'!$D$713:$D$718,$E$10,'10. Inputs &amp; Calcs'!AB$713:AB$718)</f>
        <v>0</v>
      </c>
      <c r="AK41" s="533">
        <f>SUMIF('10. Inputs &amp; Calcs'!$D$713:$D$718,$E$10,'10. Inputs &amp; Calcs'!AC$713:AC$718)</f>
        <v>0</v>
      </c>
      <c r="AL41" s="533">
        <f t="shared" si="14"/>
        <v>0</v>
      </c>
    </row>
    <row r="42" spans="2:38" x14ac:dyDescent="0.45">
      <c r="D42" t="str">
        <f>'11. Table - Expenditure Review'!E188</f>
        <v>Overheads</v>
      </c>
      <c r="F42" s="889">
        <f t="shared" si="9"/>
        <v>0</v>
      </c>
      <c r="G42" s="889">
        <f t="shared" si="10"/>
        <v>0</v>
      </c>
      <c r="I42" s="888">
        <f t="shared" si="11"/>
        <v>0</v>
      </c>
      <c r="J42" s="903">
        <v>0</v>
      </c>
      <c r="K42" s="888">
        <f t="shared" si="12"/>
        <v>0</v>
      </c>
      <c r="L42" s="889">
        <f t="shared" si="13"/>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4"/>
        <v>0</v>
      </c>
    </row>
    <row r="43" spans="2:38" x14ac:dyDescent="0.45">
      <c r="B43" t="s">
        <v>1077</v>
      </c>
      <c r="D43" t="str">
        <f>'11. Table - Expenditure Review'!E189</f>
        <v>Staff</v>
      </c>
      <c r="F43" s="889">
        <f t="shared" si="9"/>
        <v>0.31637123627312408</v>
      </c>
      <c r="G43" s="889">
        <f t="shared" si="10"/>
        <v>0.40759533289272398</v>
      </c>
      <c r="I43" s="888">
        <f t="shared" si="11"/>
        <v>393418329.55580032</v>
      </c>
      <c r="J43" s="903">
        <v>393418329.55580032</v>
      </c>
      <c r="K43" s="888">
        <f t="shared" si="12"/>
        <v>0</v>
      </c>
      <c r="L43" s="889">
        <f t="shared" si="13"/>
        <v>0</v>
      </c>
      <c r="N43" s="566">
        <f>SUMIF('10. Inputs &amp; Calcs'!$D$733:$D$738,$E$10,'10. Inputs &amp; Calcs'!F$733:F$738)</f>
        <v>18830560.344444446</v>
      </c>
      <c r="O43" s="566">
        <f>SUMIF('10. Inputs &amp; Calcs'!$D$733:$D$738,$E$10,'10. Inputs &amp; Calcs'!G$733:G$738)</f>
        <v>20647637.639444444</v>
      </c>
      <c r="P43" s="566">
        <f>SUMIF('10. Inputs &amp; Calcs'!$D$733:$D$738,$E$10,'10. Inputs &amp; Calcs'!H$733:H$738)</f>
        <v>22444994.07333333</v>
      </c>
      <c r="Q43" s="533">
        <f>SUMIF('10. Inputs &amp; Calcs'!$D$733:$D$738,$E$10,'10. Inputs &amp; Calcs'!I$733:I$738)</f>
        <v>22692824.216226384</v>
      </c>
      <c r="R43" s="533">
        <f>SUMIF('10. Inputs &amp; Calcs'!$D$733:$D$738,$E$10,'10. Inputs &amp; Calcs'!J$733:J$738)</f>
        <v>22900019.567765839</v>
      </c>
      <c r="S43" s="533">
        <f>SUMIF('10. Inputs &amp; Calcs'!$D$733:$D$738,$E$10,'10. Inputs &amp; Calcs'!K$733:K$738)</f>
        <v>23061360.614720553</v>
      </c>
      <c r="T43" s="533">
        <f>SUMIF('10. Inputs &amp; Calcs'!$D$733:$D$738,$E$10,'10. Inputs &amp; Calcs'!L$733:L$738)</f>
        <v>23171176.617647793</v>
      </c>
      <c r="U43" s="533">
        <f>SUMIF('10. Inputs &amp; Calcs'!$D$733:$D$738,$E$10,'10. Inputs &amp; Calcs'!M$733:M$738)</f>
        <v>23223311.765037499</v>
      </c>
      <c r="V43" s="533">
        <f>SUMIF('10. Inputs &amp; Calcs'!$D$733:$D$738,$E$10,'10. Inputs &amp; Calcs'!N$733:N$738)</f>
        <v>23211088.969371688</v>
      </c>
      <c r="W43" s="533">
        <f>SUMIF('10. Inputs &amp; Calcs'!$D$733:$D$738,$E$10,'10. Inputs &amp; Calcs'!O$733:O$738)</f>
        <v>23127271.148093399</v>
      </c>
      <c r="X43" s="533">
        <f>SUMIF('10. Inputs &amp; Calcs'!$D$733:$D$738,$E$10,'10. Inputs &amp; Calcs'!P$733:P$738)</f>
        <v>22964019.82234215</v>
      </c>
      <c r="Y43" s="533">
        <f>SUMIF('10. Inputs &amp; Calcs'!$D$733:$D$738,$E$10,'10. Inputs &amp; Calcs'!Q$733:Q$738)</f>
        <v>22712850.85553528</v>
      </c>
      <c r="Z43" s="533">
        <f>SUMIF('10. Inputs &amp; Calcs'!$D$733:$D$738,$E$10,'10. Inputs &amp; Calcs'!R$733:R$738)</f>
        <v>22364587.142417073</v>
      </c>
      <c r="AA43" s="533">
        <f>SUMIF('10. Inputs &amp; Calcs'!$D$733:$D$738,$E$10,'10. Inputs &amp; Calcs'!S$733:S$738)</f>
        <v>21909308.047017869</v>
      </c>
      <c r="AB43" s="533">
        <f>SUMIF('10. Inputs &amp; Calcs'!$D$733:$D$738,$E$10,'10. Inputs &amp; Calcs'!T$733:T$738)</f>
        <v>21336295.375018936</v>
      </c>
      <c r="AC43" s="533">
        <f>SUMIF('10. Inputs &amp; Calcs'!$D$733:$D$738,$E$10,'10. Inputs &amp; Calcs'!U$733:U$738)</f>
        <v>20633975.652257893</v>
      </c>
      <c r="AD43" s="533">
        <f>SUMIF('10. Inputs &amp; Calcs'!$D$733:$D$738,$E$10,'10. Inputs &amp; Calcs'!V$733:V$738)</f>
        <v>19789858.466483705</v>
      </c>
      <c r="AE43" s="533">
        <f>SUMIF('10. Inputs &amp; Calcs'!$D$733:$D$738,$E$10,'10. Inputs &amp; Calcs'!W$733:W$738)</f>
        <v>18790470.613926277</v>
      </c>
      <c r="AF43" s="533">
        <f>SUMIF('10. Inputs &amp; Calcs'!$D$733:$D$738,$E$10,'10. Inputs &amp; Calcs'!X$733:X$738)</f>
        <v>17621285.775726419</v>
      </c>
      <c r="AG43" s="533">
        <f>SUMIF('10. Inputs &amp; Calcs'!$D$733:$D$738,$E$10,'10. Inputs &amp; Calcs'!Y$733:Y$738)</f>
        <v>16266649.43171745</v>
      </c>
      <c r="AH43" s="533">
        <f>SUMIF('10. Inputs &amp; Calcs'!$D$733:$D$738,$E$10,'10. Inputs &amp; Calcs'!Z$733:Z$738)</f>
        <v>14709698.700395923</v>
      </c>
      <c r="AI43" s="533">
        <f>SUMIF('10. Inputs &amp; Calcs'!$D$733:$D$738,$E$10,'10. Inputs &amp; Calcs'!AA$733:AA$738)</f>
        <v>12932276.774098082</v>
      </c>
      <c r="AJ43" s="533">
        <f>SUMIF('10. Inputs &amp; Calcs'!$D$733:$D$738,$E$10,'10. Inputs &amp; Calcs'!AB$733:AB$738)</f>
        <v>0</v>
      </c>
      <c r="AK43" s="533">
        <f>SUMIF('10. Inputs &amp; Calcs'!$D$733:$D$738,$E$10,'10. Inputs &amp; Calcs'!AC$733:AC$738)</f>
        <v>0</v>
      </c>
      <c r="AL43" s="533">
        <f t="shared" si="14"/>
        <v>393418329.55580032</v>
      </c>
    </row>
    <row r="44" spans="2:38" x14ac:dyDescent="0.45">
      <c r="D44" t="str">
        <f>'11. Table - Expenditure Review'!E190</f>
        <v>Office</v>
      </c>
      <c r="F44" s="889">
        <f t="shared" si="9"/>
        <v>0</v>
      </c>
      <c r="G44" s="889">
        <f t="shared" si="10"/>
        <v>0</v>
      </c>
      <c r="I44" s="888">
        <f t="shared" si="11"/>
        <v>0</v>
      </c>
      <c r="J44" s="903">
        <v>0</v>
      </c>
      <c r="K44" s="888">
        <f t="shared" si="12"/>
        <v>0</v>
      </c>
      <c r="L44" s="889">
        <f t="shared" si="13"/>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4"/>
        <v>0</v>
      </c>
    </row>
    <row r="45" spans="2:38" x14ac:dyDescent="0.45">
      <c r="D45">
        <f>'11. Table - Expenditure Review'!E191</f>
        <v>0</v>
      </c>
      <c r="F45" s="889">
        <f t="shared" si="9"/>
        <v>0</v>
      </c>
      <c r="G45" s="889">
        <f t="shared" si="10"/>
        <v>0</v>
      </c>
      <c r="I45" s="888">
        <f t="shared" si="11"/>
        <v>0</v>
      </c>
      <c r="J45" s="903">
        <v>0</v>
      </c>
      <c r="K45" s="888">
        <f t="shared" si="12"/>
        <v>0</v>
      </c>
      <c r="L45" s="889">
        <f t="shared" si="13"/>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4"/>
        <v>0</v>
      </c>
    </row>
    <row r="46" spans="2:38" x14ac:dyDescent="0.45">
      <c r="D46" s="794" t="str">
        <f>D133</f>
        <v>Total Expenditure for Rental Operations</v>
      </c>
      <c r="F46" s="886">
        <f t="shared" si="9"/>
        <v>1</v>
      </c>
      <c r="G46" s="886">
        <f t="shared" si="10"/>
        <v>0.97055593290743392</v>
      </c>
      <c r="I46" s="754">
        <f t="shared" si="11"/>
        <v>936798002.94820857</v>
      </c>
      <c r="J46" s="900">
        <v>936798002.94820857</v>
      </c>
      <c r="K46" s="754">
        <f t="shared" si="12"/>
        <v>0</v>
      </c>
      <c r="L46" s="886">
        <f t="shared" si="13"/>
        <v>0</v>
      </c>
      <c r="N46" s="793">
        <f>SUMIF('10. Inputs &amp; Calcs'!$D$742:$D$747,$E$10,'10. Inputs &amp; Calcs'!F$742:F$747)</f>
        <v>52850120.474444449</v>
      </c>
      <c r="O46" s="793">
        <f>SUMIF('10. Inputs &amp; Calcs'!$D$742:$D$747,$E$10,'10. Inputs &amp; Calcs'!G$742:G$747)</f>
        <v>60252696.769444436</v>
      </c>
      <c r="P46" s="793">
        <f>SUMIF('10. Inputs &amp; Calcs'!$D$742:$D$747,$E$10,'10. Inputs &amp; Calcs'!H$742:H$747)</f>
        <v>70945116.053333342</v>
      </c>
      <c r="Q46" s="793">
        <f>SUMIF('10. Inputs &amp; Calcs'!$D$742:$D$747,$E$10,'10. Inputs &amp; Calcs'!I$742:I$747)</f>
        <v>68749679.224143788</v>
      </c>
      <c r="R46" s="793">
        <f>SUMIF('10. Inputs &amp; Calcs'!$D$742:$D$747,$E$10,'10. Inputs &amp; Calcs'!J$742:J$747)</f>
        <v>66098135.367682062</v>
      </c>
      <c r="S46" s="793">
        <f>SUMIF('10. Inputs &amp; Calcs'!$D$742:$D$747,$E$10,'10. Inputs &amp; Calcs'!K$742:K$747)</f>
        <v>62946953.907356501</v>
      </c>
      <c r="T46" s="793">
        <f>SUMIF('10. Inputs &amp; Calcs'!$D$742:$D$747,$E$10,'10. Inputs &amp; Calcs'!L$742:L$747)</f>
        <v>62624916.703797743</v>
      </c>
      <c r="U46" s="793">
        <f>SUMIF('10. Inputs &amp; Calcs'!$D$742:$D$747,$E$10,'10. Inputs &amp; Calcs'!M$742:M$747)</f>
        <v>62077040.872277759</v>
      </c>
      <c r="V46" s="793">
        <f>SUMIF('10. Inputs &amp; Calcs'!$D$742:$D$747,$E$10,'10. Inputs &amp; Calcs'!N$742:N$747)</f>
        <v>61279458.326261595</v>
      </c>
      <c r="W46" s="793">
        <f>SUMIF('10. Inputs &amp; Calcs'!$D$742:$D$747,$E$10,'10. Inputs &amp; Calcs'!O$742:O$747)</f>
        <v>60206358.651545003</v>
      </c>
      <c r="X46" s="793">
        <f>SUMIF('10. Inputs &amp; Calcs'!$D$742:$D$747,$E$10,'10. Inputs &amp; Calcs'!P$742:P$747)</f>
        <v>58829847.651172638</v>
      </c>
      <c r="Y46" s="793">
        <f>SUMIF('10. Inputs &amp; Calcs'!$D$742:$D$747,$E$10,'10. Inputs &amp; Calcs'!Q$742:Q$747)</f>
        <v>57119796.205838397</v>
      </c>
      <c r="Z46" s="793">
        <f>SUMIF('10. Inputs &amp; Calcs'!$D$742:$D$747,$E$10,'10. Inputs &amp; Calcs'!R$742:R$747)</f>
        <v>55043678.812372595</v>
      </c>
      <c r="AA46" s="793">
        <f>SUMIF('10. Inputs &amp; Calcs'!$D$742:$D$747,$E$10,'10. Inputs &amp; Calcs'!S$742:S$747)</f>
        <v>52566401.122102901</v>
      </c>
      <c r="AB46" s="793">
        <f>SUMIF('10. Inputs &amp; Calcs'!$D$742:$D$747,$E$10,'10. Inputs &amp; Calcs'!T$742:T$747)</f>
        <v>49650115.757496104</v>
      </c>
      <c r="AC46" s="793">
        <f>SUMIF('10. Inputs &amp; Calcs'!$D$742:$D$747,$E$10,'10. Inputs &amp; Calcs'!U$742:U$747)</f>
        <v>46254025.639388204</v>
      </c>
      <c r="AD46" s="793">
        <f>SUMIF('10. Inputs &amp; Calcs'!$D$742:$D$747,$E$10,'10. Inputs &amp; Calcs'!V$742:V$747)</f>
        <v>42334174.008122005</v>
      </c>
      <c r="AE46" s="793">
        <f>SUMIF('10. Inputs &amp; Calcs'!$D$742:$D$747,$E$10,'10. Inputs &amp; Calcs'!W$742:W$747)</f>
        <v>37843220.269857377</v>
      </c>
      <c r="AF46" s="793">
        <f>SUMIF('10. Inputs &amp; Calcs'!$D$742:$D$747,$E$10,'10. Inputs &amp; Calcs'!X$742:X$747)</f>
        <v>32730200.744009078</v>
      </c>
      <c r="AG46" s="793">
        <f>SUMIF('10. Inputs &amp; Calcs'!$D$742:$D$747,$E$10,'10. Inputs &amp; Calcs'!Y$742:Y$747)</f>
        <v>26940273.329001144</v>
      </c>
      <c r="AH46" s="793">
        <f>SUMIF('10. Inputs &amp; Calcs'!$D$742:$D$747,$E$10,'10. Inputs &amp; Calcs'!Z$742:Z$747)</f>
        <v>20414445.04109171</v>
      </c>
      <c r="AI46" s="793">
        <f>SUMIF('10. Inputs &amp; Calcs'!$D$742:$D$747,$E$10,'10. Inputs &amp; Calcs'!AA$742:AA$747)</f>
        <v>13089281.314692013</v>
      </c>
      <c r="AJ46" s="793">
        <f>SUMIF('10. Inputs &amp; Calcs'!$D$742:$D$747,$E$10,'10. Inputs &amp; Calcs'!AB$742:AB$747)</f>
        <v>0</v>
      </c>
      <c r="AK46" s="793">
        <f>SUMIF('10. Inputs &amp; Calcs'!$D$742:$D$747,$E$10,'10. Inputs &amp; Calcs'!AC$742:AC$747)</f>
        <v>0</v>
      </c>
      <c r="AL46" s="793">
        <f t="shared" si="14"/>
        <v>936798002.94820857</v>
      </c>
    </row>
    <row r="47" spans="2:38" x14ac:dyDescent="0.45">
      <c r="D47" t="str">
        <f>'11. Table - Expenditure Review'!E193</f>
        <v>Total Expenditure</v>
      </c>
      <c r="F47" s="884">
        <f t="shared" si="9"/>
        <v>1</v>
      </c>
      <c r="G47" s="884">
        <f t="shared" si="10"/>
        <v>1</v>
      </c>
      <c r="I47" s="535">
        <f t="shared" si="11"/>
        <v>965217944.87608886</v>
      </c>
      <c r="J47" s="901">
        <v>965217944.87608886</v>
      </c>
      <c r="K47" s="535">
        <f t="shared" si="12"/>
        <v>0</v>
      </c>
      <c r="L47" s="884">
        <f t="shared" si="13"/>
        <v>0</v>
      </c>
      <c r="N47" s="567">
        <f>N46+N36</f>
        <v>52850120.474444449</v>
      </c>
      <c r="O47" s="567">
        <f t="shared" ref="O47:AL47" si="15">O46+O36</f>
        <v>60252696.769444436</v>
      </c>
      <c r="P47" s="567">
        <f t="shared" si="15"/>
        <v>70945116.053333342</v>
      </c>
      <c r="Q47" s="535">
        <f t="shared" si="15"/>
        <v>70541679.224143788</v>
      </c>
      <c r="R47" s="535">
        <f>R46+R36</f>
        <v>67988695.36768207</v>
      </c>
      <c r="S47" s="535">
        <f t="shared" si="15"/>
        <v>64941494.707356498</v>
      </c>
      <c r="T47" s="535">
        <f t="shared" si="15"/>
        <v>63545521.941797741</v>
      </c>
      <c r="U47" s="535">
        <f t="shared" si="15"/>
        <v>63048279.398367763</v>
      </c>
      <c r="V47" s="535">
        <f t="shared" si="15"/>
        <v>62304114.971286543</v>
      </c>
      <c r="W47" s="535">
        <f t="shared" si="15"/>
        <v>61287371.412046328</v>
      </c>
      <c r="X47" s="535">
        <f t="shared" si="15"/>
        <v>59970316.113501534</v>
      </c>
      <c r="Y47" s="535">
        <f t="shared" si="15"/>
        <v>58322990.433595382</v>
      </c>
      <c r="Z47" s="535">
        <f t="shared" si="15"/>
        <v>56313048.722656213</v>
      </c>
      <c r="AA47" s="535">
        <f t="shared" si="15"/>
        <v>53905586.37745212</v>
      </c>
      <c r="AB47" s="535">
        <f t="shared" si="15"/>
        <v>51062956.20188953</v>
      </c>
      <c r="AC47" s="535">
        <f t="shared" si="15"/>
        <v>47744572.308223262</v>
      </c>
      <c r="AD47" s="535">
        <f t="shared" si="15"/>
        <v>43906700.743742995</v>
      </c>
      <c r="AE47" s="535">
        <f t="shared" si="15"/>
        <v>39502235.975937523</v>
      </c>
      <c r="AF47" s="535">
        <f t="shared" si="15"/>
        <v>34480462.313923627</v>
      </c>
      <c r="AG47" s="535">
        <f t="shared" si="15"/>
        <v>28786799.285260998</v>
      </c>
      <c r="AH47" s="535">
        <f t="shared" si="15"/>
        <v>22362529.924945854</v>
      </c>
      <c r="AI47" s="535">
        <f t="shared" si="15"/>
        <v>15144510.867158135</v>
      </c>
      <c r="AJ47" s="535">
        <f t="shared" si="15"/>
        <v>58078.58512102926</v>
      </c>
      <c r="AK47" s="535">
        <f t="shared" si="15"/>
        <v>0</v>
      </c>
      <c r="AL47" s="535">
        <f t="shared" si="15"/>
        <v>965217944.87608886</v>
      </c>
    </row>
    <row r="48" spans="2:38" ht="14.65" thickBot="1" x14ac:dyDescent="0.5">
      <c r="D48" t="str">
        <f>'11. Table - Expenditure Review'!E194</f>
        <v>Net Surplus / (Deficit)</v>
      </c>
      <c r="I48" s="554">
        <f t="shared" ca="1" si="11"/>
        <v>-944553506.53684103</v>
      </c>
      <c r="J48" s="904">
        <v>-944553506.53684103</v>
      </c>
      <c r="K48" s="554">
        <f t="shared" ca="1" si="12"/>
        <v>0</v>
      </c>
      <c r="L48" s="887">
        <f t="shared" ca="1" si="13"/>
        <v>0</v>
      </c>
      <c r="N48" s="568">
        <f t="shared" ref="N48:AL48" si="16">N28-N47</f>
        <v>-50871121.044444449</v>
      </c>
      <c r="O48" s="568">
        <f t="shared" si="16"/>
        <v>-57558593.629444435</v>
      </c>
      <c r="P48" s="568">
        <f t="shared" si="16"/>
        <v>-68664631.99333334</v>
      </c>
      <c r="Q48" s="554">
        <f t="shared" ca="1" si="16"/>
        <v>-68333830.554473817</v>
      </c>
      <c r="R48" s="554">
        <f t="shared" ca="1" si="16"/>
        <v>-65887506.471090525</v>
      </c>
      <c r="S48" s="554">
        <f t="shared" ca="1" si="16"/>
        <v>-62946965.58384338</v>
      </c>
      <c r="T48" s="554">
        <f t="shared" ca="1" si="16"/>
        <v>-62298903.164927401</v>
      </c>
      <c r="U48" s="554">
        <f t="shared" ca="1" si="16"/>
        <v>-61848324.272219233</v>
      </c>
      <c r="V48" s="554">
        <f t="shared" ca="1" si="16"/>
        <v>-61150823.495859824</v>
      </c>
      <c r="W48" s="554">
        <f t="shared" ca="1" si="16"/>
        <v>-60180743.58734142</v>
      </c>
      <c r="X48" s="554">
        <f t="shared" ca="1" si="16"/>
        <v>-58910351.939518437</v>
      </c>
      <c r="Y48" s="554">
        <f t="shared" ca="1" si="16"/>
        <v>-57309689.910334095</v>
      </c>
      <c r="Z48" s="554">
        <f t="shared" ca="1" si="16"/>
        <v>-55346411.850116737</v>
      </c>
      <c r="AA48" s="554">
        <f t="shared" ca="1" si="16"/>
        <v>-52985613.155634455</v>
      </c>
      <c r="AB48" s="554">
        <f t="shared" ca="1" si="16"/>
        <v>-50189646.630793676</v>
      </c>
      <c r="AC48" s="554">
        <f t="shared" ca="1" si="16"/>
        <v>-46917926.387849219</v>
      </c>
      <c r="AD48" s="554">
        <f t="shared" ca="1" si="16"/>
        <v>-43126718.474090755</v>
      </c>
      <c r="AE48" s="554">
        <f t="shared" ca="1" si="16"/>
        <v>-38768917.357007094</v>
      </c>
      <c r="AF48" s="554">
        <f t="shared" ca="1" si="16"/>
        <v>-33793807.345715009</v>
      </c>
      <c r="AG48" s="554">
        <f t="shared" ca="1" si="16"/>
        <v>-28146807.967774194</v>
      </c>
      <c r="AH48" s="554">
        <f t="shared" ca="1" si="16"/>
        <v>-21769202.25818086</v>
      </c>
      <c r="AI48" s="554">
        <f t="shared" ca="1" si="16"/>
        <v>-14597846.851114951</v>
      </c>
      <c r="AJ48" s="554">
        <f t="shared" ca="1" si="16"/>
        <v>-43469.278956009039</v>
      </c>
      <c r="AK48" s="554">
        <f t="shared" ca="1" si="16"/>
        <v>0</v>
      </c>
      <c r="AL48" s="768">
        <f t="shared" ca="1" si="16"/>
        <v>-944553506.53684103</v>
      </c>
    </row>
    <row r="49" spans="4:38" ht="14.65" thickTop="1" x14ac:dyDescent="0.45"/>
    <row r="50" spans="4:38" x14ac:dyDescent="0.45">
      <c r="D50" s="451" t="s">
        <v>1327</v>
      </c>
    </row>
    <row r="51" spans="4:38" x14ac:dyDescent="0.45">
      <c r="D51" t="s">
        <v>1326</v>
      </c>
      <c r="I51" s="753">
        <f ca="1">AL51</f>
        <v>-944553506.53684115</v>
      </c>
      <c r="J51" s="899">
        <v>-944553506.53684115</v>
      </c>
      <c r="K51" s="753">
        <f ca="1">I51-J51</f>
        <v>0</v>
      </c>
      <c r="L51" s="885">
        <f ca="1">IF(J51&lt;&gt;0,K51/J51,0)</f>
        <v>0</v>
      </c>
      <c r="N51" s="566">
        <f>IF(N48&gt;0,0,N48)</f>
        <v>-50871121.044444449</v>
      </c>
      <c r="O51" s="566">
        <f t="shared" ref="O51:AK51" si="17">IF(O48&gt;0,0,O48)</f>
        <v>-57558593.629444435</v>
      </c>
      <c r="P51" s="566">
        <f t="shared" si="17"/>
        <v>-68664631.99333334</v>
      </c>
      <c r="Q51" s="566">
        <f t="shared" ca="1" si="17"/>
        <v>-68333830.554473817</v>
      </c>
      <c r="R51" s="566">
        <f t="shared" ca="1" si="17"/>
        <v>-65887506.471090525</v>
      </c>
      <c r="S51" s="566">
        <f t="shared" ca="1" si="17"/>
        <v>-62946965.58384338</v>
      </c>
      <c r="T51" s="566">
        <f t="shared" ca="1" si="17"/>
        <v>-62298903.164927401</v>
      </c>
      <c r="U51" s="566">
        <f t="shared" ca="1" si="17"/>
        <v>-61848324.272219233</v>
      </c>
      <c r="V51" s="566">
        <f t="shared" ca="1" si="17"/>
        <v>-61150823.495859824</v>
      </c>
      <c r="W51" s="566">
        <f t="shared" ca="1" si="17"/>
        <v>-60180743.58734142</v>
      </c>
      <c r="X51" s="566">
        <f t="shared" ca="1" si="17"/>
        <v>-58910351.939518437</v>
      </c>
      <c r="Y51" s="566">
        <f t="shared" ca="1" si="17"/>
        <v>-57309689.910334095</v>
      </c>
      <c r="Z51" s="566">
        <f t="shared" ca="1" si="17"/>
        <v>-55346411.850116737</v>
      </c>
      <c r="AA51" s="566">
        <f t="shared" ca="1" si="17"/>
        <v>-52985613.155634455</v>
      </c>
      <c r="AB51" s="566">
        <f t="shared" ca="1" si="17"/>
        <v>-50189646.630793676</v>
      </c>
      <c r="AC51" s="566">
        <f t="shared" ca="1" si="17"/>
        <v>-46917926.387849219</v>
      </c>
      <c r="AD51" s="566">
        <f t="shared" ca="1" si="17"/>
        <v>-43126718.474090755</v>
      </c>
      <c r="AE51" s="566">
        <f t="shared" ca="1" si="17"/>
        <v>-38768917.357007094</v>
      </c>
      <c r="AF51" s="566">
        <f t="shared" ca="1" si="17"/>
        <v>-33793807.345715009</v>
      </c>
      <c r="AG51" s="566">
        <f t="shared" ca="1" si="17"/>
        <v>-28146807.967774194</v>
      </c>
      <c r="AH51" s="566">
        <f t="shared" ca="1" si="17"/>
        <v>-21769202.25818086</v>
      </c>
      <c r="AI51" s="566">
        <f t="shared" ca="1" si="17"/>
        <v>-14597846.851114951</v>
      </c>
      <c r="AJ51" s="566">
        <f t="shared" ca="1" si="17"/>
        <v>-43469.278956009039</v>
      </c>
      <c r="AK51" s="566">
        <f t="shared" ca="1" si="17"/>
        <v>0</v>
      </c>
      <c r="AL51" s="566">
        <f ca="1">SUM(Q51:AK51)</f>
        <v>-944553506.53684115</v>
      </c>
    </row>
    <row r="52" spans="4:38" x14ac:dyDescent="0.45">
      <c r="D52" t="s">
        <v>1562</v>
      </c>
      <c r="I52" s="888">
        <f>AL52</f>
        <v>0</v>
      </c>
      <c r="J52" s="903">
        <v>0</v>
      </c>
      <c r="K52" s="888">
        <f>I52-J52</f>
        <v>0</v>
      </c>
      <c r="L52" s="889">
        <f>IF(J52&lt;&gt;0,K52/J52,0)</f>
        <v>0</v>
      </c>
      <c r="N52" s="533">
        <f t="shared" ref="N52:AK53" si="18">-N66</f>
        <v>0</v>
      </c>
      <c r="O52" s="533">
        <f t="shared" si="18"/>
        <v>0</v>
      </c>
      <c r="P52" s="533">
        <f t="shared" si="18"/>
        <v>0</v>
      </c>
      <c r="Q52" s="533">
        <f t="shared" si="18"/>
        <v>0</v>
      </c>
      <c r="R52" s="533">
        <f t="shared" si="18"/>
        <v>0</v>
      </c>
      <c r="S52" s="533">
        <f t="shared" si="18"/>
        <v>0</v>
      </c>
      <c r="T52" s="533">
        <f t="shared" si="18"/>
        <v>0</v>
      </c>
      <c r="U52" s="533">
        <f t="shared" si="18"/>
        <v>0</v>
      </c>
      <c r="V52" s="533">
        <f t="shared" si="18"/>
        <v>0</v>
      </c>
      <c r="W52" s="533">
        <f t="shared" si="18"/>
        <v>0</v>
      </c>
      <c r="X52" s="533">
        <f t="shared" si="18"/>
        <v>0</v>
      </c>
      <c r="Y52" s="533">
        <f t="shared" si="18"/>
        <v>0</v>
      </c>
      <c r="Z52" s="533">
        <f t="shared" si="18"/>
        <v>0</v>
      </c>
      <c r="AA52" s="533">
        <f t="shared" si="18"/>
        <v>0</v>
      </c>
      <c r="AB52" s="533">
        <f t="shared" si="18"/>
        <v>0</v>
      </c>
      <c r="AC52" s="533">
        <f t="shared" si="18"/>
        <v>0</v>
      </c>
      <c r="AD52" s="533">
        <f t="shared" si="18"/>
        <v>0</v>
      </c>
      <c r="AE52" s="533">
        <f t="shared" si="18"/>
        <v>0</v>
      </c>
      <c r="AF52" s="533">
        <f t="shared" si="18"/>
        <v>0</v>
      </c>
      <c r="AG52" s="533">
        <f t="shared" si="18"/>
        <v>0</v>
      </c>
      <c r="AH52" s="533">
        <f t="shared" si="18"/>
        <v>0</v>
      </c>
      <c r="AI52" s="533">
        <f t="shared" si="18"/>
        <v>0</v>
      </c>
      <c r="AJ52" s="533">
        <f t="shared" si="18"/>
        <v>0</v>
      </c>
      <c r="AK52" s="533">
        <f t="shared" si="18"/>
        <v>0</v>
      </c>
      <c r="AL52" s="533">
        <f>SUM(Q52:AK52)</f>
        <v>0</v>
      </c>
    </row>
    <row r="53" spans="4:38" x14ac:dyDescent="0.45">
      <c r="D53" t="s">
        <v>1537</v>
      </c>
      <c r="I53" s="754">
        <f ca="1">AL53</f>
        <v>-356278086.51299489</v>
      </c>
      <c r="J53" s="1097">
        <v>-356278086.51299489</v>
      </c>
      <c r="K53" s="754">
        <f ca="1">I53-J53</f>
        <v>0</v>
      </c>
      <c r="L53" s="886">
        <f ca="1">IF(J53&lt;&gt;0,K53/J53,0)</f>
        <v>0</v>
      </c>
      <c r="N53" s="533">
        <f t="shared" si="18"/>
        <v>-10104396</v>
      </c>
      <c r="O53" s="533">
        <f t="shared" si="18"/>
        <v>-13221991</v>
      </c>
      <c r="P53" s="533">
        <f t="shared" si="18"/>
        <v>-8660989</v>
      </c>
      <c r="Q53" s="533">
        <f t="shared" ca="1" si="18"/>
        <v>-5046912</v>
      </c>
      <c r="R53" s="533">
        <f t="shared" ca="1" si="18"/>
        <v>-5046912</v>
      </c>
      <c r="S53" s="533">
        <f t="shared" ca="1" si="18"/>
        <v>-5046912</v>
      </c>
      <c r="T53" s="533">
        <f t="shared" ca="1" si="18"/>
        <v>-2208024</v>
      </c>
      <c r="U53" s="533">
        <f t="shared" ca="1" si="18"/>
        <v>-2208024</v>
      </c>
      <c r="V53" s="533">
        <f t="shared" ca="1" si="18"/>
        <v>-2208024</v>
      </c>
      <c r="W53" s="533">
        <f t="shared" ca="1" si="18"/>
        <v>-2208024</v>
      </c>
      <c r="X53" s="533">
        <f t="shared" ca="1" si="18"/>
        <v>-2208024</v>
      </c>
      <c r="Y53" s="533">
        <f t="shared" ca="1" si="18"/>
        <v>-2208024</v>
      </c>
      <c r="Z53" s="533">
        <f t="shared" ca="1" si="18"/>
        <v>-2208024</v>
      </c>
      <c r="AA53" s="533">
        <f t="shared" ca="1" si="18"/>
        <v>-2208024</v>
      </c>
      <c r="AB53" s="533">
        <f t="shared" ca="1" si="18"/>
        <v>-2208024</v>
      </c>
      <c r="AC53" s="533">
        <f t="shared" ca="1" si="18"/>
        <v>-2208024</v>
      </c>
      <c r="AD53" s="533">
        <f t="shared" ca="1" si="18"/>
        <v>-2208024</v>
      </c>
      <c r="AE53" s="533">
        <f t="shared" ca="1" si="18"/>
        <v>-2208024</v>
      </c>
      <c r="AF53" s="533">
        <f t="shared" ca="1" si="18"/>
        <v>-2208024</v>
      </c>
      <c r="AG53" s="533">
        <f t="shared" ca="1" si="18"/>
        <v>-2208024</v>
      </c>
      <c r="AH53" s="533">
        <f t="shared" ca="1" si="18"/>
        <v>-2208024</v>
      </c>
      <c r="AI53" s="533">
        <f t="shared" ca="1" si="18"/>
        <v>-2208024</v>
      </c>
      <c r="AJ53" s="533">
        <f t="shared" ca="1" si="18"/>
        <v>-305808966.51299489</v>
      </c>
      <c r="AK53" s="533">
        <f t="shared" ca="1" si="18"/>
        <v>0</v>
      </c>
      <c r="AL53" s="533">
        <f ca="1">SUM(Q53:AK53)</f>
        <v>-356278086.51299489</v>
      </c>
    </row>
    <row r="54" spans="4:38" ht="14.65" thickBot="1" x14ac:dyDescent="0.5">
      <c r="D54" t="s">
        <v>1331</v>
      </c>
      <c r="I54" s="554">
        <f ca="1">AL54</f>
        <v>-1300831593.0498362</v>
      </c>
      <c r="J54" s="904">
        <f>SUM(J51:J53)</f>
        <v>-1300831593.0498362</v>
      </c>
      <c r="K54" s="554">
        <f ca="1">I54-J54</f>
        <v>0</v>
      </c>
      <c r="L54" s="887">
        <f ca="1">IF(J54&lt;&gt;0,K54/J54,0)</f>
        <v>0</v>
      </c>
      <c r="N54" s="535">
        <f>SUM(N51:N53)</f>
        <v>-60975517.044444449</v>
      </c>
      <c r="O54" s="535">
        <f t="shared" ref="O54:AL54" si="19">SUM(O51:O53)</f>
        <v>-70780584.629444435</v>
      </c>
      <c r="P54" s="535">
        <f t="shared" si="19"/>
        <v>-77325620.99333334</v>
      </c>
      <c r="Q54" s="535">
        <f t="shared" ca="1" si="19"/>
        <v>-73380742.554473817</v>
      </c>
      <c r="R54" s="535">
        <f t="shared" ca="1" si="19"/>
        <v>-70934418.471090525</v>
      </c>
      <c r="S54" s="535">
        <f t="shared" ca="1" si="19"/>
        <v>-67993877.58384338</v>
      </c>
      <c r="T54" s="535">
        <f t="shared" ca="1" si="19"/>
        <v>-64506927.164927401</v>
      </c>
      <c r="U54" s="535">
        <f t="shared" ca="1" si="19"/>
        <v>-64056348.272219233</v>
      </c>
      <c r="V54" s="535">
        <f t="shared" ca="1" si="19"/>
        <v>-63358847.495859824</v>
      </c>
      <c r="W54" s="535">
        <f t="shared" ca="1" si="19"/>
        <v>-62388767.58734142</v>
      </c>
      <c r="X54" s="535">
        <f t="shared" ca="1" si="19"/>
        <v>-61118375.939518437</v>
      </c>
      <c r="Y54" s="535">
        <f t="shared" ca="1" si="19"/>
        <v>-59517713.910334095</v>
      </c>
      <c r="Z54" s="535">
        <f t="shared" ca="1" si="19"/>
        <v>-57554435.850116737</v>
      </c>
      <c r="AA54" s="535">
        <f t="shared" ca="1" si="19"/>
        <v>-55193637.155634455</v>
      </c>
      <c r="AB54" s="535">
        <f t="shared" ca="1" si="19"/>
        <v>-52397670.630793676</v>
      </c>
      <c r="AC54" s="535">
        <f t="shared" ca="1" si="19"/>
        <v>-49125950.387849219</v>
      </c>
      <c r="AD54" s="535">
        <f t="shared" ca="1" si="19"/>
        <v>-45334742.474090755</v>
      </c>
      <c r="AE54" s="535">
        <f t="shared" ca="1" si="19"/>
        <v>-40976941.357007094</v>
      </c>
      <c r="AF54" s="535">
        <f t="shared" ca="1" si="19"/>
        <v>-36001831.345715009</v>
      </c>
      <c r="AG54" s="535">
        <f t="shared" ca="1" si="19"/>
        <v>-30354831.967774194</v>
      </c>
      <c r="AH54" s="535">
        <f t="shared" ca="1" si="19"/>
        <v>-23977226.25818086</v>
      </c>
      <c r="AI54" s="535">
        <f t="shared" ca="1" si="19"/>
        <v>-16805870.851114951</v>
      </c>
      <c r="AJ54" s="535">
        <f t="shared" ca="1" si="19"/>
        <v>-305852435.79195088</v>
      </c>
      <c r="AK54" s="535">
        <f t="shared" ca="1" si="19"/>
        <v>0</v>
      </c>
      <c r="AL54" s="535">
        <f t="shared" ca="1" si="19"/>
        <v>-1300831593.0498362</v>
      </c>
    </row>
    <row r="55" spans="4:38"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38"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38" x14ac:dyDescent="0.45">
      <c r="D57" t="s">
        <v>1038</v>
      </c>
      <c r="I57" s="748">
        <f ca="1">AL57</f>
        <v>-308425760.10419124</v>
      </c>
      <c r="J57" s="899">
        <v>-308425760.10419124</v>
      </c>
      <c r="K57" s="753">
        <f ca="1">I57-J57</f>
        <v>0</v>
      </c>
      <c r="N57" s="552"/>
      <c r="O57" s="552"/>
      <c r="P57" s="552"/>
      <c r="Q57" s="552"/>
      <c r="R57" s="552"/>
      <c r="S57" s="552">
        <f ca="1">S51</f>
        <v>-62946965.58384338</v>
      </c>
      <c r="T57" s="552">
        <f ca="1">T51</f>
        <v>-62298903.164927401</v>
      </c>
      <c r="U57" s="552">
        <f ca="1">U51</f>
        <v>-61848324.272219233</v>
      </c>
      <c r="V57" s="552">
        <f ca="1">V51</f>
        <v>-61150823.495859824</v>
      </c>
      <c r="W57" s="552">
        <f ca="1">W51</f>
        <v>-60180743.58734142</v>
      </c>
      <c r="X57" s="552"/>
      <c r="Y57" s="552"/>
      <c r="Z57" s="552"/>
      <c r="AA57" s="552"/>
      <c r="AB57" s="552"/>
      <c r="AC57" s="552"/>
      <c r="AD57" s="552"/>
      <c r="AE57" s="552"/>
      <c r="AF57" s="552"/>
      <c r="AG57" s="552"/>
      <c r="AH57" s="552"/>
      <c r="AI57" s="552"/>
      <c r="AJ57" s="552"/>
      <c r="AK57" s="552"/>
      <c r="AL57" s="533">
        <f ca="1">SUM(Q57:AK57)</f>
        <v>-308425760.10419124</v>
      </c>
    </row>
    <row r="58" spans="4:38" x14ac:dyDescent="0.45">
      <c r="D58" t="s">
        <v>233</v>
      </c>
      <c r="I58" s="750">
        <f ca="1">AL58</f>
        <v>-13879008</v>
      </c>
      <c r="J58" s="1097">
        <v>-13879008</v>
      </c>
      <c r="K58" s="754">
        <f ca="1">I58-J58</f>
        <v>0</v>
      </c>
      <c r="N58" s="552"/>
      <c r="O58" s="552"/>
      <c r="P58" s="552"/>
      <c r="Q58" s="552"/>
      <c r="R58" s="552"/>
      <c r="S58" s="552">
        <f ca="1">S53</f>
        <v>-5046912</v>
      </c>
      <c r="T58" s="552">
        <f ca="1">T53</f>
        <v>-2208024</v>
      </c>
      <c r="U58" s="552">
        <f ca="1">U53</f>
        <v>-2208024</v>
      </c>
      <c r="V58" s="552">
        <f ca="1">V53</f>
        <v>-2208024</v>
      </c>
      <c r="W58" s="552">
        <f ca="1">W53</f>
        <v>-2208024</v>
      </c>
      <c r="X58" s="552"/>
      <c r="Y58" s="552"/>
      <c r="Z58" s="552"/>
      <c r="AA58" s="552"/>
      <c r="AB58" s="552"/>
      <c r="AC58" s="552"/>
      <c r="AD58" s="552"/>
      <c r="AE58" s="552"/>
      <c r="AF58" s="552"/>
      <c r="AG58" s="552"/>
      <c r="AH58" s="552"/>
      <c r="AI58" s="552"/>
      <c r="AJ58" s="552"/>
      <c r="AK58" s="552"/>
      <c r="AL58" s="533">
        <f ca="1">SUM(Q58:AK58)</f>
        <v>-13879008</v>
      </c>
    </row>
    <row r="59" spans="4:38" ht="14.65" thickBot="1" x14ac:dyDescent="0.5">
      <c r="I59" s="554">
        <f ca="1">SUM(S59:W59)</f>
        <v>-322304768.10419124</v>
      </c>
      <c r="J59" s="904">
        <f>SUM(J57:J58)</f>
        <v>-322304768.10419124</v>
      </c>
      <c r="K59" s="554">
        <f ca="1">I59-J59</f>
        <v>0</v>
      </c>
      <c r="N59" s="552"/>
      <c r="O59" s="552"/>
      <c r="P59" s="552"/>
      <c r="Q59" s="552"/>
      <c r="R59" s="552"/>
      <c r="S59" s="535">
        <f ca="1">SUM(S57:S58)</f>
        <v>-67993877.58384338</v>
      </c>
      <c r="T59" s="535">
        <f ca="1">SUM(T57:T58)</f>
        <v>-64506927.164927401</v>
      </c>
      <c r="U59" s="535">
        <f ca="1">SUM(U57:U58)</f>
        <v>-64056348.272219233</v>
      </c>
      <c r="V59" s="535">
        <f ca="1">SUM(V57:V58)</f>
        <v>-63358847.495859824</v>
      </c>
      <c r="W59" s="535">
        <f ca="1">SUM(W57:W58)</f>
        <v>-62388767.58734142</v>
      </c>
      <c r="X59" s="552"/>
      <c r="Y59" s="552"/>
      <c r="Z59" s="552"/>
      <c r="AA59" s="552"/>
      <c r="AB59" s="552"/>
      <c r="AC59" s="552"/>
      <c r="AD59" s="552"/>
      <c r="AE59" s="552"/>
      <c r="AF59" s="552"/>
      <c r="AG59" s="552"/>
      <c r="AH59" s="552"/>
      <c r="AI59" s="552"/>
      <c r="AJ59" s="552"/>
      <c r="AK59" s="552"/>
      <c r="AL59" s="535">
        <f ca="1">SUM(Q59:AK59)</f>
        <v>-322304768.10419124</v>
      </c>
    </row>
    <row r="60" spans="4:38"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38"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38" x14ac:dyDescent="0.45">
      <c r="D62" t="s">
        <v>1319</v>
      </c>
      <c r="N62" s="533">
        <f t="shared" ref="N62:AK62" si="20">-N20</f>
        <v>31227915.180000011</v>
      </c>
      <c r="O62" s="533">
        <f t="shared" si="20"/>
        <v>22792009.699999999</v>
      </c>
      <c r="P62" s="533">
        <f t="shared" si="20"/>
        <v>19271829.350000001</v>
      </c>
      <c r="Q62" s="533">
        <f t="shared" si="20"/>
        <v>22181041.898459833</v>
      </c>
      <c r="R62" s="533">
        <f t="shared" si="20"/>
        <v>22181041.898459833</v>
      </c>
      <c r="S62" s="533">
        <f t="shared" si="20"/>
        <v>22181041.898459833</v>
      </c>
      <c r="T62" s="533">
        <f t="shared" si="20"/>
        <v>9704205.8305761777</v>
      </c>
      <c r="U62" s="533">
        <f t="shared" si="20"/>
        <v>9704205.8305761777</v>
      </c>
      <c r="V62" s="533">
        <f t="shared" si="20"/>
        <v>9704205.8305761777</v>
      </c>
      <c r="W62" s="533">
        <f t="shared" si="20"/>
        <v>9704205.8305761777</v>
      </c>
      <c r="X62" s="533">
        <f t="shared" si="20"/>
        <v>9704205.8305761777</v>
      </c>
      <c r="Y62" s="533">
        <f t="shared" si="20"/>
        <v>9704205.8305761777</v>
      </c>
      <c r="Z62" s="533">
        <f t="shared" si="20"/>
        <v>9704205.8305761777</v>
      </c>
      <c r="AA62" s="533">
        <f t="shared" si="20"/>
        <v>9704205.8305761777</v>
      </c>
      <c r="AB62" s="533">
        <f t="shared" si="20"/>
        <v>9704205.8305761777</v>
      </c>
      <c r="AC62" s="533">
        <f t="shared" si="20"/>
        <v>9704205.8305761777</v>
      </c>
      <c r="AD62" s="533">
        <f t="shared" si="20"/>
        <v>9704205.8305761777</v>
      </c>
      <c r="AE62" s="533">
        <f t="shared" si="20"/>
        <v>9704205.8305761777</v>
      </c>
      <c r="AF62" s="533">
        <f t="shared" si="20"/>
        <v>9704205.8305761777</v>
      </c>
      <c r="AG62" s="533">
        <f t="shared" si="20"/>
        <v>9704205.8305761777</v>
      </c>
      <c r="AH62" s="533">
        <f t="shared" si="20"/>
        <v>9704205.8305761777</v>
      </c>
      <c r="AI62" s="533">
        <f t="shared" si="20"/>
        <v>9704205.8305761777</v>
      </c>
      <c r="AJ62" s="533">
        <f t="shared" si="20"/>
        <v>259934.08474757615</v>
      </c>
      <c r="AK62" s="533">
        <f t="shared" si="20"/>
        <v>0</v>
      </c>
      <c r="AL62" s="533">
        <f>SUM(Q62:AK62)</f>
        <v>222070353.06934598</v>
      </c>
    </row>
    <row r="63" spans="4:38" x14ac:dyDescent="0.45">
      <c r="D63" t="s">
        <v>1320</v>
      </c>
      <c r="N63" s="533">
        <f t="shared" ref="N63:AK63" si="21">-N24</f>
        <v>3091544.5</v>
      </c>
      <c r="O63" s="533">
        <f t="shared" si="21"/>
        <v>2965551.46</v>
      </c>
      <c r="P63" s="533">
        <f t="shared" si="21"/>
        <v>2793596.59</v>
      </c>
      <c r="Q63" s="533">
        <f t="shared" si="21"/>
        <v>2514563.9224073356</v>
      </c>
      <c r="R63" s="533">
        <f t="shared" si="21"/>
        <v>2235531.2548146704</v>
      </c>
      <c r="S63" s="533">
        <f t="shared" si="21"/>
        <v>1956498.5872220057</v>
      </c>
      <c r="T63" s="533">
        <f t="shared" si="21"/>
        <v>1834421.7951502148</v>
      </c>
      <c r="U63" s="533">
        <f t="shared" si="21"/>
        <v>1712345.0030784239</v>
      </c>
      <c r="V63" s="533">
        <f t="shared" si="21"/>
        <v>1590268.211006633</v>
      </c>
      <c r="W63" s="533">
        <f t="shared" si="21"/>
        <v>1468191.4189348421</v>
      </c>
      <c r="X63" s="533">
        <f t="shared" si="21"/>
        <v>1346114.6268630514</v>
      </c>
      <c r="Y63" s="533">
        <f t="shared" si="21"/>
        <v>1224037.8347912603</v>
      </c>
      <c r="Z63" s="533">
        <f t="shared" si="21"/>
        <v>1101961.0427194694</v>
      </c>
      <c r="AA63" s="533">
        <f t="shared" si="21"/>
        <v>979884.25064767839</v>
      </c>
      <c r="AB63" s="533">
        <f t="shared" si="21"/>
        <v>857807.45857588761</v>
      </c>
      <c r="AC63" s="533">
        <f t="shared" si="21"/>
        <v>735730.66650409671</v>
      </c>
      <c r="AD63" s="533">
        <f t="shared" si="21"/>
        <v>613653.87443230581</v>
      </c>
      <c r="AE63" s="533">
        <f t="shared" si="21"/>
        <v>491577.08236051502</v>
      </c>
      <c r="AF63" s="533">
        <f t="shared" si="21"/>
        <v>369500.29028872418</v>
      </c>
      <c r="AG63" s="533">
        <f t="shared" si="21"/>
        <v>247423.49821693334</v>
      </c>
      <c r="AH63" s="533">
        <f t="shared" si="21"/>
        <v>125346.70614514244</v>
      </c>
      <c r="AI63" s="533">
        <f t="shared" si="21"/>
        <v>3269.9140733515419</v>
      </c>
      <c r="AJ63" s="533">
        <f t="shared" si="21"/>
        <v>0</v>
      </c>
      <c r="AK63" s="533">
        <f t="shared" si="21"/>
        <v>0</v>
      </c>
      <c r="AL63" s="533">
        <f>SUM(Q63:AK63)</f>
        <v>21408127.438232541</v>
      </c>
    </row>
    <row r="64" spans="4:38" x14ac:dyDescent="0.45">
      <c r="N64" s="535">
        <f>SUM(N62:N63)</f>
        <v>34319459.680000007</v>
      </c>
      <c r="O64" s="535">
        <f t="shared" ref="O64:AL64" si="22">SUM(O62:O63)</f>
        <v>25757561.16</v>
      </c>
      <c r="P64" s="535">
        <f t="shared" si="22"/>
        <v>22065425.940000001</v>
      </c>
      <c r="Q64" s="535">
        <f t="shared" si="22"/>
        <v>24695605.82086717</v>
      </c>
      <c r="R64" s="535">
        <f t="shared" si="22"/>
        <v>24416573.153274503</v>
      </c>
      <c r="S64" s="535">
        <f t="shared" si="22"/>
        <v>24137540.485681839</v>
      </c>
      <c r="T64" s="535">
        <f t="shared" si="22"/>
        <v>11538627.625726392</v>
      </c>
      <c r="U64" s="535">
        <f t="shared" si="22"/>
        <v>11416550.833654601</v>
      </c>
      <c r="V64" s="535">
        <f t="shared" si="22"/>
        <v>11294474.041582812</v>
      </c>
      <c r="W64" s="535">
        <f t="shared" si="22"/>
        <v>11172397.24951102</v>
      </c>
      <c r="X64" s="535">
        <f t="shared" si="22"/>
        <v>11050320.457439229</v>
      </c>
      <c r="Y64" s="535">
        <f t="shared" si="22"/>
        <v>10928243.665367438</v>
      </c>
      <c r="Z64" s="535">
        <f t="shared" si="22"/>
        <v>10806166.873295646</v>
      </c>
      <c r="AA64" s="535">
        <f t="shared" si="22"/>
        <v>10684090.081223857</v>
      </c>
      <c r="AB64" s="535">
        <f t="shared" si="22"/>
        <v>10562013.289152065</v>
      </c>
      <c r="AC64" s="535">
        <f t="shared" si="22"/>
        <v>10439936.497080274</v>
      </c>
      <c r="AD64" s="535">
        <f t="shared" si="22"/>
        <v>10317859.705008484</v>
      </c>
      <c r="AE64" s="535">
        <f t="shared" si="22"/>
        <v>10195782.912936693</v>
      </c>
      <c r="AF64" s="535">
        <f t="shared" si="22"/>
        <v>10073706.120864902</v>
      </c>
      <c r="AG64" s="535">
        <f t="shared" si="22"/>
        <v>9951629.3287931103</v>
      </c>
      <c r="AH64" s="535">
        <f t="shared" si="22"/>
        <v>9829552.5367213208</v>
      </c>
      <c r="AI64" s="535">
        <f t="shared" si="22"/>
        <v>9707475.7446495295</v>
      </c>
      <c r="AJ64" s="535">
        <f t="shared" si="22"/>
        <v>259934.08474757615</v>
      </c>
      <c r="AK64" s="535">
        <f t="shared" si="22"/>
        <v>0</v>
      </c>
      <c r="AL64" s="535">
        <f t="shared" si="22"/>
        <v>243478480.50757852</v>
      </c>
    </row>
    <row r="65" spans="2:46" x14ac:dyDescent="0.45">
      <c r="N65" s="533"/>
    </row>
    <row r="66" spans="2:46" x14ac:dyDescent="0.45">
      <c r="I66" s="533"/>
      <c r="J66" s="801"/>
      <c r="K66" s="533"/>
      <c r="L66" s="813"/>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4.3989539473747694</v>
      </c>
      <c r="G67" s="852">
        <f ca="1">AL67/AL$28</f>
        <v>17.241121227878683</v>
      </c>
      <c r="I67" s="533">
        <f ca="1">AL67</f>
        <v>356278086.51299489</v>
      </c>
      <c r="J67" s="898">
        <f>-J53</f>
        <v>356278086.51299489</v>
      </c>
      <c r="K67" s="533">
        <f ca="1">I67-J67</f>
        <v>0</v>
      </c>
      <c r="L67" s="813">
        <f ca="1">IF(J67&lt;&gt;0,K67/J67,0)</f>
        <v>0</v>
      </c>
      <c r="N67" s="566">
        <f>SUMIF('10. Inputs &amp; Calcs'!$D$143:$D$148,$E$10,'10. Inputs &amp; Calcs'!F$143:F$148)</f>
        <v>10104396</v>
      </c>
      <c r="O67" s="566">
        <f>SUMIF('10. Inputs &amp; Calcs'!$D$143:$D$148,$E$10,'10. Inputs &amp; Calcs'!G$143:G$148)</f>
        <v>13221991</v>
      </c>
      <c r="P67" s="566">
        <f>SUMIF('10. Inputs &amp; Calcs'!$D$143:$D$148,$E$10,'10. Inputs &amp; Calcs'!H$143:H$148)</f>
        <v>8660989</v>
      </c>
      <c r="Q67" s="997">
        <f ca="1">-SUMIF('10. Inputs &amp; Calcs'!$D$279:$D$284,$E$10,'10. Inputs &amp; Calcs'!I$279:I$284)</f>
        <v>5046912</v>
      </c>
      <c r="R67" s="997">
        <f ca="1">-SUMIF('10. Inputs &amp; Calcs'!$D$279:$D$284,$E$10,'10. Inputs &amp; Calcs'!J$279:J$284)</f>
        <v>5046912</v>
      </c>
      <c r="S67" s="997">
        <f ca="1">-SUMIF('10. Inputs &amp; Calcs'!$D$279:$D$284,$E$10,'10. Inputs &amp; Calcs'!K$279:K$284)</f>
        <v>5046912</v>
      </c>
      <c r="T67" s="533">
        <f ca="1">-SUMIF('10. Inputs &amp; Calcs'!$D$279:$D$284,$E$10,'10. Inputs &amp; Calcs'!L$279:L$284)</f>
        <v>2208024</v>
      </c>
      <c r="U67" s="533">
        <f ca="1">-SUMIF('10. Inputs &amp; Calcs'!$D$279:$D$284,$E$10,'10. Inputs &amp; Calcs'!M$279:M$284)</f>
        <v>2208024</v>
      </c>
      <c r="V67" s="533">
        <f ca="1">-SUMIF('10. Inputs &amp; Calcs'!$D$279:$D$284,$E$10,'10. Inputs &amp; Calcs'!N$279:N$284)</f>
        <v>2208024</v>
      </c>
      <c r="W67" s="533">
        <f ca="1">-SUMIF('10. Inputs &amp; Calcs'!$D$279:$D$284,$E$10,'10. Inputs &amp; Calcs'!O$279:O$284)</f>
        <v>2208024</v>
      </c>
      <c r="X67" s="533">
        <f ca="1">-SUMIF('10. Inputs &amp; Calcs'!$D$279:$D$284,$E$10,'10. Inputs &amp; Calcs'!P$279:P$284)</f>
        <v>2208024</v>
      </c>
      <c r="Y67" s="533">
        <f ca="1">-SUMIF('10. Inputs &amp; Calcs'!$D$279:$D$284,$E$10,'10. Inputs &amp; Calcs'!Q$279:Q$284)</f>
        <v>2208024</v>
      </c>
      <c r="Z67" s="533">
        <f ca="1">-SUMIF('10. Inputs &amp; Calcs'!$D$279:$D$284,$E$10,'10. Inputs &amp; Calcs'!R$279:R$284)</f>
        <v>2208024</v>
      </c>
      <c r="AA67" s="533">
        <f ca="1">-SUMIF('10. Inputs &amp; Calcs'!$D$279:$D$284,$E$10,'10. Inputs &amp; Calcs'!S$279:S$284)</f>
        <v>2208024</v>
      </c>
      <c r="AB67" s="533">
        <f ca="1">-SUMIF('10. Inputs &amp; Calcs'!$D$279:$D$284,$E$10,'10. Inputs &amp; Calcs'!T$279:T$284)</f>
        <v>2208024</v>
      </c>
      <c r="AC67" s="533">
        <f ca="1">-SUMIF('10. Inputs &amp; Calcs'!$D$279:$D$284,$E$10,'10. Inputs &amp; Calcs'!U$279:U$284)</f>
        <v>2208024</v>
      </c>
      <c r="AD67" s="533">
        <f ca="1">-SUMIF('10. Inputs &amp; Calcs'!$D$279:$D$284,$E$10,'10. Inputs &amp; Calcs'!V$279:V$284)</f>
        <v>2208024</v>
      </c>
      <c r="AE67" s="533">
        <f ca="1">-SUMIF('10. Inputs &amp; Calcs'!$D$279:$D$284,$E$10,'10. Inputs &amp; Calcs'!W$279:W$284)</f>
        <v>2208024</v>
      </c>
      <c r="AF67" s="533">
        <f ca="1">-SUMIF('10. Inputs &amp; Calcs'!$D$279:$D$284,$E$10,'10. Inputs &amp; Calcs'!X$279:X$284)</f>
        <v>2208024</v>
      </c>
      <c r="AG67" s="533">
        <f ca="1">-SUMIF('10. Inputs &amp; Calcs'!$D$279:$D$284,$E$10,'10. Inputs &amp; Calcs'!Y$279:Y$284)</f>
        <v>2208024</v>
      </c>
      <c r="AH67" s="533">
        <f ca="1">-SUMIF('10. Inputs &amp; Calcs'!$D$279:$D$284,$E$10,'10. Inputs &amp; Calcs'!Z$279:Z$284)</f>
        <v>2208024</v>
      </c>
      <c r="AI67" s="533">
        <f ca="1">-SUMIF('10. Inputs &amp; Calcs'!$D$279:$D$284,$E$10,'10. Inputs &amp; Calcs'!AA$279:AA$284)</f>
        <v>2208024</v>
      </c>
      <c r="AJ67" s="533">
        <f ca="1">-SUMIF('10. Inputs &amp; Calcs'!$D$279:$D$284,$E$10,'10. Inputs &amp; Calcs'!AB$279:AB$284)</f>
        <v>305808966.51299489</v>
      </c>
      <c r="AK67" s="533">
        <f ca="1">-SUMIF('10. Inputs &amp; Calcs'!$D$279:$D$284,$E$10,'10. Inputs &amp; Calcs'!AC$279:AC$284)</f>
        <v>0</v>
      </c>
      <c r="AL67" s="533">
        <f ca="1">SUM(Q67:AK67)</f>
        <v>356278086.51299489</v>
      </c>
    </row>
    <row r="68" spans="2:46" x14ac:dyDescent="0.45">
      <c r="N68" s="533"/>
    </row>
    <row r="69" spans="2:46" x14ac:dyDescent="0.45">
      <c r="N69" s="533"/>
    </row>
    <row r="71" spans="2:46" x14ac:dyDescent="0.45">
      <c r="D71" t="s">
        <v>1038</v>
      </c>
      <c r="N71" s="533">
        <f>SUMIF('10. Inputs &amp; Calcs'!$D$763:$D$768,$E$10,'10. Inputs &amp; Calcs'!F$763:F$768)</f>
        <v>3332584000</v>
      </c>
      <c r="O71" s="533">
        <f>SUMIF('10. Inputs &amp; Calcs'!$D$763:$D$768,$E$10,'10. Inputs &amp; Calcs'!G$763:G$768)</f>
        <v>3509045000</v>
      </c>
      <c r="P71" s="533">
        <f>SUMIF('10. Inputs &amp; Calcs'!$D$763:$D$768,$E$10,'10. Inputs &amp; Calcs'!H$763:H$768)</f>
        <v>3543852000</v>
      </c>
      <c r="Q71" s="801">
        <f>SUMIF('10. Inputs &amp; Calcs'!$D$763:$D$768,$E$10,'10. Inputs &amp; Calcs'!I$763:I$768)</f>
        <v>3543852000</v>
      </c>
      <c r="R71" s="801">
        <f>SUMIF('10. Inputs &amp; Calcs'!$D$763:$D$768,$E$10,'10. Inputs &amp; Calcs'!J$763:J$768)</f>
        <v>3543852000</v>
      </c>
      <c r="S71" s="801">
        <f>SUMIF('10. Inputs &amp; Calcs'!$D$763:$D$768,$E$10,'10. Inputs &amp; Calcs'!K$763:K$768)</f>
        <v>3543852000</v>
      </c>
      <c r="T71" s="801">
        <f>SUMIF('10. Inputs &amp; Calcs'!$D$763:$D$768,$E$10,'10. Inputs &amp; Calcs'!L$763:L$768)</f>
        <v>3543852000</v>
      </c>
      <c r="U71" s="801">
        <f>SUMIF('10. Inputs &amp; Calcs'!$D$763:$D$768,$E$10,'10. Inputs &amp; Calcs'!M$763:M$768)</f>
        <v>3543852000</v>
      </c>
      <c r="V71" s="801">
        <f>SUMIF('10. Inputs &amp; Calcs'!$D$763:$D$768,$E$10,'10. Inputs &amp; Calcs'!N$763:N$768)</f>
        <v>3543852000</v>
      </c>
      <c r="W71" s="801">
        <f>SUMIF('10. Inputs &amp; Calcs'!$D$763:$D$768,$E$10,'10. Inputs &amp; Calcs'!O$763:O$768)</f>
        <v>3543852000</v>
      </c>
      <c r="X71" s="801">
        <f>SUMIF('10. Inputs &amp; Calcs'!$D$763:$D$768,$E$10,'10. Inputs &amp; Calcs'!P$763:P$768)</f>
        <v>3543852000</v>
      </c>
      <c r="Y71" s="801">
        <f>SUMIF('10. Inputs &amp; Calcs'!$D$763:$D$768,$E$10,'10. Inputs &amp; Calcs'!Q$763:Q$768)</f>
        <v>3543852000</v>
      </c>
      <c r="Z71" s="801">
        <f>SUMIF('10. Inputs &amp; Calcs'!$D$763:$D$768,$E$10,'10. Inputs &amp; Calcs'!R$763:R$768)</f>
        <v>3543852000</v>
      </c>
      <c r="AA71" s="801">
        <f>SUMIF('10. Inputs &amp; Calcs'!$D$763:$D$768,$E$10,'10. Inputs &amp; Calcs'!S$763:S$768)</f>
        <v>3543852000</v>
      </c>
      <c r="AB71" s="801">
        <f>SUMIF('10. Inputs &amp; Calcs'!$D$763:$D$768,$E$10,'10. Inputs &amp; Calcs'!T$763:T$768)</f>
        <v>3543852000</v>
      </c>
      <c r="AC71" s="801">
        <f>SUMIF('10. Inputs &amp; Calcs'!$D$763:$D$768,$E$10,'10. Inputs &amp; Calcs'!U$763:U$768)</f>
        <v>3543852000</v>
      </c>
      <c r="AD71" s="801">
        <f>SUMIF('10. Inputs &amp; Calcs'!$D$763:$D$768,$E$10,'10. Inputs &amp; Calcs'!V$763:V$768)</f>
        <v>3543852000</v>
      </c>
      <c r="AE71" s="801">
        <f>SUMIF('10. Inputs &amp; Calcs'!$D$763:$D$768,$E$10,'10. Inputs &amp; Calcs'!W$763:W$768)</f>
        <v>3543852000</v>
      </c>
      <c r="AF71" s="533">
        <f>SUMIF('10. Inputs &amp; Calcs'!$D$763:$D$768,$E$10,'10. Inputs &amp; Calcs'!X$763:X$768)</f>
        <v>3543852000</v>
      </c>
      <c r="AG71" s="533">
        <f>SUMIF('10. Inputs &amp; Calcs'!$D$763:$D$768,$E$10,'10. Inputs &amp; Calcs'!Y$763:Y$768)</f>
        <v>3543852000</v>
      </c>
      <c r="AH71" s="533">
        <f>SUMIF('10. Inputs &amp; Calcs'!$D$763:$D$768,$E$10,'10. Inputs &amp; Calcs'!Z$763:Z$768)</f>
        <v>3543852000</v>
      </c>
      <c r="AI71" s="533">
        <f>SUMIF('10. Inputs &amp; Calcs'!$D$763:$D$768,$E$10,'10. Inputs &amp; Calcs'!AA$763:AA$768)</f>
        <v>3543852000</v>
      </c>
      <c r="AJ71" s="533">
        <f>SUMIF('10. Inputs &amp; Calcs'!$D$763:$D$768,$E$10,'10. Inputs &amp; Calcs'!AB$763:AB$768)</f>
        <v>3543852000</v>
      </c>
      <c r="AK71" s="533">
        <f>SUMIF('10. Inputs &amp; Calcs'!$D$763:$D$768,$E$10,'10. Inputs &amp; Calcs'!AC$763:AC$768)</f>
        <v>3543852000</v>
      </c>
      <c r="AL71" s="533">
        <f>SUM(Q71:AK71)</f>
        <v>74420892000</v>
      </c>
    </row>
    <row r="72" spans="2:46" x14ac:dyDescent="0.45">
      <c r="D72" t="s">
        <v>233</v>
      </c>
      <c r="N72" s="533">
        <f t="shared" ref="N72:AL72" si="23">N67</f>
        <v>10104396</v>
      </c>
      <c r="O72" s="533">
        <f t="shared" si="23"/>
        <v>13221991</v>
      </c>
      <c r="P72" s="533">
        <f t="shared" si="23"/>
        <v>8660989</v>
      </c>
      <c r="Q72" s="801">
        <f t="shared" ca="1" si="23"/>
        <v>5046912</v>
      </c>
      <c r="R72" s="801">
        <f t="shared" ca="1" si="23"/>
        <v>5046912</v>
      </c>
      <c r="S72" s="801">
        <f t="shared" ca="1" si="23"/>
        <v>5046912</v>
      </c>
      <c r="T72" s="801">
        <f t="shared" ca="1" si="23"/>
        <v>2208024</v>
      </c>
      <c r="U72" s="801">
        <f t="shared" ca="1" si="23"/>
        <v>2208024</v>
      </c>
      <c r="V72" s="801">
        <f t="shared" ca="1" si="23"/>
        <v>2208024</v>
      </c>
      <c r="W72" s="801">
        <f t="shared" ca="1" si="23"/>
        <v>2208024</v>
      </c>
      <c r="X72" s="801">
        <f t="shared" ca="1" si="23"/>
        <v>2208024</v>
      </c>
      <c r="Y72" s="801">
        <f t="shared" ca="1" si="23"/>
        <v>2208024</v>
      </c>
      <c r="Z72" s="801">
        <f t="shared" ca="1" si="23"/>
        <v>2208024</v>
      </c>
      <c r="AA72" s="801">
        <f t="shared" ca="1" si="23"/>
        <v>2208024</v>
      </c>
      <c r="AB72" s="801">
        <f t="shared" ca="1" si="23"/>
        <v>2208024</v>
      </c>
      <c r="AC72" s="801">
        <f t="shared" ca="1" si="23"/>
        <v>2208024</v>
      </c>
      <c r="AD72" s="801">
        <f t="shared" ca="1" si="23"/>
        <v>2208024</v>
      </c>
      <c r="AE72" s="801">
        <f t="shared" ca="1" si="23"/>
        <v>2208024</v>
      </c>
      <c r="AF72" s="533">
        <f t="shared" ca="1" si="23"/>
        <v>2208024</v>
      </c>
      <c r="AG72" s="533">
        <f t="shared" ca="1" si="23"/>
        <v>2208024</v>
      </c>
      <c r="AH72" s="533">
        <f t="shared" ca="1" si="23"/>
        <v>2208024</v>
      </c>
      <c r="AI72" s="533">
        <f t="shared" ca="1" si="23"/>
        <v>2208024</v>
      </c>
      <c r="AJ72" s="533">
        <f t="shared" ca="1" si="23"/>
        <v>305808966.51299489</v>
      </c>
      <c r="AK72" s="533">
        <f t="shared" ca="1" si="23"/>
        <v>0</v>
      </c>
      <c r="AL72" s="533">
        <f t="shared" ca="1" si="23"/>
        <v>356278086.51299489</v>
      </c>
    </row>
    <row r="73" spans="2:46" x14ac:dyDescent="0.45">
      <c r="D73" t="s">
        <v>1037</v>
      </c>
      <c r="N73" s="559">
        <f>N48/N71</f>
        <v>-1.5264767833142226E-2</v>
      </c>
      <c r="O73" s="559">
        <f t="shared" ref="O73:AL73" si="24">O48/O71</f>
        <v>-1.6402922626938224E-2</v>
      </c>
      <c r="P73" s="559">
        <f t="shared" si="24"/>
        <v>-1.9375705304096599E-2</v>
      </c>
      <c r="Q73" s="581">
        <f ca="1">Q48/Q71</f>
        <v>-1.9282360142148663E-2</v>
      </c>
      <c r="R73" s="581">
        <f t="shared" ca="1" si="24"/>
        <v>-1.8592059282128749E-2</v>
      </c>
      <c r="S73" s="581">
        <f t="shared" ca="1" si="24"/>
        <v>-1.7762300904169637E-2</v>
      </c>
      <c r="T73" s="581">
        <f t="shared" ca="1" si="24"/>
        <v>-1.7579431411054242E-2</v>
      </c>
      <c r="U73" s="581">
        <f t="shared" ca="1" si="24"/>
        <v>-1.7452287587692499E-2</v>
      </c>
      <c r="V73" s="581">
        <f t="shared" ca="1" si="24"/>
        <v>-1.7255467636870789E-2</v>
      </c>
      <c r="W73" s="581">
        <f t="shared" ca="1" si="24"/>
        <v>-1.698173162630421E-2</v>
      </c>
      <c r="X73" s="581">
        <f t="shared" ca="1" si="24"/>
        <v>-1.6623254001442059E-2</v>
      </c>
      <c r="Y73" s="581">
        <f t="shared" ca="1" si="24"/>
        <v>-1.6171581067813807E-2</v>
      </c>
      <c r="Z73" s="581">
        <f t="shared" ca="1" si="24"/>
        <v>-1.5617585567940405E-2</v>
      </c>
      <c r="AA73" s="581">
        <f t="shared" ca="1" si="24"/>
        <v>-1.4951418161829121E-2</v>
      </c>
      <c r="AB73" s="581">
        <f t="shared" ca="1" si="24"/>
        <v>-1.4162455607850913E-2</v>
      </c>
      <c r="AC73" s="581">
        <f t="shared" ca="1" si="24"/>
        <v>-1.3239245427813922E-2</v>
      </c>
      <c r="AD73" s="581">
        <f t="shared" ca="1" si="24"/>
        <v>-1.2169446826247472E-2</v>
      </c>
      <c r="AE73" s="581">
        <f t="shared" ca="1" si="24"/>
        <v>-1.0939767619247953E-2</v>
      </c>
      <c r="AF73" s="559">
        <f t="shared" ca="1" si="24"/>
        <v>-9.5358969126574725E-3</v>
      </c>
      <c r="AG73" s="559">
        <f t="shared" ca="1" si="24"/>
        <v>-7.9424332527922147E-3</v>
      </c>
      <c r="AH73" s="559">
        <f t="shared" ca="1" si="24"/>
        <v>-6.1428079553493943E-3</v>
      </c>
      <c r="AI73" s="559">
        <f t="shared" ca="1" si="24"/>
        <v>-4.1192032994365876E-3</v>
      </c>
      <c r="AJ73" s="559">
        <f t="shared" ca="1" si="24"/>
        <v>-1.2266110141170973E-5</v>
      </c>
      <c r="AK73" s="559">
        <f t="shared" ca="1" si="24"/>
        <v>0</v>
      </c>
      <c r="AL73" s="559">
        <f t="shared" ca="1" si="24"/>
        <v>-1.2692047638139584E-2</v>
      </c>
    </row>
    <row r="74" spans="2:46" x14ac:dyDescent="0.45">
      <c r="Q74" s="581"/>
      <c r="R74" s="581"/>
      <c r="S74" s="581"/>
      <c r="T74" s="581"/>
      <c r="U74" s="581"/>
      <c r="V74" s="581"/>
      <c r="W74" s="582"/>
      <c r="X74" s="18"/>
      <c r="Y74" s="18"/>
      <c r="Z74" s="18"/>
      <c r="AA74" s="18"/>
      <c r="AB74" s="18"/>
      <c r="AC74" s="18"/>
      <c r="AD74" s="18"/>
      <c r="AE74" s="18"/>
    </row>
    <row r="75" spans="2:46" hidden="1"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hidden="1" outlineLevel="1" x14ac:dyDescent="0.45">
      <c r="D76" t="s">
        <v>1539</v>
      </c>
      <c r="F76" s="18"/>
      <c r="G76" s="18"/>
      <c r="I76" s="18"/>
      <c r="J76" s="18"/>
      <c r="K76" s="18"/>
      <c r="L76" s="18"/>
      <c r="O76" s="533"/>
      <c r="P76" s="533">
        <f>SUMIF('10. Inputs &amp; Calcs'!$D$628:$D$633,$E$10,'10. Inputs &amp; Calcs'!$H$628:$H$633)</f>
        <v>49690196.090000004</v>
      </c>
      <c r="Q76" s="801">
        <f t="shared" ref="Q76:AK76" si="25">P83</f>
        <v>49690196.090000011</v>
      </c>
      <c r="R76" s="801">
        <f t="shared" ca="1" si="25"/>
        <v>47241556.657339066</v>
      </c>
      <c r="S76" s="801">
        <f t="shared" ca="1" si="25"/>
        <v>44234851.889492795</v>
      </c>
      <c r="T76" s="801">
        <f t="shared" ca="1" si="25"/>
        <v>40670081.786461189</v>
      </c>
      <c r="U76" s="801">
        <f t="shared" ca="1" si="25"/>
        <v>39844794.945481867</v>
      </c>
      <c r="V76" s="801">
        <f t="shared" ca="1" si="25"/>
        <v>38775354.520358965</v>
      </c>
      <c r="W76" s="801">
        <f t="shared" ca="1" si="25"/>
        <v>37461760.511092469</v>
      </c>
      <c r="X76" s="801">
        <f t="shared" ca="1" si="25"/>
        <v>36026089.709754199</v>
      </c>
      <c r="Y76" s="801">
        <f t="shared" ca="1" si="25"/>
        <v>34346265.324272335</v>
      </c>
      <c r="Z76" s="801">
        <f t="shared" ca="1" si="25"/>
        <v>32422287.354646903</v>
      </c>
      <c r="AA76" s="801">
        <f t="shared" ca="1" si="25"/>
        <v>30254155.80087788</v>
      </c>
      <c r="AB76" s="801">
        <f t="shared" ca="1" si="25"/>
        <v>27841870.662965272</v>
      </c>
      <c r="AC76" s="801">
        <f t="shared" ca="1" si="25"/>
        <v>25185431.940909084</v>
      </c>
      <c r="AD76" s="801">
        <f t="shared" ca="1" si="25"/>
        <v>22284839.634709321</v>
      </c>
      <c r="AE76" s="801">
        <f t="shared" ca="1" si="25"/>
        <v>19140093.744365972</v>
      </c>
      <c r="AF76" s="533">
        <f t="shared" ca="1" si="25"/>
        <v>15751194.269879039</v>
      </c>
      <c r="AG76" s="533">
        <f t="shared" ca="1" si="25"/>
        <v>12118141.211248524</v>
      </c>
      <c r="AH76" s="533">
        <f t="shared" ca="1" si="25"/>
        <v>8240934.5684744306</v>
      </c>
      <c r="AI76" s="533">
        <f t="shared" ca="1" si="25"/>
        <v>4119574.341556754</v>
      </c>
      <c r="AJ76" s="533">
        <f t="shared" ca="1" si="25"/>
        <v>125346.70614514127</v>
      </c>
      <c r="AK76" s="533">
        <f t="shared" ca="1" si="25"/>
        <v>0</v>
      </c>
      <c r="AL76" s="533">
        <f>P76</f>
        <v>49690196.090000004</v>
      </c>
      <c r="AM76" s="18"/>
      <c r="AN76" s="18"/>
      <c r="AO76" s="18"/>
      <c r="AP76" s="18"/>
      <c r="AQ76" s="18"/>
      <c r="AR76" s="18"/>
      <c r="AS76" s="18"/>
      <c r="AT76" s="18"/>
    </row>
    <row r="77" spans="2:46" hidden="1" outlineLevel="1" x14ac:dyDescent="0.45">
      <c r="D77" t="s">
        <v>1546</v>
      </c>
      <c r="F77" s="18"/>
      <c r="G77" s="18"/>
      <c r="I77" s="18"/>
      <c r="J77" s="18"/>
      <c r="K77" s="18"/>
      <c r="L77" s="18"/>
      <c r="N77" s="533"/>
      <c r="O77" s="533"/>
      <c r="P77" s="533">
        <f>IF(P84&gt;P76,P84-P76,0)</f>
        <v>0</v>
      </c>
      <c r="Q77" s="801">
        <f>IF(Q84&gt;Q76,Q84-Q76,0)</f>
        <v>0</v>
      </c>
      <c r="R77" s="801">
        <f ca="1">IF(R84&gt;R76,R84-R76,0)</f>
        <v>0</v>
      </c>
      <c r="S77" s="801">
        <f t="shared" ref="S77:AK77" ca="1" si="26">IF(S84&gt;S76,S84-S76,0)</f>
        <v>0</v>
      </c>
      <c r="T77" s="801">
        <f t="shared" ca="1" si="26"/>
        <v>0</v>
      </c>
      <c r="U77" s="801">
        <f t="shared" ca="1" si="26"/>
        <v>0</v>
      </c>
      <c r="V77" s="801">
        <f t="shared" ca="1" si="26"/>
        <v>0</v>
      </c>
      <c r="W77" s="801">
        <f t="shared" ca="1" si="26"/>
        <v>0</v>
      </c>
      <c r="X77" s="801">
        <f t="shared" ca="1" si="26"/>
        <v>0</v>
      </c>
      <c r="Y77" s="801">
        <f t="shared" ca="1" si="26"/>
        <v>0</v>
      </c>
      <c r="Z77" s="801">
        <f t="shared" ca="1" si="26"/>
        <v>0</v>
      </c>
      <c r="AA77" s="801">
        <f t="shared" ca="1" si="26"/>
        <v>0</v>
      </c>
      <c r="AB77" s="801">
        <f t="shared" ca="1" si="26"/>
        <v>0</v>
      </c>
      <c r="AC77" s="801">
        <f t="shared" ca="1" si="26"/>
        <v>0</v>
      </c>
      <c r="AD77" s="801">
        <f t="shared" ca="1" si="26"/>
        <v>0</v>
      </c>
      <c r="AE77" s="801">
        <f t="shared" ca="1" si="26"/>
        <v>0</v>
      </c>
      <c r="AF77" s="533">
        <f t="shared" ca="1" si="26"/>
        <v>0</v>
      </c>
      <c r="AG77" s="533">
        <f t="shared" ca="1" si="26"/>
        <v>0</v>
      </c>
      <c r="AH77" s="533">
        <f t="shared" ca="1" si="26"/>
        <v>0</v>
      </c>
      <c r="AI77" s="533">
        <f t="shared" ca="1" si="26"/>
        <v>0</v>
      </c>
      <c r="AJ77" s="533">
        <f t="shared" ca="1" si="26"/>
        <v>0</v>
      </c>
      <c r="AK77" s="533">
        <f t="shared" ca="1" si="26"/>
        <v>0</v>
      </c>
      <c r="AL77" s="533">
        <f ca="1">SUM(P77:AK77)</f>
        <v>0</v>
      </c>
      <c r="AM77" s="18"/>
      <c r="AN77" s="18"/>
      <c r="AO77" s="18"/>
      <c r="AP77" s="18"/>
      <c r="AQ77" s="18"/>
      <c r="AR77" s="18"/>
      <c r="AS77" s="18"/>
      <c r="AT77" s="18"/>
    </row>
    <row r="78" spans="2:46" hidden="1" outlineLevel="1" x14ac:dyDescent="0.45">
      <c r="D78" t="s">
        <v>1547</v>
      </c>
      <c r="F78" s="18"/>
      <c r="G78" s="18"/>
      <c r="I78" s="18"/>
      <c r="J78" s="18"/>
      <c r="K78" s="18"/>
      <c r="L78" s="18"/>
      <c r="N78" s="533"/>
      <c r="O78" s="533"/>
      <c r="P78" s="533">
        <f>IF(P84&lt;P76,P84-P76,0)</f>
        <v>0</v>
      </c>
      <c r="Q78" s="801">
        <f>IF(Q84&lt;Q76,Q84-Q76,0)</f>
        <v>-2448639.4326609448</v>
      </c>
      <c r="R78" s="801">
        <f ca="1">IF(R84&lt;R76,R84-R76,0)</f>
        <v>-3006704.7678462714</v>
      </c>
      <c r="S78" s="801">
        <f t="shared" ref="S78:AK78" ca="1" si="27">IF(S84&lt;S76,S84-S76,0)</f>
        <v>-3564770.1030316055</v>
      </c>
      <c r="T78" s="801">
        <f t="shared" ca="1" si="27"/>
        <v>-825286.84097932279</v>
      </c>
      <c r="U78" s="801">
        <f t="shared" ca="1" si="27"/>
        <v>-1069440.4251229018</v>
      </c>
      <c r="V78" s="801">
        <f t="shared" ca="1" si="27"/>
        <v>-1313594.0092664883</v>
      </c>
      <c r="W78" s="801">
        <f t="shared" ca="1" si="27"/>
        <v>-1435670.8013382703</v>
      </c>
      <c r="X78" s="801">
        <f t="shared" ca="1" si="27"/>
        <v>-1679824.3854818568</v>
      </c>
      <c r="Y78" s="801">
        <f t="shared" ca="1" si="27"/>
        <v>-1923977.969625432</v>
      </c>
      <c r="Z78" s="801">
        <f t="shared" ca="1" si="27"/>
        <v>-2168131.5537690222</v>
      </c>
      <c r="AA78" s="801">
        <f t="shared" ca="1" si="27"/>
        <v>-2412285.137912605</v>
      </c>
      <c r="AB78" s="801">
        <f t="shared" ca="1" si="27"/>
        <v>-2656438.7220561802</v>
      </c>
      <c r="AC78" s="801">
        <f t="shared" ca="1" si="27"/>
        <v>-2900592.306199763</v>
      </c>
      <c r="AD78" s="801">
        <f t="shared" ca="1" si="27"/>
        <v>-3144745.8903433494</v>
      </c>
      <c r="AE78" s="801">
        <f t="shared" ca="1" si="27"/>
        <v>-3388899.4744869322</v>
      </c>
      <c r="AF78" s="533">
        <f t="shared" ca="1" si="27"/>
        <v>-3633053.058630513</v>
      </c>
      <c r="AG78" s="533">
        <f t="shared" ca="1" si="27"/>
        <v>-3877206.6427740939</v>
      </c>
      <c r="AH78" s="533">
        <f t="shared" ca="1" si="27"/>
        <v>-4121360.2269176771</v>
      </c>
      <c r="AI78" s="533">
        <f t="shared" ca="1" si="27"/>
        <v>-3994227.6354116118</v>
      </c>
      <c r="AJ78" s="533">
        <f t="shared" ca="1" si="27"/>
        <v>-125346.70614514127</v>
      </c>
      <c r="AK78" s="533">
        <f t="shared" ca="1" si="27"/>
        <v>0</v>
      </c>
      <c r="AL78" s="533">
        <f ca="1">SUM(P78:AK78)</f>
        <v>-49690196.089999974</v>
      </c>
      <c r="AM78" s="18"/>
      <c r="AN78" s="18"/>
      <c r="AO78" s="18"/>
      <c r="AP78" s="18"/>
      <c r="AQ78" s="18"/>
      <c r="AR78" s="18"/>
      <c r="AS78" s="18"/>
      <c r="AT78" s="18"/>
    </row>
    <row r="79" spans="2:46" hidden="1" outlineLevel="1" x14ac:dyDescent="0.45">
      <c r="D79" t="s">
        <v>1537</v>
      </c>
      <c r="F79" s="18"/>
      <c r="G79" s="18"/>
      <c r="I79" s="18"/>
      <c r="J79" s="18"/>
      <c r="K79" s="18"/>
      <c r="L79" s="18"/>
      <c r="N79" s="533"/>
      <c r="O79" s="533"/>
      <c r="P79" s="533"/>
      <c r="Q79" s="801">
        <f ca="1">'10. Inputs &amp; Calcs'!I148*0</f>
        <v>0</v>
      </c>
      <c r="R79" s="801">
        <f ca="1">'10. Inputs &amp; Calcs'!J148*0</f>
        <v>0</v>
      </c>
      <c r="S79" s="801">
        <f ca="1">'10. Inputs &amp; Calcs'!K148*0</f>
        <v>0</v>
      </c>
      <c r="T79" s="801"/>
      <c r="U79" s="801"/>
      <c r="V79" s="801"/>
      <c r="W79" s="801"/>
      <c r="X79" s="801"/>
      <c r="Y79" s="801"/>
      <c r="Z79" s="801"/>
      <c r="AA79" s="801"/>
      <c r="AB79" s="801"/>
      <c r="AC79" s="801"/>
      <c r="AD79" s="801"/>
      <c r="AE79" s="801"/>
      <c r="AF79" s="533"/>
      <c r="AG79" s="533"/>
      <c r="AH79" s="533"/>
      <c r="AI79" s="533"/>
      <c r="AJ79" s="533"/>
      <c r="AK79" s="533"/>
      <c r="AL79" s="533">
        <f ca="1">SUM(P79:AK79)</f>
        <v>0</v>
      </c>
      <c r="AM79" s="18"/>
      <c r="AN79" s="18"/>
      <c r="AO79" s="18"/>
      <c r="AP79" s="18"/>
      <c r="AQ79" s="18"/>
      <c r="AR79" s="18"/>
      <c r="AS79" s="18"/>
      <c r="AT79" s="18"/>
    </row>
    <row r="80" spans="2:46" hidden="1" outlineLevel="1" x14ac:dyDescent="0.45">
      <c r="D80" t="s">
        <v>1540</v>
      </c>
      <c r="F80" s="18"/>
      <c r="G80" s="18"/>
      <c r="I80" s="18"/>
      <c r="J80" s="18"/>
      <c r="K80" s="18"/>
      <c r="L80" s="18"/>
      <c r="N80" s="533"/>
      <c r="O80" s="533"/>
      <c r="P80" s="533">
        <f t="shared" ref="P80:AL80" si="28">P19</f>
        <v>20484465.760000002</v>
      </c>
      <c r="Q80" s="801">
        <f t="shared" si="28"/>
        <v>23427702.691208225</v>
      </c>
      <c r="R80" s="801">
        <f t="shared" si="28"/>
        <v>23427702.691208225</v>
      </c>
      <c r="S80" s="801">
        <f t="shared" si="28"/>
        <v>23427702.691208225</v>
      </c>
      <c r="T80" s="801">
        <f t="shared" si="28"/>
        <v>10249619.927403599</v>
      </c>
      <c r="U80" s="801">
        <f t="shared" si="28"/>
        <v>10249619.927403599</v>
      </c>
      <c r="V80" s="801">
        <f t="shared" si="28"/>
        <v>10249619.927403599</v>
      </c>
      <c r="W80" s="801">
        <f t="shared" si="28"/>
        <v>10249619.927403599</v>
      </c>
      <c r="X80" s="801">
        <f t="shared" si="28"/>
        <v>10249619.927403599</v>
      </c>
      <c r="Y80" s="801">
        <f t="shared" si="28"/>
        <v>10249619.927403599</v>
      </c>
      <c r="Z80" s="801">
        <f t="shared" si="28"/>
        <v>10249619.927403599</v>
      </c>
      <c r="AA80" s="801">
        <f t="shared" si="28"/>
        <v>10249619.927403599</v>
      </c>
      <c r="AB80" s="801">
        <f t="shared" si="28"/>
        <v>10249619.927403599</v>
      </c>
      <c r="AC80" s="801">
        <f t="shared" si="28"/>
        <v>10249619.927403599</v>
      </c>
      <c r="AD80" s="801">
        <f t="shared" si="28"/>
        <v>10249619.927403599</v>
      </c>
      <c r="AE80" s="801">
        <f t="shared" si="28"/>
        <v>10249619.927403599</v>
      </c>
      <c r="AF80" s="533">
        <f t="shared" si="28"/>
        <v>10249619.927403599</v>
      </c>
      <c r="AG80" s="533">
        <f t="shared" si="28"/>
        <v>10249619.927403599</v>
      </c>
      <c r="AH80" s="533">
        <f t="shared" si="28"/>
        <v>10249619.927403599</v>
      </c>
      <c r="AI80" s="533">
        <f t="shared" si="28"/>
        <v>10249619.927403599</v>
      </c>
      <c r="AJ80" s="533">
        <f t="shared" si="28"/>
        <v>274543.39091259637</v>
      </c>
      <c r="AK80" s="533">
        <f t="shared" si="28"/>
        <v>0</v>
      </c>
      <c r="AL80" s="533">
        <f t="shared" si="28"/>
        <v>234551570.30299485</v>
      </c>
      <c r="AM80" s="18"/>
      <c r="AN80" s="18"/>
      <c r="AO80" s="18"/>
      <c r="AP80" s="18"/>
      <c r="AQ80" s="18"/>
      <c r="AR80" s="18"/>
      <c r="AS80" s="18"/>
      <c r="AT80" s="18"/>
    </row>
    <row r="81" spans="1:46" hidden="1" outlineLevel="1" x14ac:dyDescent="0.45">
      <c r="D81" t="s">
        <v>379</v>
      </c>
      <c r="F81" s="18"/>
      <c r="G81" s="18"/>
      <c r="I81" s="18"/>
      <c r="J81" s="18"/>
      <c r="K81" s="18"/>
      <c r="L81" s="18"/>
      <c r="N81" s="533"/>
      <c r="O81" s="533"/>
      <c r="P81" s="533">
        <f t="shared" ref="P81:AL81" si="29">-P21</f>
        <v>-1212636.4100000001</v>
      </c>
      <c r="Q81" s="801">
        <f t="shared" si="29"/>
        <v>-1246660.7927483923</v>
      </c>
      <c r="R81" s="801">
        <f t="shared" si="29"/>
        <v>-1246660.7927483923</v>
      </c>
      <c r="S81" s="801">
        <f t="shared" si="29"/>
        <v>-1246660.7927483923</v>
      </c>
      <c r="T81" s="801">
        <f t="shared" si="29"/>
        <v>-545414.09682742169</v>
      </c>
      <c r="U81" s="801">
        <f t="shared" si="29"/>
        <v>-545414.09682742169</v>
      </c>
      <c r="V81" s="801">
        <f t="shared" si="29"/>
        <v>-545414.09682742169</v>
      </c>
      <c r="W81" s="801">
        <f t="shared" si="29"/>
        <v>-545414.09682742169</v>
      </c>
      <c r="X81" s="801">
        <f t="shared" si="29"/>
        <v>-545414.09682742169</v>
      </c>
      <c r="Y81" s="801">
        <f t="shared" si="29"/>
        <v>-545414.09682742169</v>
      </c>
      <c r="Z81" s="801">
        <f t="shared" si="29"/>
        <v>-545414.09682742169</v>
      </c>
      <c r="AA81" s="801">
        <f t="shared" si="29"/>
        <v>-545414.09682742169</v>
      </c>
      <c r="AB81" s="801">
        <f t="shared" si="29"/>
        <v>-545414.09682742169</v>
      </c>
      <c r="AC81" s="801">
        <f t="shared" si="29"/>
        <v>-545414.09682742169</v>
      </c>
      <c r="AD81" s="801">
        <f t="shared" si="29"/>
        <v>-545414.09682742169</v>
      </c>
      <c r="AE81" s="801">
        <f t="shared" si="29"/>
        <v>-545414.09682742169</v>
      </c>
      <c r="AF81" s="533">
        <f t="shared" si="29"/>
        <v>-545414.09682742169</v>
      </c>
      <c r="AG81" s="533">
        <f t="shared" si="29"/>
        <v>-545414.09682742169</v>
      </c>
      <c r="AH81" s="533">
        <f t="shared" si="29"/>
        <v>-545414.09682742169</v>
      </c>
      <c r="AI81" s="533">
        <f t="shared" si="29"/>
        <v>-545414.09682742169</v>
      </c>
      <c r="AJ81" s="533">
        <f t="shared" si="29"/>
        <v>-14609.306165020222</v>
      </c>
      <c r="AK81" s="533">
        <f t="shared" si="29"/>
        <v>0</v>
      </c>
      <c r="AL81" s="533">
        <f t="shared" si="29"/>
        <v>-12481217.233648866</v>
      </c>
      <c r="AM81" s="18"/>
      <c r="AN81" s="18"/>
      <c r="AO81" s="18"/>
      <c r="AP81" s="18"/>
      <c r="AQ81" s="18"/>
      <c r="AR81" s="18"/>
      <c r="AS81" s="18"/>
      <c r="AT81" s="18"/>
    </row>
    <row r="82" spans="1:46" hidden="1" outlineLevel="1" x14ac:dyDescent="0.45">
      <c r="D82" t="s">
        <v>1545</v>
      </c>
      <c r="F82" s="18"/>
      <c r="G82" s="18"/>
      <c r="I82" s="18"/>
      <c r="J82" s="18"/>
      <c r="K82" s="18"/>
      <c r="L82" s="18"/>
      <c r="N82" s="533"/>
      <c r="O82" s="533"/>
      <c r="P82" s="533">
        <f t="shared" ref="P82:AL82" si="30">-P80-P81</f>
        <v>-19271829.350000001</v>
      </c>
      <c r="Q82" s="801">
        <f t="shared" si="30"/>
        <v>-22181041.898459833</v>
      </c>
      <c r="R82" s="801">
        <f t="shared" si="30"/>
        <v>-22181041.898459833</v>
      </c>
      <c r="S82" s="801">
        <f t="shared" si="30"/>
        <v>-22181041.898459833</v>
      </c>
      <c r="T82" s="801">
        <f t="shared" si="30"/>
        <v>-9704205.8305761777</v>
      </c>
      <c r="U82" s="801">
        <f t="shared" si="30"/>
        <v>-9704205.8305761777</v>
      </c>
      <c r="V82" s="801">
        <f t="shared" si="30"/>
        <v>-9704205.8305761777</v>
      </c>
      <c r="W82" s="801">
        <f t="shared" si="30"/>
        <v>-9704205.8305761777</v>
      </c>
      <c r="X82" s="801">
        <f t="shared" si="30"/>
        <v>-9704205.8305761777</v>
      </c>
      <c r="Y82" s="801">
        <f t="shared" si="30"/>
        <v>-9704205.8305761777</v>
      </c>
      <c r="Z82" s="801">
        <f t="shared" si="30"/>
        <v>-9704205.8305761777</v>
      </c>
      <c r="AA82" s="801">
        <f t="shared" si="30"/>
        <v>-9704205.8305761777</v>
      </c>
      <c r="AB82" s="801">
        <f t="shared" si="30"/>
        <v>-9704205.8305761777</v>
      </c>
      <c r="AC82" s="801">
        <f t="shared" si="30"/>
        <v>-9704205.8305761777</v>
      </c>
      <c r="AD82" s="801">
        <f t="shared" si="30"/>
        <v>-9704205.8305761777</v>
      </c>
      <c r="AE82" s="801">
        <f t="shared" si="30"/>
        <v>-9704205.8305761777</v>
      </c>
      <c r="AF82" s="533">
        <f t="shared" si="30"/>
        <v>-9704205.8305761777</v>
      </c>
      <c r="AG82" s="533">
        <f t="shared" si="30"/>
        <v>-9704205.8305761777</v>
      </c>
      <c r="AH82" s="533">
        <f t="shared" si="30"/>
        <v>-9704205.8305761777</v>
      </c>
      <c r="AI82" s="533">
        <f t="shared" si="30"/>
        <v>-9704205.8305761777</v>
      </c>
      <c r="AJ82" s="533">
        <f t="shared" si="30"/>
        <v>-259934.08474757615</v>
      </c>
      <c r="AK82" s="533">
        <f t="shared" si="30"/>
        <v>0</v>
      </c>
      <c r="AL82" s="533">
        <f t="shared" si="30"/>
        <v>-222070353.06934598</v>
      </c>
      <c r="AM82" s="18"/>
      <c r="AN82" s="18"/>
      <c r="AO82" s="18"/>
      <c r="AP82" s="18"/>
      <c r="AQ82" s="18"/>
      <c r="AR82" s="18"/>
      <c r="AS82" s="18"/>
      <c r="AT82" s="18"/>
    </row>
    <row r="83" spans="1:46" hidden="1" outlineLevel="1" x14ac:dyDescent="0.45">
      <c r="D83" t="s">
        <v>1544</v>
      </c>
      <c r="F83" s="18"/>
      <c r="G83" s="18"/>
      <c r="I83" s="18"/>
      <c r="J83" s="18"/>
      <c r="K83" s="18"/>
      <c r="L83" s="18"/>
      <c r="N83" s="535"/>
      <c r="O83" s="535"/>
      <c r="P83" s="535">
        <f>SUM(P76:P82)</f>
        <v>49690196.090000011</v>
      </c>
      <c r="Q83" s="1135">
        <f t="shared" ref="Q83:AL83" ca="1" si="31">SUM(Q76:Q82)</f>
        <v>47241556.657339066</v>
      </c>
      <c r="R83" s="1135">
        <f ca="1">SUM(R76:R82)</f>
        <v>44234851.889492795</v>
      </c>
      <c r="S83" s="1135">
        <f t="shared" ca="1" si="31"/>
        <v>40670081.786461189</v>
      </c>
      <c r="T83" s="1135">
        <f t="shared" ca="1" si="31"/>
        <v>39844794.945481867</v>
      </c>
      <c r="U83" s="1135">
        <f t="shared" ca="1" si="31"/>
        <v>38775354.520358965</v>
      </c>
      <c r="V83" s="1135">
        <f t="shared" ca="1" si="31"/>
        <v>37461760.511092469</v>
      </c>
      <c r="W83" s="1135">
        <f t="shared" ca="1" si="31"/>
        <v>36026089.709754199</v>
      </c>
      <c r="X83" s="1135">
        <f t="shared" ca="1" si="31"/>
        <v>34346265.324272335</v>
      </c>
      <c r="Y83" s="1135">
        <f t="shared" ca="1" si="31"/>
        <v>32422287.354646903</v>
      </c>
      <c r="Z83" s="1135">
        <f t="shared" ca="1" si="31"/>
        <v>30254155.80087788</v>
      </c>
      <c r="AA83" s="1135">
        <f t="shared" ca="1" si="31"/>
        <v>27841870.662965272</v>
      </c>
      <c r="AB83" s="1135">
        <f t="shared" ca="1" si="31"/>
        <v>25185431.940909084</v>
      </c>
      <c r="AC83" s="1135">
        <f t="shared" ca="1" si="31"/>
        <v>22284839.634709321</v>
      </c>
      <c r="AD83" s="1135">
        <f t="shared" ca="1" si="31"/>
        <v>19140093.744365972</v>
      </c>
      <c r="AE83" s="1135">
        <f t="shared" ca="1" si="31"/>
        <v>15751194.269879039</v>
      </c>
      <c r="AF83" s="535">
        <f t="shared" ca="1" si="31"/>
        <v>12118141.211248524</v>
      </c>
      <c r="AG83" s="535">
        <f t="shared" ca="1" si="31"/>
        <v>8240934.5684744306</v>
      </c>
      <c r="AH83" s="535">
        <f t="shared" ca="1" si="31"/>
        <v>4119574.341556754</v>
      </c>
      <c r="AI83" s="535">
        <f t="shared" ca="1" si="31"/>
        <v>125346.70614514127</v>
      </c>
      <c r="AJ83" s="535">
        <f t="shared" ca="1" si="31"/>
        <v>0</v>
      </c>
      <c r="AK83" s="535">
        <f t="shared" ca="1" si="31"/>
        <v>0</v>
      </c>
      <c r="AL83" s="535">
        <f t="shared" ca="1" si="31"/>
        <v>0</v>
      </c>
      <c r="AM83" s="18"/>
      <c r="AN83" s="18"/>
      <c r="AO83" s="18"/>
      <c r="AP83" s="18"/>
      <c r="AQ83" s="18"/>
      <c r="AR83" s="18"/>
      <c r="AS83" s="18"/>
      <c r="AT83" s="18"/>
    </row>
    <row r="84" spans="1:46" hidden="1" outlineLevel="1" x14ac:dyDescent="0.45">
      <c r="F84" s="18"/>
      <c r="G84" s="18"/>
      <c r="I84" s="18"/>
      <c r="J84" s="18"/>
      <c r="K84" s="18"/>
      <c r="L84" s="18"/>
      <c r="P84" s="533">
        <f>SUMIF('10. Inputs &amp; Calcs'!$D$628:$D$633,$E$10,'10. Inputs &amp; Calcs'!H$628:H$633)</f>
        <v>49690196.090000004</v>
      </c>
      <c r="Q84" s="801">
        <f>SUMIF('10. Inputs &amp; Calcs'!$D$628:$D$633,$E$10,'10. Inputs &amp; Calcs'!I$628:I$633)</f>
        <v>47241556.657339066</v>
      </c>
      <c r="R84" s="801">
        <f>SUMIF('10. Inputs &amp; Calcs'!$D$628:$D$633,$E$10,'10. Inputs &amp; Calcs'!J$628:J$633)</f>
        <v>44234851.889492795</v>
      </c>
      <c r="S84" s="801">
        <f>SUMIF('10. Inputs &amp; Calcs'!$D$628:$D$633,$E$10,'10. Inputs &amp; Calcs'!K$628:K$633)</f>
        <v>40670081.786461189</v>
      </c>
      <c r="T84" s="801">
        <f>SUMIF('10. Inputs &amp; Calcs'!$D$628:$D$633,$E$10,'10. Inputs &amp; Calcs'!L$628:L$633)</f>
        <v>39844794.945481867</v>
      </c>
      <c r="U84" s="801">
        <f>SUMIF('10. Inputs &amp; Calcs'!$D$628:$D$633,$E$10,'10. Inputs &amp; Calcs'!M$628:M$633)</f>
        <v>38775354.520358965</v>
      </c>
      <c r="V84" s="801">
        <f>SUMIF('10. Inputs &amp; Calcs'!$D$628:$D$633,$E$10,'10. Inputs &amp; Calcs'!N$628:N$633)</f>
        <v>37461760.511092477</v>
      </c>
      <c r="W84" s="801">
        <f>SUMIF('10. Inputs &amp; Calcs'!$D$628:$D$633,$E$10,'10. Inputs &amp; Calcs'!O$628:O$633)</f>
        <v>36026089.709754199</v>
      </c>
      <c r="X84" s="801">
        <f>SUMIF('10. Inputs &amp; Calcs'!$D$628:$D$633,$E$10,'10. Inputs &amp; Calcs'!P$628:P$633)</f>
        <v>34346265.324272342</v>
      </c>
      <c r="Y84" s="801">
        <f>SUMIF('10. Inputs &amp; Calcs'!$D$628:$D$633,$E$10,'10. Inputs &amp; Calcs'!Q$628:Q$633)</f>
        <v>32422287.354646903</v>
      </c>
      <c r="Z84" s="801">
        <f>SUMIF('10. Inputs &amp; Calcs'!$D$628:$D$633,$E$10,'10. Inputs &amp; Calcs'!R$628:R$633)</f>
        <v>30254155.80087788</v>
      </c>
      <c r="AA84" s="801">
        <f>SUMIF('10. Inputs &amp; Calcs'!$D$628:$D$633,$E$10,'10. Inputs &amp; Calcs'!S$628:S$633)</f>
        <v>27841870.662965275</v>
      </c>
      <c r="AB84" s="801">
        <f>SUMIF('10. Inputs &amp; Calcs'!$D$628:$D$633,$E$10,'10. Inputs &amp; Calcs'!T$628:T$633)</f>
        <v>25185431.940909091</v>
      </c>
      <c r="AC84" s="801">
        <f>SUMIF('10. Inputs &amp; Calcs'!$D$628:$D$633,$E$10,'10. Inputs &amp; Calcs'!U$628:U$633)</f>
        <v>22284839.634709321</v>
      </c>
      <c r="AD84" s="801">
        <f>SUMIF('10. Inputs &amp; Calcs'!$D$628:$D$633,$E$10,'10. Inputs &amp; Calcs'!V$628:V$633)</f>
        <v>19140093.744365972</v>
      </c>
      <c r="AE84" s="801">
        <f>SUMIF('10. Inputs &amp; Calcs'!$D$628:$D$633,$E$10,'10. Inputs &amp; Calcs'!W$628:W$633)</f>
        <v>15751194.269879039</v>
      </c>
      <c r="AF84" s="533">
        <f>SUMIF('10. Inputs &amp; Calcs'!$D$628:$D$633,$E$10,'10. Inputs &amp; Calcs'!X$628:X$633)</f>
        <v>12118141.211248526</v>
      </c>
      <c r="AG84" s="533">
        <f>SUMIF('10. Inputs &amp; Calcs'!$D$628:$D$633,$E$10,'10. Inputs &amp; Calcs'!Y$628:Y$633)</f>
        <v>8240934.5684744306</v>
      </c>
      <c r="AH84" s="533">
        <f>SUMIF('10. Inputs &amp; Calcs'!$D$628:$D$633,$E$10,'10. Inputs &amp; Calcs'!Z$628:Z$633)</f>
        <v>4119574.3415567535</v>
      </c>
      <c r="AI84" s="533">
        <f>SUMIF('10. Inputs &amp; Calcs'!$D$628:$D$633,$E$10,'10. Inputs &amp; Calcs'!AA$628:AA$633)</f>
        <v>125346.70614514244</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hidden="1"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hidden="1" outlineLevel="1" x14ac:dyDescent="0.45">
      <c r="D86" t="s">
        <v>1539</v>
      </c>
      <c r="F86" s="18"/>
      <c r="G86" s="18"/>
      <c r="I86" s="18"/>
      <c r="J86" s="18"/>
      <c r="K86" s="18"/>
      <c r="L86" s="18"/>
      <c r="O86" s="533"/>
      <c r="P86" s="533">
        <f>SUMIF('10. Inputs &amp; Calcs'!$D$396:$D$400,$E$10,'10. Inputs &amp; Calcs'!$H$396:$H$400)</f>
        <v>71198252.709999993</v>
      </c>
      <c r="Q86" s="801">
        <f t="shared" ref="Q86:AK86" si="32">P93</f>
        <v>79859241.709999979</v>
      </c>
      <c r="R86" s="801">
        <f t="shared" si="32"/>
        <v>94625955.401208222</v>
      </c>
      <c r="S86" s="801">
        <f t="shared" si="32"/>
        <v>118053658.09241645</v>
      </c>
      <c r="T86" s="801">
        <f t="shared" si="32"/>
        <v>141481360.78362465</v>
      </c>
      <c r="U86" s="801">
        <f t="shared" si="32"/>
        <v>151730980.71102828</v>
      </c>
      <c r="V86" s="801">
        <f t="shared" si="32"/>
        <v>161980600.63843188</v>
      </c>
      <c r="W86" s="801">
        <f t="shared" si="32"/>
        <v>172230220.56583548</v>
      </c>
      <c r="X86" s="801">
        <f t="shared" si="32"/>
        <v>182479840.49323905</v>
      </c>
      <c r="Y86" s="801">
        <f t="shared" si="32"/>
        <v>192729460.42064267</v>
      </c>
      <c r="Z86" s="801">
        <f t="shared" si="32"/>
        <v>202979080.34804627</v>
      </c>
      <c r="AA86" s="801">
        <f t="shared" si="32"/>
        <v>213228700.27544987</v>
      </c>
      <c r="AB86" s="801">
        <f t="shared" si="32"/>
        <v>223478320.20285347</v>
      </c>
      <c r="AC86" s="801">
        <f t="shared" si="32"/>
        <v>233727940.13025704</v>
      </c>
      <c r="AD86" s="801">
        <f t="shared" si="32"/>
        <v>243977560.05766067</v>
      </c>
      <c r="AE86" s="801">
        <f t="shared" si="32"/>
        <v>254227179.98506427</v>
      </c>
      <c r="AF86" s="533">
        <f t="shared" si="32"/>
        <v>264476799.91246784</v>
      </c>
      <c r="AG86" s="533">
        <f t="shared" si="32"/>
        <v>274726419.83987141</v>
      </c>
      <c r="AH86" s="533">
        <f t="shared" si="32"/>
        <v>284976039.76727504</v>
      </c>
      <c r="AI86" s="533">
        <f t="shared" si="32"/>
        <v>295225659.6946786</v>
      </c>
      <c r="AJ86" s="533">
        <f t="shared" si="32"/>
        <v>305475279.62208223</v>
      </c>
      <c r="AK86" s="533">
        <f t="shared" si="32"/>
        <v>289762446.36102962</v>
      </c>
      <c r="AL86" s="533">
        <f>P86</f>
        <v>71198252.709999993</v>
      </c>
      <c r="AM86" s="18"/>
      <c r="AN86" s="18"/>
      <c r="AO86" s="18"/>
      <c r="AP86" s="18"/>
      <c r="AQ86" s="18"/>
      <c r="AR86" s="18"/>
      <c r="AS86" s="18"/>
      <c r="AT86" s="18"/>
    </row>
    <row r="87" spans="1:46" hidden="1" outlineLevel="1" x14ac:dyDescent="0.45">
      <c r="D87" t="s">
        <v>1546</v>
      </c>
      <c r="F87" s="18"/>
      <c r="G87" s="18"/>
      <c r="I87" s="18"/>
      <c r="J87" s="18"/>
      <c r="K87" s="18"/>
      <c r="L87" s="18"/>
      <c r="N87" s="533"/>
      <c r="O87" s="533"/>
      <c r="P87" s="533">
        <f t="shared" ref="P87:AK87" si="33">IF(P94&gt;P86,P94-P86-P89,0)</f>
        <v>0</v>
      </c>
      <c r="Q87" s="801">
        <f>IF(Q94&gt;Q86,Q94-Q86-Q89,0)</f>
        <v>14766713.691208243</v>
      </c>
      <c r="R87" s="801">
        <f t="shared" si="33"/>
        <v>23427702.691208228</v>
      </c>
      <c r="S87" s="801">
        <f t="shared" si="33"/>
        <v>23427702.691208228</v>
      </c>
      <c r="T87" s="801">
        <f t="shared" si="33"/>
        <v>10249619.927403629</v>
      </c>
      <c r="U87" s="801">
        <f t="shared" si="33"/>
        <v>10249619.927403599</v>
      </c>
      <c r="V87" s="801">
        <f t="shared" si="33"/>
        <v>10249619.927403599</v>
      </c>
      <c r="W87" s="801">
        <f t="shared" si="33"/>
        <v>10249619.927403599</v>
      </c>
      <c r="X87" s="801">
        <f t="shared" si="33"/>
        <v>10249619.927403629</v>
      </c>
      <c r="Y87" s="801">
        <f t="shared" si="33"/>
        <v>10249619.927403599</v>
      </c>
      <c r="Z87" s="801">
        <f t="shared" si="33"/>
        <v>10249619.927403599</v>
      </c>
      <c r="AA87" s="801">
        <f t="shared" si="33"/>
        <v>10249619.927403599</v>
      </c>
      <c r="AB87" s="801">
        <f t="shared" si="33"/>
        <v>10249619.927403569</v>
      </c>
      <c r="AC87" s="801">
        <f t="shared" si="33"/>
        <v>10249619.927403599</v>
      </c>
      <c r="AD87" s="801">
        <f t="shared" si="33"/>
        <v>10249619.927403569</v>
      </c>
      <c r="AE87" s="801">
        <f t="shared" si="33"/>
        <v>10249619.927403569</v>
      </c>
      <c r="AF87" s="533">
        <f t="shared" si="33"/>
        <v>10249619.927403629</v>
      </c>
      <c r="AG87" s="533">
        <f t="shared" si="33"/>
        <v>10249619.927403629</v>
      </c>
      <c r="AH87" s="533">
        <f t="shared" si="33"/>
        <v>10249619.927403629</v>
      </c>
      <c r="AI87" s="533">
        <f t="shared" si="33"/>
        <v>10249619.927403629</v>
      </c>
      <c r="AJ87" s="533">
        <f t="shared" si="33"/>
        <v>0</v>
      </c>
      <c r="AK87" s="533">
        <f t="shared" si="33"/>
        <v>0</v>
      </c>
      <c r="AL87" s="533">
        <f>SUM(P87:AK87)</f>
        <v>225616037.91208237</v>
      </c>
      <c r="AM87" s="18"/>
      <c r="AN87" s="18"/>
      <c r="AO87" s="18"/>
      <c r="AP87" s="18"/>
      <c r="AQ87" s="18"/>
      <c r="AR87" s="18"/>
      <c r="AS87" s="18"/>
      <c r="AT87" s="18"/>
    </row>
    <row r="88" spans="1:46" hidden="1"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hidden="1" outlineLevel="1" x14ac:dyDescent="0.45">
      <c r="A89">
        <v>0</v>
      </c>
      <c r="D89" t="s">
        <v>1537</v>
      </c>
      <c r="F89" s="18"/>
      <c r="G89" s="18"/>
      <c r="I89" s="18"/>
      <c r="J89" s="18"/>
      <c r="K89" s="18"/>
      <c r="L89" s="18"/>
      <c r="N89" s="533"/>
      <c r="O89" s="533"/>
      <c r="P89" s="533">
        <f>SUMIF('10. Inputs &amp; Calcs'!$D$143:$D$148,$E$10,'10. Inputs &amp; Calcs'!$H$143:$H$148)</f>
        <v>8660989</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-7051844.2610526253</v>
      </c>
      <c r="AM89" s="18"/>
      <c r="AN89" s="18"/>
      <c r="AO89" s="18"/>
      <c r="AP89" s="18"/>
      <c r="AQ89" s="18"/>
      <c r="AR89" s="18"/>
      <c r="AS89" s="18"/>
      <c r="AT89" s="18"/>
    </row>
    <row r="90" spans="1:46" hidden="1" outlineLevel="1" x14ac:dyDescent="0.45">
      <c r="D90" t="s">
        <v>1542</v>
      </c>
      <c r="F90" s="18"/>
      <c r="G90" s="18"/>
      <c r="I90" s="18"/>
      <c r="J90" s="18"/>
      <c r="K90" s="18"/>
      <c r="L90" s="18"/>
      <c r="N90" s="533"/>
      <c r="O90" s="533"/>
      <c r="P90" s="533">
        <f t="shared" ref="P90:AL90" si="34">P23</f>
        <v>3861444.2399999998</v>
      </c>
      <c r="Q90" s="801">
        <f t="shared" si="34"/>
        <v>3475751.7993289116</v>
      </c>
      <c r="R90" s="801">
        <f t="shared" si="34"/>
        <v>3090059.3586578229</v>
      </c>
      <c r="S90" s="801">
        <f t="shared" si="34"/>
        <v>2704366.9179867343</v>
      </c>
      <c r="T90" s="801">
        <f t="shared" si="34"/>
        <v>2535626.4751931331</v>
      </c>
      <c r="U90" s="801">
        <f t="shared" si="34"/>
        <v>2366886.0323995319</v>
      </c>
      <c r="V90" s="801">
        <f t="shared" si="34"/>
        <v>2198145.5896059307</v>
      </c>
      <c r="W90" s="801">
        <f t="shared" si="34"/>
        <v>2029405.1468123295</v>
      </c>
      <c r="X90" s="801">
        <f t="shared" si="34"/>
        <v>1860664.7040187283</v>
      </c>
      <c r="Y90" s="801">
        <f t="shared" si="34"/>
        <v>1691924.2612251269</v>
      </c>
      <c r="Z90" s="801">
        <f t="shared" si="34"/>
        <v>1523183.8184315255</v>
      </c>
      <c r="AA90" s="801">
        <f t="shared" si="34"/>
        <v>1354443.3756379241</v>
      </c>
      <c r="AB90" s="801">
        <f t="shared" si="34"/>
        <v>1185702.9328443229</v>
      </c>
      <c r="AC90" s="801">
        <f t="shared" si="34"/>
        <v>1016962.4900507217</v>
      </c>
      <c r="AD90" s="801">
        <f t="shared" si="34"/>
        <v>848222.04725712049</v>
      </c>
      <c r="AE90" s="801">
        <f t="shared" si="34"/>
        <v>679481.6044635193</v>
      </c>
      <c r="AF90" s="533">
        <f t="shared" si="34"/>
        <v>510741.1616699181</v>
      </c>
      <c r="AG90" s="533">
        <f t="shared" si="34"/>
        <v>342000.71887631685</v>
      </c>
      <c r="AH90" s="533">
        <f t="shared" si="34"/>
        <v>173260.2760827156</v>
      </c>
      <c r="AI90" s="533">
        <f t="shared" si="34"/>
        <v>4519.83328911432</v>
      </c>
      <c r="AJ90" s="533">
        <f t="shared" si="34"/>
        <v>0</v>
      </c>
      <c r="AK90" s="533">
        <f t="shared" si="34"/>
        <v>0</v>
      </c>
      <c r="AL90" s="533">
        <f t="shared" si="34"/>
        <v>29591348.543831445</v>
      </c>
      <c r="AM90" s="18"/>
      <c r="AN90" s="18"/>
      <c r="AO90" s="18"/>
      <c r="AP90" s="18"/>
      <c r="AQ90" s="18"/>
      <c r="AR90" s="18"/>
      <c r="AS90" s="18"/>
      <c r="AT90" s="18"/>
    </row>
    <row r="91" spans="1:46" hidden="1" outlineLevel="1" x14ac:dyDescent="0.45">
      <c r="D91" t="s">
        <v>1543</v>
      </c>
      <c r="F91" s="18"/>
      <c r="G91" s="18"/>
      <c r="I91" s="18"/>
      <c r="J91" s="18"/>
      <c r="K91" s="18"/>
      <c r="L91" s="18"/>
      <c r="N91" s="533"/>
      <c r="O91" s="533"/>
      <c r="P91" s="533">
        <f t="shared" ref="P91:AL91" si="35">-P25</f>
        <v>-1067847.6499999999</v>
      </c>
      <c r="Q91" s="801">
        <f t="shared" si="35"/>
        <v>-961187.87692157621</v>
      </c>
      <c r="R91" s="801">
        <f t="shared" si="35"/>
        <v>-854528.10384315252</v>
      </c>
      <c r="S91" s="801">
        <f t="shared" si="35"/>
        <v>-747868.33076472871</v>
      </c>
      <c r="T91" s="801">
        <f t="shared" si="35"/>
        <v>-701204.68004291842</v>
      </c>
      <c r="U91" s="801">
        <f t="shared" si="35"/>
        <v>-654541.02932110801</v>
      </c>
      <c r="V91" s="801">
        <f t="shared" si="35"/>
        <v>-607877.37859929772</v>
      </c>
      <c r="W91" s="801">
        <f t="shared" si="35"/>
        <v>-561213.72787748731</v>
      </c>
      <c r="X91" s="801">
        <f t="shared" si="35"/>
        <v>-514550.07715567696</v>
      </c>
      <c r="Y91" s="801">
        <f t="shared" si="35"/>
        <v>-467886.42643386655</v>
      </c>
      <c r="Z91" s="801">
        <f t="shared" si="35"/>
        <v>-421222.77571205614</v>
      </c>
      <c r="AA91" s="801">
        <f t="shared" si="35"/>
        <v>-374559.12499024568</v>
      </c>
      <c r="AB91" s="801">
        <f t="shared" si="35"/>
        <v>-327895.47426843533</v>
      </c>
      <c r="AC91" s="801">
        <f t="shared" si="35"/>
        <v>-281231.82354662498</v>
      </c>
      <c r="AD91" s="801">
        <f t="shared" si="35"/>
        <v>-234568.17282481462</v>
      </c>
      <c r="AE91" s="801">
        <f t="shared" si="35"/>
        <v>-187904.52210300427</v>
      </c>
      <c r="AF91" s="533">
        <f t="shared" si="35"/>
        <v>-141240.87138119392</v>
      </c>
      <c r="AG91" s="533">
        <f t="shared" si="35"/>
        <v>-94577.220659383529</v>
      </c>
      <c r="AH91" s="533">
        <f t="shared" si="35"/>
        <v>-47913.569937573164</v>
      </c>
      <c r="AI91" s="533">
        <f t="shared" si="35"/>
        <v>-1249.9192157627781</v>
      </c>
      <c r="AJ91" s="533">
        <f t="shared" si="35"/>
        <v>0</v>
      </c>
      <c r="AK91" s="533">
        <f t="shared" si="35"/>
        <v>0</v>
      </c>
      <c r="AL91" s="533">
        <f t="shared" si="35"/>
        <v>-8183221.105598907</v>
      </c>
      <c r="AM91" s="18"/>
      <c r="AN91" s="18"/>
      <c r="AO91" s="18"/>
      <c r="AP91" s="18"/>
      <c r="AQ91" s="18"/>
      <c r="AR91" s="18"/>
      <c r="AS91" s="18"/>
      <c r="AT91" s="18"/>
    </row>
    <row r="92" spans="1:46" hidden="1" outlineLevel="1" x14ac:dyDescent="0.45">
      <c r="D92" t="s">
        <v>1545</v>
      </c>
      <c r="F92" s="18"/>
      <c r="G92" s="18"/>
      <c r="I92" s="18"/>
      <c r="J92" s="18"/>
      <c r="K92" s="18"/>
      <c r="L92" s="18"/>
      <c r="N92" s="533"/>
      <c r="O92" s="533"/>
      <c r="P92" s="533">
        <f t="shared" ref="P92:AL92" si="36">-P90-P91</f>
        <v>-2793596.59</v>
      </c>
      <c r="Q92" s="801">
        <f t="shared" si="36"/>
        <v>-2514563.9224073356</v>
      </c>
      <c r="R92" s="801">
        <f t="shared" si="36"/>
        <v>-2235531.2548146704</v>
      </c>
      <c r="S92" s="801">
        <f t="shared" si="36"/>
        <v>-1956498.5872220057</v>
      </c>
      <c r="T92" s="801">
        <f t="shared" si="36"/>
        <v>-1834421.7951502148</v>
      </c>
      <c r="U92" s="801">
        <f t="shared" si="36"/>
        <v>-1712345.0030784239</v>
      </c>
      <c r="V92" s="801">
        <f t="shared" si="36"/>
        <v>-1590268.211006633</v>
      </c>
      <c r="W92" s="801">
        <f t="shared" si="36"/>
        <v>-1468191.4189348421</v>
      </c>
      <c r="X92" s="801">
        <f t="shared" si="36"/>
        <v>-1346114.6268630514</v>
      </c>
      <c r="Y92" s="801">
        <f t="shared" si="36"/>
        <v>-1224037.8347912603</v>
      </c>
      <c r="Z92" s="801">
        <f t="shared" si="36"/>
        <v>-1101961.0427194694</v>
      </c>
      <c r="AA92" s="801">
        <f t="shared" si="36"/>
        <v>-979884.25064767839</v>
      </c>
      <c r="AB92" s="801">
        <f t="shared" si="36"/>
        <v>-857807.45857588761</v>
      </c>
      <c r="AC92" s="801">
        <f t="shared" si="36"/>
        <v>-735730.66650409671</v>
      </c>
      <c r="AD92" s="801">
        <f t="shared" si="36"/>
        <v>-613653.87443230581</v>
      </c>
      <c r="AE92" s="801">
        <f t="shared" si="36"/>
        <v>-491577.08236051502</v>
      </c>
      <c r="AF92" s="533">
        <f t="shared" si="36"/>
        <v>-369500.29028872418</v>
      </c>
      <c r="AG92" s="533">
        <f t="shared" si="36"/>
        <v>-247423.49821693334</v>
      </c>
      <c r="AH92" s="533">
        <f t="shared" si="36"/>
        <v>-125346.70614514244</v>
      </c>
      <c r="AI92" s="533">
        <f t="shared" si="36"/>
        <v>-3269.9140733515419</v>
      </c>
      <c r="AJ92" s="533">
        <f t="shared" si="36"/>
        <v>0</v>
      </c>
      <c r="AK92" s="533">
        <f t="shared" si="36"/>
        <v>0</v>
      </c>
      <c r="AL92" s="533">
        <f t="shared" si="36"/>
        <v>-21408127.438232537</v>
      </c>
      <c r="AM92" s="18"/>
      <c r="AN92" s="18"/>
      <c r="AO92" s="18"/>
      <c r="AP92" s="18"/>
      <c r="AQ92" s="18"/>
      <c r="AR92" s="18"/>
      <c r="AS92" s="18"/>
      <c r="AT92" s="18"/>
    </row>
    <row r="93" spans="1:46" hidden="1" outlineLevel="1" x14ac:dyDescent="0.45">
      <c r="D93" t="s">
        <v>1544</v>
      </c>
      <c r="F93" s="18"/>
      <c r="G93" s="18"/>
      <c r="I93" s="18"/>
      <c r="J93" s="18"/>
      <c r="K93" s="18"/>
      <c r="L93" s="18"/>
      <c r="N93" s="535"/>
      <c r="O93" s="535"/>
      <c r="P93" s="535">
        <f>SUM(P86:P92)</f>
        <v>79859241.709999979</v>
      </c>
      <c r="Q93" s="1135">
        <f t="shared" ref="Q93:AL93" si="37">SUM(Q86:Q92)</f>
        <v>94625955.401208222</v>
      </c>
      <c r="R93" s="1135">
        <f t="shared" si="37"/>
        <v>118053658.09241645</v>
      </c>
      <c r="S93" s="1135">
        <f t="shared" si="37"/>
        <v>141481360.78362465</v>
      </c>
      <c r="T93" s="1135">
        <f>SUM(T86:T92)</f>
        <v>151730980.71102828</v>
      </c>
      <c r="U93" s="1135">
        <f t="shared" si="37"/>
        <v>161980600.63843188</v>
      </c>
      <c r="V93" s="1135">
        <f t="shared" si="37"/>
        <v>172230220.56583548</v>
      </c>
      <c r="W93" s="1135">
        <f t="shared" si="37"/>
        <v>182479840.49323905</v>
      </c>
      <c r="X93" s="1135">
        <f t="shared" si="37"/>
        <v>192729460.42064267</v>
      </c>
      <c r="Y93" s="1135">
        <f t="shared" si="37"/>
        <v>202979080.34804627</v>
      </c>
      <c r="Z93" s="1135">
        <f t="shared" si="37"/>
        <v>213228700.27544987</v>
      </c>
      <c r="AA93" s="1135">
        <f t="shared" si="37"/>
        <v>223478320.20285347</v>
      </c>
      <c r="AB93" s="1135">
        <f t="shared" si="37"/>
        <v>233727940.13025704</v>
      </c>
      <c r="AC93" s="1135">
        <f t="shared" si="37"/>
        <v>243977560.05766067</v>
      </c>
      <c r="AD93" s="1135">
        <f t="shared" si="37"/>
        <v>254227179.98506427</v>
      </c>
      <c r="AE93" s="1135">
        <f t="shared" si="37"/>
        <v>264476799.91246784</v>
      </c>
      <c r="AF93" s="535">
        <f t="shared" si="37"/>
        <v>274726419.83987141</v>
      </c>
      <c r="AG93" s="535">
        <f t="shared" si="37"/>
        <v>284976039.76727504</v>
      </c>
      <c r="AH93" s="535">
        <f t="shared" si="37"/>
        <v>295225659.6946786</v>
      </c>
      <c r="AI93" s="535">
        <f t="shared" si="37"/>
        <v>305475279.62208223</v>
      </c>
      <c r="AJ93" s="535">
        <f t="shared" si="37"/>
        <v>289762446.36102962</v>
      </c>
      <c r="AK93" s="535">
        <f t="shared" si="37"/>
        <v>289762446.36102962</v>
      </c>
      <c r="AL93" s="535">
        <f t="shared" si="37"/>
        <v>289762446.36102974</v>
      </c>
      <c r="AM93" s="18"/>
      <c r="AN93" s="18"/>
      <c r="AO93" s="18"/>
      <c r="AP93" s="18"/>
      <c r="AQ93" s="18"/>
      <c r="AR93" s="18"/>
      <c r="AS93" s="18"/>
      <c r="AT93" s="18"/>
    </row>
    <row r="94" spans="1:46" hidden="1" outlineLevel="1" x14ac:dyDescent="0.45">
      <c r="F94" s="18"/>
      <c r="G94" s="18"/>
      <c r="I94" s="18"/>
      <c r="J94" s="18"/>
      <c r="K94" s="18"/>
      <c r="L94" s="18"/>
      <c r="P94" s="533">
        <f>SUMIF('10. Inputs &amp; Calcs'!$D$396:$D$400,$E$10,'10. Inputs &amp; Calcs'!H$396:H$400)</f>
        <v>71198252.709999993</v>
      </c>
      <c r="Q94" s="801">
        <f>SUMIF('10. Inputs &amp; Calcs'!$D$396:$D$400,$E$10,'10. Inputs &amp; Calcs'!I$396:I$400)</f>
        <v>94625955.401208222</v>
      </c>
      <c r="R94" s="801">
        <f>SUMIF('10. Inputs &amp; Calcs'!$D$396:$D$400,$E$10,'10. Inputs &amp; Calcs'!J$396:J$400)</f>
        <v>118053658.09241645</v>
      </c>
      <c r="S94" s="801">
        <f>SUMIF('10. Inputs &amp; Calcs'!$D$396:$D$400,$E$10,'10. Inputs &amp; Calcs'!K$396:K$400)</f>
        <v>141481360.78362468</v>
      </c>
      <c r="T94" s="801">
        <f>SUMIF('10. Inputs &amp; Calcs'!$D$396:$D$400,$E$10,'10. Inputs &amp; Calcs'!L$396:L$400)</f>
        <v>151730980.71102828</v>
      </c>
      <c r="U94" s="801">
        <f>SUMIF('10. Inputs &amp; Calcs'!$D$396:$D$400,$E$10,'10. Inputs &amp; Calcs'!M$396:M$400)</f>
        <v>161980600.63843188</v>
      </c>
      <c r="V94" s="801">
        <f>SUMIF('10. Inputs &amp; Calcs'!$D$396:$D$400,$E$10,'10. Inputs &amp; Calcs'!N$396:N$400)</f>
        <v>172230220.56583548</v>
      </c>
      <c r="W94" s="801">
        <f>SUMIF('10. Inputs &amp; Calcs'!$D$396:$D$400,$E$10,'10. Inputs &amp; Calcs'!O$396:O$400)</f>
        <v>182479840.49323907</v>
      </c>
      <c r="X94" s="801">
        <f>SUMIF('10. Inputs &amp; Calcs'!$D$396:$D$400,$E$10,'10. Inputs &amp; Calcs'!P$396:P$400)</f>
        <v>192729460.42064267</v>
      </c>
      <c r="Y94" s="801">
        <f>SUMIF('10. Inputs &amp; Calcs'!$D$396:$D$400,$E$10,'10. Inputs &amp; Calcs'!Q$396:Q$400)</f>
        <v>202979080.34804627</v>
      </c>
      <c r="Z94" s="801">
        <f>SUMIF('10. Inputs &amp; Calcs'!$D$396:$D$400,$E$10,'10. Inputs &amp; Calcs'!R$396:R$400)</f>
        <v>213228700.27544987</v>
      </c>
      <c r="AA94" s="801">
        <f>SUMIF('10. Inputs &amp; Calcs'!$D$396:$D$400,$E$10,'10. Inputs &amp; Calcs'!S$396:S$400)</f>
        <v>223478320.20285347</v>
      </c>
      <c r="AB94" s="801">
        <f>SUMIF('10. Inputs &amp; Calcs'!$D$396:$D$400,$E$10,'10. Inputs &amp; Calcs'!T$396:T$400)</f>
        <v>233727940.13025704</v>
      </c>
      <c r="AC94" s="801">
        <f>SUMIF('10. Inputs &amp; Calcs'!$D$396:$D$400,$E$10,'10. Inputs &amp; Calcs'!U$396:U$400)</f>
        <v>243977560.05766064</v>
      </c>
      <c r="AD94" s="801">
        <f>SUMIF('10. Inputs &amp; Calcs'!$D$396:$D$400,$E$10,'10. Inputs &amp; Calcs'!V$396:V$400)</f>
        <v>254227179.98506424</v>
      </c>
      <c r="AE94" s="801">
        <f>SUMIF('10. Inputs &amp; Calcs'!$D$396:$D$400,$E$10,'10. Inputs &amp; Calcs'!W$396:W$400)</f>
        <v>264476799.91246784</v>
      </c>
      <c r="AF94" s="533">
        <f>SUMIF('10. Inputs &amp; Calcs'!$D$396:$D$400,$E$10,'10. Inputs &amp; Calcs'!X$396:X$400)</f>
        <v>274726419.83987147</v>
      </c>
      <c r="AG94" s="533">
        <f>SUMIF('10. Inputs &amp; Calcs'!$D$396:$D$400,$E$10,'10. Inputs &amp; Calcs'!Y$396:Y$400)</f>
        <v>284976039.76727504</v>
      </c>
      <c r="AH94" s="533">
        <f>SUMIF('10. Inputs &amp; Calcs'!$D$396:$D$400,$E$10,'10. Inputs &amp; Calcs'!Z$396:Z$400)</f>
        <v>295225659.69467866</v>
      </c>
      <c r="AI94" s="533">
        <f>SUMIF('10. Inputs &amp; Calcs'!$D$396:$D$400,$E$10,'10. Inputs &amp; Calcs'!AA$396:AA$400)</f>
        <v>305475279.62208223</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hidden="1"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hidden="1" outlineLevel="1" x14ac:dyDescent="0.45">
      <c r="F96" s="18"/>
      <c r="G96" s="18"/>
      <c r="I96" s="18"/>
      <c r="J96" s="18"/>
      <c r="K96" s="18"/>
      <c r="L96" s="18"/>
      <c r="P96" s="533">
        <f>P94-P95</f>
        <v>62417551.769999996</v>
      </c>
      <c r="Q96" s="801">
        <f t="shared" ref="Q96:AL96" si="38">Q94-Q95</f>
        <v>84458827.996997699</v>
      </c>
      <c r="R96" s="801">
        <f t="shared" si="38"/>
        <v>106500104.2239954</v>
      </c>
      <c r="S96" s="801">
        <f t="shared" si="38"/>
        <v>128541380.45099311</v>
      </c>
      <c r="T96" s="801">
        <f t="shared" si="38"/>
        <v>138636952.99348441</v>
      </c>
      <c r="U96" s="801">
        <f t="shared" si="38"/>
        <v>148732525.53597575</v>
      </c>
      <c r="V96" s="801">
        <f t="shared" si="38"/>
        <v>158828098.07846707</v>
      </c>
      <c r="W96" s="801">
        <f t="shared" si="38"/>
        <v>168923670.62095839</v>
      </c>
      <c r="X96" s="801">
        <f t="shared" si="38"/>
        <v>179019243.1634497</v>
      </c>
      <c r="Y96" s="801">
        <f t="shared" si="38"/>
        <v>189114815.70594102</v>
      </c>
      <c r="Z96" s="801">
        <f t="shared" si="38"/>
        <v>199210388.24843234</v>
      </c>
      <c r="AA96" s="801">
        <f t="shared" si="38"/>
        <v>209305960.79092366</v>
      </c>
      <c r="AB96" s="801">
        <f t="shared" si="38"/>
        <v>219401533.33341494</v>
      </c>
      <c r="AC96" s="801">
        <f t="shared" si="38"/>
        <v>229497105.87590626</v>
      </c>
      <c r="AD96" s="801">
        <f t="shared" si="38"/>
        <v>239592678.41839758</v>
      </c>
      <c r="AE96" s="801">
        <f t="shared" si="38"/>
        <v>249688250.96088889</v>
      </c>
      <c r="AF96" s="533">
        <f t="shared" si="38"/>
        <v>259783823.50338024</v>
      </c>
      <c r="AG96" s="533">
        <f t="shared" si="38"/>
        <v>269879396.04587156</v>
      </c>
      <c r="AH96" s="533">
        <f t="shared" si="38"/>
        <v>279974968.58836287</v>
      </c>
      <c r="AI96" s="533">
        <f t="shared" si="38"/>
        <v>290070541.13085419</v>
      </c>
      <c r="AJ96" s="533">
        <f t="shared" si="38"/>
        <v>0</v>
      </c>
      <c r="AK96" s="533">
        <f t="shared" si="38"/>
        <v>0</v>
      </c>
      <c r="AL96" s="533">
        <f t="shared" si="38"/>
        <v>0</v>
      </c>
      <c r="AM96" s="18"/>
      <c r="AN96" s="18"/>
      <c r="AO96" s="18"/>
      <c r="AP96" s="18"/>
      <c r="AQ96" s="18"/>
      <c r="AR96" s="18"/>
      <c r="AS96" s="18"/>
      <c r="AT96" s="18"/>
    </row>
    <row r="97" spans="3:46" hidden="1"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hidden="1"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hidden="1"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hidden="1"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hidden="1" outlineLevel="1" x14ac:dyDescent="0.45">
      <c r="P101" s="896">
        <f>SUM(P99:P100)</f>
        <v>7399</v>
      </c>
      <c r="Q101" s="1137">
        <f t="shared" ref="Q101:AK101" si="39">SUM(Q99:Q100)</f>
        <v>7399</v>
      </c>
      <c r="R101" s="1137">
        <f t="shared" si="39"/>
        <v>7399</v>
      </c>
      <c r="S101" s="1137">
        <f t="shared" si="39"/>
        <v>7399</v>
      </c>
      <c r="T101" s="1137">
        <f t="shared" si="39"/>
        <v>7399</v>
      </c>
      <c r="U101" s="1137">
        <f t="shared" si="39"/>
        <v>7399</v>
      </c>
      <c r="V101" s="1137">
        <f t="shared" si="39"/>
        <v>7399</v>
      </c>
      <c r="W101" s="1137">
        <f t="shared" si="39"/>
        <v>7399</v>
      </c>
      <c r="X101" s="1137">
        <f t="shared" si="39"/>
        <v>7399</v>
      </c>
      <c r="Y101" s="1137">
        <f t="shared" si="39"/>
        <v>7399</v>
      </c>
      <c r="Z101" s="1137">
        <f t="shared" si="39"/>
        <v>7399</v>
      </c>
      <c r="AA101" s="1137">
        <f t="shared" si="39"/>
        <v>7399</v>
      </c>
      <c r="AB101" s="1137">
        <f t="shared" si="39"/>
        <v>7399</v>
      </c>
      <c r="AC101" s="1137">
        <f t="shared" si="39"/>
        <v>7399</v>
      </c>
      <c r="AD101" s="1137">
        <f t="shared" si="39"/>
        <v>7399</v>
      </c>
      <c r="AE101" s="1137">
        <f t="shared" si="39"/>
        <v>7399</v>
      </c>
      <c r="AF101" s="896">
        <f t="shared" si="39"/>
        <v>7399</v>
      </c>
      <c r="AG101" s="896">
        <f t="shared" si="39"/>
        <v>7399</v>
      </c>
      <c r="AH101" s="896">
        <f t="shared" si="39"/>
        <v>7399</v>
      </c>
      <c r="AI101" s="896">
        <f t="shared" si="39"/>
        <v>7399</v>
      </c>
      <c r="AJ101" s="896">
        <f t="shared" si="39"/>
        <v>7399</v>
      </c>
      <c r="AK101" s="896">
        <f t="shared" si="39"/>
        <v>0</v>
      </c>
      <c r="AL101" s="18"/>
      <c r="AM101" s="18"/>
      <c r="AN101" s="18"/>
      <c r="AO101" s="18"/>
      <c r="AP101" s="18"/>
      <c r="AQ101" s="18"/>
      <c r="AR101" s="18"/>
      <c r="AS101" s="18"/>
      <c r="AT101" s="18"/>
    </row>
    <row r="102" spans="3:46" collapsed="1"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Review'!$F$3:$W$3,'9e. Forecast Results - KZN'!N$1,'11. Table - Expenditure Review'!$F210:$W210)</f>
        <v>3.5148162681969602E-2</v>
      </c>
      <c r="O104" s="800">
        <f>SUMIF('11. Table - Expenditure Review'!$F$3:$W$3,'9e. Forecast Results - KZN'!O$1,'11. Table - Expenditure Review'!$F210:$W210)</f>
        <v>7.2026885887480532E-2</v>
      </c>
      <c r="P104" s="800">
        <f>SUMIF('11. Table - Expenditure Review'!$F$3:$W$3,'9e. Forecast Results - KZN'!P$1,'11. Table - Expenditure Review'!$F210:$W210)</f>
        <v>5.9197853837512041E-2</v>
      </c>
      <c r="Q104" s="916">
        <f t="shared" ref="Q104:AL104" si="40">IF(Q19&lt;&gt;0,Q21/Q19,0)</f>
        <v>5.3213104553193342E-2</v>
      </c>
      <c r="R104" s="916">
        <f t="shared" si="40"/>
        <v>5.3213104553193342E-2</v>
      </c>
      <c r="S104" s="916">
        <f t="shared" si="40"/>
        <v>5.3213104553193342E-2</v>
      </c>
      <c r="T104" s="916">
        <f t="shared" si="40"/>
        <v>5.3213104553193342E-2</v>
      </c>
      <c r="U104" s="916">
        <f t="shared" si="40"/>
        <v>5.3213104553193342E-2</v>
      </c>
      <c r="V104" s="916">
        <f t="shared" si="40"/>
        <v>5.3213104553193342E-2</v>
      </c>
      <c r="W104" s="916">
        <f t="shared" si="40"/>
        <v>5.3213104553193342E-2</v>
      </c>
      <c r="X104" s="916">
        <f t="shared" si="40"/>
        <v>5.3213104553193342E-2</v>
      </c>
      <c r="Y104" s="916">
        <f t="shared" si="40"/>
        <v>5.3213104553193342E-2</v>
      </c>
      <c r="Z104" s="916">
        <f t="shared" si="40"/>
        <v>5.3213104553193342E-2</v>
      </c>
      <c r="AA104" s="916">
        <f t="shared" si="40"/>
        <v>5.3213104553193342E-2</v>
      </c>
      <c r="AB104" s="916">
        <f t="shared" si="40"/>
        <v>5.3213104553193342E-2</v>
      </c>
      <c r="AC104" s="916">
        <f t="shared" si="40"/>
        <v>5.3213104553193342E-2</v>
      </c>
      <c r="AD104" s="916">
        <f t="shared" si="40"/>
        <v>5.3213104553193342E-2</v>
      </c>
      <c r="AE104" s="916">
        <f t="shared" si="40"/>
        <v>5.3213104553193342E-2</v>
      </c>
      <c r="AF104" s="916">
        <f t="shared" si="40"/>
        <v>5.3213104553193342E-2</v>
      </c>
      <c r="AG104" s="916">
        <f t="shared" si="40"/>
        <v>5.3213104553193342E-2</v>
      </c>
      <c r="AH104" s="916">
        <f t="shared" si="40"/>
        <v>5.3213104553193342E-2</v>
      </c>
      <c r="AI104" s="916">
        <f t="shared" si="40"/>
        <v>5.3213104553193342E-2</v>
      </c>
      <c r="AJ104" s="916">
        <f t="shared" si="40"/>
        <v>5.3213104553193342E-2</v>
      </c>
      <c r="AK104" s="916">
        <f t="shared" si="40"/>
        <v>0</v>
      </c>
      <c r="AL104" s="916">
        <f t="shared" si="40"/>
        <v>5.3213104553193016E-2</v>
      </c>
    </row>
    <row r="105" spans="3:46" x14ac:dyDescent="0.45">
      <c r="C105" t="str">
        <f>'11. Table - Expenditure Review'!C211</f>
        <v>E1.44</v>
      </c>
      <c r="D105" t="str">
        <f>'11. Table - Expenditure Review'!E211</f>
        <v>Rental Collections/Rentals Raised</v>
      </c>
      <c r="N105" s="800">
        <f>SUMIF('11. Table - Expenditure Review'!$F$3:$W$3,'9e. Forecast Results - KZN'!N$1,'11. Table - Expenditure Review'!$F211:$W211)</f>
        <v>0.2139386935825236</v>
      </c>
      <c r="O105" s="800">
        <f>SUMIF('11. Table - Expenditure Review'!$F$3:$W$3,'9e. Forecast Results - KZN'!O$1,'11. Table - Expenditure Review'!$F211:$W211)</f>
        <v>0.23776450641986749</v>
      </c>
      <c r="P105" s="800">
        <f>SUMIF('11. Table - Expenditure Review'!$F$3:$W$3,'9e. Forecast Results - KZN'!P$1,'11. Table - Expenditure Review'!$F211:$W211)</f>
        <v>0.2765409995924219</v>
      </c>
      <c r="Q105" s="916">
        <f t="shared" ref="Q105:AL105" si="41">IF(Q23&lt;&gt;0,Q25/Q23,0)</f>
        <v>0.2765409995924219</v>
      </c>
      <c r="R105" s="916">
        <f t="shared" si="41"/>
        <v>0.2765409995924219</v>
      </c>
      <c r="S105" s="916">
        <f t="shared" si="41"/>
        <v>0.2765409995924219</v>
      </c>
      <c r="T105" s="916">
        <f t="shared" si="41"/>
        <v>0.2765409995924219</v>
      </c>
      <c r="U105" s="916">
        <f t="shared" si="41"/>
        <v>0.2765409995924219</v>
      </c>
      <c r="V105" s="916">
        <f t="shared" si="41"/>
        <v>0.2765409995924219</v>
      </c>
      <c r="W105" s="916">
        <f t="shared" si="41"/>
        <v>0.2765409995924219</v>
      </c>
      <c r="X105" s="916">
        <f t="shared" si="41"/>
        <v>0.2765409995924219</v>
      </c>
      <c r="Y105" s="916">
        <f t="shared" si="41"/>
        <v>0.2765409995924219</v>
      </c>
      <c r="Z105" s="916">
        <f t="shared" si="41"/>
        <v>0.2765409995924219</v>
      </c>
      <c r="AA105" s="916">
        <f t="shared" si="41"/>
        <v>0.2765409995924219</v>
      </c>
      <c r="AB105" s="916">
        <f t="shared" si="41"/>
        <v>0.2765409995924219</v>
      </c>
      <c r="AC105" s="916">
        <f t="shared" si="41"/>
        <v>0.2765409995924219</v>
      </c>
      <c r="AD105" s="916">
        <f t="shared" si="41"/>
        <v>0.2765409995924219</v>
      </c>
      <c r="AE105" s="916">
        <f t="shared" si="41"/>
        <v>0.2765409995924219</v>
      </c>
      <c r="AF105" s="916">
        <f t="shared" si="41"/>
        <v>0.2765409995924219</v>
      </c>
      <c r="AG105" s="916">
        <f t="shared" si="41"/>
        <v>0.2765409995924219</v>
      </c>
      <c r="AH105" s="916">
        <f t="shared" si="41"/>
        <v>0.2765409995924219</v>
      </c>
      <c r="AI105" s="916">
        <f t="shared" si="41"/>
        <v>0.2765409995924219</v>
      </c>
      <c r="AJ105" s="916">
        <f t="shared" si="41"/>
        <v>0</v>
      </c>
      <c r="AK105" s="916">
        <f t="shared" si="41"/>
        <v>0</v>
      </c>
      <c r="AL105" s="916">
        <f t="shared" si="41"/>
        <v>0.27654099959242195</v>
      </c>
    </row>
    <row r="106" spans="3:46" x14ac:dyDescent="0.45">
      <c r="C106" t="str">
        <f>'11. Table - Expenditure Review'!C212</f>
        <v>E1.45</v>
      </c>
      <c r="D106" t="str">
        <f>'11. Table - Expenditure Review'!E212</f>
        <v>No. of Sales Accounts Where Any Collections Were Made/Sales Accounts Raised</v>
      </c>
      <c r="N106" s="800">
        <f>SUMIF('11. Table - Expenditure Review'!$F$3:$W$3,'9e. Forecast Results - KZN'!N$1,'11. Table - Expenditure Review'!$F212:$W212)</f>
        <v>2.1969295923769189E-2</v>
      </c>
      <c r="O106" s="800">
        <f>SUMIF('11. Table - Expenditure Review'!$F$3:$W$3,'9e. Forecast Results - KZN'!O$1,'11. Table - Expenditure Review'!$F212:$W212)</f>
        <v>2.4288107202680067E-2</v>
      </c>
      <c r="P106" s="800">
        <f>SUMIF('11. Table - Expenditure Review'!$F$3:$W$3,'9e. Forecast Results - KZN'!P$1,'11. Table - Expenditure Review'!$F212:$W212)</f>
        <v>6.2086092715231786E-2</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Review'!$F$3:$W$3,'9e. Forecast Results - KZN'!N$1,'11. Table - Expenditure Review'!$F213:$W213)</f>
        <v>0.82199546485260766</v>
      </c>
      <c r="O107" s="800">
        <f>SUMIF('11. Table - Expenditure Review'!$F$3:$W$3,'9e. Forecast Results - KZN'!O$1,'11. Table - Expenditure Review'!$F213:$W213)</f>
        <v>0.83685446009389675</v>
      </c>
      <c r="P107" s="800">
        <f>SUMIF('11. Table - Expenditure Review'!$F$3:$W$3,'9e. Forecast Results - KZN'!P$1,'11. Table - Expenditure Review'!$F213:$W213)</f>
        <v>0.83985765124555156</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Review'!$F$3:$W$3,'9e. Forecast Results - KZN'!N$1,'11. Table - Expenditure Review'!$F214:$W214)</f>
        <v>0</v>
      </c>
      <c r="O108" s="800">
        <f>SUMIF('11. Table - Expenditure Review'!$F$3:$W$3,'9e. Forecast Results - KZN'!O$1,'11. Table - Expenditure Review'!$F214:$W214)</f>
        <v>0</v>
      </c>
      <c r="P108" s="800">
        <f>SUMIF('11. Table - Expenditure Review'!$F$3:$W$3,'9e. Forecast Results - KZN'!P$1,'11. Table - Expenditure Review'!$F214:$W214)</f>
        <v>0</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Review'!$F$3:$W$3,'9e. Forecast Results - KZN'!N$1,'11. Table - Expenditure Review'!$F215:$W215)</f>
        <v>0</v>
      </c>
      <c r="O109" s="800">
        <f>SUMIF('11. Table - Expenditure Review'!$F$3:$W$3,'9e. Forecast Results - KZN'!O$1,'11. Table - Expenditure Review'!$F215:$W215)</f>
        <v>0</v>
      </c>
      <c r="P109" s="800">
        <f>SUMIF('11. Table - Expenditure Review'!$F$3:$W$3,'9e. Forecast Results - KZN'!P$1,'11.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Review'!$F$3:$W$3,'9e. Forecast Results - KZN'!N$1,'11. Table - Expenditure Review'!$F216:$W216)</f>
        <v>4.3859747647309115</v>
      </c>
      <c r="O110" s="800">
        <f>SUMIF('11. Table - Expenditure Review'!$F$3:$W$3,'9e. Forecast Results - KZN'!O$1,'11. Table - Expenditure Review'!$F216:$W216)</f>
        <v>3.7877355450022678</v>
      </c>
      <c r="P110" s="800">
        <f>SUMIF('11. Table - Expenditure Review'!$F$3:$W$3,'9e. Forecast Results - KZN'!P$1,'11. Table - Expenditure Review'!$F216:$W216)</f>
        <v>6.4840547126770431</v>
      </c>
      <c r="Q110" s="914">
        <f t="shared" ref="Q110:AL110" ca="1" si="42">IF(Q28&lt;&gt;0,Q47/Q28,0)</f>
        <v>31.950414081001497</v>
      </c>
      <c r="R110" s="914">
        <f t="shared" ca="1" si="42"/>
        <v>32.357250449005463</v>
      </c>
      <c r="S110" s="914">
        <f t="shared" ca="1" si="42"/>
        <v>32.559812710565957</v>
      </c>
      <c r="T110" s="914">
        <f t="shared" ca="1" si="42"/>
        <v>50.974301944440441</v>
      </c>
      <c r="U110" s="914">
        <f t="shared" ca="1" si="42"/>
        <v>52.542197640950519</v>
      </c>
      <c r="V110" s="914">
        <f t="shared" ca="1" si="42"/>
        <v>54.022869585708094</v>
      </c>
      <c r="W110" s="914">
        <f t="shared" ca="1" si="42"/>
        <v>55.382098700065747</v>
      </c>
      <c r="X110" s="914">
        <f t="shared" ca="1" si="42"/>
        <v>56.577682138205709</v>
      </c>
      <c r="Y110" s="914">
        <f t="shared" ca="1" si="42"/>
        <v>57.557446280481493</v>
      </c>
      <c r="Z110" s="914">
        <f t="shared" ca="1" si="42"/>
        <v>58.256673547652575</v>
      </c>
      <c r="AA110" s="914">
        <f t="shared" ca="1" si="42"/>
        <v>58.594734171660328</v>
      </c>
      <c r="AB110" s="914">
        <f t="shared" ca="1" si="42"/>
        <v>58.470624726824056</v>
      </c>
      <c r="AC110" s="914">
        <f t="shared" ca="1" si="42"/>
        <v>57.756980505776227</v>
      </c>
      <c r="AD110" s="914">
        <f t="shared" ca="1" si="42"/>
        <v>56.2919215629341</v>
      </c>
      <c r="AE110" s="914">
        <f t="shared" ca="1" si="42"/>
        <v>53.867766283574099</v>
      </c>
      <c r="AF110" s="914">
        <f t="shared" ca="1" si="42"/>
        <v>50.2151210001119</v>
      </c>
      <c r="AG110" s="914">
        <f t="shared" ca="1" si="42"/>
        <v>44.979984100885083</v>
      </c>
      <c r="AH110" s="914">
        <f t="shared" ca="1" si="42"/>
        <v>37.690017131466753</v>
      </c>
      <c r="AI110" s="914">
        <f t="shared" ca="1" si="42"/>
        <v>27.703507863524301</v>
      </c>
      <c r="AJ110" s="914">
        <f t="shared" ca="1" si="42"/>
        <v>3.9754512955645809</v>
      </c>
      <c r="AK110" s="914">
        <f t="shared" ca="1" si="42"/>
        <v>0</v>
      </c>
      <c r="AL110" s="914">
        <f t="shared" ca="1" si="42"/>
        <v>46.709130392518794</v>
      </c>
    </row>
    <row r="111" spans="3:46" x14ac:dyDescent="0.45">
      <c r="C111" t="str">
        <f>'11. Table - Expenditure Review'!C217</f>
        <v>E1.50</v>
      </c>
      <c r="D111" t="str">
        <f>'11. Table - Expenditure Review'!E217</f>
        <v>Maintenance as % of Expenses</v>
      </c>
      <c r="N111" s="800">
        <f>SUMIF('11. Table - Expenditure Review'!$F$3:$W$3,'9e. Forecast Results - KZN'!N$1,'11. Table - Expenditure Review'!$F217:$W217)</f>
        <v>0.40601093351103773</v>
      </c>
      <c r="O111" s="800">
        <f>SUMIF('11. Table - Expenditure Review'!$F$3:$W$3,'9e. Forecast Results - KZN'!O$1,'11. Table - Expenditure Review'!$F217:$W217)</f>
        <v>0.36961297624928435</v>
      </c>
      <c r="P111" s="800">
        <f>SUMIF('11. Table - Expenditure Review'!$F$3:$W$3,'9e. Forecast Results - KZN'!P$1,'11. Table - Expenditure Review'!$F217:$W217)</f>
        <v>0.42371686963485639</v>
      </c>
      <c r="Q111" s="914">
        <f t="shared" ref="Q111:AL111" si="43">IF(Q47&lt;&gt;0,Q33/Q47,0)</f>
        <v>0.40467270541111561</v>
      </c>
      <c r="R111" s="914">
        <f t="shared" si="43"/>
        <v>0.39380708423471228</v>
      </c>
      <c r="S111" s="914">
        <f t="shared" si="43"/>
        <v>0.38067048374673801</v>
      </c>
      <c r="T111" s="914">
        <f t="shared" si="43"/>
        <v>0.38482090420310539</v>
      </c>
      <c r="U111" s="914">
        <f t="shared" si="43"/>
        <v>0.38195737195409757</v>
      </c>
      <c r="V111" s="914">
        <f t="shared" si="43"/>
        <v>0.37870668448066641</v>
      </c>
      <c r="W111" s="914">
        <f t="shared" si="43"/>
        <v>0.37498463295446738</v>
      </c>
      <c r="X111" s="914">
        <f t="shared" si="43"/>
        <v>0.37068067823677731</v>
      </c>
      <c r="Y111" s="914">
        <f t="shared" si="43"/>
        <v>0.36564678704477233</v>
      </c>
      <c r="Z111" s="914">
        <f t="shared" si="43"/>
        <v>0.35968006178315676</v>
      </c>
      <c r="AA111" s="914">
        <f t="shared" si="43"/>
        <v>0.35249472763258488</v>
      </c>
      <c r="AB111" s="914">
        <f t="shared" si="43"/>
        <v>0.34367500403140322</v>
      </c>
      <c r="AC111" s="914">
        <f t="shared" si="43"/>
        <v>0.33259168941117534</v>
      </c>
      <c r="AD111" s="914">
        <f t="shared" si="43"/>
        <v>0.31824506494510874</v>
      </c>
      <c r="AE111" s="914">
        <f t="shared" si="43"/>
        <v>0.29894507965417055</v>
      </c>
      <c r="AF111" s="914">
        <f t="shared" si="43"/>
        <v>0.2715911565663236</v>
      </c>
      <c r="AG111" s="914">
        <f t="shared" si="43"/>
        <v>0.22981265686639565</v>
      </c>
      <c r="AH111" s="914">
        <f t="shared" si="43"/>
        <v>0.15811418412615832</v>
      </c>
      <c r="AI111" s="914">
        <f t="shared" si="43"/>
        <v>6.4255807981744989E-3</v>
      </c>
      <c r="AJ111" s="914">
        <f t="shared" si="43"/>
        <v>0</v>
      </c>
      <c r="AK111" s="914">
        <f t="shared" si="43"/>
        <v>0</v>
      </c>
      <c r="AL111" s="914">
        <f t="shared" si="43"/>
        <v>0.3489260777524768</v>
      </c>
    </row>
    <row r="112" spans="3:46" x14ac:dyDescent="0.45">
      <c r="C112" t="str">
        <f>'11. Table - Expenditure Review'!C218</f>
        <v>E1.51</v>
      </c>
      <c r="D112" t="str">
        <f>'11. Table - Expenditure Review'!E218</f>
        <v>Maintenance Cost per Unit</v>
      </c>
      <c r="N112" s="801">
        <f>SUMIF('11. Table - Expenditure Review'!$F$3:$W$3,'9e. Forecast Results - KZN'!N$1,'11. Table - Expenditure Review'!$F218:$W218)</f>
        <v>0</v>
      </c>
      <c r="O112" s="801">
        <f>SUMIF('11. Table - Expenditure Review'!$F$3:$W$3,'9e. Forecast Results - KZN'!O$1,'11. Table - Expenditure Review'!$F218:$W218)</f>
        <v>0</v>
      </c>
      <c r="P112" s="801">
        <f>SUMIF('11. Table - Expenditure Review'!$F$3:$W$3,'9e. Forecast Results - KZN'!P$1,'11. Table - Expenditure Review'!$F218:$W218)</f>
        <v>11728.693909481077</v>
      </c>
      <c r="Q112" s="566">
        <f t="shared" ref="Q112:AL112" si="44">IF(Q13&lt;&gt;0,Q33/Q13,0)</f>
        <v>12373.772074502538</v>
      </c>
      <c r="R112" s="566">
        <f t="shared" si="44"/>
        <v>13054.329538600179</v>
      </c>
      <c r="S112" s="566">
        <f t="shared" si="44"/>
        <v>13772.317663223188</v>
      </c>
      <c r="T112" s="566">
        <f t="shared" si="44"/>
        <v>14529.795134700464</v>
      </c>
      <c r="U112" s="566">
        <f t="shared" si="44"/>
        <v>15328.93386710899</v>
      </c>
      <c r="V112" s="566">
        <f t="shared" si="44"/>
        <v>16172.025229799985</v>
      </c>
      <c r="W112" s="566">
        <f t="shared" si="44"/>
        <v>17061.486617438983</v>
      </c>
      <c r="X112" s="566">
        <f t="shared" si="44"/>
        <v>17999.868381398122</v>
      </c>
      <c r="Y112" s="566">
        <f t="shared" si="44"/>
        <v>18989.861142375015</v>
      </c>
      <c r="Z112" s="566">
        <f t="shared" si="44"/>
        <v>20034.303505205644</v>
      </c>
      <c r="AA112" s="566">
        <f t="shared" si="44"/>
        <v>21136.190197991949</v>
      </c>
      <c r="AB112" s="566">
        <f t="shared" si="44"/>
        <v>22298.680658881512</v>
      </c>
      <c r="AC112" s="566">
        <f t="shared" si="44"/>
        <v>23525.108095119991</v>
      </c>
      <c r="AD112" s="566">
        <f t="shared" si="44"/>
        <v>24818.989040351586</v>
      </c>
      <c r="AE112" s="566">
        <f t="shared" si="44"/>
        <v>26184.033437570921</v>
      </c>
      <c r="AF112" s="566">
        <f t="shared" si="44"/>
        <v>27624.155276637321</v>
      </c>
      <c r="AG112" s="566">
        <f t="shared" si="44"/>
        <v>29143.483816852375</v>
      </c>
      <c r="AH112" s="566">
        <f t="shared" si="44"/>
        <v>30746.375426779254</v>
      </c>
      <c r="AI112" s="566">
        <f t="shared" si="44"/>
        <v>32437.426075252111</v>
      </c>
      <c r="AJ112" s="566">
        <f t="shared" si="44"/>
        <v>0</v>
      </c>
      <c r="AK112" s="566">
        <f t="shared" si="44"/>
        <v>0</v>
      </c>
      <c r="AL112" s="566">
        <f t="shared" si="44"/>
        <v>0</v>
      </c>
    </row>
    <row r="113" spans="1:38" x14ac:dyDescent="0.45">
      <c r="C113" t="str">
        <f>'11. Table - Expenditure Review'!C219</f>
        <v>E1.52</v>
      </c>
      <c r="D113" t="str">
        <f>'11. Table - Expenditure Review'!E219</f>
        <v>Net Deficit as % of HSDG Grant -  NDoHS Calc  (excl staff costs)</v>
      </c>
      <c r="N113" s="802">
        <f>SUMIF('11. Table - Expenditure Review'!$F$3:$W$3,'9e. Forecast Results - KZN'!N$1,'11. Table - Expenditure Review'!$F219:$W219)</f>
        <v>9.6244102864323916E-3</v>
      </c>
      <c r="O113" s="802">
        <f>SUMIF('11. Table - Expenditure Review'!$F$3:$W$3,'9e. Forecast Results - KZN'!O$1,'11. Table - Expenditure Review'!$F219:$W219)</f>
        <v>1.0521306118901294E-2</v>
      </c>
      <c r="P113" s="802">
        <f>SUMIF('11. Table - Expenditure Review'!$F$3:$W$3,'9e. Forecast Results - KZN'!P$1,'11. Table - Expenditure Review'!$F219:$W219)</f>
        <v>0</v>
      </c>
      <c r="Q113" s="915">
        <f t="shared" ref="Q113:AL113" ca="1" si="45">IF(Q71&lt;&gt;0,-Q48/Q71,0)</f>
        <v>1.9282360142148663E-2</v>
      </c>
      <c r="R113" s="915">
        <f t="shared" ca="1" si="45"/>
        <v>1.8592059282128749E-2</v>
      </c>
      <c r="S113" s="915">
        <f t="shared" ca="1" si="45"/>
        <v>1.7762300904169637E-2</v>
      </c>
      <c r="T113" s="915">
        <f t="shared" ca="1" si="45"/>
        <v>1.7579431411054242E-2</v>
      </c>
      <c r="U113" s="915">
        <f t="shared" ca="1" si="45"/>
        <v>1.7452287587692499E-2</v>
      </c>
      <c r="V113" s="915">
        <f t="shared" ca="1" si="45"/>
        <v>1.7255467636870789E-2</v>
      </c>
      <c r="W113" s="915">
        <f t="shared" ca="1" si="45"/>
        <v>1.698173162630421E-2</v>
      </c>
      <c r="X113" s="915">
        <f t="shared" ca="1" si="45"/>
        <v>1.6623254001442059E-2</v>
      </c>
      <c r="Y113" s="915">
        <f t="shared" ca="1" si="45"/>
        <v>1.6171581067813807E-2</v>
      </c>
      <c r="Z113" s="915">
        <f t="shared" ca="1" si="45"/>
        <v>1.5617585567940405E-2</v>
      </c>
      <c r="AA113" s="915">
        <f t="shared" ca="1" si="45"/>
        <v>1.4951418161829121E-2</v>
      </c>
      <c r="AB113" s="915">
        <f t="shared" ca="1" si="45"/>
        <v>1.4162455607850913E-2</v>
      </c>
      <c r="AC113" s="915">
        <f t="shared" ca="1" si="45"/>
        <v>1.3239245427813922E-2</v>
      </c>
      <c r="AD113" s="915">
        <f t="shared" ca="1" si="45"/>
        <v>1.2169446826247472E-2</v>
      </c>
      <c r="AE113" s="915">
        <f t="shared" ca="1" si="45"/>
        <v>1.0939767619247953E-2</v>
      </c>
      <c r="AF113" s="915">
        <f t="shared" ca="1" si="45"/>
        <v>9.5358969126574725E-3</v>
      </c>
      <c r="AG113" s="915">
        <f t="shared" ca="1" si="45"/>
        <v>7.9424332527922147E-3</v>
      </c>
      <c r="AH113" s="915">
        <f t="shared" ca="1" si="45"/>
        <v>6.1428079553493943E-3</v>
      </c>
      <c r="AI113" s="915">
        <f t="shared" ca="1" si="45"/>
        <v>4.1192032994365876E-3</v>
      </c>
      <c r="AJ113" s="915">
        <f t="shared" ca="1" si="45"/>
        <v>1.2266110141170973E-5</v>
      </c>
      <c r="AK113" s="915">
        <f t="shared" ca="1" si="45"/>
        <v>0</v>
      </c>
      <c r="AL113" s="915">
        <f t="shared" ca="1" si="45"/>
        <v>1.2692047638139584E-2</v>
      </c>
    </row>
    <row r="114" spans="1:38" x14ac:dyDescent="0.45">
      <c r="C114" t="str">
        <f>'11. Table - Expenditure Review'!C220</f>
        <v>E1.53</v>
      </c>
      <c r="D114" t="str">
        <f>'11. Table - Expenditure Review'!E220</f>
        <v>Net Deficit (Surplus) as % of HSDG Grant - Calculated Above</v>
      </c>
      <c r="N114" s="802">
        <f>SUMIF('11. Table - Expenditure Review'!$F$3:$W$3,'9e. Forecast Results - KZN'!N$1,'11. Table - Expenditure Review'!$F220:$W220)</f>
        <v>1.224284821461198E-2</v>
      </c>
      <c r="O114" s="802">
        <f>SUMIF('11. Table - Expenditure Review'!$F$3:$W$3,'9e. Forecast Results - KZN'!O$1,'11. Table - Expenditure Review'!$F220:$W220)</f>
        <v>1.2637450722189209E-2</v>
      </c>
      <c r="P114" s="802">
        <f>SUMIF('11. Table - Expenditure Review'!$F$3:$W$3,'9e. Forecast Results - KZN'!P$1,'11. Table - Expenditure Review'!$F220:$W220)</f>
        <v>1.6931757323198977E-2</v>
      </c>
      <c r="Q114" s="915">
        <f t="shared" ref="Q114:AL114" ca="1" si="46">IF(Q71&lt;&gt;0,-Q48/Q71,0)</f>
        <v>1.9282360142148663E-2</v>
      </c>
      <c r="R114" s="915">
        <f t="shared" ca="1" si="46"/>
        <v>1.8592059282128749E-2</v>
      </c>
      <c r="S114" s="915">
        <f t="shared" ca="1" si="46"/>
        <v>1.7762300904169637E-2</v>
      </c>
      <c r="T114" s="915">
        <f t="shared" ca="1" si="46"/>
        <v>1.7579431411054242E-2</v>
      </c>
      <c r="U114" s="915">
        <f t="shared" ca="1" si="46"/>
        <v>1.7452287587692499E-2</v>
      </c>
      <c r="V114" s="915">
        <f t="shared" ca="1" si="46"/>
        <v>1.7255467636870789E-2</v>
      </c>
      <c r="W114" s="915">
        <f t="shared" ca="1" si="46"/>
        <v>1.698173162630421E-2</v>
      </c>
      <c r="X114" s="915">
        <f t="shared" ca="1" si="46"/>
        <v>1.6623254001442059E-2</v>
      </c>
      <c r="Y114" s="915">
        <f t="shared" ca="1" si="46"/>
        <v>1.6171581067813807E-2</v>
      </c>
      <c r="Z114" s="915">
        <f t="shared" ca="1" si="46"/>
        <v>1.5617585567940405E-2</v>
      </c>
      <c r="AA114" s="915">
        <f t="shared" ca="1" si="46"/>
        <v>1.4951418161829121E-2</v>
      </c>
      <c r="AB114" s="915">
        <f t="shared" ca="1" si="46"/>
        <v>1.4162455607850913E-2</v>
      </c>
      <c r="AC114" s="915">
        <f t="shared" ca="1" si="46"/>
        <v>1.3239245427813922E-2</v>
      </c>
      <c r="AD114" s="915">
        <f t="shared" ca="1" si="46"/>
        <v>1.2169446826247472E-2</v>
      </c>
      <c r="AE114" s="915">
        <f t="shared" ca="1" si="46"/>
        <v>1.0939767619247953E-2</v>
      </c>
      <c r="AF114" s="915">
        <f t="shared" ca="1" si="46"/>
        <v>9.5358969126574725E-3</v>
      </c>
      <c r="AG114" s="915">
        <f t="shared" ca="1" si="46"/>
        <v>7.9424332527922147E-3</v>
      </c>
      <c r="AH114" s="915">
        <f t="shared" ca="1" si="46"/>
        <v>6.1428079553493943E-3</v>
      </c>
      <c r="AI114" s="915">
        <f t="shared" ca="1" si="46"/>
        <v>4.1192032994365876E-3</v>
      </c>
      <c r="AJ114" s="915">
        <f t="shared" ca="1" si="46"/>
        <v>1.2266110141170973E-5</v>
      </c>
      <c r="AK114" s="915">
        <f t="shared" ca="1" si="46"/>
        <v>0</v>
      </c>
      <c r="AL114" s="915">
        <f t="shared" ca="1" si="46"/>
        <v>1.2692047638139584E-2</v>
      </c>
    </row>
    <row r="115" spans="1:38" x14ac:dyDescent="0.45">
      <c r="C115" t="str">
        <f>'11. Table - Expenditure Review'!C221</f>
        <v>E1.54</v>
      </c>
      <c r="D115" t="str">
        <f>'11. Table - Expenditure Review'!E221</f>
        <v>EEDBS as % of HSDG</v>
      </c>
      <c r="N115" s="802">
        <f>SUMIF('11. Table - Expenditure Review'!$F$3:$W$3,'9e. Forecast Results - KZN'!N$1,'11. Table - Expenditure Review'!$F221:$W221)</f>
        <v>3.032000393688501E-3</v>
      </c>
      <c r="O115" s="802">
        <f>SUMIF('11. Table - Expenditure Review'!$F$3:$W$3,'9e. Forecast Results - KZN'!O$1,'11. Table - Expenditure Review'!$F221:$W221)</f>
        <v>3.7679741924084758E-3</v>
      </c>
      <c r="P115" s="802">
        <f>SUMIF('11. Table - Expenditure Review'!$F$3:$W$3,'9e. Forecast Results - KZN'!P$1,'11. Table - Expenditure Review'!$F221:$W221)</f>
        <v>2.443947715649525E-3</v>
      </c>
      <c r="Q115" s="580">
        <f t="shared" ref="Q115:AL115" ca="1" si="47">IF(Q71&lt;&gt;0,Q67/Q71,0)</f>
        <v>1.4241317075318043E-3</v>
      </c>
      <c r="R115" s="580">
        <f t="shared" ca="1" si="47"/>
        <v>1.4241317075318043E-3</v>
      </c>
      <c r="S115" s="580">
        <f t="shared" ca="1" si="47"/>
        <v>1.4241317075318043E-3</v>
      </c>
      <c r="T115" s="580">
        <f t="shared" ca="1" si="47"/>
        <v>6.230576220451644E-4</v>
      </c>
      <c r="U115" s="580">
        <f t="shared" ca="1" si="47"/>
        <v>6.230576220451644E-4</v>
      </c>
      <c r="V115" s="580">
        <f t="shared" ca="1" si="47"/>
        <v>6.230576220451644E-4</v>
      </c>
      <c r="W115" s="580">
        <f t="shared" ca="1" si="47"/>
        <v>6.230576220451644E-4</v>
      </c>
      <c r="X115" s="580">
        <f t="shared" ca="1" si="47"/>
        <v>6.230576220451644E-4</v>
      </c>
      <c r="Y115" s="580">
        <f t="shared" ca="1" si="47"/>
        <v>6.230576220451644E-4</v>
      </c>
      <c r="Z115" s="580">
        <f t="shared" ca="1" si="47"/>
        <v>6.230576220451644E-4</v>
      </c>
      <c r="AA115" s="580">
        <f t="shared" ca="1" si="47"/>
        <v>6.230576220451644E-4</v>
      </c>
      <c r="AB115" s="580">
        <f t="shared" ca="1" si="47"/>
        <v>6.230576220451644E-4</v>
      </c>
      <c r="AC115" s="580">
        <f t="shared" ca="1" si="47"/>
        <v>6.230576220451644E-4</v>
      </c>
      <c r="AD115" s="580">
        <f t="shared" ca="1" si="47"/>
        <v>6.230576220451644E-4</v>
      </c>
      <c r="AE115" s="580">
        <f t="shared" ca="1" si="47"/>
        <v>6.230576220451644E-4</v>
      </c>
      <c r="AF115" s="580">
        <f t="shared" ca="1" si="47"/>
        <v>6.230576220451644E-4</v>
      </c>
      <c r="AG115" s="580">
        <f t="shared" ca="1" si="47"/>
        <v>6.230576220451644E-4</v>
      </c>
      <c r="AH115" s="580">
        <f t="shared" ca="1" si="47"/>
        <v>6.230576220451644E-4</v>
      </c>
      <c r="AI115" s="580">
        <f t="shared" ca="1" si="47"/>
        <v>6.230576220451644E-4</v>
      </c>
      <c r="AJ115" s="580">
        <f t="shared" ca="1" si="47"/>
        <v>8.6292815420337787E-2</v>
      </c>
      <c r="AK115" s="580">
        <f t="shared" ca="1" si="47"/>
        <v>0</v>
      </c>
      <c r="AL115" s="580">
        <f t="shared" ca="1" si="47"/>
        <v>4.7873396426502774E-3</v>
      </c>
    </row>
    <row r="116" spans="1:38" x14ac:dyDescent="0.45">
      <c r="C116" t="str">
        <f>'11. Table - Expenditure Review'!C222</f>
        <v>E1.55</v>
      </c>
      <c r="D116" t="str">
        <f>'11. Table - Expenditure Review'!E222</f>
        <v>Debtors Balance as % of Rental Raised</v>
      </c>
      <c r="N116" s="802">
        <f>SUMIF('11. Table - Expenditure Review'!$F$3:$W$3,'9e. Forecast Results - KZN'!N$1,'11. Table - Expenditure Review'!$F222:$W222)</f>
        <v>0</v>
      </c>
      <c r="O116" s="802">
        <f>SUMIF('11. Table - Expenditure Review'!$F$3:$W$3,'9e. Forecast Results - KZN'!O$1,'11. Table - Expenditure Review'!$F222:$W222)</f>
        <v>0</v>
      </c>
      <c r="P116" s="802">
        <f>SUMIF('11. Table - Expenditure Review'!$F$3:$W$3,'9e. Forecast Results - KZN'!P$1,'11. Table - Expenditure Review'!$F222:$W222)</f>
        <v>12.868293053481981</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Review'!$F$3:$W$3,'9e. Forecast Results - KZN'!N$1,'11. Table - Expenditure Review'!$F223:$W223)</f>
        <v>0</v>
      </c>
      <c r="O117" s="801">
        <f>SUMIF('11. Table - Expenditure Review'!$F$3:$W$3,'9e. Forecast Results - KZN'!O$1,'11. Table - Expenditure Review'!$F223:$W223)</f>
        <v>0</v>
      </c>
      <c r="P117" s="801">
        <f>SUMIF('11. Table - Expenditure Review'!$F$3:$W$3,'9e. Forecast Results - KZN'!P$1,'11. Table - Expenditure Review'!$F223:$W223)</f>
        <v>2306.7081562405169</v>
      </c>
      <c r="Q117" s="566">
        <f t="shared" ref="Q117:AL117" si="48">IF(Q13&lt;&gt;0,Q47/Q13/12,0)</f>
        <v>2548.1028472815992</v>
      </c>
      <c r="R117" s="566">
        <f t="shared" si="48"/>
        <v>2762.4205821421288</v>
      </c>
      <c r="S117" s="566">
        <f t="shared" si="48"/>
        <v>3014.9254738791315</v>
      </c>
      <c r="T117" s="566">
        <f t="shared" si="48"/>
        <v>3146.4409755296961</v>
      </c>
      <c r="U117" s="566">
        <f t="shared" si="48"/>
        <v>3344.3814660708554</v>
      </c>
      <c r="V117" s="566">
        <f t="shared" si="48"/>
        <v>3558.608348828338</v>
      </c>
      <c r="W117" s="566">
        <f t="shared" si="48"/>
        <v>3791.5968455856423</v>
      </c>
      <c r="X117" s="566">
        <f t="shared" si="48"/>
        <v>4046.5800346492265</v>
      </c>
      <c r="Y117" s="566">
        <f t="shared" si="48"/>
        <v>4327.9155857521064</v>
      </c>
      <c r="Z117" s="566">
        <f t="shared" si="48"/>
        <v>4641.6954107036117</v>
      </c>
      <c r="AA117" s="566">
        <f t="shared" si="48"/>
        <v>4996.8100090333819</v>
      </c>
      <c r="AB117" s="566">
        <f t="shared" si="48"/>
        <v>5406.9203941009664</v>
      </c>
      <c r="AC117" s="566">
        <f t="shared" si="48"/>
        <v>5894.3916429905257</v>
      </c>
      <c r="AD117" s="566">
        <f t="shared" si="48"/>
        <v>6498.9195890679393</v>
      </c>
      <c r="AE117" s="566">
        <f t="shared" si="48"/>
        <v>7299.0088647334669</v>
      </c>
      <c r="AF117" s="566">
        <f t="shared" si="48"/>
        <v>8476.0231843470083</v>
      </c>
      <c r="AG117" s="566">
        <f t="shared" si="48"/>
        <v>10567.841147305799</v>
      </c>
      <c r="AH117" s="566">
        <f t="shared" si="48"/>
        <v>16204.731829670907</v>
      </c>
      <c r="AI117" s="566">
        <f t="shared" si="48"/>
        <v>420680.85742105934</v>
      </c>
      <c r="AJ117" s="566">
        <f t="shared" si="48"/>
        <v>0</v>
      </c>
      <c r="AK117" s="566">
        <f t="shared" si="48"/>
        <v>0</v>
      </c>
      <c r="AL117" s="566">
        <f t="shared" si="48"/>
        <v>0</v>
      </c>
    </row>
    <row r="118" spans="1:38" x14ac:dyDescent="0.45">
      <c r="C118" t="str">
        <f>'11. Table - Expenditure Review'!C224</f>
        <v>E1.57</v>
      </c>
      <c r="D118" t="str">
        <f>'11. Table - Expenditure Review'!E224</f>
        <v>Net Surplus/Deficit p.u.p.m.</v>
      </c>
      <c r="N118" s="801">
        <f>SUMIF('11. Table - Expenditure Review'!$F$3:$W$3,'9e. Forecast Results - KZN'!N$1,'11. Table - Expenditure Review'!$F224:$W224)</f>
        <v>0</v>
      </c>
      <c r="O118" s="801">
        <f>SUMIF('11. Table - Expenditure Review'!$F$3:$W$3,'9e. Forecast Results - KZN'!O$1,'11. Table - Expenditure Review'!$F224:$W224)</f>
        <v>0</v>
      </c>
      <c r="P118" s="801">
        <f>SUMIF('11. Table - Expenditure Review'!$F$3:$W$3,'9e. Forecast Results - KZN'!P$1,'11. Table - Expenditure Review'!$F224:$W224)</f>
        <v>-1950.9572783630299</v>
      </c>
      <c r="Q118" s="566">
        <f t="shared" ref="Q118:AL118" ca="1" si="49">IF(Q13&lt;&gt;0,Q48/Q13/12,0)</f>
        <v>-2468.3510531163784</v>
      </c>
      <c r="R118" s="566">
        <f t="shared" ca="1" si="49"/>
        <v>-2677.0480444941704</v>
      </c>
      <c r="S118" s="566">
        <f t="shared" ca="1" si="49"/>
        <v>-2922.3289500391543</v>
      </c>
      <c r="T118" s="566">
        <f t="shared" ca="1" si="49"/>
        <v>-3084.7149517195189</v>
      </c>
      <c r="U118" s="566">
        <f t="shared" ca="1" si="49"/>
        <v>-3280.7301226511372</v>
      </c>
      <c r="V118" s="566">
        <f t="shared" ca="1" si="49"/>
        <v>-3492.7360918357222</v>
      </c>
      <c r="W118" s="566">
        <f t="shared" ca="1" si="49"/>
        <v>-3723.1343471505456</v>
      </c>
      <c r="X118" s="566">
        <f t="shared" ca="1" si="49"/>
        <v>-3975.0574857974657</v>
      </c>
      <c r="Y118" s="566">
        <f t="shared" ca="1" si="49"/>
        <v>-4252.7226113337856</v>
      </c>
      <c r="Z118" s="566">
        <f t="shared" ca="1" si="49"/>
        <v>-4562.0187809196123</v>
      </c>
      <c r="AA118" s="566">
        <f t="shared" ca="1" si="49"/>
        <v>-4911.5325505779065</v>
      </c>
      <c r="AB118" s="566">
        <f t="shared" ca="1" si="49"/>
        <v>-5314.4479702238114</v>
      </c>
      <c r="AC118" s="566">
        <f t="shared" ca="1" si="49"/>
        <v>-5792.3365910924958</v>
      </c>
      <c r="AD118" s="566">
        <f t="shared" ca="1" si="49"/>
        <v>-6383.4692827250974</v>
      </c>
      <c r="AE118" s="566">
        <f t="shared" ca="1" si="49"/>
        <v>-7163.5102285674593</v>
      </c>
      <c r="AF118" s="566">
        <f t="shared" ca="1" si="49"/>
        <v>-8307.2289443743884</v>
      </c>
      <c r="AG118" s="566">
        <f t="shared" ca="1" si="49"/>
        <v>-10332.89572972621</v>
      </c>
      <c r="AH118" s="566">
        <f t="shared" ca="1" si="49"/>
        <v>-15774.784245058594</v>
      </c>
      <c r="AI118" s="566">
        <f t="shared" ca="1" si="49"/>
        <v>-405495.74586430419</v>
      </c>
      <c r="AJ118" s="566">
        <f t="shared" si="49"/>
        <v>0</v>
      </c>
      <c r="AK118" s="566">
        <f t="shared" si="49"/>
        <v>0</v>
      </c>
      <c r="AL118" s="566">
        <f t="shared" si="49"/>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10104396</v>
      </c>
      <c r="O127" s="615">
        <f>SUMIF('10. Inputs &amp; Calcs'!$D$143:$D$148,$E$10,'10. Inputs &amp; Calcs'!G$143:G$148)</f>
        <v>13221991</v>
      </c>
      <c r="P127" s="615">
        <f>SUMIF('10. Inputs &amp; Calcs'!$D$143:$D$148,$E$10,'10. Inputs &amp; Calcs'!H$143:H$148)</f>
        <v>8660989</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1137587.97</v>
      </c>
      <c r="O128" s="615">
        <f>SUMIF('10. Inputs &amp; Calcs'!$D$432:$D$437,$E$10,'10. Inputs &amp; Calcs'!G$432:G$437)</f>
        <v>1769057.1599999997</v>
      </c>
      <c r="P128" s="615">
        <f>SUMIF('10. Inputs &amp; Calcs'!$D$432:$D$437,$E$10,'10. Inputs &amp; Calcs'!H$432:H$437)</f>
        <v>1212636.4100000001</v>
      </c>
      <c r="Q128" s="615">
        <f>SUMIF('10. Inputs &amp; Calcs'!$D$432:$D$437,$E$10,'10. Inputs &amp; Calcs'!I$432:I$437)</f>
        <v>1246660.7927483923</v>
      </c>
      <c r="R128" s="615">
        <f>SUMIF('10. Inputs &amp; Calcs'!$D$432:$D$437,$E$10,'10. Inputs &amp; Calcs'!J$432:J$437)</f>
        <v>1246660.7927483923</v>
      </c>
      <c r="S128" s="615">
        <f>SUMIF('10. Inputs &amp; Calcs'!$D$432:$D$437,$E$10,'10. Inputs &amp; Calcs'!K$432:K$437)</f>
        <v>1246660.7927483923</v>
      </c>
      <c r="T128" s="615">
        <f>SUMIF('10. Inputs &amp; Calcs'!$D$432:$D$437,$E$10,'10. Inputs &amp; Calcs'!L$432:L$437)</f>
        <v>545414.09682742169</v>
      </c>
      <c r="U128" s="615">
        <f>SUMIF('10. Inputs &amp; Calcs'!$D$432:$D$437,$E$10,'10. Inputs &amp; Calcs'!M$432:M$437)</f>
        <v>545414.09682742169</v>
      </c>
      <c r="V128" s="615">
        <f>SUMIF('10. Inputs &amp; Calcs'!$D$432:$D$437,$E$10,'10. Inputs &amp; Calcs'!N$432:N$437)</f>
        <v>545414.09682742169</v>
      </c>
      <c r="W128" s="615">
        <f>SUMIF('10. Inputs &amp; Calcs'!$D$432:$D$437,$E$10,'10. Inputs &amp; Calcs'!O$432:O$437)</f>
        <v>545414.09682742169</v>
      </c>
      <c r="X128" s="615">
        <f>SUMIF('10. Inputs &amp; Calcs'!$D$432:$D$437,$E$10,'10. Inputs &amp; Calcs'!P$432:P$437)</f>
        <v>545414.09682742169</v>
      </c>
      <c r="Y128" s="615">
        <f>SUMIF('10. Inputs &amp; Calcs'!$D$432:$D$437,$E$10,'10. Inputs &amp; Calcs'!Q$432:Q$437)</f>
        <v>545414.09682742169</v>
      </c>
      <c r="Z128" s="615">
        <f>SUMIF('10. Inputs &amp; Calcs'!$D$432:$D$437,$E$10,'10. Inputs &amp; Calcs'!R$432:R$437)</f>
        <v>545414.09682742169</v>
      </c>
      <c r="AA128" s="615">
        <f>SUMIF('10. Inputs &amp; Calcs'!$D$432:$D$437,$E$10,'10. Inputs &amp; Calcs'!S$432:S$437)</f>
        <v>545414.09682742169</v>
      </c>
      <c r="AB128" s="615">
        <f>SUMIF('10. Inputs &amp; Calcs'!$D$432:$D$437,$E$10,'10. Inputs &amp; Calcs'!T$432:T$437)</f>
        <v>545414.09682742169</v>
      </c>
      <c r="AC128" s="615">
        <f>SUMIF('10. Inputs &amp; Calcs'!$D$432:$D$437,$E$10,'10. Inputs &amp; Calcs'!U$432:U$437)</f>
        <v>545414.09682742169</v>
      </c>
      <c r="AD128" s="615">
        <f>SUMIF('10. Inputs &amp; Calcs'!$D$432:$D$437,$E$10,'10. Inputs &amp; Calcs'!V$432:V$437)</f>
        <v>545414.09682742169</v>
      </c>
      <c r="AE128" s="615">
        <f>SUMIF('10. Inputs &amp; Calcs'!$D$432:$D$437,$E$10,'10. Inputs &amp; Calcs'!W$432:W$437)</f>
        <v>545414.09682742169</v>
      </c>
      <c r="AF128" s="615">
        <f>SUMIF('10. Inputs &amp; Calcs'!$D$432:$D$437,$E$10,'10. Inputs &amp; Calcs'!X$432:X$437)</f>
        <v>545414.09682742169</v>
      </c>
      <c r="AG128" s="615">
        <f>SUMIF('10. Inputs &amp; Calcs'!$D$432:$D$437,$E$10,'10. Inputs &amp; Calcs'!Y$432:Y$437)</f>
        <v>545414.09682742169</v>
      </c>
      <c r="AH128" s="615">
        <f>SUMIF('10. Inputs &amp; Calcs'!$D$432:$D$437,$E$10,'10. Inputs &amp; Calcs'!Z$432:Z$437)</f>
        <v>545414.09682742169</v>
      </c>
      <c r="AI128" s="615">
        <f>SUMIF('10. Inputs &amp; Calcs'!$D$432:$D$437,$E$10,'10. Inputs &amp; Calcs'!AA$432:AA$437)</f>
        <v>545414.09682742169</v>
      </c>
      <c r="AJ128" s="615">
        <f>SUMIF('10. Inputs &amp; Calcs'!$D$432:$D$437,$E$10,'10. Inputs &amp; Calcs'!AB$432:AB$437)</f>
        <v>14609.306165020222</v>
      </c>
      <c r="AK128" s="615">
        <f>SUMIF('10. Inputs &amp; Calcs'!$D$432:$D$437,$E$10,'10. Inputs &amp; Calcs'!AC$432:AC$437)</f>
        <v>0</v>
      </c>
      <c r="AL128" s="615">
        <f>SUMIF('10. Inputs &amp; Calcs'!$D$432:$D$437,$E$10,'10. Inputs &amp; Calcs'!AD$432:AD$437)</f>
        <v>12481217.233648939</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841411.46</v>
      </c>
      <c r="O129" s="615">
        <f>SUMIF('10. Inputs &amp; Calcs'!$D$574:$D$579,$E$10,'10. Inputs &amp; Calcs'!G$574:G$579)</f>
        <v>925045.98</v>
      </c>
      <c r="P129" s="615">
        <f>SUMIF('10. Inputs &amp; Calcs'!$D$574:$D$579,$E$10,'10. Inputs &amp; Calcs'!H$574:H$579)</f>
        <v>1067847.6499999999</v>
      </c>
      <c r="Q129" s="615">
        <f>SUMIF('10. Inputs &amp; Calcs'!$D$574:$D$579,$E$10,'10. Inputs &amp; Calcs'!I$574:I$579)</f>
        <v>961187.87692157621</v>
      </c>
      <c r="R129" s="615">
        <f>SUMIF('10. Inputs &amp; Calcs'!$D$574:$D$579,$E$10,'10. Inputs &amp; Calcs'!J$574:J$579)</f>
        <v>854528.10384315252</v>
      </c>
      <c r="S129" s="615">
        <f>SUMIF('10. Inputs &amp; Calcs'!$D$574:$D$579,$E$10,'10. Inputs &amp; Calcs'!K$574:K$579)</f>
        <v>747868.33076472871</v>
      </c>
      <c r="T129" s="615">
        <f>SUMIF('10. Inputs &amp; Calcs'!$D$574:$D$579,$E$10,'10. Inputs &amp; Calcs'!L$574:L$579)</f>
        <v>701204.68004291842</v>
      </c>
      <c r="U129" s="615">
        <f>SUMIF('10. Inputs &amp; Calcs'!$D$574:$D$579,$E$10,'10. Inputs &amp; Calcs'!M$574:M$579)</f>
        <v>654541.02932110801</v>
      </c>
      <c r="V129" s="615">
        <f>SUMIF('10. Inputs &amp; Calcs'!$D$574:$D$579,$E$10,'10. Inputs &amp; Calcs'!N$574:N$579)</f>
        <v>607877.37859929772</v>
      </c>
      <c r="W129" s="615">
        <f>SUMIF('10. Inputs &amp; Calcs'!$D$574:$D$579,$E$10,'10. Inputs &amp; Calcs'!O$574:O$579)</f>
        <v>561213.72787748731</v>
      </c>
      <c r="X129" s="615">
        <f>SUMIF('10. Inputs &amp; Calcs'!$D$574:$D$579,$E$10,'10. Inputs &amp; Calcs'!P$574:P$579)</f>
        <v>514550.07715567696</v>
      </c>
      <c r="Y129" s="615">
        <f>SUMIF('10. Inputs &amp; Calcs'!$D$574:$D$579,$E$10,'10. Inputs &amp; Calcs'!Q$574:Q$579)</f>
        <v>467886.42643386655</v>
      </c>
      <c r="Z129" s="615">
        <f>SUMIF('10. Inputs &amp; Calcs'!$D$574:$D$579,$E$10,'10. Inputs &amp; Calcs'!R$574:R$579)</f>
        <v>421222.77571205614</v>
      </c>
      <c r="AA129" s="615">
        <f>SUMIF('10. Inputs &amp; Calcs'!$D$574:$D$579,$E$10,'10. Inputs &amp; Calcs'!S$574:S$579)</f>
        <v>374559.12499024568</v>
      </c>
      <c r="AB129" s="615">
        <f>SUMIF('10. Inputs &amp; Calcs'!$D$574:$D$579,$E$10,'10. Inputs &amp; Calcs'!T$574:T$579)</f>
        <v>327895.47426843533</v>
      </c>
      <c r="AC129" s="615">
        <f>SUMIF('10. Inputs &amp; Calcs'!$D$574:$D$579,$E$10,'10. Inputs &amp; Calcs'!U$574:U$579)</f>
        <v>281231.82354662498</v>
      </c>
      <c r="AD129" s="615">
        <f>SUMIF('10. Inputs &amp; Calcs'!$D$574:$D$579,$E$10,'10. Inputs &amp; Calcs'!V$574:V$579)</f>
        <v>234568.17282481462</v>
      </c>
      <c r="AE129" s="615">
        <f>SUMIF('10. Inputs &amp; Calcs'!$D$574:$D$579,$E$10,'10. Inputs &amp; Calcs'!W$574:W$579)</f>
        <v>187904.52210300427</v>
      </c>
      <c r="AF129" s="615">
        <f>SUMIF('10. Inputs &amp; Calcs'!$D$574:$D$579,$E$10,'10. Inputs &amp; Calcs'!X$574:X$579)</f>
        <v>141240.87138119392</v>
      </c>
      <c r="AG129" s="615">
        <f>SUMIF('10. Inputs &amp; Calcs'!$D$574:$D$579,$E$10,'10. Inputs &amp; Calcs'!Y$574:Y$579)</f>
        <v>94577.220659383529</v>
      </c>
      <c r="AH129" s="615">
        <f>SUMIF('10. Inputs &amp; Calcs'!$D$574:$D$579,$E$10,'10. Inputs &amp; Calcs'!Z$574:Z$579)</f>
        <v>47913.569937573164</v>
      </c>
      <c r="AI129" s="615">
        <f>SUMIF('10. Inputs &amp; Calcs'!$D$574:$D$579,$E$10,'10. Inputs &amp; Calcs'!AA$574:AA$579)</f>
        <v>1249.9192157627781</v>
      </c>
      <c r="AJ129" s="615">
        <f>SUMIF('10. Inputs &amp; Calcs'!$D$574:$D$579,$E$10,'10. Inputs &amp; Calcs'!AB$574:AB$579)</f>
        <v>0</v>
      </c>
      <c r="AK129" s="615">
        <f>SUMIF('10. Inputs &amp; Calcs'!$D$574:$D$579,$E$10,'10. Inputs &amp; Calcs'!AC$574:AC$579)</f>
        <v>0</v>
      </c>
      <c r="AL129" s="615">
        <f>SUMIF('10. Inputs &amp; Calcs'!$D$574:$D$579,$E$10,'10. Inputs &amp; Calcs'!AD$574:AD$579)</f>
        <v>8183221.105598907</v>
      </c>
    </row>
    <row r="130" spans="1:38" x14ac:dyDescent="0.45">
      <c r="A130" s="583"/>
      <c r="B130" s="583"/>
      <c r="C130" s="583"/>
      <c r="D130" s="747" t="s">
        <v>330</v>
      </c>
      <c r="E130" s="583"/>
      <c r="M130" s="583"/>
      <c r="N130" s="613">
        <f t="shared" ref="N130:AL130" si="50">SUM(N127:N129)</f>
        <v>12083395.43</v>
      </c>
      <c r="O130" s="613">
        <f t="shared" si="50"/>
        <v>15916094.140000001</v>
      </c>
      <c r="P130" s="613">
        <f t="shared" si="50"/>
        <v>10941473.060000001</v>
      </c>
      <c r="Q130" s="613">
        <f t="shared" si="50"/>
        <v>2418258.5542368977</v>
      </c>
      <c r="R130" s="613">
        <f t="shared" si="50"/>
        <v>2311598.7811584743</v>
      </c>
      <c r="S130" s="613">
        <f t="shared" si="50"/>
        <v>2204939.0080800503</v>
      </c>
      <c r="T130" s="613">
        <f t="shared" si="50"/>
        <v>1269997.6529333321</v>
      </c>
      <c r="U130" s="613">
        <f t="shared" si="50"/>
        <v>1223334.0022115218</v>
      </c>
      <c r="V130" s="613">
        <f t="shared" si="50"/>
        <v>1176670.3514897116</v>
      </c>
      <c r="W130" s="613">
        <f t="shared" si="50"/>
        <v>1130006.7007679013</v>
      </c>
      <c r="X130" s="613">
        <f t="shared" si="50"/>
        <v>1083343.0500460907</v>
      </c>
      <c r="Y130" s="613">
        <f t="shared" si="50"/>
        <v>1036679.3993242804</v>
      </c>
      <c r="Z130" s="613">
        <f t="shared" ref="Z130:AJ130" si="51">SUM(Z127:Z129)</f>
        <v>990015.74860246992</v>
      </c>
      <c r="AA130" s="613">
        <f t="shared" si="51"/>
        <v>943352.09788065951</v>
      </c>
      <c r="AB130" s="613">
        <f t="shared" si="51"/>
        <v>896688.4471588491</v>
      </c>
      <c r="AC130" s="613">
        <f t="shared" si="51"/>
        <v>850024.79643703881</v>
      </c>
      <c r="AD130" s="613">
        <f t="shared" si="51"/>
        <v>803361.14571522851</v>
      </c>
      <c r="AE130" s="613">
        <f t="shared" si="51"/>
        <v>756697.49499341811</v>
      </c>
      <c r="AF130" s="613">
        <f t="shared" si="51"/>
        <v>710033.8442716077</v>
      </c>
      <c r="AG130" s="613">
        <f t="shared" si="51"/>
        <v>663370.1935497974</v>
      </c>
      <c r="AH130" s="613">
        <f t="shared" si="51"/>
        <v>616706.542827987</v>
      </c>
      <c r="AI130" s="613">
        <f t="shared" si="51"/>
        <v>570042.89210617659</v>
      </c>
      <c r="AJ130" s="613">
        <f t="shared" si="51"/>
        <v>16035537.337042207</v>
      </c>
      <c r="AK130" s="613">
        <f t="shared" si="50"/>
        <v>0</v>
      </c>
      <c r="AL130" s="613">
        <f t="shared" si="50"/>
        <v>37690658.040833689</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1792000</v>
      </c>
      <c r="R132" s="615">
        <f>SUMIF('10. Inputs &amp; Calcs'!$D$508:$D$513,$E$10,'10. Inputs &amp; Calcs'!J$508:J$513)</f>
        <v>1890560</v>
      </c>
      <c r="S132" s="615">
        <f>SUMIF('10. Inputs &amp; Calcs'!$D$508:$D$513,$E$10,'10. Inputs &amp; Calcs'!K$508:K$513)</f>
        <v>1994540.8</v>
      </c>
      <c r="T132" s="615">
        <f>SUMIF('10. Inputs &amp; Calcs'!$D$508:$D$513,$E$10,'10. Inputs &amp; Calcs'!L$508:L$513)</f>
        <v>920605.2379999999</v>
      </c>
      <c r="U132" s="615">
        <f>SUMIF('10. Inputs &amp; Calcs'!$D$508:$D$513,$E$10,'10. Inputs &amp; Calcs'!M$508:M$513)</f>
        <v>971238.52609000006</v>
      </c>
      <c r="V132" s="615">
        <f>SUMIF('10. Inputs &amp; Calcs'!$D$508:$D$513,$E$10,'10. Inputs &amp; Calcs'!N$508:N$513)</f>
        <v>1024656.6450249499</v>
      </c>
      <c r="W132" s="615">
        <f>SUMIF('10. Inputs &amp; Calcs'!$D$508:$D$513,$E$10,'10. Inputs &amp; Calcs'!O$508:O$513)</f>
        <v>1081012.7605013221</v>
      </c>
      <c r="X132" s="615">
        <f>SUMIF('10. Inputs &amp; Calcs'!$D$508:$D$513,$E$10,'10. Inputs &amp; Calcs'!P$508:P$513)</f>
        <v>1140468.462328895</v>
      </c>
      <c r="Y132" s="615">
        <f>SUMIF('10. Inputs &amp; Calcs'!$D$508:$D$513,$E$10,'10. Inputs &amp; Calcs'!Q$508:Q$513)</f>
        <v>1203194.2277569838</v>
      </c>
      <c r="Z132" s="615">
        <f>SUMIF('10. Inputs &amp; Calcs'!$D$508:$D$513,$E$10,'10. Inputs &amp; Calcs'!R$508:R$513)</f>
        <v>1269369.9102836179</v>
      </c>
      <c r="AA132" s="615">
        <f>SUMIF('10. Inputs &amp; Calcs'!$D$508:$D$513,$E$10,'10. Inputs &amp; Calcs'!S$508:S$513)</f>
        <v>1339185.2553492167</v>
      </c>
      <c r="AB132" s="615">
        <f>SUMIF('10. Inputs &amp; Calcs'!$D$508:$D$513,$E$10,'10. Inputs &amp; Calcs'!T$508:T$513)</f>
        <v>1412840.4443934236</v>
      </c>
      <c r="AC132" s="615">
        <f>SUMIF('10. Inputs &amp; Calcs'!$D$508:$D$513,$E$10,'10. Inputs &amp; Calcs'!U$508:U$513)</f>
        <v>1490546.6688350621</v>
      </c>
      <c r="AD132" s="615">
        <f>SUMIF('10. Inputs &amp; Calcs'!$D$508:$D$513,$E$10,'10. Inputs &amp; Calcs'!V$508:V$513)</f>
        <v>1572526.7356209902</v>
      </c>
      <c r="AE132" s="615">
        <f>SUMIF('10. Inputs &amp; Calcs'!$D$508:$D$513,$E$10,'10. Inputs &amp; Calcs'!W$508:W$513)</f>
        <v>1659015.7060801445</v>
      </c>
      <c r="AF132" s="615">
        <f>SUMIF('10. Inputs &amp; Calcs'!$D$508:$D$513,$E$10,'10. Inputs &amp; Calcs'!X$508:X$513)</f>
        <v>1750261.5699145526</v>
      </c>
      <c r="AG132" s="615">
        <f>SUMIF('10. Inputs &amp; Calcs'!$D$508:$D$513,$E$10,'10. Inputs &amp; Calcs'!Y$508:Y$513)</f>
        <v>1846525.9562598527</v>
      </c>
      <c r="AH132" s="615">
        <f>SUMIF('10. Inputs &amp; Calcs'!$D$508:$D$513,$E$10,'10. Inputs &amp; Calcs'!Z$508:Z$513)</f>
        <v>1948084.8838541447</v>
      </c>
      <c r="AI132" s="615">
        <f>SUMIF('10. Inputs &amp; Calcs'!$D$508:$D$513,$E$10,'10. Inputs &amp; Calcs'!AA$508:AA$513)</f>
        <v>2055229.5524661224</v>
      </c>
      <c r="AJ132" s="615">
        <f>SUMIF('10. Inputs &amp; Calcs'!$D$508:$D$513,$E$10,'10. Inputs &amp; Calcs'!AB$508:AB$513)</f>
        <v>58078.58512102926</v>
      </c>
      <c r="AK132" s="615">
        <f>SUMIF('10. Inputs &amp; Calcs'!$D$508:$D$513,$E$10,'10. Inputs &amp; Calcs'!AC$508:AC$513)</f>
        <v>0</v>
      </c>
      <c r="AL132" s="615">
        <f>SUMIF('10. Inputs &amp; Calcs'!$D$508:$D$513,$E$10,'10. Inputs &amp; Calcs'!AD$508:AD$513)</f>
        <v>28419941.92788031</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52850120.474444449</v>
      </c>
      <c r="O133" s="615">
        <f>SUMIF('10. Inputs &amp; Calcs'!$D$742:$D$747,$E$10,'10. Inputs &amp; Calcs'!G$742:G$747)</f>
        <v>60252696.769444436</v>
      </c>
      <c r="P133" s="615">
        <f>SUMIF('10. Inputs &amp; Calcs'!$D$742:$D$747,$E$10,'10. Inputs &amp; Calcs'!H$742:H$747)</f>
        <v>70945116.053333342</v>
      </c>
      <c r="Q133" s="615">
        <f>SUMIF('10. Inputs &amp; Calcs'!$D$742:$D$747,$E$10,'10. Inputs &amp; Calcs'!I$742:I$747)</f>
        <v>68749679.224143788</v>
      </c>
      <c r="R133" s="615">
        <f>SUMIF('10. Inputs &amp; Calcs'!$D$742:$D$747,$E$10,'10. Inputs &amp; Calcs'!J$742:J$747)</f>
        <v>66098135.367682062</v>
      </c>
      <c r="S133" s="615">
        <f>SUMIF('10. Inputs &amp; Calcs'!$D$742:$D$747,$E$10,'10. Inputs &amp; Calcs'!K$742:K$747)</f>
        <v>62946953.907356501</v>
      </c>
      <c r="T133" s="615">
        <f>SUMIF('10. Inputs &amp; Calcs'!$D$742:$D$747,$E$10,'10. Inputs &amp; Calcs'!L$742:L$747)</f>
        <v>62624916.703797743</v>
      </c>
      <c r="U133" s="615">
        <f>SUMIF('10. Inputs &amp; Calcs'!$D$742:$D$747,$E$10,'10. Inputs &amp; Calcs'!M$742:M$747)</f>
        <v>62077040.872277759</v>
      </c>
      <c r="V133" s="615">
        <f>SUMIF('10. Inputs &amp; Calcs'!$D$742:$D$747,$E$10,'10. Inputs &amp; Calcs'!N$742:N$747)</f>
        <v>61279458.326261595</v>
      </c>
      <c r="W133" s="615">
        <f>SUMIF('10. Inputs &amp; Calcs'!$D$742:$D$747,$E$10,'10. Inputs &amp; Calcs'!O$742:O$747)</f>
        <v>60206358.651545003</v>
      </c>
      <c r="X133" s="615">
        <f>SUMIF('10. Inputs &amp; Calcs'!$D$742:$D$747,$E$10,'10. Inputs &amp; Calcs'!P$742:P$747)</f>
        <v>58829847.651172638</v>
      </c>
      <c r="Y133" s="615">
        <f>SUMIF('10. Inputs &amp; Calcs'!$D$742:$D$747,$E$10,'10. Inputs &amp; Calcs'!Q$742:Q$747)</f>
        <v>57119796.205838397</v>
      </c>
      <c r="Z133" s="615">
        <f>SUMIF('10. Inputs &amp; Calcs'!$D$742:$D$747,$E$10,'10. Inputs &amp; Calcs'!R$742:R$747)</f>
        <v>55043678.812372595</v>
      </c>
      <c r="AA133" s="615">
        <f>SUMIF('10. Inputs &amp; Calcs'!$D$742:$D$747,$E$10,'10. Inputs &amp; Calcs'!S$742:S$747)</f>
        <v>52566401.122102901</v>
      </c>
      <c r="AB133" s="615">
        <f>SUMIF('10. Inputs &amp; Calcs'!$D$742:$D$747,$E$10,'10. Inputs &amp; Calcs'!T$742:T$747)</f>
        <v>49650115.757496104</v>
      </c>
      <c r="AC133" s="615">
        <f>SUMIF('10. Inputs &amp; Calcs'!$D$742:$D$747,$E$10,'10. Inputs &amp; Calcs'!U$742:U$747)</f>
        <v>46254025.639388204</v>
      </c>
      <c r="AD133" s="615">
        <f>SUMIF('10. Inputs &amp; Calcs'!$D$742:$D$747,$E$10,'10. Inputs &amp; Calcs'!V$742:V$747)</f>
        <v>42334174.008122005</v>
      </c>
      <c r="AE133" s="615">
        <f>SUMIF('10. Inputs &amp; Calcs'!$D$742:$D$747,$E$10,'10. Inputs &amp; Calcs'!W$742:W$747)</f>
        <v>37843220.269857377</v>
      </c>
      <c r="AF133" s="615">
        <f>SUMIF('10. Inputs &amp; Calcs'!$D$742:$D$747,$E$10,'10. Inputs &amp; Calcs'!X$742:X$747)</f>
        <v>32730200.744009078</v>
      </c>
      <c r="AG133" s="615">
        <f>SUMIF('10. Inputs &amp; Calcs'!$D$742:$D$747,$E$10,'10. Inputs &amp; Calcs'!Y$742:Y$747)</f>
        <v>26940273.329001144</v>
      </c>
      <c r="AH133" s="615">
        <f>SUMIF('10. Inputs &amp; Calcs'!$D$742:$D$747,$E$10,'10. Inputs &amp; Calcs'!Z$742:Z$747)</f>
        <v>20414445.04109171</v>
      </c>
      <c r="AI133" s="615">
        <f>SUMIF('10. Inputs &amp; Calcs'!$D$742:$D$747,$E$10,'10. Inputs &amp; Calcs'!AA$742:AA$747)</f>
        <v>13089281.314692013</v>
      </c>
      <c r="AJ133" s="615">
        <f>SUMIF('10. Inputs &amp; Calcs'!$D$742:$D$747,$E$10,'10. Inputs &amp; Calcs'!AB$742:AB$747)</f>
        <v>0</v>
      </c>
      <c r="AK133" s="615">
        <f>SUMIF('10. Inputs &amp; Calcs'!$D$742:$D$747,$E$10,'10. Inputs &amp; Calcs'!AC$742:AC$747)</f>
        <v>0</v>
      </c>
      <c r="AL133" s="615">
        <f>SUMIF('10. Inputs &amp; Calcs'!$D$742:$D$747,$E$10,'10. Inputs &amp; Calcs'!AD$742:AD$747)</f>
        <v>936798002.94820869</v>
      </c>
    </row>
    <row r="134" spans="1:38" x14ac:dyDescent="0.45">
      <c r="A134" s="583"/>
      <c r="B134" s="583"/>
      <c r="C134" s="583"/>
      <c r="D134" s="747" t="s">
        <v>369</v>
      </c>
      <c r="E134" s="583"/>
      <c r="M134" s="583"/>
      <c r="N134" s="613">
        <f t="shared" ref="N134:AL134" si="52">SUM(N132:N133)</f>
        <v>52850120.474444449</v>
      </c>
      <c r="O134" s="613">
        <f t="shared" si="52"/>
        <v>60252696.769444436</v>
      </c>
      <c r="P134" s="613">
        <f t="shared" si="52"/>
        <v>70945116.053333342</v>
      </c>
      <c r="Q134" s="613">
        <f t="shared" si="52"/>
        <v>70541679.224143788</v>
      </c>
      <c r="R134" s="613">
        <f t="shared" si="52"/>
        <v>67988695.36768207</v>
      </c>
      <c r="S134" s="613">
        <f t="shared" si="52"/>
        <v>64941494.707356498</v>
      </c>
      <c r="T134" s="613">
        <f t="shared" si="52"/>
        <v>63545521.941797741</v>
      </c>
      <c r="U134" s="613">
        <f t="shared" si="52"/>
        <v>63048279.398367763</v>
      </c>
      <c r="V134" s="613">
        <f t="shared" si="52"/>
        <v>62304114.971286543</v>
      </c>
      <c r="W134" s="613">
        <f t="shared" si="52"/>
        <v>61287371.412046328</v>
      </c>
      <c r="X134" s="613">
        <f t="shared" si="52"/>
        <v>59970316.113501534</v>
      </c>
      <c r="Y134" s="613">
        <f t="shared" si="52"/>
        <v>58322990.433595382</v>
      </c>
      <c r="Z134" s="613">
        <f t="shared" ref="Z134:AJ134" si="53">SUM(Z132:Z133)</f>
        <v>56313048.722656213</v>
      </c>
      <c r="AA134" s="613">
        <f t="shared" si="53"/>
        <v>53905586.37745212</v>
      </c>
      <c r="AB134" s="613">
        <f t="shared" si="53"/>
        <v>51062956.20188953</v>
      </c>
      <c r="AC134" s="613">
        <f t="shared" si="53"/>
        <v>47744572.308223262</v>
      </c>
      <c r="AD134" s="613">
        <f t="shared" si="53"/>
        <v>43906700.743742995</v>
      </c>
      <c r="AE134" s="613">
        <f t="shared" si="53"/>
        <v>39502235.975937523</v>
      </c>
      <c r="AF134" s="613">
        <f t="shared" si="53"/>
        <v>34480462.313923627</v>
      </c>
      <c r="AG134" s="613">
        <f t="shared" si="53"/>
        <v>28786799.285260998</v>
      </c>
      <c r="AH134" s="613">
        <f t="shared" si="53"/>
        <v>22362529.924945854</v>
      </c>
      <c r="AI134" s="613">
        <f t="shared" si="53"/>
        <v>15144510.867158135</v>
      </c>
      <c r="AJ134" s="613">
        <f t="shared" si="53"/>
        <v>58078.58512102926</v>
      </c>
      <c r="AK134" s="613">
        <f t="shared" si="52"/>
        <v>0</v>
      </c>
      <c r="AL134" s="613">
        <f t="shared" si="52"/>
        <v>965217944.87608898</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54">N130-N134</f>
        <v>-40766725.044444449</v>
      </c>
      <c r="O136" s="613">
        <f t="shared" si="54"/>
        <v>-44336602.629444435</v>
      </c>
      <c r="P136" s="613">
        <f t="shared" si="54"/>
        <v>-60003642.99333334</v>
      </c>
      <c r="Q136" s="613">
        <f t="shared" si="54"/>
        <v>-68123420.669906884</v>
      </c>
      <c r="R136" s="613">
        <f t="shared" si="54"/>
        <v>-65677096.586523592</v>
      </c>
      <c r="S136" s="613">
        <f t="shared" si="54"/>
        <v>-62736555.699276447</v>
      </c>
      <c r="T136" s="613">
        <f t="shared" si="54"/>
        <v>-62275524.288864411</v>
      </c>
      <c r="U136" s="613">
        <f t="shared" si="54"/>
        <v>-61824945.396156244</v>
      </c>
      <c r="V136" s="613">
        <f t="shared" si="54"/>
        <v>-61127444.619796827</v>
      </c>
      <c r="W136" s="613">
        <f t="shared" si="54"/>
        <v>-60157364.711278424</v>
      </c>
      <c r="X136" s="613">
        <f t="shared" si="54"/>
        <v>-58886973.06345544</v>
      </c>
      <c r="Y136" s="613">
        <f t="shared" si="54"/>
        <v>-57286311.034271099</v>
      </c>
      <c r="Z136" s="613">
        <f t="shared" si="54"/>
        <v>-55323032.974053741</v>
      </c>
      <c r="AA136" s="613">
        <f t="shared" si="54"/>
        <v>-52962234.279571459</v>
      </c>
      <c r="AB136" s="613">
        <f t="shared" si="54"/>
        <v>-50166267.754730679</v>
      </c>
      <c r="AC136" s="613">
        <f t="shared" si="54"/>
        <v>-46894547.511786222</v>
      </c>
      <c r="AD136" s="613">
        <f t="shared" si="54"/>
        <v>-43103339.598027766</v>
      </c>
      <c r="AE136" s="613">
        <f t="shared" si="54"/>
        <v>-38745538.480944104</v>
      </c>
      <c r="AF136" s="613">
        <f t="shared" si="54"/>
        <v>-33770428.469652019</v>
      </c>
      <c r="AG136" s="613">
        <f t="shared" si="54"/>
        <v>-28123429.091711201</v>
      </c>
      <c r="AH136" s="613">
        <f t="shared" si="54"/>
        <v>-21745823.382117867</v>
      </c>
      <c r="AI136" s="613">
        <f t="shared" si="54"/>
        <v>-14574467.975051958</v>
      </c>
      <c r="AJ136" s="613">
        <f t="shared" si="54"/>
        <v>15977458.751921177</v>
      </c>
      <c r="AK136" s="613">
        <f t="shared" si="54"/>
        <v>0</v>
      </c>
      <c r="AL136" s="613">
        <f t="shared" si="54"/>
        <v>-927527286.83525527</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3332584000</v>
      </c>
      <c r="O138" s="615">
        <f>SUMIF('10. Inputs &amp; Calcs'!$D$763:$D$768,$E$10,'10. Inputs &amp; Calcs'!G$763:G$768)</f>
        <v>3509045000</v>
      </c>
      <c r="P138" s="615">
        <f>SUMIF('10. Inputs &amp; Calcs'!$D$763:$D$768,$E$10,'10. Inputs &amp; Calcs'!H$763:H$768)</f>
        <v>3543852000</v>
      </c>
      <c r="Q138" s="615">
        <f>SUMIF('10. Inputs &amp; Calcs'!$D$763:$D$768,$E$10,'10. Inputs &amp; Calcs'!I$763:I$768)</f>
        <v>3543852000</v>
      </c>
      <c r="R138" s="615">
        <f>SUMIF('10. Inputs &amp; Calcs'!$D$763:$D$768,$E$10,'10. Inputs &amp; Calcs'!J$763:J$768)</f>
        <v>3543852000</v>
      </c>
      <c r="S138" s="615">
        <f>SUMIF('10. Inputs &amp; Calcs'!$D$763:$D$768,$E$10,'10. Inputs &amp; Calcs'!K$763:K$768)</f>
        <v>3543852000</v>
      </c>
      <c r="T138" s="615">
        <f>SUMIF('10. Inputs &amp; Calcs'!$D$763:$D$768,$E$10,'10. Inputs &amp; Calcs'!L$763:L$768)</f>
        <v>3543852000</v>
      </c>
      <c r="U138" s="615">
        <f>SUMIF('10. Inputs &amp; Calcs'!$D$763:$D$768,$E$10,'10. Inputs &amp; Calcs'!M$763:M$768)</f>
        <v>3543852000</v>
      </c>
      <c r="V138" s="615">
        <f>SUMIF('10. Inputs &amp; Calcs'!$D$763:$D$768,$E$10,'10. Inputs &amp; Calcs'!N$763:N$768)</f>
        <v>3543852000</v>
      </c>
      <c r="W138" s="615">
        <f>SUMIF('10. Inputs &amp; Calcs'!$D$763:$D$768,$E$10,'10. Inputs &amp; Calcs'!O$763:O$768)</f>
        <v>3543852000</v>
      </c>
      <c r="X138" s="615">
        <f>SUMIF('10. Inputs &amp; Calcs'!$D$763:$D$768,$E$10,'10. Inputs &amp; Calcs'!P$763:P$768)</f>
        <v>3543852000</v>
      </c>
      <c r="Y138" s="615">
        <f>SUMIF('10. Inputs &amp; Calcs'!$D$763:$D$768,$E$10,'10. Inputs &amp; Calcs'!Q$763:Q$768)</f>
        <v>3543852000</v>
      </c>
      <c r="Z138" s="615">
        <f>SUMIF('10. Inputs &amp; Calcs'!$D$763:$D$768,$E$10,'10. Inputs &amp; Calcs'!R$763:R$768)</f>
        <v>3543852000</v>
      </c>
      <c r="AA138" s="615">
        <f>SUMIF('10. Inputs &amp; Calcs'!$D$763:$D$768,$E$10,'10. Inputs &amp; Calcs'!S$763:S$768)</f>
        <v>3543852000</v>
      </c>
      <c r="AB138" s="615">
        <f>SUMIF('10. Inputs &amp; Calcs'!$D$763:$D$768,$E$10,'10. Inputs &amp; Calcs'!T$763:T$768)</f>
        <v>3543852000</v>
      </c>
      <c r="AC138" s="615">
        <f>SUMIF('10. Inputs &amp; Calcs'!$D$763:$D$768,$E$10,'10. Inputs &amp; Calcs'!U$763:U$768)</f>
        <v>3543852000</v>
      </c>
      <c r="AD138" s="615">
        <f>SUMIF('10. Inputs &amp; Calcs'!$D$763:$D$768,$E$10,'10. Inputs &amp; Calcs'!V$763:V$768)</f>
        <v>3543852000</v>
      </c>
      <c r="AE138" s="615">
        <f>SUMIF('10. Inputs &amp; Calcs'!$D$763:$D$768,$E$10,'10. Inputs &amp; Calcs'!W$763:W$768)</f>
        <v>3543852000</v>
      </c>
      <c r="AF138" s="615">
        <f>SUMIF('10. Inputs &amp; Calcs'!$D$763:$D$768,$E$10,'10. Inputs &amp; Calcs'!X$763:X$768)</f>
        <v>3543852000</v>
      </c>
      <c r="AG138" s="615">
        <f>SUMIF('10. Inputs &amp; Calcs'!$D$763:$D$768,$E$10,'10. Inputs &amp; Calcs'!Y$763:Y$768)</f>
        <v>3543852000</v>
      </c>
      <c r="AH138" s="615">
        <f>SUMIF('10. Inputs &amp; Calcs'!$D$763:$D$768,$E$10,'10. Inputs &amp; Calcs'!Z$763:Z$768)</f>
        <v>3543852000</v>
      </c>
      <c r="AI138" s="615">
        <f>SUMIF('10. Inputs &amp; Calcs'!$D$763:$D$768,$E$10,'10. Inputs &amp; Calcs'!AA$763:AA$768)</f>
        <v>3543852000</v>
      </c>
      <c r="AJ138" s="615">
        <f>SUMIF('10. Inputs &amp; Calcs'!$D$763:$D$768,$E$10,'10. Inputs &amp; Calcs'!AB$763:AB$768)</f>
        <v>3543852000</v>
      </c>
      <c r="AK138" s="615">
        <f>SUMIF('10. Inputs &amp; Calcs'!$D$763:$D$768,$E$10,'10. Inputs &amp; Calcs'!AC$763:AC$768)</f>
        <v>3543852000</v>
      </c>
      <c r="AL138" s="615">
        <f>SUMIF('10. Inputs &amp; Calcs'!$D$763:$D$768,$E$10,'10. Inputs &amp; Calcs'!AD$763:AD$768)</f>
        <v>84806373000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55">N136/N138</f>
        <v>-1.2232767439453724E-2</v>
      </c>
      <c r="O140" s="789">
        <f t="shared" si="55"/>
        <v>-1.2634948434529747E-2</v>
      </c>
      <c r="P140" s="789">
        <f t="shared" si="55"/>
        <v>-1.6931757588447074E-2</v>
      </c>
      <c r="Q140" s="789">
        <f t="shared" si="55"/>
        <v>-1.9222986927757389E-2</v>
      </c>
      <c r="R140" s="789">
        <f t="shared" si="55"/>
        <v>-1.8532686067737478E-2</v>
      </c>
      <c r="S140" s="789">
        <f t="shared" si="55"/>
        <v>-1.7702927689778367E-2</v>
      </c>
      <c r="T140" s="789">
        <f t="shared" si="55"/>
        <v>-1.7572834387232991E-2</v>
      </c>
      <c r="U140" s="789">
        <f t="shared" si="55"/>
        <v>-1.7445690563871245E-2</v>
      </c>
      <c r="V140" s="789">
        <f t="shared" si="55"/>
        <v>-1.7248870613049538E-2</v>
      </c>
      <c r="W140" s="789">
        <f t="shared" si="55"/>
        <v>-1.6975134602482955E-2</v>
      </c>
      <c r="X140" s="789">
        <f t="shared" si="55"/>
        <v>-1.6616656977620804E-2</v>
      </c>
      <c r="Y140" s="789">
        <f t="shared" si="55"/>
        <v>-1.6164984043992553E-2</v>
      </c>
      <c r="Z140" s="789">
        <f t="shared" si="55"/>
        <v>-1.561098854411915E-2</v>
      </c>
      <c r="AA140" s="789">
        <f t="shared" si="55"/>
        <v>-1.4944821138007868E-2</v>
      </c>
      <c r="AB140" s="789">
        <f t="shared" si="55"/>
        <v>-1.415585858402966E-2</v>
      </c>
      <c r="AC140" s="789">
        <f t="shared" si="55"/>
        <v>-1.3232648403992667E-2</v>
      </c>
      <c r="AD140" s="789">
        <f t="shared" si="55"/>
        <v>-1.2162849802426221E-2</v>
      </c>
      <c r="AE140" s="789">
        <f t="shared" si="55"/>
        <v>-1.09331705954267E-2</v>
      </c>
      <c r="AF140" s="789">
        <f t="shared" si="55"/>
        <v>-9.5292998888362214E-3</v>
      </c>
      <c r="AG140" s="789">
        <f t="shared" si="55"/>
        <v>-7.9358362289709619E-3</v>
      </c>
      <c r="AH140" s="789">
        <f t="shared" si="55"/>
        <v>-6.1362109315281415E-3</v>
      </c>
      <c r="AI140" s="789">
        <f t="shared" si="55"/>
        <v>-4.1126062756153357E-3</v>
      </c>
      <c r="AJ140" s="789">
        <f t="shared" si="55"/>
        <v>4.5085005671572E-3</v>
      </c>
      <c r="AK140" s="789">
        <f t="shared" si="55"/>
        <v>0</v>
      </c>
      <c r="AL140" s="789">
        <f t="shared" si="55"/>
        <v>-1.0936999827067893E-2</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56">O$12</f>
        <v>0</v>
      </c>
      <c r="P145" s="785">
        <f t="shared" si="56"/>
        <v>778</v>
      </c>
      <c r="Q145" s="785">
        <f t="shared" si="56"/>
        <v>1034</v>
      </c>
      <c r="R145" s="785">
        <f t="shared" si="56"/>
        <v>1290</v>
      </c>
      <c r="S145" s="785">
        <f t="shared" si="56"/>
        <v>1546</v>
      </c>
      <c r="T145" s="785">
        <f t="shared" si="56"/>
        <v>1658</v>
      </c>
      <c r="U145" s="785">
        <f t="shared" si="56"/>
        <v>1770</v>
      </c>
      <c r="V145" s="785">
        <f t="shared" si="56"/>
        <v>1882</v>
      </c>
      <c r="W145" s="785">
        <f t="shared" si="56"/>
        <v>1994</v>
      </c>
      <c r="X145" s="785">
        <f t="shared" si="56"/>
        <v>2106</v>
      </c>
      <c r="Y145" s="785">
        <f t="shared" si="56"/>
        <v>2218</v>
      </c>
      <c r="Z145" s="785">
        <f t="shared" si="56"/>
        <v>2330</v>
      </c>
      <c r="AA145" s="785">
        <f t="shared" si="56"/>
        <v>2442</v>
      </c>
      <c r="AB145" s="785">
        <f t="shared" si="56"/>
        <v>2554</v>
      </c>
      <c r="AC145" s="785">
        <f t="shared" si="56"/>
        <v>2666</v>
      </c>
      <c r="AD145" s="785">
        <f t="shared" si="56"/>
        <v>2778</v>
      </c>
      <c r="AE145" s="785">
        <f t="shared" si="56"/>
        <v>2890</v>
      </c>
      <c r="AF145" s="785">
        <f t="shared" si="56"/>
        <v>3002</v>
      </c>
      <c r="AG145" s="785">
        <f t="shared" si="56"/>
        <v>3114</v>
      </c>
      <c r="AH145" s="785">
        <f t="shared" si="56"/>
        <v>3226</v>
      </c>
      <c r="AI145" s="785">
        <f t="shared" si="56"/>
        <v>3338</v>
      </c>
      <c r="AJ145" s="785">
        <f t="shared" si="56"/>
        <v>3341</v>
      </c>
      <c r="AK145" s="785">
        <f t="shared" si="56"/>
        <v>0</v>
      </c>
    </row>
    <row r="146" spans="4:37" x14ac:dyDescent="0.45">
      <c r="D146" s="451"/>
      <c r="N146" s="536" t="str">
        <f>N$5</f>
        <v>2013/14</v>
      </c>
      <c r="O146" s="536" t="str">
        <f t="shared" ref="O146:AK146" si="57">O$5</f>
        <v>2014/15</v>
      </c>
      <c r="P146" s="536" t="str">
        <f t="shared" si="57"/>
        <v>2015/16</v>
      </c>
      <c r="Q146" s="536" t="str">
        <f t="shared" si="57"/>
        <v>2016/17</v>
      </c>
      <c r="R146" s="536" t="str">
        <f t="shared" si="57"/>
        <v>2017/18</v>
      </c>
      <c r="S146" s="536" t="str">
        <f t="shared" si="57"/>
        <v>2018/19</v>
      </c>
      <c r="T146" s="536" t="str">
        <f t="shared" si="57"/>
        <v>2019/20</v>
      </c>
      <c r="U146" s="536" t="str">
        <f t="shared" si="57"/>
        <v>2020/21</v>
      </c>
      <c r="V146" s="536" t="str">
        <f t="shared" si="57"/>
        <v>2021/22</v>
      </c>
      <c r="W146" s="536" t="str">
        <f t="shared" si="57"/>
        <v>2022/23</v>
      </c>
      <c r="X146" s="536" t="str">
        <f t="shared" si="57"/>
        <v>2023/24</v>
      </c>
      <c r="Y146" s="536" t="str">
        <f t="shared" si="57"/>
        <v>2024/25</v>
      </c>
      <c r="Z146" s="536" t="str">
        <f t="shared" si="57"/>
        <v>2025/26</v>
      </c>
      <c r="AA146" s="536" t="str">
        <f t="shared" si="57"/>
        <v>2026/27</v>
      </c>
      <c r="AB146" s="536" t="str">
        <f t="shared" si="57"/>
        <v>2027/28</v>
      </c>
      <c r="AC146" s="536" t="str">
        <f t="shared" si="57"/>
        <v>2028/29</v>
      </c>
      <c r="AD146" s="536" t="str">
        <f t="shared" si="57"/>
        <v>2029/30</v>
      </c>
      <c r="AE146" s="536" t="str">
        <f t="shared" si="57"/>
        <v>2030/31</v>
      </c>
      <c r="AF146" s="536" t="str">
        <f t="shared" si="57"/>
        <v>2031/32</v>
      </c>
      <c r="AG146" s="536" t="str">
        <f t="shared" si="57"/>
        <v>3032/33</v>
      </c>
      <c r="AH146" s="536" t="str">
        <f t="shared" si="57"/>
        <v>2033/34</v>
      </c>
      <c r="AI146" s="536" t="str">
        <f t="shared" si="57"/>
        <v>2034/35</v>
      </c>
      <c r="AJ146" s="536" t="str">
        <f t="shared" si="57"/>
        <v>2035/36</v>
      </c>
      <c r="AK146" s="536" t="str">
        <f t="shared" si="5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58">O$13</f>
        <v>0</v>
      </c>
      <c r="P147" s="785">
        <f t="shared" si="58"/>
        <v>2563</v>
      </c>
      <c r="Q147" s="785">
        <f t="shared" si="58"/>
        <v>2307</v>
      </c>
      <c r="R147" s="785">
        <f t="shared" si="58"/>
        <v>2051</v>
      </c>
      <c r="S147" s="785">
        <f t="shared" si="58"/>
        <v>1795</v>
      </c>
      <c r="T147" s="785">
        <f t="shared" si="58"/>
        <v>1683</v>
      </c>
      <c r="U147" s="785">
        <f t="shared" si="58"/>
        <v>1571</v>
      </c>
      <c r="V147" s="785">
        <f t="shared" si="58"/>
        <v>1459</v>
      </c>
      <c r="W147" s="785">
        <f t="shared" si="58"/>
        <v>1347</v>
      </c>
      <c r="X147" s="785">
        <f t="shared" si="58"/>
        <v>1235</v>
      </c>
      <c r="Y147" s="785">
        <f t="shared" si="58"/>
        <v>1123</v>
      </c>
      <c r="Z147" s="785">
        <f t="shared" si="58"/>
        <v>1011</v>
      </c>
      <c r="AA147" s="785">
        <f t="shared" si="58"/>
        <v>899</v>
      </c>
      <c r="AB147" s="785">
        <f t="shared" si="58"/>
        <v>787</v>
      </c>
      <c r="AC147" s="785">
        <f t="shared" si="58"/>
        <v>675</v>
      </c>
      <c r="AD147" s="785">
        <f t="shared" si="58"/>
        <v>563</v>
      </c>
      <c r="AE147" s="785">
        <f t="shared" si="58"/>
        <v>451</v>
      </c>
      <c r="AF147" s="785">
        <f t="shared" si="58"/>
        <v>339</v>
      </c>
      <c r="AG147" s="785">
        <f t="shared" si="58"/>
        <v>227</v>
      </c>
      <c r="AH147" s="785">
        <f t="shared" si="58"/>
        <v>115</v>
      </c>
      <c r="AI147" s="785">
        <f t="shared" si="58"/>
        <v>3</v>
      </c>
      <c r="AJ147" s="785">
        <f t="shared" si="58"/>
        <v>0</v>
      </c>
      <c r="AK147" s="785">
        <f t="shared" si="58"/>
        <v>0</v>
      </c>
    </row>
    <row r="148" spans="4:37" x14ac:dyDescent="0.45">
      <c r="D148" s="451"/>
      <c r="E148" s="803" t="str">
        <f>D$12</f>
        <v>No. of Sales Accounts</v>
      </c>
      <c r="F148" s="803"/>
      <c r="G148" s="803"/>
      <c r="H148" s="803"/>
      <c r="I148" s="803"/>
      <c r="J148" s="803"/>
      <c r="K148" s="803"/>
      <c r="L148" s="803"/>
      <c r="M148" s="803"/>
      <c r="N148" s="785">
        <f>N$12</f>
        <v>0</v>
      </c>
      <c r="O148" s="785">
        <f t="shared" si="56"/>
        <v>0</v>
      </c>
      <c r="P148" s="785">
        <f t="shared" si="56"/>
        <v>778</v>
      </c>
      <c r="Q148" s="785">
        <f t="shared" si="56"/>
        <v>1034</v>
      </c>
      <c r="R148" s="785">
        <f t="shared" si="56"/>
        <v>1290</v>
      </c>
      <c r="S148" s="785">
        <f t="shared" si="56"/>
        <v>1546</v>
      </c>
      <c r="T148" s="785">
        <f t="shared" si="56"/>
        <v>1658</v>
      </c>
      <c r="U148" s="785">
        <f t="shared" si="56"/>
        <v>1770</v>
      </c>
      <c r="V148" s="785">
        <f t="shared" si="56"/>
        <v>1882</v>
      </c>
      <c r="W148" s="785">
        <f t="shared" si="56"/>
        <v>1994</v>
      </c>
      <c r="X148" s="785">
        <f t="shared" si="56"/>
        <v>2106</v>
      </c>
      <c r="Y148" s="785">
        <f t="shared" si="56"/>
        <v>2218</v>
      </c>
      <c r="Z148" s="785">
        <f t="shared" si="56"/>
        <v>2330</v>
      </c>
      <c r="AA148" s="785">
        <f t="shared" si="56"/>
        <v>2442</v>
      </c>
      <c r="AB148" s="785">
        <f t="shared" si="56"/>
        <v>2554</v>
      </c>
      <c r="AC148" s="785">
        <f t="shared" si="56"/>
        <v>2666</v>
      </c>
      <c r="AD148" s="785">
        <f t="shared" si="56"/>
        <v>2778</v>
      </c>
      <c r="AE148" s="785">
        <f t="shared" si="56"/>
        <v>2890</v>
      </c>
      <c r="AF148" s="785">
        <f t="shared" si="56"/>
        <v>3002</v>
      </c>
      <c r="AG148" s="785">
        <f t="shared" si="56"/>
        <v>3114</v>
      </c>
      <c r="AH148" s="785">
        <f t="shared" si="56"/>
        <v>3226</v>
      </c>
      <c r="AI148" s="785">
        <f t="shared" si="56"/>
        <v>3338</v>
      </c>
      <c r="AJ148" s="785">
        <f t="shared" si="56"/>
        <v>3341</v>
      </c>
      <c r="AK148" s="785">
        <f t="shared" si="5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9">O$5</f>
        <v>2014/15</v>
      </c>
      <c r="P170" s="536" t="str">
        <f t="shared" si="59"/>
        <v>2015/16</v>
      </c>
      <c r="Q170" s="536" t="str">
        <f t="shared" si="59"/>
        <v>2016/17</v>
      </c>
      <c r="R170" s="536" t="str">
        <f t="shared" si="59"/>
        <v>2017/18</v>
      </c>
      <c r="S170" s="536" t="str">
        <f t="shared" si="59"/>
        <v>2018/19</v>
      </c>
      <c r="T170" s="536" t="str">
        <f t="shared" si="59"/>
        <v>2019/20</v>
      </c>
      <c r="U170" s="536" t="str">
        <f t="shared" si="59"/>
        <v>2020/21</v>
      </c>
      <c r="V170" s="536" t="str">
        <f t="shared" si="59"/>
        <v>2021/22</v>
      </c>
      <c r="W170" s="536" t="str">
        <f t="shared" si="59"/>
        <v>2022/23</v>
      </c>
      <c r="X170" s="536" t="str">
        <f t="shared" si="59"/>
        <v>2023/24</v>
      </c>
      <c r="Y170" s="536" t="str">
        <f t="shared" si="59"/>
        <v>2024/25</v>
      </c>
      <c r="Z170" s="536" t="str">
        <f t="shared" si="59"/>
        <v>2025/26</v>
      </c>
      <c r="AA170" s="536" t="str">
        <f t="shared" si="59"/>
        <v>2026/27</v>
      </c>
      <c r="AB170" s="536" t="str">
        <f t="shared" si="59"/>
        <v>2027/28</v>
      </c>
      <c r="AC170" s="536" t="str">
        <f t="shared" si="59"/>
        <v>2028/29</v>
      </c>
      <c r="AD170" s="536" t="str">
        <f t="shared" si="59"/>
        <v>2029/30</v>
      </c>
      <c r="AE170" s="536" t="str">
        <f t="shared" si="59"/>
        <v>2030/31</v>
      </c>
      <c r="AF170" s="536" t="str">
        <f t="shared" si="59"/>
        <v>2031/32</v>
      </c>
      <c r="AG170" s="536" t="str">
        <f t="shared" si="59"/>
        <v>3032/33</v>
      </c>
      <c r="AH170" s="536" t="str">
        <f t="shared" si="59"/>
        <v>2033/34</v>
      </c>
      <c r="AI170" s="536" t="str">
        <f t="shared" si="59"/>
        <v>2034/35</v>
      </c>
      <c r="AJ170" s="536" t="str">
        <f t="shared" si="59"/>
        <v>2035/36</v>
      </c>
      <c r="AK170" s="536" t="str">
        <f t="shared" si="59"/>
        <v>2036/37</v>
      </c>
    </row>
    <row r="171" spans="4:37" x14ac:dyDescent="0.45">
      <c r="E171" s="803" t="str">
        <f>D48</f>
        <v>Net Surplus / (Deficit)</v>
      </c>
      <c r="F171" s="803"/>
      <c r="G171" s="803"/>
      <c r="H171" s="803"/>
      <c r="I171" s="803"/>
      <c r="J171" s="803"/>
      <c r="K171" s="803"/>
      <c r="L171" s="803"/>
      <c r="M171" s="803"/>
      <c r="N171" s="533">
        <f t="shared" ref="N171:AK171" si="60">N48</f>
        <v>-50871121.044444449</v>
      </c>
      <c r="O171" s="533">
        <f t="shared" si="60"/>
        <v>-57558593.629444435</v>
      </c>
      <c r="P171" s="533">
        <f t="shared" si="60"/>
        <v>-68664631.99333334</v>
      </c>
      <c r="Q171" s="579">
        <f t="shared" ca="1" si="60"/>
        <v>-68333830.554473817</v>
      </c>
      <c r="R171" s="579">
        <f t="shared" ca="1" si="60"/>
        <v>-65887506.471090525</v>
      </c>
      <c r="S171" s="579">
        <f t="shared" ca="1" si="60"/>
        <v>-62946965.58384338</v>
      </c>
      <c r="T171" s="533">
        <f t="shared" ca="1" si="60"/>
        <v>-62298903.164927401</v>
      </c>
      <c r="U171" s="533">
        <f t="shared" ca="1" si="60"/>
        <v>-61848324.272219233</v>
      </c>
      <c r="V171" s="533">
        <f t="shared" ca="1" si="60"/>
        <v>-61150823.495859824</v>
      </c>
      <c r="W171" s="533">
        <f t="shared" ca="1" si="60"/>
        <v>-60180743.58734142</v>
      </c>
      <c r="X171" s="533">
        <f t="shared" ca="1" si="60"/>
        <v>-58910351.939518437</v>
      </c>
      <c r="Y171" s="533">
        <f t="shared" ca="1" si="60"/>
        <v>-57309689.910334095</v>
      </c>
      <c r="Z171" s="533">
        <f t="shared" ca="1" si="60"/>
        <v>-55346411.850116737</v>
      </c>
      <c r="AA171" s="533">
        <f t="shared" ca="1" si="60"/>
        <v>-52985613.155634455</v>
      </c>
      <c r="AB171" s="533">
        <f t="shared" ca="1" si="60"/>
        <v>-50189646.630793676</v>
      </c>
      <c r="AC171" s="533">
        <f t="shared" ca="1" si="60"/>
        <v>-46917926.387849219</v>
      </c>
      <c r="AD171" s="533">
        <f t="shared" ca="1" si="60"/>
        <v>-43126718.474090755</v>
      </c>
      <c r="AE171" s="533">
        <f t="shared" ca="1" si="60"/>
        <v>-38768917.357007094</v>
      </c>
      <c r="AF171" s="533">
        <f t="shared" ca="1" si="60"/>
        <v>-33793807.345715009</v>
      </c>
      <c r="AG171" s="533">
        <f t="shared" ca="1" si="60"/>
        <v>-28146807.967774194</v>
      </c>
      <c r="AH171" s="533">
        <f t="shared" ca="1" si="60"/>
        <v>-21769202.25818086</v>
      </c>
      <c r="AI171" s="533">
        <f t="shared" ca="1" si="60"/>
        <v>-14597846.851114951</v>
      </c>
      <c r="AJ171" s="533">
        <f t="shared" ca="1" si="60"/>
        <v>-43469.278956009039</v>
      </c>
      <c r="AK171" s="533">
        <f t="shared" ca="1" si="60"/>
        <v>0</v>
      </c>
    </row>
    <row r="172" spans="4:37" x14ac:dyDescent="0.45">
      <c r="E172" s="803" t="str">
        <f>D47</f>
        <v>Total Expenditure</v>
      </c>
      <c r="F172" s="803"/>
      <c r="G172" s="803"/>
      <c r="H172" s="803"/>
      <c r="I172" s="803"/>
      <c r="J172" s="803"/>
      <c r="K172" s="803"/>
      <c r="L172" s="803"/>
      <c r="M172" s="803"/>
      <c r="N172" s="533">
        <f t="shared" ref="N172:AK172" si="61">N47</f>
        <v>52850120.474444449</v>
      </c>
      <c r="O172" s="533">
        <f t="shared" si="61"/>
        <v>60252696.769444436</v>
      </c>
      <c r="P172" s="533">
        <f t="shared" si="61"/>
        <v>70945116.053333342</v>
      </c>
      <c r="Q172" s="579">
        <f t="shared" si="61"/>
        <v>70541679.224143788</v>
      </c>
      <c r="R172" s="579">
        <f t="shared" si="61"/>
        <v>67988695.36768207</v>
      </c>
      <c r="S172" s="579">
        <f t="shared" si="61"/>
        <v>64941494.707356498</v>
      </c>
      <c r="T172" s="533">
        <f t="shared" si="61"/>
        <v>63545521.941797741</v>
      </c>
      <c r="U172" s="533">
        <f t="shared" si="61"/>
        <v>63048279.398367763</v>
      </c>
      <c r="V172" s="533">
        <f t="shared" si="61"/>
        <v>62304114.971286543</v>
      </c>
      <c r="W172" s="533">
        <f t="shared" si="61"/>
        <v>61287371.412046328</v>
      </c>
      <c r="X172" s="533">
        <f t="shared" si="61"/>
        <v>59970316.113501534</v>
      </c>
      <c r="Y172" s="533">
        <f t="shared" si="61"/>
        <v>58322990.433595382</v>
      </c>
      <c r="Z172" s="533">
        <f t="shared" si="61"/>
        <v>56313048.722656213</v>
      </c>
      <c r="AA172" s="533">
        <f t="shared" si="61"/>
        <v>53905586.37745212</v>
      </c>
      <c r="AB172" s="533">
        <f t="shared" si="61"/>
        <v>51062956.20188953</v>
      </c>
      <c r="AC172" s="533">
        <f t="shared" si="61"/>
        <v>47744572.308223262</v>
      </c>
      <c r="AD172" s="533">
        <f t="shared" si="61"/>
        <v>43906700.743742995</v>
      </c>
      <c r="AE172" s="533">
        <f t="shared" si="61"/>
        <v>39502235.975937523</v>
      </c>
      <c r="AF172" s="533">
        <f t="shared" si="61"/>
        <v>34480462.313923627</v>
      </c>
      <c r="AG172" s="533">
        <f t="shared" si="61"/>
        <v>28786799.285260998</v>
      </c>
      <c r="AH172" s="533">
        <f t="shared" si="61"/>
        <v>22362529.924945854</v>
      </c>
      <c r="AI172" s="533">
        <f t="shared" si="61"/>
        <v>15144510.867158135</v>
      </c>
      <c r="AJ172" s="533">
        <f t="shared" si="61"/>
        <v>58078.58512102926</v>
      </c>
      <c r="AK172" s="533">
        <f t="shared" si="61"/>
        <v>0</v>
      </c>
    </row>
    <row r="173" spans="4:37" x14ac:dyDescent="0.45">
      <c r="E173" s="803" t="str">
        <f>D28</f>
        <v>Total Income</v>
      </c>
      <c r="F173" s="803"/>
      <c r="G173" s="803"/>
      <c r="H173" s="803"/>
      <c r="I173" s="803"/>
      <c r="J173" s="803"/>
      <c r="K173" s="803"/>
      <c r="L173" s="803"/>
      <c r="M173" s="803"/>
      <c r="N173" s="533">
        <f t="shared" ref="N173:AK173" si="62">N28</f>
        <v>1978999.43</v>
      </c>
      <c r="O173" s="533">
        <f t="shared" si="62"/>
        <v>2694103.1399999997</v>
      </c>
      <c r="P173" s="533">
        <f t="shared" si="62"/>
        <v>2280484.06</v>
      </c>
      <c r="Q173" s="579">
        <f t="shared" ca="1" si="62"/>
        <v>2207848.6696699685</v>
      </c>
      <c r="R173" s="579">
        <f t="shared" ca="1" si="62"/>
        <v>2101188.8965915451</v>
      </c>
      <c r="S173" s="579">
        <f t="shared" ca="1" si="62"/>
        <v>1994529.1235131212</v>
      </c>
      <c r="T173" s="533">
        <f t="shared" ca="1" si="62"/>
        <v>1246618.7768703401</v>
      </c>
      <c r="U173" s="533">
        <f t="shared" ca="1" si="62"/>
        <v>1199955.1261485298</v>
      </c>
      <c r="V173" s="533">
        <f t="shared" ca="1" si="62"/>
        <v>1153291.4754267195</v>
      </c>
      <c r="W173" s="533">
        <f t="shared" ca="1" si="62"/>
        <v>1106627.824704909</v>
      </c>
      <c r="X173" s="533">
        <f t="shared" ca="1" si="62"/>
        <v>1059964.1739830987</v>
      </c>
      <c r="Y173" s="533">
        <f t="shared" ca="1" si="62"/>
        <v>1013300.5232612882</v>
      </c>
      <c r="Z173" s="533">
        <f t="shared" ca="1" si="62"/>
        <v>966636.87253947789</v>
      </c>
      <c r="AA173" s="533">
        <f t="shared" ca="1" si="62"/>
        <v>919973.22181766736</v>
      </c>
      <c r="AB173" s="533">
        <f t="shared" ca="1" si="62"/>
        <v>873309.57109585707</v>
      </c>
      <c r="AC173" s="533">
        <f t="shared" ca="1" si="62"/>
        <v>826645.92037404666</v>
      </c>
      <c r="AD173" s="533">
        <f t="shared" ca="1" si="62"/>
        <v>779982.26965223625</v>
      </c>
      <c r="AE173" s="533">
        <f t="shared" ca="1" si="62"/>
        <v>733318.61893042596</v>
      </c>
      <c r="AF173" s="533">
        <f t="shared" ca="1" si="62"/>
        <v>686654.96820861567</v>
      </c>
      <c r="AG173" s="533">
        <f t="shared" ca="1" si="62"/>
        <v>639991.31748680526</v>
      </c>
      <c r="AH173" s="533">
        <f t="shared" ca="1" si="62"/>
        <v>593327.66676499485</v>
      </c>
      <c r="AI173" s="533">
        <f t="shared" ca="1" si="62"/>
        <v>546664.01604318444</v>
      </c>
      <c r="AJ173" s="533">
        <f t="shared" ca="1" si="62"/>
        <v>14609.306165020222</v>
      </c>
      <c r="AK173" s="533">
        <f t="shared" ca="1" si="62"/>
        <v>0</v>
      </c>
    </row>
    <row r="195" spans="5:37" x14ac:dyDescent="0.45">
      <c r="N195" s="536" t="str">
        <f>N$170</f>
        <v>2013/14</v>
      </c>
      <c r="O195" s="536" t="str">
        <f t="shared" ref="O195:AK195" si="63">O$170</f>
        <v>2014/15</v>
      </c>
      <c r="P195" s="536" t="str">
        <f t="shared" si="63"/>
        <v>2015/16</v>
      </c>
      <c r="Q195" s="536" t="str">
        <f t="shared" si="63"/>
        <v>2016/17</v>
      </c>
      <c r="R195" s="536" t="str">
        <f t="shared" si="63"/>
        <v>2017/18</v>
      </c>
      <c r="S195" s="536" t="str">
        <f t="shared" si="63"/>
        <v>2018/19</v>
      </c>
      <c r="T195" s="536" t="str">
        <f t="shared" si="63"/>
        <v>2019/20</v>
      </c>
      <c r="U195" s="536" t="str">
        <f t="shared" si="63"/>
        <v>2020/21</v>
      </c>
      <c r="V195" s="536" t="str">
        <f t="shared" si="63"/>
        <v>2021/22</v>
      </c>
      <c r="W195" s="536" t="str">
        <f t="shared" si="63"/>
        <v>2022/23</v>
      </c>
      <c r="X195" s="536" t="str">
        <f t="shared" si="63"/>
        <v>2023/24</v>
      </c>
      <c r="Y195" s="536" t="str">
        <f t="shared" si="63"/>
        <v>2024/25</v>
      </c>
      <c r="Z195" s="536" t="str">
        <f t="shared" si="63"/>
        <v>2025/26</v>
      </c>
      <c r="AA195" s="536" t="str">
        <f t="shared" si="63"/>
        <v>2026/27</v>
      </c>
      <c r="AB195" s="536" t="str">
        <f t="shared" si="63"/>
        <v>2027/28</v>
      </c>
      <c r="AC195" s="536" t="str">
        <f t="shared" si="63"/>
        <v>2028/29</v>
      </c>
      <c r="AD195" s="536" t="str">
        <f t="shared" si="63"/>
        <v>2029/30</v>
      </c>
      <c r="AE195" s="536" t="str">
        <f t="shared" si="63"/>
        <v>2030/31</v>
      </c>
      <c r="AF195" s="536" t="str">
        <f t="shared" si="63"/>
        <v>2031/32</v>
      </c>
      <c r="AG195" s="536" t="str">
        <f t="shared" si="63"/>
        <v>3032/33</v>
      </c>
      <c r="AH195" s="536" t="str">
        <f t="shared" si="63"/>
        <v>2033/34</v>
      </c>
      <c r="AI195" s="536" t="str">
        <f t="shared" si="63"/>
        <v>2034/35</v>
      </c>
      <c r="AJ195" s="536" t="str">
        <f t="shared" si="63"/>
        <v>2035/36</v>
      </c>
      <c r="AK195" s="536" t="str">
        <f t="shared" si="63"/>
        <v>2036/37</v>
      </c>
    </row>
    <row r="196" spans="5:37" x14ac:dyDescent="0.45">
      <c r="E196" s="803" t="str">
        <f>D104</f>
        <v>Sales &amp; Loans Collections/Sales &amp; Loans Raised</v>
      </c>
      <c r="F196" s="803"/>
      <c r="G196" s="803"/>
      <c r="H196" s="803"/>
      <c r="I196" s="803"/>
      <c r="J196" s="803"/>
      <c r="K196" s="803"/>
      <c r="L196" s="803"/>
      <c r="M196" s="803"/>
      <c r="N196" s="813">
        <f t="shared" ref="N196:AK196" si="64">N104</f>
        <v>3.5148162681969602E-2</v>
      </c>
      <c r="O196" s="813">
        <f t="shared" si="64"/>
        <v>7.2026885887480532E-2</v>
      </c>
      <c r="P196" s="813">
        <f t="shared" si="64"/>
        <v>5.9197853837512041E-2</v>
      </c>
      <c r="Q196" s="813">
        <f t="shared" si="64"/>
        <v>5.3213104553193342E-2</v>
      </c>
      <c r="R196" s="813">
        <f t="shared" si="64"/>
        <v>5.3213104553193342E-2</v>
      </c>
      <c r="S196" s="813">
        <f t="shared" si="64"/>
        <v>5.3213104553193342E-2</v>
      </c>
      <c r="T196" s="813">
        <f t="shared" si="64"/>
        <v>5.3213104553193342E-2</v>
      </c>
      <c r="U196" s="813">
        <f t="shared" si="64"/>
        <v>5.3213104553193342E-2</v>
      </c>
      <c r="V196" s="813">
        <f t="shared" si="64"/>
        <v>5.3213104553193342E-2</v>
      </c>
      <c r="W196" s="813">
        <f t="shared" si="64"/>
        <v>5.3213104553193342E-2</v>
      </c>
      <c r="X196" s="813">
        <f t="shared" si="64"/>
        <v>5.3213104553193342E-2</v>
      </c>
      <c r="Y196" s="813">
        <f t="shared" si="64"/>
        <v>5.3213104553193342E-2</v>
      </c>
      <c r="Z196" s="813">
        <f t="shared" si="64"/>
        <v>5.3213104553193342E-2</v>
      </c>
      <c r="AA196" s="813">
        <f t="shared" si="64"/>
        <v>5.3213104553193342E-2</v>
      </c>
      <c r="AB196" s="813">
        <f t="shared" si="64"/>
        <v>5.3213104553193342E-2</v>
      </c>
      <c r="AC196" s="813">
        <f t="shared" si="64"/>
        <v>5.3213104553193342E-2</v>
      </c>
      <c r="AD196" s="813">
        <f t="shared" si="64"/>
        <v>5.3213104553193342E-2</v>
      </c>
      <c r="AE196" s="813">
        <f t="shared" si="64"/>
        <v>5.3213104553193342E-2</v>
      </c>
      <c r="AF196" s="813">
        <f t="shared" si="64"/>
        <v>5.3213104553193342E-2</v>
      </c>
      <c r="AG196" s="813">
        <f t="shared" si="64"/>
        <v>5.3213104553193342E-2</v>
      </c>
      <c r="AH196" s="813">
        <f t="shared" si="64"/>
        <v>5.3213104553193342E-2</v>
      </c>
      <c r="AI196" s="813">
        <f t="shared" si="64"/>
        <v>5.3213104553193342E-2</v>
      </c>
      <c r="AJ196" s="813">
        <f t="shared" si="64"/>
        <v>5.3213104553193342E-2</v>
      </c>
      <c r="AK196" s="813">
        <f t="shared" si="64"/>
        <v>0</v>
      </c>
    </row>
    <row r="219" spans="5:37" x14ac:dyDescent="0.45">
      <c r="N219" s="536" t="str">
        <f>N$170</f>
        <v>2013/14</v>
      </c>
      <c r="O219" s="536" t="str">
        <f t="shared" ref="O219:AK219" si="65">O$170</f>
        <v>2014/15</v>
      </c>
      <c r="P219" s="536" t="str">
        <f t="shared" si="65"/>
        <v>2015/16</v>
      </c>
      <c r="Q219" s="536" t="str">
        <f t="shared" si="65"/>
        <v>2016/17</v>
      </c>
      <c r="R219" s="536" t="str">
        <f t="shared" si="65"/>
        <v>2017/18</v>
      </c>
      <c r="S219" s="536" t="str">
        <f t="shared" si="65"/>
        <v>2018/19</v>
      </c>
      <c r="T219" s="536" t="str">
        <f t="shared" si="65"/>
        <v>2019/20</v>
      </c>
      <c r="U219" s="536" t="str">
        <f t="shared" si="65"/>
        <v>2020/21</v>
      </c>
      <c r="V219" s="536" t="str">
        <f t="shared" si="65"/>
        <v>2021/22</v>
      </c>
      <c r="W219" s="536" t="str">
        <f t="shared" si="65"/>
        <v>2022/23</v>
      </c>
      <c r="X219" s="536" t="str">
        <f t="shared" si="65"/>
        <v>2023/24</v>
      </c>
      <c r="Y219" s="536" t="str">
        <f t="shared" si="65"/>
        <v>2024/25</v>
      </c>
      <c r="Z219" s="536" t="str">
        <f t="shared" si="65"/>
        <v>2025/26</v>
      </c>
      <c r="AA219" s="536" t="str">
        <f t="shared" si="65"/>
        <v>2026/27</v>
      </c>
      <c r="AB219" s="536" t="str">
        <f t="shared" si="65"/>
        <v>2027/28</v>
      </c>
      <c r="AC219" s="536" t="str">
        <f t="shared" si="65"/>
        <v>2028/29</v>
      </c>
      <c r="AD219" s="536" t="str">
        <f t="shared" si="65"/>
        <v>2029/30</v>
      </c>
      <c r="AE219" s="536" t="str">
        <f t="shared" si="65"/>
        <v>2030/31</v>
      </c>
      <c r="AF219" s="536" t="str">
        <f t="shared" si="65"/>
        <v>2031/32</v>
      </c>
      <c r="AG219" s="536" t="str">
        <f t="shared" si="65"/>
        <v>3032/33</v>
      </c>
      <c r="AH219" s="536" t="str">
        <f t="shared" si="65"/>
        <v>2033/34</v>
      </c>
      <c r="AI219" s="536" t="str">
        <f t="shared" si="65"/>
        <v>2034/35</v>
      </c>
      <c r="AJ219" s="536" t="str">
        <f t="shared" si="65"/>
        <v>2035/36</v>
      </c>
      <c r="AK219" s="536" t="str">
        <f t="shared" si="65"/>
        <v>2036/37</v>
      </c>
    </row>
    <row r="220" spans="5:37" x14ac:dyDescent="0.45">
      <c r="E220" s="803" t="str">
        <f>D105</f>
        <v>Rental Collections/Rentals Raised</v>
      </c>
      <c r="F220" s="803"/>
      <c r="G220" s="803"/>
      <c r="H220" s="803"/>
      <c r="I220" s="803"/>
      <c r="J220" s="803"/>
      <c r="K220" s="803"/>
      <c r="L220" s="803"/>
      <c r="M220" s="803"/>
      <c r="N220" s="813">
        <f>N105</f>
        <v>0.2139386935825236</v>
      </c>
      <c r="O220" s="813">
        <f t="shared" ref="O220:AK220" si="66">O105</f>
        <v>0.23776450641986749</v>
      </c>
      <c r="P220" s="813">
        <f t="shared" si="66"/>
        <v>0.2765409995924219</v>
      </c>
      <c r="Q220" s="813">
        <f t="shared" si="66"/>
        <v>0.2765409995924219</v>
      </c>
      <c r="R220" s="813">
        <f t="shared" si="66"/>
        <v>0.2765409995924219</v>
      </c>
      <c r="S220" s="813">
        <f t="shared" si="66"/>
        <v>0.2765409995924219</v>
      </c>
      <c r="T220" s="813">
        <f t="shared" si="66"/>
        <v>0.2765409995924219</v>
      </c>
      <c r="U220" s="813">
        <f t="shared" si="66"/>
        <v>0.2765409995924219</v>
      </c>
      <c r="V220" s="813">
        <f t="shared" si="66"/>
        <v>0.2765409995924219</v>
      </c>
      <c r="W220" s="813">
        <f t="shared" si="66"/>
        <v>0.2765409995924219</v>
      </c>
      <c r="X220" s="813">
        <f t="shared" si="66"/>
        <v>0.2765409995924219</v>
      </c>
      <c r="Y220" s="813">
        <f t="shared" si="66"/>
        <v>0.2765409995924219</v>
      </c>
      <c r="Z220" s="813">
        <f t="shared" si="66"/>
        <v>0.2765409995924219</v>
      </c>
      <c r="AA220" s="813">
        <f t="shared" si="66"/>
        <v>0.2765409995924219</v>
      </c>
      <c r="AB220" s="813">
        <f t="shared" si="66"/>
        <v>0.2765409995924219</v>
      </c>
      <c r="AC220" s="813">
        <f t="shared" si="66"/>
        <v>0.2765409995924219</v>
      </c>
      <c r="AD220" s="813">
        <f t="shared" si="66"/>
        <v>0.2765409995924219</v>
      </c>
      <c r="AE220" s="813">
        <f t="shared" si="66"/>
        <v>0.2765409995924219</v>
      </c>
      <c r="AF220" s="813">
        <f t="shared" si="66"/>
        <v>0.2765409995924219</v>
      </c>
      <c r="AG220" s="813">
        <f t="shared" si="66"/>
        <v>0.2765409995924219</v>
      </c>
      <c r="AH220" s="813">
        <f t="shared" si="66"/>
        <v>0.2765409995924219</v>
      </c>
      <c r="AI220" s="813">
        <f t="shared" si="66"/>
        <v>0.2765409995924219</v>
      </c>
      <c r="AJ220" s="813">
        <f t="shared" si="66"/>
        <v>0</v>
      </c>
      <c r="AK220" s="813">
        <f t="shared" si="66"/>
        <v>0</v>
      </c>
    </row>
    <row r="243" spans="5:37" x14ac:dyDescent="0.45">
      <c r="N243" s="536" t="str">
        <f>N$170</f>
        <v>2013/14</v>
      </c>
      <c r="O243" s="536" t="str">
        <f t="shared" ref="O243:AK243" si="67">O$170</f>
        <v>2014/15</v>
      </c>
      <c r="P243" s="536" t="str">
        <f t="shared" si="67"/>
        <v>2015/16</v>
      </c>
      <c r="Q243" s="536" t="str">
        <f t="shared" si="67"/>
        <v>2016/17</v>
      </c>
      <c r="R243" s="536" t="str">
        <f t="shared" si="67"/>
        <v>2017/18</v>
      </c>
      <c r="S243" s="536" t="str">
        <f t="shared" si="67"/>
        <v>2018/19</v>
      </c>
      <c r="T243" s="536" t="str">
        <f t="shared" si="67"/>
        <v>2019/20</v>
      </c>
      <c r="U243" s="536" t="str">
        <f t="shared" si="67"/>
        <v>2020/21</v>
      </c>
      <c r="V243" s="536" t="str">
        <f t="shared" si="67"/>
        <v>2021/22</v>
      </c>
      <c r="W243" s="536" t="str">
        <f t="shared" si="67"/>
        <v>2022/23</v>
      </c>
      <c r="X243" s="536" t="str">
        <f t="shared" si="67"/>
        <v>2023/24</v>
      </c>
      <c r="Y243" s="536" t="str">
        <f t="shared" si="67"/>
        <v>2024/25</v>
      </c>
      <c r="Z243" s="536" t="str">
        <f t="shared" si="67"/>
        <v>2025/26</v>
      </c>
      <c r="AA243" s="536" t="str">
        <f t="shared" si="67"/>
        <v>2026/27</v>
      </c>
      <c r="AB243" s="536" t="str">
        <f t="shared" si="67"/>
        <v>2027/28</v>
      </c>
      <c r="AC243" s="536" t="str">
        <f t="shared" si="67"/>
        <v>2028/29</v>
      </c>
      <c r="AD243" s="536" t="str">
        <f t="shared" si="67"/>
        <v>2029/30</v>
      </c>
      <c r="AE243" s="536" t="str">
        <f t="shared" si="67"/>
        <v>2030/31</v>
      </c>
      <c r="AF243" s="536" t="str">
        <f t="shared" si="67"/>
        <v>2031/32</v>
      </c>
      <c r="AG243" s="536" t="str">
        <f t="shared" si="67"/>
        <v>3032/33</v>
      </c>
      <c r="AH243" s="536" t="str">
        <f t="shared" si="67"/>
        <v>2033/34</v>
      </c>
      <c r="AI243" s="536" t="str">
        <f t="shared" si="67"/>
        <v>2034/35</v>
      </c>
      <c r="AJ243" s="536" t="str">
        <f t="shared" si="67"/>
        <v>2035/36</v>
      </c>
      <c r="AK243" s="536" t="str">
        <f t="shared" si="67"/>
        <v>2036/37</v>
      </c>
    </row>
    <row r="244" spans="5:37" x14ac:dyDescent="0.45">
      <c r="E244" s="803" t="str">
        <f>D110</f>
        <v>Cost to Income Ratio</v>
      </c>
      <c r="F244" s="803"/>
      <c r="G244" s="803"/>
      <c r="H244" s="803"/>
      <c r="I244" s="803"/>
      <c r="J244" s="803"/>
      <c r="K244" s="803"/>
      <c r="L244" s="803"/>
      <c r="M244" s="803"/>
      <c r="N244" s="813">
        <f>N110</f>
        <v>4.3859747647309115</v>
      </c>
      <c r="O244" s="813">
        <f t="shared" ref="O244:AK244" si="68">O110</f>
        <v>3.7877355450022678</v>
      </c>
      <c r="P244" s="813">
        <f t="shared" si="68"/>
        <v>6.4840547126770431</v>
      </c>
      <c r="Q244" s="813">
        <f t="shared" ca="1" si="68"/>
        <v>31.950414081001497</v>
      </c>
      <c r="R244" s="813">
        <f t="shared" ca="1" si="68"/>
        <v>32.357250449005463</v>
      </c>
      <c r="S244" s="813">
        <f t="shared" ca="1" si="68"/>
        <v>32.559812710565957</v>
      </c>
      <c r="T244" s="813">
        <f t="shared" ca="1" si="68"/>
        <v>50.974301944440441</v>
      </c>
      <c r="U244" s="813">
        <f t="shared" ca="1" si="68"/>
        <v>52.542197640950519</v>
      </c>
      <c r="V244" s="813">
        <f t="shared" ca="1" si="68"/>
        <v>54.022869585708094</v>
      </c>
      <c r="W244" s="813">
        <f t="shared" ca="1" si="68"/>
        <v>55.382098700065747</v>
      </c>
      <c r="X244" s="813">
        <f t="shared" ca="1" si="68"/>
        <v>56.577682138205709</v>
      </c>
      <c r="Y244" s="813">
        <f t="shared" ca="1" si="68"/>
        <v>57.557446280481493</v>
      </c>
      <c r="Z244" s="813">
        <f t="shared" ca="1" si="68"/>
        <v>58.256673547652575</v>
      </c>
      <c r="AA244" s="813">
        <f t="shared" ca="1" si="68"/>
        <v>58.594734171660328</v>
      </c>
      <c r="AB244" s="813">
        <f t="shared" ca="1" si="68"/>
        <v>58.470624726824056</v>
      </c>
      <c r="AC244" s="813">
        <f t="shared" ca="1" si="68"/>
        <v>57.756980505776227</v>
      </c>
      <c r="AD244" s="813">
        <f t="shared" ca="1" si="68"/>
        <v>56.2919215629341</v>
      </c>
      <c r="AE244" s="813">
        <f t="shared" ca="1" si="68"/>
        <v>53.867766283574099</v>
      </c>
      <c r="AF244" s="813">
        <f t="shared" ca="1" si="68"/>
        <v>50.2151210001119</v>
      </c>
      <c r="AG244" s="813">
        <f t="shared" ca="1" si="68"/>
        <v>44.979984100885083</v>
      </c>
      <c r="AH244" s="813">
        <f t="shared" ca="1" si="68"/>
        <v>37.690017131466753</v>
      </c>
      <c r="AI244" s="813">
        <f t="shared" ca="1" si="68"/>
        <v>27.703507863524301</v>
      </c>
      <c r="AJ244" s="813">
        <f t="shared" ca="1" si="68"/>
        <v>3.9754512955645809</v>
      </c>
      <c r="AK244" s="813">
        <f t="shared" ca="1" si="68"/>
        <v>0</v>
      </c>
    </row>
    <row r="269" spans="5:37" x14ac:dyDescent="0.45">
      <c r="N269" s="536" t="str">
        <f>N$170</f>
        <v>2013/14</v>
      </c>
      <c r="O269" s="536" t="str">
        <f t="shared" ref="O269:AK269" si="69">O$170</f>
        <v>2014/15</v>
      </c>
      <c r="P269" s="536" t="str">
        <f t="shared" si="69"/>
        <v>2015/16</v>
      </c>
      <c r="Q269" s="536" t="str">
        <f t="shared" si="69"/>
        <v>2016/17</v>
      </c>
      <c r="R269" s="536" t="str">
        <f t="shared" si="69"/>
        <v>2017/18</v>
      </c>
      <c r="S269" s="536" t="str">
        <f t="shared" si="69"/>
        <v>2018/19</v>
      </c>
      <c r="T269" s="536" t="str">
        <f t="shared" si="69"/>
        <v>2019/20</v>
      </c>
      <c r="U269" s="536" t="str">
        <f t="shared" si="69"/>
        <v>2020/21</v>
      </c>
      <c r="V269" s="536" t="str">
        <f t="shared" si="69"/>
        <v>2021/22</v>
      </c>
      <c r="W269" s="536" t="str">
        <f t="shared" si="69"/>
        <v>2022/23</v>
      </c>
      <c r="X269" s="536" t="str">
        <f t="shared" si="69"/>
        <v>2023/24</v>
      </c>
      <c r="Y269" s="536" t="str">
        <f t="shared" si="69"/>
        <v>2024/25</v>
      </c>
      <c r="Z269" s="536" t="str">
        <f t="shared" si="69"/>
        <v>2025/26</v>
      </c>
      <c r="AA269" s="536" t="str">
        <f t="shared" si="69"/>
        <v>2026/27</v>
      </c>
      <c r="AB269" s="536" t="str">
        <f t="shared" si="69"/>
        <v>2027/28</v>
      </c>
      <c r="AC269" s="536" t="str">
        <f t="shared" si="69"/>
        <v>2028/29</v>
      </c>
      <c r="AD269" s="536" t="str">
        <f t="shared" si="69"/>
        <v>2029/30</v>
      </c>
      <c r="AE269" s="536" t="str">
        <f t="shared" si="69"/>
        <v>2030/31</v>
      </c>
      <c r="AF269" s="536" t="str">
        <f t="shared" si="69"/>
        <v>2031/32</v>
      </c>
      <c r="AG269" s="536" t="str">
        <f t="shared" si="69"/>
        <v>3032/33</v>
      </c>
      <c r="AH269" s="536" t="str">
        <f t="shared" si="69"/>
        <v>2033/34</v>
      </c>
      <c r="AI269" s="536" t="str">
        <f t="shared" si="69"/>
        <v>2034/35</v>
      </c>
      <c r="AJ269" s="536" t="str">
        <f t="shared" si="69"/>
        <v>2035/36</v>
      </c>
      <c r="AK269" s="536" t="str">
        <f t="shared" si="69"/>
        <v>2036/37</v>
      </c>
    </row>
    <row r="270" spans="5:37" x14ac:dyDescent="0.45">
      <c r="E270" s="803" t="str">
        <f>D111</f>
        <v>Maintenance as % of Expenses</v>
      </c>
      <c r="F270" s="803"/>
      <c r="G270" s="803"/>
      <c r="H270" s="803"/>
      <c r="I270" s="803"/>
      <c r="J270" s="803"/>
      <c r="K270" s="803"/>
      <c r="L270" s="803"/>
      <c r="M270" s="803"/>
      <c r="N270" s="813">
        <f>N111</f>
        <v>0.40601093351103773</v>
      </c>
      <c r="O270" s="813">
        <f t="shared" ref="O270:AK270" si="70">O111</f>
        <v>0.36961297624928435</v>
      </c>
      <c r="P270" s="813">
        <f t="shared" si="70"/>
        <v>0.42371686963485639</v>
      </c>
      <c r="Q270" s="813">
        <f t="shared" si="70"/>
        <v>0.40467270541111561</v>
      </c>
      <c r="R270" s="813">
        <f t="shared" si="70"/>
        <v>0.39380708423471228</v>
      </c>
      <c r="S270" s="813">
        <f t="shared" si="70"/>
        <v>0.38067048374673801</v>
      </c>
      <c r="T270" s="813">
        <f t="shared" si="70"/>
        <v>0.38482090420310539</v>
      </c>
      <c r="U270" s="813">
        <f t="shared" si="70"/>
        <v>0.38195737195409757</v>
      </c>
      <c r="V270" s="813">
        <f t="shared" si="70"/>
        <v>0.37870668448066641</v>
      </c>
      <c r="W270" s="813">
        <f t="shared" si="70"/>
        <v>0.37498463295446738</v>
      </c>
      <c r="X270" s="813">
        <f t="shared" si="70"/>
        <v>0.37068067823677731</v>
      </c>
      <c r="Y270" s="813">
        <f t="shared" si="70"/>
        <v>0.36564678704477233</v>
      </c>
      <c r="Z270" s="813">
        <f t="shared" si="70"/>
        <v>0.35968006178315676</v>
      </c>
      <c r="AA270" s="813">
        <f t="shared" si="70"/>
        <v>0.35249472763258488</v>
      </c>
      <c r="AB270" s="813">
        <f t="shared" si="70"/>
        <v>0.34367500403140322</v>
      </c>
      <c r="AC270" s="813">
        <f t="shared" si="70"/>
        <v>0.33259168941117534</v>
      </c>
      <c r="AD270" s="813">
        <f t="shared" si="70"/>
        <v>0.31824506494510874</v>
      </c>
      <c r="AE270" s="813">
        <f t="shared" si="70"/>
        <v>0.29894507965417055</v>
      </c>
      <c r="AF270" s="813">
        <f t="shared" si="70"/>
        <v>0.2715911565663236</v>
      </c>
      <c r="AG270" s="813">
        <f t="shared" si="70"/>
        <v>0.22981265686639565</v>
      </c>
      <c r="AH270" s="813">
        <f t="shared" si="70"/>
        <v>0.15811418412615832</v>
      </c>
      <c r="AI270" s="813">
        <f t="shared" si="70"/>
        <v>6.4255807981744989E-3</v>
      </c>
      <c r="AJ270" s="813">
        <f t="shared" si="70"/>
        <v>0</v>
      </c>
      <c r="AK270" s="813">
        <f t="shared" si="70"/>
        <v>0</v>
      </c>
    </row>
    <row r="293" spans="5:37" x14ac:dyDescent="0.45">
      <c r="N293" s="536" t="str">
        <f>N$170</f>
        <v>2013/14</v>
      </c>
      <c r="O293" s="536" t="str">
        <f t="shared" ref="O293:AK293" si="71">O$170</f>
        <v>2014/15</v>
      </c>
      <c r="P293" s="536" t="str">
        <f t="shared" si="71"/>
        <v>2015/16</v>
      </c>
      <c r="Q293" s="536" t="str">
        <f t="shared" si="71"/>
        <v>2016/17</v>
      </c>
      <c r="R293" s="536" t="str">
        <f t="shared" si="71"/>
        <v>2017/18</v>
      </c>
      <c r="S293" s="536" t="str">
        <f t="shared" si="71"/>
        <v>2018/19</v>
      </c>
      <c r="T293" s="536" t="str">
        <f t="shared" si="71"/>
        <v>2019/20</v>
      </c>
      <c r="U293" s="536" t="str">
        <f t="shared" si="71"/>
        <v>2020/21</v>
      </c>
      <c r="V293" s="536" t="str">
        <f t="shared" si="71"/>
        <v>2021/22</v>
      </c>
      <c r="W293" s="536" t="str">
        <f t="shared" si="71"/>
        <v>2022/23</v>
      </c>
      <c r="X293" s="536" t="str">
        <f t="shared" si="71"/>
        <v>2023/24</v>
      </c>
      <c r="Y293" s="536" t="str">
        <f t="shared" si="71"/>
        <v>2024/25</v>
      </c>
      <c r="Z293" s="536" t="str">
        <f t="shared" si="71"/>
        <v>2025/26</v>
      </c>
      <c r="AA293" s="536" t="str">
        <f t="shared" si="71"/>
        <v>2026/27</v>
      </c>
      <c r="AB293" s="536" t="str">
        <f t="shared" si="71"/>
        <v>2027/28</v>
      </c>
      <c r="AC293" s="536" t="str">
        <f t="shared" si="71"/>
        <v>2028/29</v>
      </c>
      <c r="AD293" s="536" t="str">
        <f t="shared" si="71"/>
        <v>2029/30</v>
      </c>
      <c r="AE293" s="536" t="str">
        <f t="shared" si="71"/>
        <v>2030/31</v>
      </c>
      <c r="AF293" s="536" t="str">
        <f t="shared" si="71"/>
        <v>2031/32</v>
      </c>
      <c r="AG293" s="536" t="str">
        <f t="shared" si="71"/>
        <v>3032/33</v>
      </c>
      <c r="AH293" s="536" t="str">
        <f t="shared" si="71"/>
        <v>2033/34</v>
      </c>
      <c r="AI293" s="536" t="str">
        <f t="shared" si="71"/>
        <v>2034/35</v>
      </c>
      <c r="AJ293" s="536" t="str">
        <f t="shared" si="71"/>
        <v>2035/36</v>
      </c>
      <c r="AK293" s="536" t="str">
        <f t="shared" si="71"/>
        <v>2036/37</v>
      </c>
    </row>
    <row r="294" spans="5:37" x14ac:dyDescent="0.45">
      <c r="E294" s="803" t="str">
        <f>D112</f>
        <v>Maintenance Cost per Unit</v>
      </c>
      <c r="F294" s="803"/>
      <c r="G294" s="803"/>
      <c r="H294" s="803"/>
      <c r="I294" s="803"/>
      <c r="J294" s="803"/>
      <c r="K294" s="803"/>
      <c r="L294" s="803"/>
      <c r="M294" s="803"/>
      <c r="N294" s="818">
        <f>N112</f>
        <v>0</v>
      </c>
      <c r="O294" s="818">
        <f t="shared" ref="O294:AK294" si="72">O112</f>
        <v>0</v>
      </c>
      <c r="P294" s="818">
        <f t="shared" si="72"/>
        <v>11728.693909481077</v>
      </c>
      <c r="Q294" s="818">
        <f t="shared" si="72"/>
        <v>12373.772074502538</v>
      </c>
      <c r="R294" s="818">
        <f t="shared" si="72"/>
        <v>13054.329538600179</v>
      </c>
      <c r="S294" s="818">
        <f t="shared" si="72"/>
        <v>13772.317663223188</v>
      </c>
      <c r="T294" s="818">
        <f t="shared" si="72"/>
        <v>14529.795134700464</v>
      </c>
      <c r="U294" s="818">
        <f t="shared" si="72"/>
        <v>15328.93386710899</v>
      </c>
      <c r="V294" s="818">
        <f t="shared" si="72"/>
        <v>16172.025229799985</v>
      </c>
      <c r="W294" s="818">
        <f t="shared" si="72"/>
        <v>17061.486617438983</v>
      </c>
      <c r="X294" s="818">
        <f t="shared" si="72"/>
        <v>17999.868381398122</v>
      </c>
      <c r="Y294" s="818">
        <f t="shared" si="72"/>
        <v>18989.861142375015</v>
      </c>
      <c r="Z294" s="818">
        <f t="shared" si="72"/>
        <v>20034.303505205644</v>
      </c>
      <c r="AA294" s="818">
        <f t="shared" si="72"/>
        <v>21136.190197991949</v>
      </c>
      <c r="AB294" s="818">
        <f t="shared" si="72"/>
        <v>22298.680658881512</v>
      </c>
      <c r="AC294" s="818">
        <f t="shared" si="72"/>
        <v>23525.108095119991</v>
      </c>
      <c r="AD294" s="818">
        <f t="shared" si="72"/>
        <v>24818.989040351586</v>
      </c>
      <c r="AE294" s="818">
        <f t="shared" si="72"/>
        <v>26184.033437570921</v>
      </c>
      <c r="AF294" s="818">
        <f t="shared" si="72"/>
        <v>27624.155276637321</v>
      </c>
      <c r="AG294" s="818">
        <f t="shared" si="72"/>
        <v>29143.483816852375</v>
      </c>
      <c r="AH294" s="818">
        <f t="shared" si="72"/>
        <v>30746.375426779254</v>
      </c>
      <c r="AI294" s="818">
        <f t="shared" si="72"/>
        <v>32437.426075252111</v>
      </c>
      <c r="AJ294" s="818">
        <f t="shared" si="72"/>
        <v>0</v>
      </c>
      <c r="AK294" s="818">
        <f t="shared" si="72"/>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9.6244102864323916E-3</v>
      </c>
      <c r="O317" s="813">
        <f t="shared" ref="O317:AK317" si="74">O113</f>
        <v>1.0521306118901294E-2</v>
      </c>
      <c r="P317" s="813">
        <f t="shared" si="74"/>
        <v>0</v>
      </c>
      <c r="Q317" s="813">
        <f t="shared" ca="1" si="74"/>
        <v>1.9282360142148663E-2</v>
      </c>
      <c r="R317" s="813">
        <f t="shared" ca="1" si="74"/>
        <v>1.8592059282128749E-2</v>
      </c>
      <c r="S317" s="813">
        <f t="shared" ca="1" si="74"/>
        <v>1.7762300904169637E-2</v>
      </c>
      <c r="T317" s="813">
        <f t="shared" ca="1" si="74"/>
        <v>1.7579431411054242E-2</v>
      </c>
      <c r="U317" s="813">
        <f t="shared" ca="1" si="74"/>
        <v>1.7452287587692499E-2</v>
      </c>
      <c r="V317" s="813">
        <f t="shared" ca="1" si="74"/>
        <v>1.7255467636870789E-2</v>
      </c>
      <c r="W317" s="813">
        <f t="shared" ca="1" si="74"/>
        <v>1.698173162630421E-2</v>
      </c>
      <c r="X317" s="813">
        <f t="shared" ca="1" si="74"/>
        <v>1.6623254001442059E-2</v>
      </c>
      <c r="Y317" s="813">
        <f t="shared" ca="1" si="74"/>
        <v>1.6171581067813807E-2</v>
      </c>
      <c r="Z317" s="813">
        <f t="shared" ca="1" si="74"/>
        <v>1.5617585567940405E-2</v>
      </c>
      <c r="AA317" s="813">
        <f t="shared" ca="1" si="74"/>
        <v>1.4951418161829121E-2</v>
      </c>
      <c r="AB317" s="813">
        <f t="shared" ca="1" si="74"/>
        <v>1.4162455607850913E-2</v>
      </c>
      <c r="AC317" s="813">
        <f t="shared" ca="1" si="74"/>
        <v>1.3239245427813922E-2</v>
      </c>
      <c r="AD317" s="813">
        <f t="shared" ca="1" si="74"/>
        <v>1.2169446826247472E-2</v>
      </c>
      <c r="AE317" s="813">
        <f t="shared" ca="1" si="74"/>
        <v>1.0939767619247953E-2</v>
      </c>
      <c r="AF317" s="813">
        <f t="shared" ca="1" si="74"/>
        <v>9.5358969126574725E-3</v>
      </c>
      <c r="AG317" s="813">
        <f t="shared" ca="1" si="74"/>
        <v>7.9424332527922147E-3</v>
      </c>
      <c r="AH317" s="813">
        <f t="shared" ca="1" si="74"/>
        <v>6.1428079553493943E-3</v>
      </c>
      <c r="AI317" s="813">
        <f t="shared" ca="1" si="74"/>
        <v>4.1192032994365876E-3</v>
      </c>
      <c r="AJ317" s="813">
        <f t="shared" ca="1" si="74"/>
        <v>1.2266110141170973E-5</v>
      </c>
      <c r="AK317" s="813">
        <f t="shared" ca="1" si="74"/>
        <v>0</v>
      </c>
    </row>
    <row r="339" spans="5:37" x14ac:dyDescent="0.45">
      <c r="N339" s="536" t="str">
        <f>N$170</f>
        <v>2013/14</v>
      </c>
      <c r="O339" s="536" t="str">
        <f t="shared" ref="O339:AK339" si="75">O$170</f>
        <v>2014/15</v>
      </c>
      <c r="P339" s="536" t="str">
        <f t="shared" si="75"/>
        <v>2015/16</v>
      </c>
      <c r="Q339" s="536" t="str">
        <f t="shared" si="75"/>
        <v>2016/17</v>
      </c>
      <c r="R339" s="536" t="str">
        <f t="shared" si="75"/>
        <v>2017/18</v>
      </c>
      <c r="S339" s="536" t="str">
        <f t="shared" si="75"/>
        <v>2018/19</v>
      </c>
      <c r="T339" s="536" t="str">
        <f t="shared" si="75"/>
        <v>2019/20</v>
      </c>
      <c r="U339" s="536" t="str">
        <f t="shared" si="75"/>
        <v>2020/21</v>
      </c>
      <c r="V339" s="536" t="str">
        <f t="shared" si="75"/>
        <v>2021/22</v>
      </c>
      <c r="W339" s="536" t="str">
        <f t="shared" si="75"/>
        <v>2022/23</v>
      </c>
      <c r="X339" s="536" t="str">
        <f t="shared" si="75"/>
        <v>2023/24</v>
      </c>
      <c r="Y339" s="536" t="str">
        <f t="shared" si="75"/>
        <v>2024/25</v>
      </c>
      <c r="Z339" s="536" t="str">
        <f t="shared" si="75"/>
        <v>2025/26</v>
      </c>
      <c r="AA339" s="536" t="str">
        <f t="shared" si="75"/>
        <v>2026/27</v>
      </c>
      <c r="AB339" s="536" t="str">
        <f t="shared" si="75"/>
        <v>2027/28</v>
      </c>
      <c r="AC339" s="536" t="str">
        <f t="shared" si="75"/>
        <v>2028/29</v>
      </c>
      <c r="AD339" s="536" t="str">
        <f t="shared" si="75"/>
        <v>2029/30</v>
      </c>
      <c r="AE339" s="536" t="str">
        <f t="shared" si="75"/>
        <v>2030/31</v>
      </c>
      <c r="AF339" s="536" t="str">
        <f t="shared" si="75"/>
        <v>2031/32</v>
      </c>
      <c r="AG339" s="536" t="str">
        <f t="shared" si="75"/>
        <v>3032/33</v>
      </c>
      <c r="AH339" s="536" t="str">
        <f t="shared" si="75"/>
        <v>2033/34</v>
      </c>
      <c r="AI339" s="536" t="str">
        <f t="shared" si="75"/>
        <v>2034/35</v>
      </c>
      <c r="AJ339" s="536" t="str">
        <f t="shared" si="75"/>
        <v>2035/36</v>
      </c>
      <c r="AK339" s="536" t="str">
        <f t="shared" si="75"/>
        <v>2036/37</v>
      </c>
    </row>
    <row r="340" spans="5:37" x14ac:dyDescent="0.45">
      <c r="E340" s="803" t="str">
        <f>D115</f>
        <v>EEDBS as % of HSDG</v>
      </c>
      <c r="F340" s="803"/>
      <c r="G340" s="803"/>
      <c r="H340" s="803"/>
      <c r="I340" s="803"/>
      <c r="J340" s="803"/>
      <c r="K340" s="803"/>
      <c r="L340" s="803"/>
      <c r="M340" s="803"/>
      <c r="N340" s="813">
        <f>N115</f>
        <v>3.032000393688501E-3</v>
      </c>
      <c r="O340" s="813">
        <f t="shared" ref="O340:AK340" si="76">O115</f>
        <v>3.7679741924084758E-3</v>
      </c>
      <c r="P340" s="813">
        <f t="shared" si="76"/>
        <v>2.443947715649525E-3</v>
      </c>
      <c r="Q340" s="813">
        <f t="shared" ca="1" si="76"/>
        <v>1.4241317075318043E-3</v>
      </c>
      <c r="R340" s="813">
        <f t="shared" ca="1" si="76"/>
        <v>1.4241317075318043E-3</v>
      </c>
      <c r="S340" s="813">
        <f t="shared" ca="1" si="76"/>
        <v>1.4241317075318043E-3</v>
      </c>
      <c r="T340" s="813">
        <f t="shared" ca="1" si="76"/>
        <v>6.230576220451644E-4</v>
      </c>
      <c r="U340" s="813">
        <f t="shared" ca="1" si="76"/>
        <v>6.230576220451644E-4</v>
      </c>
      <c r="V340" s="813">
        <f t="shared" ca="1" si="76"/>
        <v>6.230576220451644E-4</v>
      </c>
      <c r="W340" s="813">
        <f t="shared" ca="1" si="76"/>
        <v>6.230576220451644E-4</v>
      </c>
      <c r="X340" s="813">
        <f t="shared" ca="1" si="76"/>
        <v>6.230576220451644E-4</v>
      </c>
      <c r="Y340" s="813">
        <f t="shared" ca="1" si="76"/>
        <v>6.230576220451644E-4</v>
      </c>
      <c r="Z340" s="813">
        <f t="shared" ca="1" si="76"/>
        <v>6.230576220451644E-4</v>
      </c>
      <c r="AA340" s="813">
        <f t="shared" ca="1" si="76"/>
        <v>6.230576220451644E-4</v>
      </c>
      <c r="AB340" s="813">
        <f t="shared" ca="1" si="76"/>
        <v>6.230576220451644E-4</v>
      </c>
      <c r="AC340" s="813">
        <f t="shared" ca="1" si="76"/>
        <v>6.230576220451644E-4</v>
      </c>
      <c r="AD340" s="813">
        <f t="shared" ca="1" si="76"/>
        <v>6.230576220451644E-4</v>
      </c>
      <c r="AE340" s="813">
        <f t="shared" ca="1" si="76"/>
        <v>6.230576220451644E-4</v>
      </c>
      <c r="AF340" s="813">
        <f t="shared" ca="1" si="76"/>
        <v>6.230576220451644E-4</v>
      </c>
      <c r="AG340" s="813">
        <f t="shared" ca="1" si="76"/>
        <v>6.230576220451644E-4</v>
      </c>
      <c r="AH340" s="813">
        <f t="shared" ca="1" si="76"/>
        <v>6.230576220451644E-4</v>
      </c>
      <c r="AI340" s="813">
        <f t="shared" ca="1" si="76"/>
        <v>6.230576220451644E-4</v>
      </c>
      <c r="AJ340" s="813">
        <f t="shared" ca="1" si="76"/>
        <v>8.6292815420337787E-2</v>
      </c>
      <c r="AK340" s="813">
        <f t="shared" ca="1" si="76"/>
        <v>0</v>
      </c>
    </row>
    <row r="363" spans="5:37" x14ac:dyDescent="0.45">
      <c r="N363" s="536" t="str">
        <f>N$170</f>
        <v>2013/14</v>
      </c>
      <c r="O363" s="536" t="str">
        <f t="shared" ref="O363:AK363" si="77">O$170</f>
        <v>2014/15</v>
      </c>
      <c r="P363" s="536" t="str">
        <f t="shared" si="77"/>
        <v>2015/16</v>
      </c>
      <c r="Q363" s="536" t="str">
        <f t="shared" si="77"/>
        <v>2016/17</v>
      </c>
      <c r="R363" s="536" t="str">
        <f t="shared" si="77"/>
        <v>2017/18</v>
      </c>
      <c r="S363" s="536" t="str">
        <f t="shared" si="77"/>
        <v>2018/19</v>
      </c>
      <c r="T363" s="536" t="str">
        <f t="shared" si="77"/>
        <v>2019/20</v>
      </c>
      <c r="U363" s="536" t="str">
        <f t="shared" si="77"/>
        <v>2020/21</v>
      </c>
      <c r="V363" s="536" t="str">
        <f t="shared" si="77"/>
        <v>2021/22</v>
      </c>
      <c r="W363" s="536" t="str">
        <f t="shared" si="77"/>
        <v>2022/23</v>
      </c>
      <c r="X363" s="536" t="str">
        <f t="shared" si="77"/>
        <v>2023/24</v>
      </c>
      <c r="Y363" s="536" t="str">
        <f t="shared" si="77"/>
        <v>2024/25</v>
      </c>
      <c r="Z363" s="536" t="str">
        <f t="shared" si="77"/>
        <v>2025/26</v>
      </c>
      <c r="AA363" s="536" t="str">
        <f t="shared" si="77"/>
        <v>2026/27</v>
      </c>
      <c r="AB363" s="536" t="str">
        <f t="shared" si="77"/>
        <v>2027/28</v>
      </c>
      <c r="AC363" s="536" t="str">
        <f t="shared" si="77"/>
        <v>2028/29</v>
      </c>
      <c r="AD363" s="536" t="str">
        <f t="shared" si="77"/>
        <v>2029/30</v>
      </c>
      <c r="AE363" s="536" t="str">
        <f t="shared" si="77"/>
        <v>2030/31</v>
      </c>
      <c r="AF363" s="536" t="str">
        <f t="shared" si="77"/>
        <v>2031/32</v>
      </c>
      <c r="AG363" s="536" t="str">
        <f t="shared" si="77"/>
        <v>3032/33</v>
      </c>
      <c r="AH363" s="536" t="str">
        <f t="shared" si="77"/>
        <v>2033/34</v>
      </c>
      <c r="AI363" s="536" t="str">
        <f t="shared" si="77"/>
        <v>2034/35</v>
      </c>
      <c r="AJ363" s="536" t="str">
        <f t="shared" si="77"/>
        <v>2035/36</v>
      </c>
      <c r="AK363" s="536" t="str">
        <f t="shared" si="77"/>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78">O117</f>
        <v>0</v>
      </c>
      <c r="P364" s="818">
        <f t="shared" si="78"/>
        <v>2306.7081562405169</v>
      </c>
      <c r="Q364" s="818">
        <f t="shared" si="78"/>
        <v>2548.1028472815992</v>
      </c>
      <c r="R364" s="818">
        <f t="shared" si="78"/>
        <v>2762.4205821421288</v>
      </c>
      <c r="S364" s="818">
        <f t="shared" si="78"/>
        <v>3014.9254738791315</v>
      </c>
      <c r="T364" s="818">
        <f t="shared" si="78"/>
        <v>3146.4409755296961</v>
      </c>
      <c r="U364" s="818">
        <f t="shared" si="78"/>
        <v>3344.3814660708554</v>
      </c>
      <c r="V364" s="818">
        <f t="shared" si="78"/>
        <v>3558.608348828338</v>
      </c>
      <c r="W364" s="818">
        <f t="shared" si="78"/>
        <v>3791.5968455856423</v>
      </c>
      <c r="X364" s="818">
        <f t="shared" si="78"/>
        <v>4046.5800346492265</v>
      </c>
      <c r="Y364" s="818">
        <f t="shared" si="78"/>
        <v>4327.9155857521064</v>
      </c>
      <c r="Z364" s="818">
        <f t="shared" si="78"/>
        <v>4641.6954107036117</v>
      </c>
      <c r="AA364" s="818">
        <f t="shared" si="78"/>
        <v>4996.8100090333819</v>
      </c>
      <c r="AB364" s="818">
        <f t="shared" si="78"/>
        <v>5406.9203941009664</v>
      </c>
      <c r="AC364" s="818">
        <f t="shared" si="78"/>
        <v>5894.3916429905257</v>
      </c>
      <c r="AD364" s="818">
        <f t="shared" si="78"/>
        <v>6498.9195890679393</v>
      </c>
      <c r="AE364" s="818">
        <f t="shared" si="78"/>
        <v>7299.0088647334669</v>
      </c>
      <c r="AF364" s="818">
        <f t="shared" si="78"/>
        <v>8476.0231843470083</v>
      </c>
      <c r="AG364" s="818">
        <f t="shared" si="78"/>
        <v>10567.841147305799</v>
      </c>
      <c r="AH364" s="818">
        <f t="shared" si="78"/>
        <v>16204.731829670907</v>
      </c>
      <c r="AI364" s="818">
        <f t="shared" si="78"/>
        <v>420680.85742105934</v>
      </c>
      <c r="AJ364" s="818">
        <f t="shared" si="78"/>
        <v>0</v>
      </c>
      <c r="AK364" s="818">
        <f t="shared" si="78"/>
        <v>0</v>
      </c>
    </row>
    <row r="387" spans="5:37" x14ac:dyDescent="0.45">
      <c r="N387" s="536" t="str">
        <f>N$170</f>
        <v>2013/14</v>
      </c>
      <c r="O387" s="536" t="str">
        <f t="shared" ref="O387:AK387" si="79">O$170</f>
        <v>2014/15</v>
      </c>
      <c r="P387" s="536" t="str">
        <f t="shared" si="79"/>
        <v>2015/16</v>
      </c>
      <c r="Q387" s="536" t="str">
        <f t="shared" si="79"/>
        <v>2016/17</v>
      </c>
      <c r="R387" s="536" t="str">
        <f t="shared" si="79"/>
        <v>2017/18</v>
      </c>
      <c r="S387" s="536" t="str">
        <f t="shared" si="79"/>
        <v>2018/19</v>
      </c>
      <c r="T387" s="536" t="str">
        <f t="shared" si="79"/>
        <v>2019/20</v>
      </c>
      <c r="U387" s="536" t="str">
        <f t="shared" si="79"/>
        <v>2020/21</v>
      </c>
      <c r="V387" s="536" t="str">
        <f t="shared" si="79"/>
        <v>2021/22</v>
      </c>
      <c r="W387" s="536" t="str">
        <f t="shared" si="79"/>
        <v>2022/23</v>
      </c>
      <c r="X387" s="536" t="str">
        <f t="shared" si="79"/>
        <v>2023/24</v>
      </c>
      <c r="Y387" s="536" t="str">
        <f t="shared" si="79"/>
        <v>2024/25</v>
      </c>
      <c r="Z387" s="536" t="str">
        <f t="shared" si="79"/>
        <v>2025/26</v>
      </c>
      <c r="AA387" s="536" t="str">
        <f t="shared" si="79"/>
        <v>2026/27</v>
      </c>
      <c r="AB387" s="536" t="str">
        <f t="shared" si="79"/>
        <v>2027/28</v>
      </c>
      <c r="AC387" s="536" t="str">
        <f t="shared" si="79"/>
        <v>2028/29</v>
      </c>
      <c r="AD387" s="536" t="str">
        <f t="shared" si="79"/>
        <v>2029/30</v>
      </c>
      <c r="AE387" s="536" t="str">
        <f t="shared" si="79"/>
        <v>2030/31</v>
      </c>
      <c r="AF387" s="536" t="str">
        <f t="shared" si="79"/>
        <v>2031/32</v>
      </c>
      <c r="AG387" s="536" t="str">
        <f t="shared" si="79"/>
        <v>3032/33</v>
      </c>
      <c r="AH387" s="536" t="str">
        <f t="shared" si="79"/>
        <v>2033/34</v>
      </c>
      <c r="AI387" s="536" t="str">
        <f t="shared" si="79"/>
        <v>2034/35</v>
      </c>
      <c r="AJ387" s="536" t="str">
        <f t="shared" si="79"/>
        <v>2035/36</v>
      </c>
      <c r="AK387" s="536" t="str">
        <f t="shared" si="79"/>
        <v>2036/37</v>
      </c>
    </row>
    <row r="388" spans="5:37" x14ac:dyDescent="0.45">
      <c r="E388" s="803" t="str">
        <f>D118</f>
        <v>Net Surplus/Deficit p.u.p.m.</v>
      </c>
      <c r="F388" s="803"/>
      <c r="G388" s="803"/>
      <c r="H388" s="803"/>
      <c r="I388" s="803"/>
      <c r="J388" s="803"/>
      <c r="K388" s="803"/>
      <c r="L388" s="803"/>
      <c r="M388" s="803"/>
      <c r="N388" s="818">
        <f>N118</f>
        <v>0</v>
      </c>
      <c r="O388" s="818">
        <f t="shared" ref="O388:AK388" si="80">O118</f>
        <v>0</v>
      </c>
      <c r="P388" s="818">
        <f t="shared" si="80"/>
        <v>-1950.9572783630299</v>
      </c>
      <c r="Q388" s="818">
        <f t="shared" ca="1" si="80"/>
        <v>-2468.3510531163784</v>
      </c>
      <c r="R388" s="818">
        <f t="shared" ca="1" si="80"/>
        <v>-2677.0480444941704</v>
      </c>
      <c r="S388" s="818">
        <f t="shared" ca="1" si="80"/>
        <v>-2922.3289500391543</v>
      </c>
      <c r="T388" s="818">
        <f t="shared" ca="1" si="80"/>
        <v>-3084.7149517195189</v>
      </c>
      <c r="U388" s="818">
        <f t="shared" ca="1" si="80"/>
        <v>-3280.7301226511372</v>
      </c>
      <c r="V388" s="818">
        <f t="shared" ca="1" si="80"/>
        <v>-3492.7360918357222</v>
      </c>
      <c r="W388" s="818">
        <f t="shared" ca="1" si="80"/>
        <v>-3723.1343471505456</v>
      </c>
      <c r="X388" s="818">
        <f t="shared" ca="1" si="80"/>
        <v>-3975.0574857974657</v>
      </c>
      <c r="Y388" s="818">
        <f t="shared" ca="1" si="80"/>
        <v>-4252.7226113337856</v>
      </c>
      <c r="Z388" s="818">
        <f t="shared" ca="1" si="80"/>
        <v>-4562.0187809196123</v>
      </c>
      <c r="AA388" s="818">
        <f t="shared" ca="1" si="80"/>
        <v>-4911.5325505779065</v>
      </c>
      <c r="AB388" s="818">
        <f t="shared" ca="1" si="80"/>
        <v>-5314.4479702238114</v>
      </c>
      <c r="AC388" s="818">
        <f t="shared" ca="1" si="80"/>
        <v>-5792.3365910924958</v>
      </c>
      <c r="AD388" s="818">
        <f t="shared" ca="1" si="80"/>
        <v>-6383.4692827250974</v>
      </c>
      <c r="AE388" s="818">
        <f t="shared" ca="1" si="80"/>
        <v>-7163.5102285674593</v>
      </c>
      <c r="AF388" s="818">
        <f t="shared" ca="1" si="80"/>
        <v>-8307.2289443743884</v>
      </c>
      <c r="AG388" s="818">
        <f t="shared" ca="1" si="80"/>
        <v>-10332.89572972621</v>
      </c>
      <c r="AH388" s="818">
        <f t="shared" ca="1" si="80"/>
        <v>-15774.784245058594</v>
      </c>
      <c r="AI388" s="818">
        <f t="shared" ca="1" si="80"/>
        <v>-405495.74586430419</v>
      </c>
      <c r="AJ388" s="818">
        <f t="shared" si="80"/>
        <v>0</v>
      </c>
      <c r="AK388" s="818">
        <f t="shared" si="80"/>
        <v>0</v>
      </c>
    </row>
  </sheetData>
  <sheetProtection formatCells="0" formatColumns="0" formatRows="0"/>
  <mergeCells count="4">
    <mergeCell ref="F3:G3"/>
    <mergeCell ref="I3:L3"/>
    <mergeCell ref="N3:P3"/>
    <mergeCell ref="Q3:A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vince" prompt="Select province from the list, or select Total to see the national view. " xr:uid="{C02EDA1F-B356-4BCC-8A34-DC089C9F53A9}">
          <x14:formula1>
            <xm:f>'14. Permanent Info'!$C$7:$C$12</xm:f>
          </x14:formula1>
          <xm:sqref>E10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2C50-74A8-4E53-9DE3-145F4E3C8B2F}">
  <sheetPr codeName="Sheet25">
    <tabColor theme="5" tint="0.59999389629810485"/>
  </sheetPr>
  <dimension ref="A1:BM388"/>
  <sheetViews>
    <sheetView showGridLines="0" view="pageBreakPreview" zoomScale="75" zoomScaleNormal="100" zoomScaleSheetLayoutView="75" workbookViewId="0">
      <selection activeCell="D7" sqref="D7"/>
    </sheetView>
  </sheetViews>
  <sheetFormatPr defaultRowHeight="14.25" outlineLevelRow="1" x14ac:dyDescent="0.45"/>
  <cols>
    <col min="1" max="1" width="3.19921875" customWidth="1"/>
    <col min="2" max="2" width="5.73046875" customWidth="1"/>
    <col min="3" max="3" width="6.73046875" customWidth="1"/>
    <col min="4" max="4" width="69.53125" customWidth="1"/>
    <col min="5" max="5" width="23.796875" customWidth="1"/>
    <col min="6" max="6" width="14.53125" customWidth="1"/>
    <col min="7" max="7" width="13.265625" customWidth="1"/>
    <col min="8" max="8" width="2.796875" customWidth="1"/>
    <col min="9" max="9" width="19.796875" customWidth="1"/>
    <col min="10" max="11" width="17" bestFit="1" customWidth="1"/>
    <col min="12" max="12" width="10.73046875" customWidth="1"/>
    <col min="13" max="13" width="2.53125" customWidth="1"/>
    <col min="14" max="14" width="19" bestFit="1" customWidth="1"/>
    <col min="15" max="15" width="19.46484375" bestFit="1" customWidth="1"/>
    <col min="16" max="16" width="19.796875" bestFit="1" customWidth="1"/>
    <col min="17" max="21" width="20.46484375" bestFit="1" customWidth="1"/>
    <col min="22" max="22" width="19.796875" bestFit="1" customWidth="1"/>
    <col min="23" max="23" width="20.46484375" bestFit="1" customWidth="1"/>
    <col min="24" max="24" width="19.796875" bestFit="1" customWidth="1"/>
    <col min="25" max="26" width="20.46484375" bestFit="1" customWidth="1"/>
    <col min="27" max="27" width="19.796875" bestFit="1" customWidth="1"/>
    <col min="28" max="29" width="19.46484375" bestFit="1" customWidth="1"/>
    <col min="30" max="30" width="19.796875" bestFit="1" customWidth="1"/>
    <col min="31" max="31" width="19.46484375" bestFit="1" customWidth="1"/>
    <col min="32" max="33" width="19" bestFit="1" customWidth="1"/>
    <col min="34" max="35" width="20.46484375" bestFit="1" customWidth="1"/>
    <col min="36" max="36" width="21.53125" customWidth="1"/>
    <col min="37" max="37" width="16.53125" bestFit="1" customWidth="1"/>
    <col min="38" max="38" width="21.796875" bestFit="1" customWidth="1"/>
    <col min="39" max="39" width="9.19921875" customWidth="1"/>
    <col min="40" max="40" width="52.73046875" customWidth="1"/>
    <col min="42" max="42" width="14.19921875" bestFit="1" customWidth="1"/>
    <col min="43" max="44" width="14.73046875" bestFit="1" customWidth="1"/>
    <col min="45" max="45" width="14.19921875" bestFit="1" customWidth="1"/>
    <col min="46" max="47" width="14.73046875" bestFit="1" customWidth="1"/>
    <col min="48" max="48" width="15.19921875" bestFit="1" customWidth="1"/>
    <col min="49" max="49" width="14.73046875" bestFit="1" customWidth="1"/>
    <col min="50" max="51" width="15.19921875" bestFit="1" customWidth="1"/>
    <col min="52" max="53" width="13.73046875" bestFit="1" customWidth="1"/>
    <col min="54" max="54" width="14.73046875" bestFit="1" customWidth="1"/>
    <col min="55" max="55" width="15.19921875" bestFit="1" customWidth="1"/>
    <col min="56" max="56" width="14.73046875" bestFit="1" customWidth="1"/>
    <col min="57" max="57" width="14" bestFit="1" customWidth="1"/>
    <col min="58" max="58" width="14.46484375" bestFit="1" customWidth="1"/>
    <col min="59" max="59" width="14" bestFit="1" customWidth="1"/>
    <col min="60" max="60" width="13.46484375" bestFit="1" customWidth="1"/>
    <col min="61" max="63" width="14" bestFit="1" customWidth="1"/>
    <col min="64" max="64" width="15.19921875" bestFit="1" customWidth="1"/>
    <col min="65" max="65" width="9.46484375" bestFit="1" customWidth="1"/>
  </cols>
  <sheetData>
    <row r="1" spans="1:38" x14ac:dyDescent="0.45">
      <c r="N1" s="803" t="str">
        <f t="shared" ref="N1:Y1" si="0">$E$10&amp;" "&amp;N5</f>
        <v>WC 2013/14</v>
      </c>
      <c r="O1" s="803" t="str">
        <f t="shared" si="0"/>
        <v>WC 2014/15</v>
      </c>
      <c r="P1" s="803" t="str">
        <f t="shared" si="0"/>
        <v>WC 2015/16</v>
      </c>
      <c r="Q1" s="803" t="str">
        <f t="shared" si="0"/>
        <v>WC 2016/17</v>
      </c>
      <c r="R1" s="803" t="str">
        <f t="shared" si="0"/>
        <v>WC 2017/18</v>
      </c>
      <c r="S1" s="803" t="str">
        <f t="shared" si="0"/>
        <v>WC 2018/19</v>
      </c>
      <c r="T1" s="803" t="str">
        <f t="shared" si="0"/>
        <v>WC 2019/20</v>
      </c>
      <c r="U1" s="803" t="str">
        <f t="shared" si="0"/>
        <v>WC 2020/21</v>
      </c>
      <c r="V1" s="803" t="str">
        <f t="shared" si="0"/>
        <v>WC 2021/22</v>
      </c>
      <c r="W1" s="803" t="str">
        <f t="shared" si="0"/>
        <v>WC 2022/23</v>
      </c>
      <c r="X1" s="803" t="str">
        <f t="shared" si="0"/>
        <v>WC 2023/24</v>
      </c>
      <c r="Y1" s="803" t="str">
        <f t="shared" si="0"/>
        <v>WC 2024/25</v>
      </c>
      <c r="Z1" s="803"/>
      <c r="AA1" s="803"/>
      <c r="AB1" s="803"/>
      <c r="AC1" s="803"/>
      <c r="AD1" s="803"/>
      <c r="AE1" s="803"/>
      <c r="AF1" s="803"/>
      <c r="AG1" s="803"/>
      <c r="AH1" s="803"/>
      <c r="AI1" s="803"/>
      <c r="AJ1" s="803" t="str">
        <f>$E$10&amp;" "&amp;AJ5</f>
        <v>WC 2035/36</v>
      </c>
      <c r="AK1" s="803" t="str">
        <f>$E$10&amp;" "&amp;AK5</f>
        <v>WC 2036/37</v>
      </c>
    </row>
    <row r="2" spans="1:38" ht="21" x14ac:dyDescent="0.65">
      <c r="D2" s="60" t="str">
        <f>'1.Cover'!$C$2</f>
        <v xml:space="preserve">Performance and Expenditure Review of Provincial Government Housing Rental Stock </v>
      </c>
      <c r="E2" s="60"/>
      <c r="F2" s="60"/>
      <c r="G2" s="60"/>
      <c r="H2" s="60"/>
      <c r="I2" s="60"/>
      <c r="J2" s="60"/>
      <c r="K2" s="60"/>
      <c r="L2" s="60"/>
      <c r="M2" s="60"/>
    </row>
    <row r="3" spans="1:38" ht="32.25" customHeight="1" x14ac:dyDescent="0.65">
      <c r="D3" s="60" t="str">
        <f>"Forecast Results - "&amp;E10</f>
        <v>Forecast Results - WC</v>
      </c>
      <c r="E3" s="60"/>
      <c r="F3" s="1361" t="s">
        <v>1460</v>
      </c>
      <c r="G3" s="1361"/>
      <c r="I3" s="1344" t="s">
        <v>1457</v>
      </c>
      <c r="J3" s="1350"/>
      <c r="K3" s="1350"/>
      <c r="L3" s="1345"/>
      <c r="M3" s="60"/>
      <c r="N3" s="1362" t="s">
        <v>1033</v>
      </c>
      <c r="O3" s="1362"/>
      <c r="P3" s="1362"/>
      <c r="Q3" s="1360" t="s">
        <v>1034</v>
      </c>
      <c r="R3" s="1360"/>
      <c r="S3" s="1360"/>
      <c r="T3" s="1360"/>
      <c r="U3" s="1360"/>
      <c r="V3" s="1360"/>
      <c r="W3" s="1360"/>
      <c r="X3" s="1360"/>
      <c r="Y3" s="1360"/>
      <c r="Z3" s="1360"/>
      <c r="AA3" s="1360"/>
      <c r="AB3" s="1360"/>
      <c r="AC3" s="1360"/>
      <c r="AD3" s="1360"/>
      <c r="AE3" s="1360"/>
      <c r="AF3" s="1360"/>
      <c r="AG3" s="1360"/>
      <c r="AH3" s="1360"/>
      <c r="AI3" s="1360"/>
      <c r="AJ3" s="1360"/>
      <c r="AK3" s="1360"/>
      <c r="AL3" s="1360"/>
    </row>
    <row r="4" spans="1:38" ht="30" customHeight="1" x14ac:dyDescent="0.65">
      <c r="D4" s="910" t="s">
        <v>1484</v>
      </c>
      <c r="E4" s="1009" t="str">
        <f>'5. Dashboard Live'!C13</f>
        <v>BC</v>
      </c>
      <c r="F4" s="848" t="s">
        <v>1458</v>
      </c>
      <c r="G4" s="848" t="s">
        <v>1459</v>
      </c>
      <c r="I4" s="841" t="s">
        <v>1328</v>
      </c>
      <c r="J4" s="841" t="s">
        <v>1405</v>
      </c>
      <c r="K4" s="841" t="s">
        <v>1453</v>
      </c>
      <c r="L4" s="841" t="s">
        <v>1456</v>
      </c>
      <c r="M4" s="60"/>
      <c r="N4" s="529">
        <v>-3</v>
      </c>
      <c r="O4" s="529">
        <v>-2</v>
      </c>
      <c r="P4" s="529">
        <v>-1</v>
      </c>
      <c r="Q4" s="529">
        <v>0</v>
      </c>
      <c r="R4" s="529">
        <v>1</v>
      </c>
      <c r="S4" s="530">
        <v>2</v>
      </c>
      <c r="T4" s="529">
        <v>3</v>
      </c>
      <c r="U4" s="529">
        <v>4</v>
      </c>
      <c r="V4" s="529">
        <v>5</v>
      </c>
      <c r="W4" s="529">
        <v>6</v>
      </c>
      <c r="X4" s="530">
        <v>7</v>
      </c>
      <c r="Y4" s="529">
        <v>8</v>
      </c>
      <c r="Z4" s="529">
        <v>9</v>
      </c>
      <c r="AA4" s="530">
        <v>10</v>
      </c>
      <c r="AB4" s="529">
        <v>11</v>
      </c>
      <c r="AC4" s="529">
        <v>12</v>
      </c>
      <c r="AD4" s="530">
        <v>13</v>
      </c>
      <c r="AE4" s="529">
        <v>14</v>
      </c>
      <c r="AF4" s="529">
        <v>15</v>
      </c>
      <c r="AG4" s="530">
        <v>16</v>
      </c>
      <c r="AH4" s="529">
        <v>17</v>
      </c>
      <c r="AI4" s="529">
        <v>18</v>
      </c>
      <c r="AJ4" s="530">
        <v>19</v>
      </c>
      <c r="AK4" s="529">
        <v>20</v>
      </c>
      <c r="AL4" s="536" t="s">
        <v>1420</v>
      </c>
    </row>
    <row r="5" spans="1:38" x14ac:dyDescent="0.45">
      <c r="E5" s="536" t="s">
        <v>1421</v>
      </c>
      <c r="F5" s="848" t="s">
        <v>1364</v>
      </c>
      <c r="G5" s="848" t="s">
        <v>1034</v>
      </c>
      <c r="I5" s="890" t="str">
        <f>'7. Scenario Detailed'!E12</f>
        <v>BC</v>
      </c>
      <c r="M5" s="536"/>
      <c r="N5" s="578" t="s">
        <v>102</v>
      </c>
      <c r="O5" s="578" t="s">
        <v>103</v>
      </c>
      <c r="P5" s="578" t="s">
        <v>104</v>
      </c>
      <c r="Q5" s="578" t="s">
        <v>1345</v>
      </c>
      <c r="R5" s="578" t="s">
        <v>1346</v>
      </c>
      <c r="S5" s="578" t="s">
        <v>1347</v>
      </c>
      <c r="T5" s="578" t="s">
        <v>1348</v>
      </c>
      <c r="U5" s="578" t="s">
        <v>1349</v>
      </c>
      <c r="V5" s="578" t="s">
        <v>1350</v>
      </c>
      <c r="W5" s="578" t="s">
        <v>1351</v>
      </c>
      <c r="X5" s="578" t="s">
        <v>1352</v>
      </c>
      <c r="Y5" s="578" t="s">
        <v>1353</v>
      </c>
      <c r="Z5" s="578" t="s">
        <v>1354</v>
      </c>
      <c r="AA5" s="536" t="s">
        <v>1355</v>
      </c>
      <c r="AB5" s="536" t="s">
        <v>1410</v>
      </c>
      <c r="AC5" s="536" t="s">
        <v>1411</v>
      </c>
      <c r="AD5" s="536" t="s">
        <v>1412</v>
      </c>
      <c r="AE5" s="536" t="s">
        <v>1413</v>
      </c>
      <c r="AF5" s="536" t="s">
        <v>1414</v>
      </c>
      <c r="AG5" s="536" t="s">
        <v>1415</v>
      </c>
      <c r="AH5" s="536" t="s">
        <v>1416</v>
      </c>
      <c r="AI5" s="536" t="s">
        <v>1417</v>
      </c>
      <c r="AJ5" s="536" t="s">
        <v>1418</v>
      </c>
      <c r="AK5" s="809" t="s">
        <v>1419</v>
      </c>
      <c r="AL5" s="536"/>
    </row>
    <row r="6" spans="1:38" outlineLevel="1" x14ac:dyDescent="0.45">
      <c r="D6" s="1102" t="s">
        <v>1323</v>
      </c>
      <c r="E6" s="781">
        <f>-ROUND('9f. Forecast Results - WC'!AL127,0)</f>
        <v>-17026220</v>
      </c>
      <c r="M6" s="783"/>
      <c r="N6" s="781">
        <f>-'9f. Forecast Results - WC'!N127</f>
        <v>-562843</v>
      </c>
      <c r="O6" s="781">
        <f>-'9f. Forecast Results - WC'!O127</f>
        <v>-358439</v>
      </c>
      <c r="P6" s="781">
        <f>-'9f. Forecast Results - WC'!P127</f>
        <v>-267958</v>
      </c>
      <c r="Q6" s="781">
        <f>-'9f. Forecast Results - WC'!Q127</f>
        <v>-210409.8845669291</v>
      </c>
      <c r="R6" s="781">
        <f>-'9f. Forecast Results - WC'!R127</f>
        <v>-210409.8845669291</v>
      </c>
      <c r="S6" s="781">
        <f>-'9f. Forecast Results - WC'!S127</f>
        <v>-210409.8845669291</v>
      </c>
      <c r="T6" s="781">
        <f>-'9f. Forecast Results - WC'!T127</f>
        <v>-23378.876062992123</v>
      </c>
      <c r="U6" s="781">
        <f>-'9f. Forecast Results - WC'!U127</f>
        <v>-23378.876062992123</v>
      </c>
      <c r="V6" s="781">
        <f>-'9f. Forecast Results - WC'!V127</f>
        <v>-23378.876062992123</v>
      </c>
      <c r="W6" s="781">
        <f>-'9f. Forecast Results - WC'!W127</f>
        <v>-23378.876062992123</v>
      </c>
      <c r="X6" s="781">
        <f>-'9f. Forecast Results - WC'!X127</f>
        <v>-23378.876062992123</v>
      </c>
      <c r="Y6" s="781">
        <f>-'9f. Forecast Results - WC'!Y127</f>
        <v>-23378.876062992123</v>
      </c>
      <c r="Z6" s="781">
        <f>-'9f. Forecast Results - WC'!Z127</f>
        <v>-23378.876062992123</v>
      </c>
      <c r="AA6" s="781">
        <f>-'9f. Forecast Results - WC'!AA127</f>
        <v>-23378.876062992123</v>
      </c>
      <c r="AB6" s="781">
        <f>-'9f. Forecast Results - WC'!AB127</f>
        <v>-23378.876062992123</v>
      </c>
      <c r="AC6" s="781">
        <f>-'9f. Forecast Results - WC'!AC127</f>
        <v>-23378.876062992123</v>
      </c>
      <c r="AD6" s="781">
        <f>-'9f. Forecast Results - WC'!AD127</f>
        <v>-23378.876062992123</v>
      </c>
      <c r="AE6" s="781">
        <f>-'9f. Forecast Results - WC'!AE127</f>
        <v>-23378.876062992123</v>
      </c>
      <c r="AF6" s="781">
        <f>-'9f. Forecast Results - WC'!AF127</f>
        <v>-23378.876062992123</v>
      </c>
      <c r="AG6" s="781">
        <f>-'9f. Forecast Results - WC'!AG127</f>
        <v>-23378.876062992123</v>
      </c>
      <c r="AH6" s="781">
        <f>-'9f. Forecast Results - WC'!AH127</f>
        <v>-23378.876062992123</v>
      </c>
      <c r="AI6" s="781">
        <f>-'9f. Forecast Results - WC'!AI127</f>
        <v>-23378.876062992123</v>
      </c>
      <c r="AJ6" s="781">
        <f>-'9f. Forecast Results - WC'!AJ127</f>
        <v>-16020928.030877186</v>
      </c>
      <c r="AK6" s="781">
        <f>-'9f. Forecast Results - WC'!AK127</f>
        <v>0</v>
      </c>
      <c r="AL6" s="781">
        <f>-'9f. Forecast Results - WC'!AL127</f>
        <v>-17026219.701585848</v>
      </c>
    </row>
    <row r="7" spans="1:38" outlineLevel="1" x14ac:dyDescent="0.45">
      <c r="D7" s="1102" t="s">
        <v>1324</v>
      </c>
      <c r="E7" s="781">
        <f ca="1">ROUND('9f. Forecast Results - WC'!AL51,0)</f>
        <v>-83412039</v>
      </c>
      <c r="M7" s="783"/>
      <c r="N7" s="781">
        <f>'9f. Forecast Results - WC'!N51</f>
        <v>0</v>
      </c>
      <c r="O7" s="781">
        <f>'9f. Forecast Results - WC'!O51</f>
        <v>0</v>
      </c>
      <c r="P7" s="781">
        <f>'9f. Forecast Results - WC'!P51</f>
        <v>0</v>
      </c>
      <c r="Q7" s="781">
        <f ca="1">'9f. Forecast Results - WC'!Q51</f>
        <v>-296981.87305132486</v>
      </c>
      <c r="R7" s="781">
        <f ca="1">'9f. Forecast Results - WC'!R51</f>
        <v>-1185226.4662995497</v>
      </c>
      <c r="S7" s="781">
        <f ca="1">'9f. Forecast Results - WC'!S51</f>
        <v>-2701993.0889131185</v>
      </c>
      <c r="T7" s="781">
        <f ca="1">'9f. Forecast Results - WC'!T51</f>
        <v>-4919996.0517974235</v>
      </c>
      <c r="U7" s="781">
        <f ca="1">'9f. Forecast Results - WC'!U51</f>
        <v>-5058942.7246914273</v>
      </c>
      <c r="V7" s="781">
        <f ca="1">'9f. Forecast Results - WC'!V51</f>
        <v>-5178018.2435189942</v>
      </c>
      <c r="W7" s="781">
        <f ca="1">'9f. Forecast Results - WC'!W51</f>
        <v>-5274971.7583163055</v>
      </c>
      <c r="X7" s="781">
        <f ca="1">'9f. Forecast Results - WC'!X51</f>
        <v>-5347364.9358645715</v>
      </c>
      <c r="Y7" s="781">
        <f ca="1">'9f. Forecast Results - WC'!Y51</f>
        <v>-5392558.1453531226</v>
      </c>
      <c r="Z7" s="781">
        <f ca="1">'9f. Forecast Results - WC'!Z51</f>
        <v>-5407695.6916023027</v>
      </c>
      <c r="AA7" s="781">
        <f ca="1">'9f. Forecast Results - WC'!AA51</f>
        <v>-5389690.0328660645</v>
      </c>
      <c r="AB7" s="781">
        <f ca="1">'9f. Forecast Results - WC'!AB51</f>
        <v>-5335204.9161876012</v>
      </c>
      <c r="AC7" s="781">
        <f ca="1">'9f. Forecast Results - WC'!AC51</f>
        <v>-5240637.3589799376</v>
      </c>
      <c r="AD7" s="781">
        <f ca="1">'9f. Forecast Results - WC'!AD51</f>
        <v>-5102098.4009318044</v>
      </c>
      <c r="AE7" s="781">
        <f ca="1">'9f. Forecast Results - WC'!AE51</f>
        <v>-4915392.5454802923</v>
      </c>
      <c r="AF7" s="781">
        <f ca="1">'9f. Forecast Results - WC'!AF51</f>
        <v>-4675995.8049281193</v>
      </c>
      <c r="AG7" s="781">
        <f ca="1">'9f. Forecast Results - WC'!AG51</f>
        <v>-4379032.257795942</v>
      </c>
      <c r="AH7" s="781">
        <f ca="1">'9f. Forecast Results - WC'!AH51</f>
        <v>-4019249.0211691251</v>
      </c>
      <c r="AI7" s="781">
        <f ca="1">'9f. Forecast Results - WC'!AI51</f>
        <v>-3590989.5346023208</v>
      </c>
      <c r="AJ7" s="781">
        <f ca="1">'9f. Forecast Results - WC'!AJ51</f>
        <v>0</v>
      </c>
      <c r="AK7" s="781">
        <f ca="1">'9f. Forecast Results - WC'!AK51</f>
        <v>0</v>
      </c>
      <c r="AL7" s="781">
        <f ca="1">'9f. Forecast Results - WC'!AL48</f>
        <v>-83329159.175193891</v>
      </c>
    </row>
    <row r="8" spans="1:38" outlineLevel="1" x14ac:dyDescent="0.45">
      <c r="D8" s="1102" t="s">
        <v>1311</v>
      </c>
      <c r="E8" s="781">
        <f>'9f. Forecast Results - WC'!$AL$20+'9f. Forecast Results - WC'!$AL$24</f>
        <v>-23945554.491653495</v>
      </c>
      <c r="M8" s="783"/>
      <c r="N8" s="781">
        <f>'9f. Forecast Results - WC'!N20+'9f. Forecast Results - WC'!N24</f>
        <v>-14132624.43</v>
      </c>
      <c r="O8" s="781">
        <f>'9f. Forecast Results - WC'!O20+'9f. Forecast Results - WC'!O24</f>
        <v>-5265687.5999999996</v>
      </c>
      <c r="P8" s="781">
        <f>'9f. Forecast Results - WC'!P20+'9f. Forecast Results - WC'!P24</f>
        <v>-2124380.4000000013</v>
      </c>
      <c r="Q8" s="781">
        <f>'9f. Forecast Results - WC'!Q20+'9f. Forecast Results - WC'!Q24</f>
        <v>-4445345.2113973647</v>
      </c>
      <c r="R8" s="781">
        <f>'9f. Forecast Results - WC'!R20+'9f. Forecast Results - WC'!R24</f>
        <v>-4183151.0433973647</v>
      </c>
      <c r="S8" s="781">
        <f>'9f. Forecast Results - WC'!S20+'9f. Forecast Results - WC'!S24</f>
        <v>-3142484.8092986727</v>
      </c>
      <c r="T8" s="781">
        <f>'9f. Forecast Results - WC'!T20+'9f. Forecast Results - WC'!T24</f>
        <v>-1019716.7032114036</v>
      </c>
      <c r="U8" s="781">
        <f>'9f. Forecast Results - WC'!U20+'9f. Forecast Results - WC'!U24</f>
        <v>-983729.26838787424</v>
      </c>
      <c r="V8" s="781">
        <f>'9f. Forecast Results - WC'!V20+'9f. Forecast Results - WC'!V24</f>
        <v>-947741.83356434468</v>
      </c>
      <c r="W8" s="781">
        <f>'9f. Forecast Results - WC'!W20+'9f. Forecast Results - WC'!W24</f>
        <v>-911754.39874081512</v>
      </c>
      <c r="X8" s="781">
        <f>'9f. Forecast Results - WC'!X20+'9f. Forecast Results - WC'!X24</f>
        <v>-875766.96391728579</v>
      </c>
      <c r="Y8" s="781">
        <f>'9f. Forecast Results - WC'!Y20+'9f. Forecast Results - WC'!Y24</f>
        <v>-839779.52909375622</v>
      </c>
      <c r="Z8" s="781">
        <f>'9f. Forecast Results - WC'!Z20+'9f. Forecast Results - WC'!Z24</f>
        <v>-803792.09427022689</v>
      </c>
      <c r="AA8" s="781">
        <f>'9f. Forecast Results - WC'!AA20+'9f. Forecast Results - WC'!AA24</f>
        <v>-767804.65944669733</v>
      </c>
      <c r="AB8" s="781">
        <f>'9f. Forecast Results - WC'!AB20+'9f. Forecast Results - WC'!AB24</f>
        <v>-731817.224623168</v>
      </c>
      <c r="AC8" s="781">
        <f>'9f. Forecast Results - WC'!AC20+'9f. Forecast Results - WC'!AC24</f>
        <v>-695829.78979963844</v>
      </c>
      <c r="AD8" s="781">
        <f>'9f. Forecast Results - WC'!AD20+'9f. Forecast Results - WC'!AD24</f>
        <v>-659842.354976109</v>
      </c>
      <c r="AE8" s="781">
        <f>'9f. Forecast Results - WC'!AE20+'9f. Forecast Results - WC'!AE24</f>
        <v>-623854.92015257955</v>
      </c>
      <c r="AF8" s="781">
        <f>'9f. Forecast Results - WC'!AF20+'9f. Forecast Results - WC'!AF24</f>
        <v>-587867.48532905011</v>
      </c>
      <c r="AG8" s="781">
        <f>'9f. Forecast Results - WC'!AG20+'9f. Forecast Results - WC'!AG24</f>
        <v>-551880.05050552054</v>
      </c>
      <c r="AH8" s="781">
        <f>'9f. Forecast Results - WC'!AH20+'9f. Forecast Results - WC'!AH24</f>
        <v>-515892.61568199116</v>
      </c>
      <c r="AI8" s="781">
        <f>'9f. Forecast Results - WC'!AI20+'9f. Forecast Results - WC'!AI24</f>
        <v>-479905.18085846171</v>
      </c>
      <c r="AJ8" s="781">
        <f>'9f. Forecast Results - WC'!AJ20+'9f. Forecast Results - WC'!AJ24</f>
        <v>-177598.35500116934</v>
      </c>
      <c r="AK8" s="781">
        <f>'9f. Forecast Results - WC'!AK20+'9f. Forecast Results - WC'!AK24</f>
        <v>0</v>
      </c>
      <c r="AL8" s="781">
        <f>'9f. Forecast Results - WC'!AL20+'9f. Forecast Results - WC'!AL24</f>
        <v>-23945554.491653495</v>
      </c>
    </row>
    <row r="9" spans="1:38" outlineLevel="1" x14ac:dyDescent="0.45">
      <c r="D9" s="1102" t="s">
        <v>1322</v>
      </c>
      <c r="E9" s="1110">
        <f>-(SUMIF('10. Inputs &amp; Calcs'!$D$396:$D$400,$E$10,'10. Inputs &amp; Calcs'!AC$396:AC$400)+SUMIF('10. Inputs &amp; Calcs'!$D$628:$D$633,$E$10,'10. Inputs &amp; Calcs'!AC$628:AC$633))</f>
        <v>0</v>
      </c>
      <c r="M9" s="1029"/>
      <c r="N9" s="780"/>
      <c r="O9" s="780"/>
      <c r="P9" s="781">
        <f>-('10. Inputs &amp; Calcs'!H$191+SUMIF('10. Inputs &amp; Calcs'!$D$628:$D$633,$E$10,'10. Inputs &amp; Calcs'!H$628:H$633))</f>
        <v>-20981438.299999997</v>
      </c>
      <c r="Q9" s="781">
        <f>-('10. Inputs &amp; Calcs'!I$191+SUMIF('10. Inputs &amp; Calcs'!$D$628:$D$633,$E$10,'10. Inputs &amp; Calcs'!I$628:I$633))</f>
        <v>-20976493.964210525</v>
      </c>
      <c r="R9" s="781">
        <f>-('10. Inputs &amp; Calcs'!J$191+SUMIF('10. Inputs &amp; Calcs'!$D$628:$D$633,$E$10,'10. Inputs &amp; Calcs'!J$628:J$633))</f>
        <v>-20447161.29242105</v>
      </c>
      <c r="S9" s="781">
        <f>-('10. Inputs &amp; Calcs'!K$191+SUMIF('10. Inputs &amp; Calcs'!$D$628:$D$633,$E$10,'10. Inputs &amp; Calcs'!K$628:K$633))</f>
        <v>-20194850.344030268</v>
      </c>
      <c r="T9" s="781">
        <f>-('10. Inputs &amp; Calcs'!L$191+SUMIF('10. Inputs &amp; Calcs'!$D$628:$D$633,$E$10,'10. Inputs &amp; Calcs'!L$628:L$633))</f>
        <v>-20423546.808942549</v>
      </c>
      <c r="U9" s="781">
        <f>-('10. Inputs &amp; Calcs'!M$191+SUMIF('10. Inputs &amp; Calcs'!$D$628:$D$633,$E$10,'10. Inputs &amp; Calcs'!M$628:M$633))</f>
        <v>-20580268.404207774</v>
      </c>
      <c r="V9" s="781">
        <f>-('10. Inputs &amp; Calcs'!N$191+SUMIF('10. Inputs &amp; Calcs'!$D$628:$D$633,$E$10,'10. Inputs &amp; Calcs'!N$628:N$633))</f>
        <v>-20665015.129825935</v>
      </c>
      <c r="W9" s="781">
        <f>-('10. Inputs &amp; Calcs'!O$191+SUMIF('10. Inputs &amp; Calcs'!$D$628:$D$633,$E$10,'10. Inputs &amp; Calcs'!O$628:O$633))</f>
        <v>-20713774.420620568</v>
      </c>
      <c r="X9" s="781">
        <f>-('10. Inputs &amp; Calcs'!P$191+SUMIF('10. Inputs &amp; Calcs'!$D$628:$D$633,$E$10,'10. Inputs &amp; Calcs'!P$628:P$633))</f>
        <v>-20690558.841768146</v>
      </c>
      <c r="Y9" s="781">
        <f>-('10. Inputs &amp; Calcs'!Q$191+SUMIF('10. Inputs &amp; Calcs'!$D$628:$D$633,$E$10,'10. Inputs &amp; Calcs'!Q$628:Q$633))</f>
        <v>-20595368.39326866</v>
      </c>
      <c r="Z9" s="781">
        <f>-('10. Inputs &amp; Calcs'!R$191+SUMIF('10. Inputs &amp; Calcs'!$D$628:$D$633,$E$10,'10. Inputs &amp; Calcs'!R$628:R$633))</f>
        <v>-20428203.075122118</v>
      </c>
      <c r="AA9" s="781">
        <f>-('10. Inputs &amp; Calcs'!S$191+SUMIF('10. Inputs &amp; Calcs'!$D$628:$D$633,$E$10,'10. Inputs &amp; Calcs'!S$628:S$633))</f>
        <v>-20189062.887328513</v>
      </c>
      <c r="AB9" s="781">
        <f>-('10. Inputs &amp; Calcs'!T$191+SUMIF('10. Inputs &amp; Calcs'!$D$628:$D$633,$E$10,'10. Inputs &amp; Calcs'!T$628:T$633))</f>
        <v>-19877947.829887852</v>
      </c>
      <c r="AC9" s="781">
        <f>-('10. Inputs &amp; Calcs'!U$191+SUMIF('10. Inputs &amp; Calcs'!$D$628:$D$633,$E$10,'10. Inputs &amp; Calcs'!U$628:U$633))</f>
        <v>-19494857.902800135</v>
      </c>
      <c r="AD9" s="781">
        <f>-('10. Inputs &amp; Calcs'!V$191+SUMIF('10. Inputs &amp; Calcs'!$D$628:$D$633,$E$10,'10. Inputs &amp; Calcs'!V$628:V$633))</f>
        <v>-19039793.106065355</v>
      </c>
      <c r="AE9" s="781">
        <f>-('10. Inputs &amp; Calcs'!W$191+SUMIF('10. Inputs &amp; Calcs'!$D$628:$D$633,$E$10,'10. Inputs &amp; Calcs'!W$628:W$633))</f>
        <v>-18512753.439683516</v>
      </c>
      <c r="AF9" s="781">
        <f>-('10. Inputs &amp; Calcs'!X$191+SUMIF('10. Inputs &amp; Calcs'!$D$628:$D$633,$E$10,'10. Inputs &amp; Calcs'!X$628:X$633))</f>
        <v>-17913738.90365462</v>
      </c>
      <c r="AG9" s="781">
        <f>-('10. Inputs &amp; Calcs'!Y$191+SUMIF('10. Inputs &amp; Calcs'!$D$628:$D$633,$E$10,'10. Inputs &amp; Calcs'!Y$628:Y$633))</f>
        <v>-17242749.497978665</v>
      </c>
      <c r="AH9" s="781">
        <f>-('10. Inputs &amp; Calcs'!Z$191+SUMIF('10. Inputs &amp; Calcs'!$D$628:$D$633,$E$10,'10. Inputs &amp; Calcs'!Z$628:Z$633))</f>
        <v>-16499785.22265565</v>
      </c>
      <c r="AI9" s="781">
        <f>-('10. Inputs &amp; Calcs'!AA$191+SUMIF('10. Inputs &amp; Calcs'!$D$628:$D$633,$E$10,'10. Inputs &amp; Calcs'!AA$628:AA$633))</f>
        <v>-15684846.077685576</v>
      </c>
      <c r="AJ9" s="781">
        <f>-('10. Inputs &amp; Calcs'!AB$191+SUMIF('10. Inputs &amp; Calcs'!$D$628:$D$633,$E$10,'10. Inputs &amp; Calcs'!AB$628:AB$633))</f>
        <v>0</v>
      </c>
      <c r="AK9" s="781">
        <f>-('10. Inputs &amp; Calcs'!AC$191+SUMIF('10. Inputs &amp; Calcs'!$D$628:$D$633,$E$10,'10. Inputs &amp; Calcs'!AC$628:AC$633))</f>
        <v>0</v>
      </c>
      <c r="AL9" s="781"/>
    </row>
    <row r="10" spans="1:38" x14ac:dyDescent="0.45">
      <c r="A10" s="911" t="s">
        <v>1463</v>
      </c>
      <c r="D10" s="790" t="s">
        <v>1339</v>
      </c>
      <c r="E10" s="1002" t="s">
        <v>5</v>
      </c>
      <c r="M10" s="1001"/>
      <c r="N10" s="578"/>
      <c r="O10" s="578"/>
      <c r="P10" s="578"/>
      <c r="Q10" s="578"/>
      <c r="R10" s="578"/>
      <c r="S10" s="968" t="s">
        <v>1580</v>
      </c>
      <c r="T10" s="968" t="s">
        <v>1580</v>
      </c>
      <c r="U10" s="968" t="s">
        <v>1580</v>
      </c>
      <c r="V10" s="968" t="s">
        <v>1580</v>
      </c>
      <c r="W10" s="968" t="s">
        <v>1580</v>
      </c>
      <c r="X10" s="578"/>
      <c r="Y10" s="578"/>
      <c r="Z10" s="578"/>
      <c r="AA10" s="578"/>
      <c r="AB10" s="578"/>
      <c r="AC10" s="578"/>
      <c r="AD10" s="578"/>
      <c r="AE10" s="578"/>
      <c r="AF10" s="578"/>
      <c r="AG10" s="578"/>
      <c r="AH10" s="578"/>
      <c r="AI10" s="578"/>
      <c r="AJ10" s="578"/>
      <c r="AK10" s="578"/>
      <c r="AL10" s="536"/>
    </row>
    <row r="11" spans="1:38" x14ac:dyDescent="0.45">
      <c r="D11" s="942" t="s">
        <v>1484</v>
      </c>
      <c r="E11" s="999" t="str">
        <f>'5. Dashboard Live'!C13</f>
        <v>BC</v>
      </c>
      <c r="M11" s="542"/>
    </row>
    <row r="12" spans="1:38" x14ac:dyDescent="0.45">
      <c r="D12" t="s">
        <v>1330</v>
      </c>
      <c r="N12" s="578"/>
      <c r="O12" s="578"/>
      <c r="P12" s="784">
        <f>SUMIF('10. Inputs &amp; Calcs'!$D$78:$D$83,$E$10,'10. Inputs &amp; Calcs'!H$78:H$83)</f>
        <v>890</v>
      </c>
      <c r="Q12" s="784">
        <f>SUMIF('10. Inputs &amp; Calcs'!$D$78:$D$83,$E$10,'10. Inputs &amp; Calcs'!I$78:I$83)</f>
        <v>1043</v>
      </c>
      <c r="R12" s="784">
        <f>SUMIF('10. Inputs &amp; Calcs'!$D$78:$D$83,$E$10,'10. Inputs &amp; Calcs'!J$78:J$83)</f>
        <v>1196</v>
      </c>
      <c r="S12" s="784">
        <f>SUMIF('10. Inputs &amp; Calcs'!$D$78:$D$83,$E$10,'10. Inputs &amp; Calcs'!K$78:K$83)</f>
        <v>1311</v>
      </c>
      <c r="T12" s="784">
        <f>SUMIF('10. Inputs &amp; Calcs'!$D$78:$D$83,$E$10,'10. Inputs &amp; Calcs'!L$78:L$83)</f>
        <v>1332</v>
      </c>
      <c r="U12" s="784">
        <f>SUMIF('10. Inputs &amp; Calcs'!$D$78:$D$83,$E$10,'10. Inputs &amp; Calcs'!M$78:M$83)</f>
        <v>1353</v>
      </c>
      <c r="V12" s="784">
        <f>SUMIF('10. Inputs &amp; Calcs'!$D$78:$D$83,$E$10,'10. Inputs &amp; Calcs'!N$78:N$83)</f>
        <v>1374</v>
      </c>
      <c r="W12" s="784">
        <f>SUMIF('10. Inputs &amp; Calcs'!$D$78:$D$83,$E$10,'10. Inputs &amp; Calcs'!O$78:O$83)</f>
        <v>1395</v>
      </c>
      <c r="X12" s="784">
        <f>SUMIF('10. Inputs &amp; Calcs'!$D$78:$D$83,$E$10,'10. Inputs &amp; Calcs'!P$78:P$83)</f>
        <v>1416</v>
      </c>
      <c r="Y12" s="784">
        <f>SUMIF('10. Inputs &amp; Calcs'!$D$78:$D$83,$E$10,'10. Inputs &amp; Calcs'!Q$78:Q$83)</f>
        <v>1437</v>
      </c>
      <c r="Z12" s="784">
        <f>SUMIF('10. Inputs &amp; Calcs'!$D$78:$D$83,$E$10,'10. Inputs &amp; Calcs'!R$78:R$83)</f>
        <v>1458</v>
      </c>
      <c r="AA12" s="784">
        <f>SUMIF('10. Inputs &amp; Calcs'!$D$78:$D$83,$E$10,'10. Inputs &amp; Calcs'!S$78:S$83)</f>
        <v>1479</v>
      </c>
      <c r="AB12" s="784">
        <f>SUMIF('10. Inputs &amp; Calcs'!$D$78:$D$83,$E$10,'10. Inputs &amp; Calcs'!T$78:T$83)</f>
        <v>1500</v>
      </c>
      <c r="AC12" s="784">
        <f>SUMIF('10. Inputs &amp; Calcs'!$D$78:$D$83,$E$10,'10. Inputs &amp; Calcs'!U$78:U$83)</f>
        <v>1521</v>
      </c>
      <c r="AD12" s="784">
        <f>SUMIF('10. Inputs &amp; Calcs'!$D$78:$D$83,$E$10,'10. Inputs &amp; Calcs'!V$78:V$83)</f>
        <v>1542</v>
      </c>
      <c r="AE12" s="784">
        <f>SUMIF('10. Inputs &amp; Calcs'!$D$78:$D$83,$E$10,'10. Inputs &amp; Calcs'!W$78:W$83)</f>
        <v>1563</v>
      </c>
      <c r="AF12" s="784">
        <f>SUMIF('10. Inputs &amp; Calcs'!$D$78:$D$83,$E$10,'10. Inputs &amp; Calcs'!X$78:X$83)</f>
        <v>1584</v>
      </c>
      <c r="AG12" s="784">
        <f>SUMIF('10. Inputs &amp; Calcs'!$D$78:$D$83,$E$10,'10. Inputs &amp; Calcs'!Y$78:Y$83)</f>
        <v>1605</v>
      </c>
      <c r="AH12" s="784">
        <f>SUMIF('10. Inputs &amp; Calcs'!$D$78:$D$83,$E$10,'10. Inputs &amp; Calcs'!Z$78:Z$83)</f>
        <v>1626</v>
      </c>
      <c r="AI12" s="784">
        <f>SUMIF('10. Inputs &amp; Calcs'!$D$78:$D$83,$E$10,'10. Inputs &amp; Calcs'!AA$78:AA$83)</f>
        <v>1647</v>
      </c>
      <c r="AJ12" s="784">
        <f>SUMIF('10. Inputs &amp; Calcs'!$D$78:$D$83,$E$10,'10. Inputs &amp; Calcs'!AB$78:AB$83)</f>
        <v>1655</v>
      </c>
      <c r="AK12" s="784">
        <f>SUMIF('10. Inputs &amp; Calcs'!$D$78:$D$83,$E$10,'10. Inputs &amp; Calcs'!AC$78:AC$83)</f>
        <v>0</v>
      </c>
      <c r="AL12" s="536"/>
    </row>
    <row r="13" spans="1:38" x14ac:dyDescent="0.45">
      <c r="D13" t="s">
        <v>1329</v>
      </c>
      <c r="N13" s="578"/>
      <c r="O13" s="578"/>
      <c r="P13" s="784">
        <f>SUMIF('10. Inputs &amp; Calcs'!$D$520:$D$525,$E$10,'10. Inputs &amp; Calcs'!H$520:H$525)</f>
        <v>765</v>
      </c>
      <c r="Q13" s="784">
        <f>SUMIF('10. Inputs &amp; Calcs'!$D$520:$D$525,$E$10,'10. Inputs &amp; Calcs'!I$520:I$525)</f>
        <v>612</v>
      </c>
      <c r="R13" s="784">
        <f>SUMIF('10. Inputs &amp; Calcs'!$D$520:$D$525,$E$10,'10. Inputs &amp; Calcs'!J$520:J$525)</f>
        <v>459</v>
      </c>
      <c r="S13" s="784">
        <f>SUMIF('10. Inputs &amp; Calcs'!$D$520:$D$525,$E$10,'10. Inputs &amp; Calcs'!K$520:K$525)</f>
        <v>344</v>
      </c>
      <c r="T13" s="784">
        <f>SUMIF('10. Inputs &amp; Calcs'!$D$520:$D$525,$E$10,'10. Inputs &amp; Calcs'!L$520:L$525)</f>
        <v>323</v>
      </c>
      <c r="U13" s="784">
        <f>SUMIF('10. Inputs &amp; Calcs'!$D$520:$D$525,$E$10,'10. Inputs &amp; Calcs'!M$520:M$525)</f>
        <v>302</v>
      </c>
      <c r="V13" s="784">
        <f>SUMIF('10. Inputs &amp; Calcs'!$D$520:$D$525,$E$10,'10. Inputs &amp; Calcs'!N$520:N$525)</f>
        <v>281</v>
      </c>
      <c r="W13" s="784">
        <f>SUMIF('10. Inputs &amp; Calcs'!$D$520:$D$525,$E$10,'10. Inputs &amp; Calcs'!O$520:O$525)</f>
        <v>260</v>
      </c>
      <c r="X13" s="784">
        <f>SUMIF('10. Inputs &amp; Calcs'!$D$520:$D$525,$E$10,'10. Inputs &amp; Calcs'!P$520:P$525)</f>
        <v>239</v>
      </c>
      <c r="Y13" s="784">
        <f>SUMIF('10. Inputs &amp; Calcs'!$D$520:$D$525,$E$10,'10. Inputs &amp; Calcs'!Q$520:Q$525)</f>
        <v>218</v>
      </c>
      <c r="Z13" s="784">
        <f>SUMIF('10. Inputs &amp; Calcs'!$D$520:$D$525,$E$10,'10. Inputs &amp; Calcs'!R$520:R$525)</f>
        <v>197</v>
      </c>
      <c r="AA13" s="784">
        <f>SUMIF('10. Inputs &amp; Calcs'!$D$520:$D$525,$E$10,'10. Inputs &amp; Calcs'!S$520:S$525)</f>
        <v>176</v>
      </c>
      <c r="AB13" s="784">
        <f>SUMIF('10. Inputs &amp; Calcs'!$D$520:$D$525,$E$10,'10. Inputs &amp; Calcs'!T$520:T$525)</f>
        <v>155</v>
      </c>
      <c r="AC13" s="784">
        <f>SUMIF('10. Inputs &amp; Calcs'!$D$520:$D$525,$E$10,'10. Inputs &amp; Calcs'!U$520:U$525)</f>
        <v>134</v>
      </c>
      <c r="AD13" s="784">
        <f>SUMIF('10. Inputs &amp; Calcs'!$D$520:$D$525,$E$10,'10. Inputs &amp; Calcs'!V$520:V$525)</f>
        <v>113</v>
      </c>
      <c r="AE13" s="784">
        <f>SUMIF('10. Inputs &amp; Calcs'!$D$520:$D$525,$E$10,'10. Inputs &amp; Calcs'!W$520:W$525)</f>
        <v>92</v>
      </c>
      <c r="AF13" s="784">
        <f>SUMIF('10. Inputs &amp; Calcs'!$D$520:$D$525,$E$10,'10. Inputs &amp; Calcs'!X$520:X$525)</f>
        <v>71</v>
      </c>
      <c r="AG13" s="784">
        <f>SUMIF('10. Inputs &amp; Calcs'!$D$520:$D$525,$E$10,'10. Inputs &amp; Calcs'!Y$520:Y$525)</f>
        <v>50</v>
      </c>
      <c r="AH13" s="784">
        <f>SUMIF('10. Inputs &amp; Calcs'!$D$520:$D$525,$E$10,'10. Inputs &amp; Calcs'!Z$520:Z$525)</f>
        <v>29</v>
      </c>
      <c r="AI13" s="784">
        <f>SUMIF('10. Inputs &amp; Calcs'!$D$520:$D$525,$E$10,'10. Inputs &amp; Calcs'!AA$520:AA$525)</f>
        <v>8</v>
      </c>
      <c r="AJ13" s="784">
        <f>SUMIF('10. Inputs &amp; Calcs'!$D$520:$D$525,$E$10,'10. Inputs &amp; Calcs'!AB$520:AB$525)</f>
        <v>0</v>
      </c>
      <c r="AK13" s="784">
        <f>SUMIF('10. Inputs &amp; Calcs'!$D$520:$D$525,$E$10,'10. Inputs &amp; Calcs'!AC$520:AC$525)</f>
        <v>0</v>
      </c>
      <c r="AL13" s="536"/>
    </row>
    <row r="14" spans="1:38" x14ac:dyDescent="0.45">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36"/>
    </row>
    <row r="15" spans="1:38" x14ac:dyDescent="0.45">
      <c r="D15" s="451" t="s">
        <v>1312</v>
      </c>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36"/>
    </row>
    <row r="16" spans="1:38" x14ac:dyDescent="0.45">
      <c r="D16" s="451" t="s">
        <v>266</v>
      </c>
      <c r="E16" s="451"/>
      <c r="M16" s="451"/>
    </row>
    <row r="18" spans="2:65" ht="5.25" customHeight="1" x14ac:dyDescent="0.45">
      <c r="F18" s="852"/>
      <c r="G18" s="852"/>
      <c r="I18" s="533"/>
      <c r="J18" s="801"/>
      <c r="K18" s="533"/>
      <c r="L18" s="813"/>
      <c r="N18" s="566"/>
      <c r="O18" s="566"/>
      <c r="P18" s="566"/>
      <c r="Q18" s="533"/>
      <c r="R18" s="533"/>
      <c r="S18" s="533"/>
      <c r="T18" s="533"/>
      <c r="U18" s="533"/>
      <c r="V18" s="533"/>
      <c r="W18" s="533"/>
      <c r="X18" s="533"/>
      <c r="Y18" s="533"/>
      <c r="Z18" s="533"/>
      <c r="AA18" s="533"/>
      <c r="AB18" s="533"/>
      <c r="AC18" s="533"/>
      <c r="AD18" s="533"/>
      <c r="AE18" s="533"/>
      <c r="AF18" s="533"/>
      <c r="AG18" s="533"/>
      <c r="AH18" s="533"/>
      <c r="AI18" s="533"/>
      <c r="AJ18" s="533"/>
      <c r="AK18" s="533"/>
      <c r="AL18" s="533"/>
    </row>
    <row r="19" spans="2:65" x14ac:dyDescent="0.45">
      <c r="B19" t="s">
        <v>1075</v>
      </c>
      <c r="D19" t="str">
        <f>'11. Table - Expenditure Review'!E172</f>
        <v>Sales</v>
      </c>
      <c r="F19" s="852"/>
      <c r="G19" s="852"/>
      <c r="I19" s="753">
        <f>AL19</f>
        <v>39718251.030842677</v>
      </c>
      <c r="J19" s="899">
        <v>39718251.030842677</v>
      </c>
      <c r="K19" s="753">
        <f t="shared" ref="K19:K28" si="1">I19-J19</f>
        <v>0</v>
      </c>
      <c r="L19" s="885">
        <f t="shared" ref="L19:L28" si="2">IF(J19&lt;&gt;0,K19/J19,0)</f>
        <v>0</v>
      </c>
      <c r="N19" s="763">
        <f>SUMIF('10. Inputs &amp; Calcs'!$D$423:$D$428,$E$10,'10. Inputs &amp; Calcs'!F$423:F$428)</f>
        <v>19470067.290000003</v>
      </c>
      <c r="O19" s="567">
        <f>SUMIF('10. Inputs &amp; Calcs'!$D$423:$D$428,$E$10,'10. Inputs &amp; Calcs'!G$423:G$428)</f>
        <v>12863387.479999999</v>
      </c>
      <c r="P19" s="764">
        <f>SUMIF('10. Inputs &amp; Calcs'!$D$423:$D$428,$E$10,'10. Inputs &amp; Calcs'!H$423:H$428)</f>
        <v>7528558.1400000006</v>
      </c>
      <c r="Q19" s="748">
        <f>SUMIF('10. Inputs &amp; Calcs'!$D$423:$D$428,$E$10,'10. Inputs &amp; Calcs'!I$423:I$428)</f>
        <v>7943650.2061685389</v>
      </c>
      <c r="R19" s="535">
        <f>SUMIF('10. Inputs &amp; Calcs'!$D$423:$D$428,$E$10,'10. Inputs &amp; Calcs'!J$423:J$428)</f>
        <v>7943650.2061685389</v>
      </c>
      <c r="S19" s="535">
        <f>SUMIF('10. Inputs &amp; Calcs'!$D$423:$D$428,$E$10,'10. Inputs &amp; Calcs'!K$423:K$428)</f>
        <v>5970717.4752247185</v>
      </c>
      <c r="T19" s="535">
        <f>SUMIF('10. Inputs &amp; Calcs'!$D$423:$D$428,$E$10,'10. Inputs &amp; Calcs'!L$423:L$428)</f>
        <v>1090304.9302584268</v>
      </c>
      <c r="U19" s="535">
        <f>SUMIF('10. Inputs &amp; Calcs'!$D$423:$D$428,$E$10,'10. Inputs &amp; Calcs'!M$423:M$428)</f>
        <v>1090304.9302584268</v>
      </c>
      <c r="V19" s="535">
        <f>SUMIF('10. Inputs &amp; Calcs'!$D$423:$D$428,$E$10,'10. Inputs &amp; Calcs'!N$423:N$428)</f>
        <v>1090304.9302584268</v>
      </c>
      <c r="W19" s="535">
        <f>SUMIF('10. Inputs &amp; Calcs'!$D$423:$D$428,$E$10,'10. Inputs &amp; Calcs'!O$423:O$428)</f>
        <v>1090304.9302584268</v>
      </c>
      <c r="X19" s="535">
        <f>SUMIF('10. Inputs &amp; Calcs'!$D$423:$D$428,$E$10,'10. Inputs &amp; Calcs'!P$423:P$428)</f>
        <v>1090304.9302584268</v>
      </c>
      <c r="Y19" s="535">
        <f>SUMIF('10. Inputs &amp; Calcs'!$D$423:$D$428,$E$10,'10. Inputs &amp; Calcs'!Q$423:Q$428)</f>
        <v>1090304.9302584268</v>
      </c>
      <c r="Z19" s="535">
        <f>SUMIF('10. Inputs &amp; Calcs'!$D$423:$D$428,$E$10,'10. Inputs &amp; Calcs'!R$423:R$428)</f>
        <v>1090304.9302584268</v>
      </c>
      <c r="AA19" s="535">
        <f>SUMIF('10. Inputs &amp; Calcs'!$D$423:$D$428,$E$10,'10. Inputs &amp; Calcs'!S$423:S$428)</f>
        <v>1090304.9302584268</v>
      </c>
      <c r="AB19" s="535">
        <f>SUMIF('10. Inputs &amp; Calcs'!$D$423:$D$428,$E$10,'10. Inputs &amp; Calcs'!T$423:T$428)</f>
        <v>1090304.9302584268</v>
      </c>
      <c r="AC19" s="535">
        <f>SUMIF('10. Inputs &amp; Calcs'!$D$423:$D$428,$E$10,'10. Inputs &amp; Calcs'!U$423:U$428)</f>
        <v>1090304.9302584268</v>
      </c>
      <c r="AD19" s="535">
        <f>SUMIF('10. Inputs &amp; Calcs'!$D$423:$D$428,$E$10,'10. Inputs &amp; Calcs'!V$423:V$428)</f>
        <v>1090304.9302584268</v>
      </c>
      <c r="AE19" s="535">
        <f>SUMIF('10. Inputs &amp; Calcs'!$D$423:$D$428,$E$10,'10. Inputs &amp; Calcs'!W$423:W$428)</f>
        <v>1090304.9302584268</v>
      </c>
      <c r="AF19" s="535">
        <f>SUMIF('10. Inputs &amp; Calcs'!$D$423:$D$428,$E$10,'10. Inputs &amp; Calcs'!X$423:X$428)</f>
        <v>1090304.9302584268</v>
      </c>
      <c r="AG19" s="535">
        <f>SUMIF('10. Inputs &amp; Calcs'!$D$423:$D$428,$E$10,'10. Inputs &amp; Calcs'!Y$423:Y$428)</f>
        <v>1090304.9302584268</v>
      </c>
      <c r="AH19" s="535">
        <f>SUMIF('10. Inputs &amp; Calcs'!$D$423:$D$428,$E$10,'10. Inputs &amp; Calcs'!Z$423:Z$428)</f>
        <v>1090304.9302584268</v>
      </c>
      <c r="AI19" s="535">
        <f>SUMIF('10. Inputs &amp; Calcs'!$D$423:$D$428,$E$10,'10. Inputs &amp; Calcs'!AA$423:AA$428)</f>
        <v>1090304.9302584268</v>
      </c>
      <c r="AJ19" s="535">
        <f>SUMIF('10. Inputs &amp; Calcs'!$D$423:$D$428,$E$10,'10. Inputs &amp; Calcs'!AB$423:AB$428)</f>
        <v>415354.25914606737</v>
      </c>
      <c r="AK19" s="749">
        <f>SUMIF('10. Inputs &amp; Calcs'!$D$423:$D$428,$E$10,'10. Inputs &amp; Calcs'!AC$423:AC$428)</f>
        <v>0</v>
      </c>
      <c r="AL19" s="753">
        <f>SUM(Q19:AK19)</f>
        <v>39718251.030842677</v>
      </c>
      <c r="AP19" s="803" t="str">
        <f t="shared" ref="AP19:BM19" si="3">N5</f>
        <v>2013/14</v>
      </c>
      <c r="AQ19" s="803" t="str">
        <f t="shared" si="3"/>
        <v>2014/15</v>
      </c>
      <c r="AR19" s="803" t="str">
        <f t="shared" si="3"/>
        <v>2015/16</v>
      </c>
      <c r="AS19" s="803" t="str">
        <f t="shared" si="3"/>
        <v>2016/17</v>
      </c>
      <c r="AT19" s="803" t="str">
        <f t="shared" si="3"/>
        <v>2017/18</v>
      </c>
      <c r="AU19" s="803" t="str">
        <f t="shared" si="3"/>
        <v>2018/19</v>
      </c>
      <c r="AV19" s="803" t="str">
        <f t="shared" si="3"/>
        <v>2019/20</v>
      </c>
      <c r="AW19" s="803" t="str">
        <f t="shared" si="3"/>
        <v>2020/21</v>
      </c>
      <c r="AX19" s="803" t="str">
        <f t="shared" si="3"/>
        <v>2021/22</v>
      </c>
      <c r="AY19" s="803" t="str">
        <f t="shared" si="3"/>
        <v>2022/23</v>
      </c>
      <c r="AZ19" s="803" t="str">
        <f t="shared" si="3"/>
        <v>2023/24</v>
      </c>
      <c r="BA19" s="803" t="str">
        <f t="shared" si="3"/>
        <v>2024/25</v>
      </c>
      <c r="BB19" s="803" t="str">
        <f t="shared" si="3"/>
        <v>2025/26</v>
      </c>
      <c r="BC19" s="803" t="str">
        <f t="shared" si="3"/>
        <v>2026/27</v>
      </c>
      <c r="BD19" s="803" t="str">
        <f t="shared" si="3"/>
        <v>2027/28</v>
      </c>
      <c r="BE19" s="803" t="str">
        <f t="shared" si="3"/>
        <v>2028/29</v>
      </c>
      <c r="BF19" s="803" t="str">
        <f t="shared" si="3"/>
        <v>2029/30</v>
      </c>
      <c r="BG19" s="803" t="str">
        <f t="shared" si="3"/>
        <v>2030/31</v>
      </c>
      <c r="BH19" s="803" t="str">
        <f t="shared" si="3"/>
        <v>2031/32</v>
      </c>
      <c r="BI19" s="803" t="str">
        <f t="shared" si="3"/>
        <v>3032/33</v>
      </c>
      <c r="BJ19" s="803" t="str">
        <f t="shared" si="3"/>
        <v>2033/34</v>
      </c>
      <c r="BK19" s="803" t="str">
        <f t="shared" si="3"/>
        <v>2034/35</v>
      </c>
      <c r="BL19" s="803" t="str">
        <f t="shared" si="3"/>
        <v>2035/36</v>
      </c>
      <c r="BM19" s="803" t="str">
        <f t="shared" si="3"/>
        <v>2036/37</v>
      </c>
    </row>
    <row r="20" spans="2:65" x14ac:dyDescent="0.45">
      <c r="B20" t="s">
        <v>1075</v>
      </c>
      <c r="D20" s="18" t="s">
        <v>1076</v>
      </c>
      <c r="F20" s="852"/>
      <c r="G20" s="852"/>
      <c r="I20" s="754">
        <f>AL20</f>
        <v>-16982842.696986817</v>
      </c>
      <c r="J20" s="900">
        <v>-16982842.696986817</v>
      </c>
      <c r="K20" s="754">
        <f t="shared" si="1"/>
        <v>0</v>
      </c>
      <c r="L20" s="886">
        <f t="shared" si="2"/>
        <v>0</v>
      </c>
      <c r="N20" s="765">
        <f t="shared" ref="N20:AK20" si="4">N21-N19</f>
        <v>-12548679.850000001</v>
      </c>
      <c r="O20" s="766">
        <f t="shared" si="4"/>
        <v>-3682223.3999999985</v>
      </c>
      <c r="P20" s="767">
        <f t="shared" si="4"/>
        <v>-813409.55999999959</v>
      </c>
      <c r="Q20" s="750">
        <f t="shared" si="4"/>
        <v>-3396568.5393973636</v>
      </c>
      <c r="R20" s="751">
        <f t="shared" si="4"/>
        <v>-3396568.5393973636</v>
      </c>
      <c r="S20" s="751">
        <f t="shared" si="4"/>
        <v>-2552976.3531418093</v>
      </c>
      <c r="T20" s="751">
        <f t="shared" si="4"/>
        <v>-466195.68187806953</v>
      </c>
      <c r="U20" s="751">
        <f t="shared" si="4"/>
        <v>-466195.68187806953</v>
      </c>
      <c r="V20" s="751">
        <f t="shared" si="4"/>
        <v>-466195.68187806953</v>
      </c>
      <c r="W20" s="751">
        <f t="shared" si="4"/>
        <v>-466195.68187806953</v>
      </c>
      <c r="X20" s="751">
        <f t="shared" si="4"/>
        <v>-466195.68187806953</v>
      </c>
      <c r="Y20" s="751">
        <f t="shared" si="4"/>
        <v>-466195.68187806953</v>
      </c>
      <c r="Z20" s="751">
        <f t="shared" si="4"/>
        <v>-466195.68187806953</v>
      </c>
      <c r="AA20" s="751">
        <f t="shared" si="4"/>
        <v>-466195.68187806953</v>
      </c>
      <c r="AB20" s="751">
        <f t="shared" si="4"/>
        <v>-466195.68187806953</v>
      </c>
      <c r="AC20" s="751">
        <f t="shared" si="4"/>
        <v>-466195.68187806953</v>
      </c>
      <c r="AD20" s="751">
        <f t="shared" si="4"/>
        <v>-466195.68187806953</v>
      </c>
      <c r="AE20" s="751">
        <f t="shared" si="4"/>
        <v>-466195.68187806953</v>
      </c>
      <c r="AF20" s="751">
        <f t="shared" si="4"/>
        <v>-466195.68187806953</v>
      </c>
      <c r="AG20" s="751">
        <f t="shared" si="4"/>
        <v>-466195.68187806953</v>
      </c>
      <c r="AH20" s="751">
        <f t="shared" si="4"/>
        <v>-466195.68187806953</v>
      </c>
      <c r="AI20" s="751">
        <f t="shared" si="4"/>
        <v>-466195.68187806953</v>
      </c>
      <c r="AJ20" s="751">
        <f t="shared" si="4"/>
        <v>-177598.35500116934</v>
      </c>
      <c r="AK20" s="752">
        <f t="shared" si="4"/>
        <v>0</v>
      </c>
      <c r="AL20" s="754">
        <f>SUM(Q20:AK20)</f>
        <v>-16982842.696986817</v>
      </c>
      <c r="AO20" s="803" t="s">
        <v>1538</v>
      </c>
      <c r="AP20" s="533">
        <f>N51</f>
        <v>0</v>
      </c>
      <c r="AQ20" s="533">
        <f t="shared" ref="AQ20:BM20" si="5">O51</f>
        <v>0</v>
      </c>
      <c r="AR20" s="533">
        <f t="shared" si="5"/>
        <v>0</v>
      </c>
      <c r="AS20" s="533">
        <f t="shared" ca="1" si="5"/>
        <v>-296981.87305132486</v>
      </c>
      <c r="AT20" s="533">
        <f t="shared" ca="1" si="5"/>
        <v>-1185226.4662995497</v>
      </c>
      <c r="AU20" s="533">
        <f t="shared" ca="1" si="5"/>
        <v>-2701993.0889131185</v>
      </c>
      <c r="AV20" s="533">
        <f t="shared" ca="1" si="5"/>
        <v>-4919996.0517974235</v>
      </c>
      <c r="AW20" s="533">
        <f t="shared" ca="1" si="5"/>
        <v>-5058942.7246914273</v>
      </c>
      <c r="AX20" s="533">
        <f t="shared" ca="1" si="5"/>
        <v>-5178018.2435189942</v>
      </c>
      <c r="AY20" s="533">
        <f t="shared" ca="1" si="5"/>
        <v>-5274971.7583163055</v>
      </c>
      <c r="AZ20" s="533">
        <f t="shared" ca="1" si="5"/>
        <v>-5347364.9358645715</v>
      </c>
      <c r="BA20" s="533">
        <f t="shared" ca="1" si="5"/>
        <v>-5392558.1453531226</v>
      </c>
      <c r="BB20" s="533">
        <f t="shared" ca="1" si="5"/>
        <v>-5407695.6916023027</v>
      </c>
      <c r="BC20" s="533">
        <f t="shared" ca="1" si="5"/>
        <v>-5389690.0328660645</v>
      </c>
      <c r="BD20" s="533">
        <f t="shared" ca="1" si="5"/>
        <v>-5335204.9161876012</v>
      </c>
      <c r="BE20" s="533">
        <f t="shared" ca="1" si="5"/>
        <v>-5240637.3589799376</v>
      </c>
      <c r="BF20" s="533">
        <f t="shared" ca="1" si="5"/>
        <v>-5102098.4009318044</v>
      </c>
      <c r="BG20" s="533">
        <f t="shared" ca="1" si="5"/>
        <v>-4915392.5454802923</v>
      </c>
      <c r="BH20" s="533">
        <f t="shared" ca="1" si="5"/>
        <v>-4675995.8049281193</v>
      </c>
      <c r="BI20" s="533">
        <f t="shared" ca="1" si="5"/>
        <v>-4379032.257795942</v>
      </c>
      <c r="BJ20" s="533">
        <f t="shared" ca="1" si="5"/>
        <v>-4019249.0211691251</v>
      </c>
      <c r="BK20" s="533">
        <f t="shared" ca="1" si="5"/>
        <v>-3590989.5346023208</v>
      </c>
      <c r="BL20" s="533">
        <f t="shared" ca="1" si="5"/>
        <v>0</v>
      </c>
      <c r="BM20" s="533">
        <f t="shared" ca="1" si="5"/>
        <v>0</v>
      </c>
    </row>
    <row r="21" spans="2:65" x14ac:dyDescent="0.45">
      <c r="D21" s="18" t="s">
        <v>1307</v>
      </c>
      <c r="F21" s="852">
        <f>P21/P$28</f>
        <v>0.6108158007130734</v>
      </c>
      <c r="G21" s="852">
        <f ca="1">AL21/AL$28</f>
        <v>0.50012480488631661</v>
      </c>
      <c r="I21" s="533">
        <f>AL21</f>
        <v>22735408.33385586</v>
      </c>
      <c r="J21" s="898">
        <v>22735408.33385586</v>
      </c>
      <c r="K21" s="533">
        <f t="shared" si="1"/>
        <v>0</v>
      </c>
      <c r="L21" s="813">
        <f t="shared" si="2"/>
        <v>0</v>
      </c>
      <c r="N21" s="566">
        <f>SUMIF('10. Inputs &amp; Calcs'!$D$432:$D$437,$E$10,'10. Inputs &amp; Calcs'!F$432:F$437)</f>
        <v>6921387.4400000004</v>
      </c>
      <c r="O21" s="566">
        <f>SUMIF('10. Inputs &amp; Calcs'!$D$432:$D$437,$E$10,'10. Inputs &amp; Calcs'!G$432:G$437)</f>
        <v>9181164.0800000001</v>
      </c>
      <c r="P21" s="566">
        <f>SUMIF('10. Inputs &amp; Calcs'!$D$432:$D$437,$E$10,'10. Inputs &amp; Calcs'!H$432:H$437)</f>
        <v>6715148.580000001</v>
      </c>
      <c r="Q21" s="566">
        <f>SUMIF('10. Inputs &amp; Calcs'!$D$432:$D$437,$E$10,'10. Inputs &amp; Calcs'!I$432:I$437)</f>
        <v>4547081.6667711753</v>
      </c>
      <c r="R21" s="566">
        <f>SUMIF('10. Inputs &amp; Calcs'!$D$432:$D$437,$E$10,'10. Inputs &amp; Calcs'!J$432:J$437)</f>
        <v>4547081.6667711753</v>
      </c>
      <c r="S21" s="566">
        <f>SUMIF('10. Inputs &amp; Calcs'!$D$432:$D$437,$E$10,'10. Inputs &amp; Calcs'!K$432:K$437)</f>
        <v>3417741.1220829091</v>
      </c>
      <c r="T21" s="566">
        <f>SUMIF('10. Inputs &amp; Calcs'!$D$432:$D$437,$E$10,'10. Inputs &amp; Calcs'!L$432:L$437)</f>
        <v>624109.24838035728</v>
      </c>
      <c r="U21" s="566">
        <f>SUMIF('10. Inputs &amp; Calcs'!$D$432:$D$437,$E$10,'10. Inputs &amp; Calcs'!M$432:M$437)</f>
        <v>624109.24838035728</v>
      </c>
      <c r="V21" s="566">
        <f>SUMIF('10. Inputs &amp; Calcs'!$D$432:$D$437,$E$10,'10. Inputs &amp; Calcs'!N$432:N$437)</f>
        <v>624109.24838035728</v>
      </c>
      <c r="W21" s="566">
        <f>SUMIF('10. Inputs &amp; Calcs'!$D$432:$D$437,$E$10,'10. Inputs &amp; Calcs'!O$432:O$437)</f>
        <v>624109.24838035728</v>
      </c>
      <c r="X21" s="566">
        <f>SUMIF('10. Inputs &amp; Calcs'!$D$432:$D$437,$E$10,'10. Inputs &amp; Calcs'!P$432:P$437)</f>
        <v>624109.24838035728</v>
      </c>
      <c r="Y21" s="566">
        <f>SUMIF('10. Inputs &amp; Calcs'!$D$432:$D$437,$E$10,'10. Inputs &amp; Calcs'!Q$432:Q$437)</f>
        <v>624109.24838035728</v>
      </c>
      <c r="Z21" s="566">
        <f>SUMIF('10. Inputs &amp; Calcs'!$D$432:$D$437,$E$10,'10. Inputs &amp; Calcs'!R$432:R$437)</f>
        <v>624109.24838035728</v>
      </c>
      <c r="AA21" s="566">
        <f>SUMIF('10. Inputs &amp; Calcs'!$D$432:$D$437,$E$10,'10. Inputs &amp; Calcs'!S$432:S$437)</f>
        <v>624109.24838035728</v>
      </c>
      <c r="AB21" s="566">
        <f>SUMIF('10. Inputs &amp; Calcs'!$D$432:$D$437,$E$10,'10. Inputs &amp; Calcs'!T$432:T$437)</f>
        <v>624109.24838035728</v>
      </c>
      <c r="AC21" s="566">
        <f>SUMIF('10. Inputs &amp; Calcs'!$D$432:$D$437,$E$10,'10. Inputs &amp; Calcs'!U$432:U$437)</f>
        <v>624109.24838035728</v>
      </c>
      <c r="AD21" s="566">
        <f>SUMIF('10. Inputs &amp; Calcs'!$D$432:$D$437,$E$10,'10. Inputs &amp; Calcs'!V$432:V$437)</f>
        <v>624109.24838035728</v>
      </c>
      <c r="AE21" s="566">
        <f>SUMIF('10. Inputs &amp; Calcs'!$D$432:$D$437,$E$10,'10. Inputs &amp; Calcs'!W$432:W$437)</f>
        <v>624109.24838035728</v>
      </c>
      <c r="AF21" s="566">
        <f>SUMIF('10. Inputs &amp; Calcs'!$D$432:$D$437,$E$10,'10. Inputs &amp; Calcs'!X$432:X$437)</f>
        <v>624109.24838035728</v>
      </c>
      <c r="AG21" s="566">
        <f>SUMIF('10. Inputs &amp; Calcs'!$D$432:$D$437,$E$10,'10. Inputs &amp; Calcs'!Y$432:Y$437)</f>
        <v>624109.24838035728</v>
      </c>
      <c r="AH21" s="566">
        <f>SUMIF('10. Inputs &amp; Calcs'!$D$432:$D$437,$E$10,'10. Inputs &amp; Calcs'!Z$432:Z$437)</f>
        <v>624109.24838035728</v>
      </c>
      <c r="AI21" s="566">
        <f>SUMIF('10. Inputs &amp; Calcs'!$D$432:$D$437,$E$10,'10. Inputs &amp; Calcs'!AA$432:AA$437)</f>
        <v>624109.24838035728</v>
      </c>
      <c r="AJ21" s="566">
        <f>SUMIF('10. Inputs &amp; Calcs'!$D$432:$D$437,$E$10,'10. Inputs &amp; Calcs'!AB$432:AB$437)</f>
        <v>237755.90414489803</v>
      </c>
      <c r="AK21" s="566">
        <f>SUMIF('10. Inputs &amp; Calcs'!$D$432:$D$437,$E$10,'10. Inputs &amp; Calcs'!AC$432:AC$437)</f>
        <v>0</v>
      </c>
      <c r="AL21" s="533">
        <f>SUM(AL19:AL20)</f>
        <v>22735408.33385586</v>
      </c>
      <c r="AO21" s="803" t="str">
        <f>'10. Inputs &amp; Calcs'!D190</f>
        <v>EEDBS utilised to settle Existing Sales Debtors Balances Owing</v>
      </c>
      <c r="AP21" s="533">
        <f t="shared" ref="AP21:BM21" si="6">N53</f>
        <v>-562843</v>
      </c>
      <c r="AQ21" s="533">
        <f t="shared" si="6"/>
        <v>-358439</v>
      </c>
      <c r="AR21" s="533">
        <f t="shared" si="6"/>
        <v>-267958</v>
      </c>
      <c r="AS21" s="533">
        <f t="shared" ca="1" si="6"/>
        <v>-2811433.6077560242</v>
      </c>
      <c r="AT21" s="533">
        <f t="shared" ca="1" si="6"/>
        <v>-2811433.6077560242</v>
      </c>
      <c r="AU21" s="533">
        <f t="shared" ca="1" si="6"/>
        <v>-2113169.0515813255</v>
      </c>
      <c r="AV21" s="533">
        <f t="shared" ca="1" si="6"/>
        <v>-385883.04420180724</v>
      </c>
      <c r="AW21" s="533">
        <f t="shared" ca="1" si="6"/>
        <v>-385883.04420180724</v>
      </c>
      <c r="AX21" s="533">
        <f t="shared" ca="1" si="6"/>
        <v>-385883.04420180724</v>
      </c>
      <c r="AY21" s="533">
        <f t="shared" ca="1" si="6"/>
        <v>-385883.04420180724</v>
      </c>
      <c r="AZ21" s="533">
        <f t="shared" ca="1" si="6"/>
        <v>-385883.04420180724</v>
      </c>
      <c r="BA21" s="533">
        <f t="shared" ca="1" si="6"/>
        <v>-385883.04420180724</v>
      </c>
      <c r="BB21" s="533">
        <f t="shared" ca="1" si="6"/>
        <v>-385883.04420180724</v>
      </c>
      <c r="BC21" s="533">
        <f t="shared" ca="1" si="6"/>
        <v>-385883.04420180724</v>
      </c>
      <c r="BD21" s="533">
        <f t="shared" ca="1" si="6"/>
        <v>-385883.04420180724</v>
      </c>
      <c r="BE21" s="533">
        <f t="shared" ca="1" si="6"/>
        <v>-385883.04420180724</v>
      </c>
      <c r="BF21" s="533">
        <f t="shared" ca="1" si="6"/>
        <v>-385883.04420180724</v>
      </c>
      <c r="BG21" s="533">
        <f t="shared" ca="1" si="6"/>
        <v>-385883.04420180724</v>
      </c>
      <c r="BH21" s="533">
        <f t="shared" ca="1" si="6"/>
        <v>-385883.04420180724</v>
      </c>
      <c r="BI21" s="533">
        <f t="shared" ca="1" si="6"/>
        <v>-385883.04420180724</v>
      </c>
      <c r="BJ21" s="533">
        <f t="shared" ca="1" si="6"/>
        <v>-385883.04420180724</v>
      </c>
      <c r="BK21" s="533">
        <f t="shared" ca="1" si="6"/>
        <v>-385883.04420180724</v>
      </c>
      <c r="BL21" s="533">
        <f t="shared" ca="1" si="6"/>
        <v>-86073415.425300524</v>
      </c>
      <c r="BM21" s="533">
        <f t="shared" ca="1" si="6"/>
        <v>0</v>
      </c>
    </row>
    <row r="22" spans="2:65" ht="21.75" customHeight="1" x14ac:dyDescent="0.45">
      <c r="D22" s="18"/>
      <c r="E22" s="18"/>
      <c r="F22" s="852"/>
      <c r="G22" s="852"/>
      <c r="I22" s="533"/>
      <c r="J22" s="898"/>
      <c r="K22" s="533"/>
      <c r="L22" s="813"/>
      <c r="M22" s="18"/>
      <c r="N22" s="566"/>
      <c r="O22" s="566"/>
      <c r="P22" s="566"/>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18"/>
    </row>
    <row r="23" spans="2:65" x14ac:dyDescent="0.45">
      <c r="B23" t="s">
        <v>59</v>
      </c>
      <c r="D23" t="str">
        <f>'11. Table - Expenditure Review'!E170</f>
        <v>Rent raised</v>
      </c>
      <c r="F23" s="852"/>
      <c r="G23" s="852"/>
      <c r="I23" s="753">
        <f>AL23</f>
        <v>29686773.000666671</v>
      </c>
      <c r="J23" s="899">
        <v>29686773.000666671</v>
      </c>
      <c r="K23" s="753">
        <f t="shared" si="1"/>
        <v>0</v>
      </c>
      <c r="L23" s="885">
        <f t="shared" si="2"/>
        <v>0</v>
      </c>
      <c r="N23" s="763">
        <f>SUMIF('10. Inputs &amp; Calcs'!$D$538:$D$543,$E$10,'10. Inputs &amp; Calcs'!F$538:F$543)</f>
        <v>5125531.1999999993</v>
      </c>
      <c r="O23" s="567">
        <f>SUMIF('10. Inputs &amp; Calcs'!$D$538:$D$543,$E$10,'10. Inputs &amp; Calcs'!G$538:G$543)</f>
        <v>5251150.2400000012</v>
      </c>
      <c r="P23" s="764">
        <f>SUMIF('10. Inputs &amp; Calcs'!$D$538:$D$543,$E$10,'10. Inputs &amp; Calcs'!H$538:H$543)</f>
        <v>5589559.7700000014</v>
      </c>
      <c r="Q23" s="748">
        <f>SUMIF('10. Inputs &amp; Calcs'!$D$538:$D$543,$E$10,'10. Inputs &amp; Calcs'!I$538:I$543)</f>
        <v>4471647.8160000006</v>
      </c>
      <c r="R23" s="535">
        <f>SUMIF('10. Inputs &amp; Calcs'!$D$538:$D$543,$E$10,'10. Inputs &amp; Calcs'!J$538:J$543)</f>
        <v>3353735.8620000002</v>
      </c>
      <c r="S23" s="535">
        <f>SUMIF('10. Inputs &amp; Calcs'!$D$538:$D$543,$E$10,'10. Inputs &amp; Calcs'!K$538:K$543)</f>
        <v>2513475.2429803922</v>
      </c>
      <c r="T23" s="535">
        <f>SUMIF('10. Inputs &amp; Calcs'!$D$538:$D$543,$E$10,'10. Inputs &amp; Calcs'!L$538:L$543)</f>
        <v>2360036.3473333335</v>
      </c>
      <c r="U23" s="535">
        <f>SUMIF('10. Inputs &amp; Calcs'!$D$538:$D$543,$E$10,'10. Inputs &amp; Calcs'!M$538:M$543)</f>
        <v>2206597.4516862747</v>
      </c>
      <c r="V23" s="535">
        <f>SUMIF('10. Inputs &amp; Calcs'!$D$538:$D$543,$E$10,'10. Inputs &amp; Calcs'!N$538:N$543)</f>
        <v>2053158.5560392158</v>
      </c>
      <c r="W23" s="535">
        <f>SUMIF('10. Inputs &amp; Calcs'!$D$538:$D$543,$E$10,'10. Inputs &amp; Calcs'!O$538:O$543)</f>
        <v>1899719.6603921568</v>
      </c>
      <c r="X23" s="535">
        <f>SUMIF('10. Inputs &amp; Calcs'!$D$538:$D$543,$E$10,'10. Inputs &amp; Calcs'!P$538:P$543)</f>
        <v>1746280.7647450978</v>
      </c>
      <c r="Y23" s="535">
        <f>SUMIF('10. Inputs &amp; Calcs'!$D$538:$D$543,$E$10,'10. Inputs &amp; Calcs'!Q$538:Q$543)</f>
        <v>1592841.8690980391</v>
      </c>
      <c r="Z23" s="535">
        <f>SUMIF('10. Inputs &amp; Calcs'!$D$538:$D$543,$E$10,'10. Inputs &amp; Calcs'!R$538:R$543)</f>
        <v>1439402.9734509804</v>
      </c>
      <c r="AA23" s="535">
        <f>SUMIF('10. Inputs &amp; Calcs'!$D$538:$D$543,$E$10,'10. Inputs &amp; Calcs'!S$538:S$543)</f>
        <v>1285964.0778039217</v>
      </c>
      <c r="AB23" s="535">
        <f>SUMIF('10. Inputs &amp; Calcs'!$D$538:$D$543,$E$10,'10. Inputs &amp; Calcs'!T$538:T$543)</f>
        <v>1132525.1821568629</v>
      </c>
      <c r="AC23" s="535">
        <f>SUMIF('10. Inputs &amp; Calcs'!$D$538:$D$543,$E$10,'10. Inputs &amp; Calcs'!U$538:U$543)</f>
        <v>979086.28650980396</v>
      </c>
      <c r="AD23" s="535">
        <f>SUMIF('10. Inputs &amp; Calcs'!$D$538:$D$543,$E$10,'10. Inputs &amp; Calcs'!V$538:V$543)</f>
        <v>825647.39086274512</v>
      </c>
      <c r="AE23" s="535">
        <f>SUMIF('10. Inputs &amp; Calcs'!$D$538:$D$543,$E$10,'10. Inputs &amp; Calcs'!W$538:W$543)</f>
        <v>672208.49521568627</v>
      </c>
      <c r="AF23" s="535">
        <f>SUMIF('10. Inputs &amp; Calcs'!$D$538:$D$543,$E$10,'10. Inputs &amp; Calcs'!X$538:X$543)</f>
        <v>518769.59956862743</v>
      </c>
      <c r="AG23" s="535">
        <f>SUMIF('10. Inputs &amp; Calcs'!$D$538:$D$543,$E$10,'10. Inputs &amp; Calcs'!Y$538:Y$543)</f>
        <v>365330.70392156858</v>
      </c>
      <c r="AH23" s="535">
        <f>SUMIF('10. Inputs &amp; Calcs'!$D$538:$D$543,$E$10,'10. Inputs &amp; Calcs'!Z$538:Z$543)</f>
        <v>211891.80827450976</v>
      </c>
      <c r="AI23" s="535">
        <f>SUMIF('10. Inputs &amp; Calcs'!$D$538:$D$543,$E$10,'10. Inputs &amp; Calcs'!AA$538:AA$543)</f>
        <v>58452.912627450969</v>
      </c>
      <c r="AJ23" s="535">
        <f>SUMIF('10. Inputs &amp; Calcs'!$D$538:$D$543,$E$10,'10. Inputs &amp; Calcs'!AB$538:AB$543)</f>
        <v>0</v>
      </c>
      <c r="AK23" s="749">
        <f>SUMIF('10. Inputs &amp; Calcs'!$D$538:$D$543,$E$10,'10. Inputs &amp; Calcs'!AC$538:AC$543)</f>
        <v>0</v>
      </c>
      <c r="AL23" s="753">
        <f>SUM(Q23:AK23)</f>
        <v>29686773.000666671</v>
      </c>
    </row>
    <row r="24" spans="2:65" x14ac:dyDescent="0.45">
      <c r="B24" t="s">
        <v>59</v>
      </c>
      <c r="D24" s="18" t="s">
        <v>1306</v>
      </c>
      <c r="F24" s="852"/>
      <c r="G24" s="852"/>
      <c r="I24" s="754">
        <f>AL24</f>
        <v>-6962711.7946666768</v>
      </c>
      <c r="J24" s="900">
        <v>-6962711.7946666768</v>
      </c>
      <c r="K24" s="754">
        <f t="shared" si="1"/>
        <v>0</v>
      </c>
      <c r="L24" s="886">
        <f t="shared" si="2"/>
        <v>0</v>
      </c>
      <c r="N24" s="765">
        <f t="shared" ref="N24:AK24" si="7">N25-N23</f>
        <v>-1583944.5799999991</v>
      </c>
      <c r="O24" s="766">
        <f t="shared" si="7"/>
        <v>-1583464.2000000011</v>
      </c>
      <c r="P24" s="767">
        <f t="shared" si="7"/>
        <v>-1310970.8400000017</v>
      </c>
      <c r="Q24" s="750">
        <f t="shared" si="7"/>
        <v>-1048776.6720000017</v>
      </c>
      <c r="R24" s="751">
        <f t="shared" si="7"/>
        <v>-786582.50400000112</v>
      </c>
      <c r="S24" s="751">
        <f t="shared" si="7"/>
        <v>-589508.4561568636</v>
      </c>
      <c r="T24" s="751">
        <f t="shared" si="7"/>
        <v>-553521.02133333404</v>
      </c>
      <c r="U24" s="751">
        <f t="shared" si="7"/>
        <v>-517533.58650980471</v>
      </c>
      <c r="V24" s="751">
        <f t="shared" si="7"/>
        <v>-481546.15168627515</v>
      </c>
      <c r="W24" s="751">
        <f t="shared" si="7"/>
        <v>-445558.71686274558</v>
      </c>
      <c r="X24" s="751">
        <f t="shared" si="7"/>
        <v>-409571.28203921625</v>
      </c>
      <c r="Y24" s="751">
        <f t="shared" si="7"/>
        <v>-373583.84721568669</v>
      </c>
      <c r="Z24" s="751">
        <f t="shared" si="7"/>
        <v>-337596.41239215736</v>
      </c>
      <c r="AA24" s="751">
        <f t="shared" si="7"/>
        <v>-301608.9775686278</v>
      </c>
      <c r="AB24" s="751">
        <f t="shared" si="7"/>
        <v>-265621.54274509847</v>
      </c>
      <c r="AC24" s="751">
        <f t="shared" si="7"/>
        <v>-229634.10792156891</v>
      </c>
      <c r="AD24" s="751">
        <f t="shared" si="7"/>
        <v>-193646.67309803946</v>
      </c>
      <c r="AE24" s="751">
        <f t="shared" si="7"/>
        <v>-157659.23827451002</v>
      </c>
      <c r="AF24" s="751">
        <f t="shared" si="7"/>
        <v>-121671.80345098051</v>
      </c>
      <c r="AG24" s="751">
        <f t="shared" si="7"/>
        <v>-85684.368627451069</v>
      </c>
      <c r="AH24" s="751">
        <f t="shared" si="7"/>
        <v>-49696.933803921624</v>
      </c>
      <c r="AI24" s="751">
        <f t="shared" si="7"/>
        <v>-13709.498980392171</v>
      </c>
      <c r="AJ24" s="751">
        <f t="shared" si="7"/>
        <v>0</v>
      </c>
      <c r="AK24" s="752">
        <f t="shared" si="7"/>
        <v>0</v>
      </c>
      <c r="AL24" s="754">
        <f>SUM(Q24:AK24)</f>
        <v>-6962711.7946666768</v>
      </c>
    </row>
    <row r="25" spans="2:65" x14ac:dyDescent="0.45">
      <c r="D25" s="18" t="str">
        <f>'10. Inputs &amp; Calcs'!D573</f>
        <v>Total Rental Collected p.a.</v>
      </c>
      <c r="F25" s="852">
        <f>P25/P$28</f>
        <v>0.38918419928692649</v>
      </c>
      <c r="G25" s="852">
        <f ca="1">AL25/AL$28</f>
        <v>0.4998751951136835</v>
      </c>
      <c r="I25" s="533">
        <f>AL25</f>
        <v>22724061.205999997</v>
      </c>
      <c r="J25" s="898">
        <v>22724061.205999997</v>
      </c>
      <c r="K25" s="533">
        <f t="shared" si="1"/>
        <v>0</v>
      </c>
      <c r="L25" s="813">
        <f t="shared" si="2"/>
        <v>0</v>
      </c>
      <c r="N25" s="566">
        <f>SUMIF('10. Inputs &amp; Calcs'!$D$574:$D$579,$E$10,'10. Inputs &amp; Calcs'!F$574:F$579)</f>
        <v>3541586.62</v>
      </c>
      <c r="O25" s="566">
        <f>SUMIF('10. Inputs &amp; Calcs'!$D$574:$D$579,$E$10,'10. Inputs &amp; Calcs'!G$574:G$579)</f>
        <v>3667686.04</v>
      </c>
      <c r="P25" s="566">
        <f>SUMIF('10. Inputs &amp; Calcs'!$D$574:$D$579,$E$10,'10. Inputs &amp; Calcs'!H$574:H$579)</f>
        <v>4278588.93</v>
      </c>
      <c r="Q25" s="535">
        <f>SUMIF('10. Inputs &amp; Calcs'!$D$574:$D$579,$E$10,'10. Inputs &amp; Calcs'!I$574:I$579)</f>
        <v>3422871.1439999989</v>
      </c>
      <c r="R25" s="535">
        <f>SUMIF('10. Inputs &amp; Calcs'!$D$574:$D$579,$E$10,'10. Inputs &amp; Calcs'!J$574:J$579)</f>
        <v>2567153.3579999991</v>
      </c>
      <c r="S25" s="535">
        <f>SUMIF('10. Inputs &amp; Calcs'!$D$574:$D$579,$E$10,'10. Inputs &amp; Calcs'!K$574:K$579)</f>
        <v>1923966.7868235286</v>
      </c>
      <c r="T25" s="535">
        <f>SUMIF('10. Inputs &amp; Calcs'!$D$574:$D$579,$E$10,'10. Inputs &amp; Calcs'!L$574:L$579)</f>
        <v>1806515.3259999994</v>
      </c>
      <c r="U25" s="535">
        <f>SUMIF('10. Inputs &amp; Calcs'!$D$574:$D$579,$E$10,'10. Inputs &amp; Calcs'!M$574:M$579)</f>
        <v>1689063.86517647</v>
      </c>
      <c r="V25" s="535">
        <f>SUMIF('10. Inputs &amp; Calcs'!$D$574:$D$579,$E$10,'10. Inputs &amp; Calcs'!N$574:N$579)</f>
        <v>1571612.4043529406</v>
      </c>
      <c r="W25" s="535">
        <f>SUMIF('10. Inputs &amp; Calcs'!$D$574:$D$579,$E$10,'10. Inputs &amp; Calcs'!O$574:O$579)</f>
        <v>1454160.9435294112</v>
      </c>
      <c r="X25" s="535">
        <f>SUMIF('10. Inputs &amp; Calcs'!$D$574:$D$579,$E$10,'10. Inputs &amp; Calcs'!P$574:P$579)</f>
        <v>1336709.4827058816</v>
      </c>
      <c r="Y25" s="535">
        <f>SUMIF('10. Inputs &amp; Calcs'!$D$574:$D$579,$E$10,'10. Inputs &amp; Calcs'!Q$574:Q$579)</f>
        <v>1219258.0218823524</v>
      </c>
      <c r="Z25" s="535">
        <f>SUMIF('10. Inputs &amp; Calcs'!$D$574:$D$579,$E$10,'10. Inputs &amp; Calcs'!R$574:R$579)</f>
        <v>1101806.561058823</v>
      </c>
      <c r="AA25" s="535">
        <f>SUMIF('10. Inputs &amp; Calcs'!$D$574:$D$579,$E$10,'10. Inputs &amp; Calcs'!S$574:S$579)</f>
        <v>984355.10023529385</v>
      </c>
      <c r="AB25" s="535">
        <f>SUMIF('10. Inputs &amp; Calcs'!$D$574:$D$579,$E$10,'10. Inputs &amp; Calcs'!T$574:T$579)</f>
        <v>866903.63941176445</v>
      </c>
      <c r="AC25" s="535">
        <f>SUMIF('10. Inputs &amp; Calcs'!$D$574:$D$579,$E$10,'10. Inputs &amp; Calcs'!U$574:U$579)</f>
        <v>749452.17858823505</v>
      </c>
      <c r="AD25" s="535">
        <f>SUMIF('10. Inputs &amp; Calcs'!$D$574:$D$579,$E$10,'10. Inputs &amp; Calcs'!V$574:V$579)</f>
        <v>632000.71776470565</v>
      </c>
      <c r="AE25" s="535">
        <f>SUMIF('10. Inputs &amp; Calcs'!$D$574:$D$579,$E$10,'10. Inputs &amp; Calcs'!W$574:W$579)</f>
        <v>514549.25694117625</v>
      </c>
      <c r="AF25" s="535">
        <f>SUMIF('10. Inputs &amp; Calcs'!$D$574:$D$579,$E$10,'10. Inputs &amp; Calcs'!X$574:X$579)</f>
        <v>397097.79611764691</v>
      </c>
      <c r="AG25" s="535">
        <f>SUMIF('10. Inputs &amp; Calcs'!$D$574:$D$579,$E$10,'10. Inputs &amp; Calcs'!Y$574:Y$579)</f>
        <v>279646.33529411751</v>
      </c>
      <c r="AH25" s="535">
        <f>SUMIF('10. Inputs &amp; Calcs'!$D$574:$D$579,$E$10,'10. Inputs &amp; Calcs'!Z$574:Z$579)</f>
        <v>162194.87447058814</v>
      </c>
      <c r="AI25" s="535">
        <f>SUMIF('10. Inputs &amp; Calcs'!$D$574:$D$579,$E$10,'10. Inputs &amp; Calcs'!AA$574:AA$579)</f>
        <v>44743.413647058798</v>
      </c>
      <c r="AJ25" s="535">
        <f>SUMIF('10. Inputs &amp; Calcs'!$D$574:$D$579,$E$10,'10. Inputs &amp; Calcs'!AB$574:AB$579)</f>
        <v>0</v>
      </c>
      <c r="AK25" s="535">
        <f>SUMIF('10. Inputs &amp; Calcs'!$D$574:$D$579,$E$10,'10. Inputs &amp; Calcs'!AC$574:AC$579)</f>
        <v>0</v>
      </c>
      <c r="AL25" s="533">
        <f>SUM(Q25:AK25)</f>
        <v>22724061.205999997</v>
      </c>
    </row>
    <row r="26" spans="2:65" ht="6" customHeight="1" x14ac:dyDescent="0.45">
      <c r="D26" s="18"/>
      <c r="F26" s="852"/>
      <c r="G26" s="852"/>
      <c r="I26" s="533"/>
      <c r="J26" s="898"/>
      <c r="K26" s="533"/>
      <c r="L26" s="813"/>
      <c r="N26" s="566"/>
      <c r="O26" s="566"/>
      <c r="P26" s="566"/>
      <c r="Q26" s="552"/>
      <c r="R26" s="552"/>
      <c r="S26" s="552"/>
      <c r="T26" s="552"/>
      <c r="U26" s="552"/>
      <c r="V26" s="552"/>
      <c r="W26" s="552"/>
      <c r="X26" s="552"/>
      <c r="Y26" s="552"/>
      <c r="Z26" s="552"/>
      <c r="AA26" s="552"/>
      <c r="AB26" s="552"/>
      <c r="AC26" s="552"/>
      <c r="AD26" s="552"/>
      <c r="AE26" s="552"/>
      <c r="AF26" s="552"/>
      <c r="AG26" s="552"/>
      <c r="AH26" s="552"/>
      <c r="AI26" s="552"/>
      <c r="AJ26" s="552"/>
      <c r="AK26" s="552"/>
      <c r="AL26" s="533"/>
    </row>
    <row r="27" spans="2:65" x14ac:dyDescent="0.45">
      <c r="B27" t="s">
        <v>1077</v>
      </c>
      <c r="D27" t="str">
        <f>'11. Table - Expenditure Review'!E173</f>
        <v>Sales and Rental Income Combined</v>
      </c>
      <c r="I27" s="533">
        <f>AL27</f>
        <v>0</v>
      </c>
      <c r="J27" s="898">
        <v>0</v>
      </c>
      <c r="K27" s="533">
        <f t="shared" si="1"/>
        <v>0</v>
      </c>
      <c r="L27" s="813">
        <f t="shared" si="2"/>
        <v>0</v>
      </c>
      <c r="N27" s="566">
        <f>'11. Table - Expenditure Review'!F173*0</f>
        <v>0</v>
      </c>
      <c r="O27" s="566">
        <f>'11. Table - Expenditure Review'!G173*0</f>
        <v>0</v>
      </c>
      <c r="P27" s="566">
        <f>'11. Table - Expenditure Review'!H173*0</f>
        <v>0</v>
      </c>
      <c r="Q27" s="533">
        <f>'11. Table - Expenditure Review'!I173*0</f>
        <v>0</v>
      </c>
      <c r="R27" s="533">
        <f>'11. Table - Expenditure Review'!J173*0</f>
        <v>0</v>
      </c>
      <c r="S27" s="533">
        <f>'11. Table - Expenditure Review'!K173*0</f>
        <v>0</v>
      </c>
      <c r="T27" s="533">
        <f>'11. Table - Expenditure Review'!L173*0</f>
        <v>0</v>
      </c>
      <c r="U27" s="533">
        <f>'11. Table - Expenditure Review'!M173*0</f>
        <v>0</v>
      </c>
      <c r="V27" s="533">
        <f>'11. Table - Expenditure Review'!N173*0</f>
        <v>0</v>
      </c>
      <c r="W27" s="533">
        <f>'11. Table - Expenditure Review'!O173*0</f>
        <v>0</v>
      </c>
      <c r="X27" s="533">
        <f>'11. Table - Expenditure Review'!P173*0</f>
        <v>0</v>
      </c>
      <c r="Y27" s="533">
        <f>'11. Table - Expenditure Review'!Q173*0</f>
        <v>0</v>
      </c>
      <c r="Z27" s="533">
        <f>'11. Table - Expenditure Review'!R173*0</f>
        <v>0</v>
      </c>
      <c r="AA27" s="533">
        <f>'11. Table - Expenditure Review'!S173*0</f>
        <v>0</v>
      </c>
      <c r="AB27" s="533">
        <f>'11. Table - Expenditure Review'!T173*0</f>
        <v>0</v>
      </c>
      <c r="AC27" s="533">
        <f>'11. Table - Expenditure Review'!U173*0</f>
        <v>0</v>
      </c>
      <c r="AD27" s="533">
        <f>'11. Table - Expenditure Review'!V173*0</f>
        <v>0</v>
      </c>
      <c r="AE27" s="533">
        <f>'11. Table - Expenditure Review'!W173*0</f>
        <v>0</v>
      </c>
      <c r="AF27" s="533">
        <f>'11. Table - Expenditure Review'!X173*0</f>
        <v>0</v>
      </c>
      <c r="AG27" s="533">
        <f>'11. Table - Expenditure Review'!Y173*0</f>
        <v>0</v>
      </c>
      <c r="AH27" s="533">
        <f>'11. Table - Expenditure Review'!Z173*0</f>
        <v>0</v>
      </c>
      <c r="AI27" s="533">
        <f>'11. Table - Expenditure Review'!AA173*0</f>
        <v>0</v>
      </c>
      <c r="AJ27" s="533">
        <f>'11. Table - Expenditure Review'!AB173*0</f>
        <v>0</v>
      </c>
      <c r="AK27" s="533">
        <f>'11. Table - Expenditure Review'!S173*0</f>
        <v>0</v>
      </c>
      <c r="AL27" s="533">
        <f>SUM(Q27:AK27)</f>
        <v>0</v>
      </c>
    </row>
    <row r="28" spans="2:65" x14ac:dyDescent="0.45">
      <c r="D28" t="s">
        <v>330</v>
      </c>
      <c r="F28" s="891">
        <f>P28/P$28</f>
        <v>1</v>
      </c>
      <c r="G28" s="891">
        <f ca="1">AL28/AL$28</f>
        <v>1</v>
      </c>
      <c r="I28" s="535">
        <f ca="1">AL28</f>
        <v>45459469.539855853</v>
      </c>
      <c r="J28" s="901">
        <v>45459469.539855853</v>
      </c>
      <c r="K28" s="535">
        <f t="shared" ca="1" si="1"/>
        <v>0</v>
      </c>
      <c r="L28" s="884">
        <f t="shared" ca="1" si="2"/>
        <v>0</v>
      </c>
      <c r="N28" s="992">
        <f t="shared" ref="N28:AL28" si="8">N25+N67*0+N21+N27</f>
        <v>10462974.060000001</v>
      </c>
      <c r="O28" s="992">
        <f t="shared" si="8"/>
        <v>12848850.120000001</v>
      </c>
      <c r="P28" s="992">
        <f t="shared" si="8"/>
        <v>10993737.510000002</v>
      </c>
      <c r="Q28" s="992">
        <f t="shared" ca="1" si="8"/>
        <v>7969952.8107711747</v>
      </c>
      <c r="R28" s="992">
        <f t="shared" ca="1" si="8"/>
        <v>7114235.0247711744</v>
      </c>
      <c r="S28" s="992">
        <f t="shared" ca="1" si="8"/>
        <v>5341707.9089064375</v>
      </c>
      <c r="T28" s="992">
        <f t="shared" ca="1" si="8"/>
        <v>2430624.5743803568</v>
      </c>
      <c r="U28" s="992">
        <f t="shared" ca="1" si="8"/>
        <v>2313173.1135568274</v>
      </c>
      <c r="V28" s="992">
        <f t="shared" ca="1" si="8"/>
        <v>2195721.652733298</v>
      </c>
      <c r="W28" s="992">
        <f t="shared" ca="1" si="8"/>
        <v>2078270.1919097686</v>
      </c>
      <c r="X28" s="992">
        <f t="shared" ca="1" si="8"/>
        <v>1960818.7310862388</v>
      </c>
      <c r="Y28" s="992">
        <f t="shared" ca="1" si="8"/>
        <v>1843367.2702627098</v>
      </c>
      <c r="Z28" s="992">
        <f t="shared" ca="1" si="8"/>
        <v>1725915.8094391804</v>
      </c>
      <c r="AA28" s="992">
        <f t="shared" ca="1" si="8"/>
        <v>1608464.348615651</v>
      </c>
      <c r="AB28" s="992">
        <f t="shared" ca="1" si="8"/>
        <v>1491012.8877921216</v>
      </c>
      <c r="AC28" s="992">
        <f t="shared" ca="1" si="8"/>
        <v>1373561.4269685922</v>
      </c>
      <c r="AD28" s="992">
        <f t="shared" ca="1" si="8"/>
        <v>1256109.9661450628</v>
      </c>
      <c r="AE28" s="992">
        <f t="shared" ca="1" si="8"/>
        <v>1138658.5053215334</v>
      </c>
      <c r="AF28" s="992">
        <f t="shared" ca="1" si="8"/>
        <v>1021207.0444980043</v>
      </c>
      <c r="AG28" s="992">
        <f t="shared" ca="1" si="8"/>
        <v>903755.58367447485</v>
      </c>
      <c r="AH28" s="992">
        <f t="shared" ca="1" si="8"/>
        <v>786304.12285094545</v>
      </c>
      <c r="AI28" s="992">
        <f t="shared" ca="1" si="8"/>
        <v>668852.66202741605</v>
      </c>
      <c r="AJ28" s="992">
        <f t="shared" ca="1" si="8"/>
        <v>237755.90414489803</v>
      </c>
      <c r="AK28" s="992">
        <f t="shared" ca="1" si="8"/>
        <v>0</v>
      </c>
      <c r="AL28" s="992">
        <f t="shared" ca="1" si="8"/>
        <v>45459469.539855853</v>
      </c>
    </row>
    <row r="29" spans="2:65" x14ac:dyDescent="0.45">
      <c r="J29" s="902"/>
      <c r="N29" s="533"/>
      <c r="O29" s="533"/>
      <c r="P29" s="533"/>
      <c r="AL29" s="533"/>
    </row>
    <row r="30" spans="2:65" x14ac:dyDescent="0.45">
      <c r="D30" s="451" t="s">
        <v>934</v>
      </c>
      <c r="E30" s="451"/>
      <c r="J30" s="902"/>
      <c r="M30" s="451"/>
      <c r="N30" s="533"/>
      <c r="O30" s="533"/>
      <c r="P30" s="533"/>
    </row>
    <row r="31" spans="2:65" x14ac:dyDescent="0.45">
      <c r="B31" t="s">
        <v>59</v>
      </c>
      <c r="D31" t="str">
        <f>'11. Table - Expenditure Review'!E177</f>
        <v>Rates &amp; Taxes</v>
      </c>
      <c r="F31" s="885">
        <f t="shared" ref="F31:F47" si="9">P31/P$47</f>
        <v>2.7768082241020599E-2</v>
      </c>
      <c r="G31" s="885">
        <f t="shared" ref="G31:G47" si="10">AL31/AL$47</f>
        <v>1.1956565460966658E-2</v>
      </c>
      <c r="I31" s="753">
        <f t="shared" ref="I31:I48" si="11">AL31</f>
        <v>1539869.6698596224</v>
      </c>
      <c r="J31" s="899">
        <v>1539869.6698596224</v>
      </c>
      <c r="K31" s="753">
        <f t="shared" ref="K31:K48" si="12">I31-J31</f>
        <v>0</v>
      </c>
      <c r="L31" s="885">
        <f t="shared" ref="L31:L48" si="13">IF(J31&lt;&gt;0,K31/J31,0)</f>
        <v>0</v>
      </c>
      <c r="N31" s="566">
        <f>SUMIF('10. Inputs &amp; Calcs'!$D$650:$D$655,$E$10,'10. Inputs &amp; Calcs'!F$650:F$655)</f>
        <v>336246.98</v>
      </c>
      <c r="O31" s="566">
        <f>SUMIF('10. Inputs &amp; Calcs'!$D$650:$D$655,$E$10,'10. Inputs &amp; Calcs'!G$650:G$655)</f>
        <v>140707.18000000002</v>
      </c>
      <c r="P31" s="566">
        <f>SUMIF('10. Inputs &amp; Calcs'!$D$650:$D$655,$E$10,'10. Inputs &amp; Calcs'!H$650:H$655)</f>
        <v>199932.33000000002</v>
      </c>
      <c r="Q31" s="533">
        <f>SUMIF('10. Inputs &amp; Calcs'!$D$650:$D$655,$E$10,'10. Inputs &amp; Calcs'!I$650:I$655)</f>
        <v>168742.88652</v>
      </c>
      <c r="R31" s="533">
        <f>SUMIF('10. Inputs &amp; Calcs'!$D$650:$D$655,$E$10,'10. Inputs &amp; Calcs'!J$650:J$655)</f>
        <v>133517.80895894999</v>
      </c>
      <c r="S31" s="533">
        <f>SUMIF('10. Inputs &amp; Calcs'!$D$650:$D$655,$E$10,'10. Inputs &amp; Calcs'!K$650:K$655)</f>
        <v>105569.2445041005</v>
      </c>
      <c r="T31" s="533">
        <f>SUMIF('10. Inputs &amp; Calcs'!$D$650:$D$655,$E$10,'10. Inputs &amp; Calcs'!L$650:L$655)</f>
        <v>104576.4639634878</v>
      </c>
      <c r="U31" s="533">
        <f>SUMIF('10. Inputs &amp; Calcs'!$D$650:$D$655,$E$10,'10. Inputs &amp; Calcs'!M$650:M$655)</f>
        <v>103155.13059878279</v>
      </c>
      <c r="V31" s="533">
        <f>SUMIF('10. Inputs &amp; Calcs'!$D$650:$D$655,$E$10,'10. Inputs &amp; Calcs'!N$650:N$655)</f>
        <v>101261.10676047069</v>
      </c>
      <c r="W31" s="533">
        <f>SUMIF('10. Inputs &amp; Calcs'!$D$650:$D$655,$E$10,'10. Inputs &amp; Calcs'!O$650:O$655)</f>
        <v>98846.696029882951</v>
      </c>
      <c r="X31" s="533">
        <f>SUMIF('10. Inputs &amp; Calcs'!$D$650:$D$655,$E$10,'10. Inputs &amp; Calcs'!P$650:P$655)</f>
        <v>95860.385270980143</v>
      </c>
      <c r="Y31" s="533">
        <f>SUMIF('10. Inputs &amp; Calcs'!$D$650:$D$655,$E$10,'10. Inputs &amp; Calcs'!Q$650:Q$655)</f>
        <v>92246.569073107632</v>
      </c>
      <c r="Z31" s="533">
        <f>SUMIF('10. Inputs &amp; Calcs'!$D$650:$D$655,$E$10,'10. Inputs &amp; Calcs'!R$650:R$655)</f>
        <v>87945.255428024422</v>
      </c>
      <c r="AA31" s="533">
        <f>SUMIF('10. Inputs &amp; Calcs'!$D$650:$D$655,$E$10,'10. Inputs &amp; Calcs'!S$650:S$655)</f>
        <v>82891.751410535901</v>
      </c>
      <c r="AB31" s="533">
        <f>SUMIF('10. Inputs &amp; Calcs'!$D$650:$D$655,$E$10,'10. Inputs &amp; Calcs'!T$650:T$655)</f>
        <v>77016.32755345387</v>
      </c>
      <c r="AC31" s="533">
        <f>SUMIF('10. Inputs &amp; Calcs'!$D$650:$D$655,$E$10,'10. Inputs &amp; Calcs'!U$650:U$655)</f>
        <v>70243.859524075961</v>
      </c>
      <c r="AD31" s="533">
        <f>SUMIF('10. Inputs &amp; Calcs'!$D$650:$D$655,$E$10,'10. Inputs &amp; Calcs'!V$650:V$655)</f>
        <v>62493.445620617284</v>
      </c>
      <c r="AE31" s="533">
        <f>SUMIF('10. Inputs &amp; Calcs'!$D$650:$D$655,$E$10,'10. Inputs &amp; Calcs'!W$650:W$655)</f>
        <v>53677.998512717815</v>
      </c>
      <c r="AF31" s="533">
        <f>SUMIF('10. Inputs &amp; Calcs'!$D$650:$D$655,$E$10,'10. Inputs &amp; Calcs'!X$650:X$655)</f>
        <v>43703.809549947044</v>
      </c>
      <c r="AG31" s="533">
        <f>SUMIF('10. Inputs &amp; Calcs'!$D$650:$D$655,$E$10,'10. Inputs &amp; Calcs'!Y$650:Y$655)</f>
        <v>32470.083855770514</v>
      </c>
      <c r="AH31" s="533">
        <f>SUMIF('10. Inputs &amp; Calcs'!$D$650:$D$655,$E$10,'10. Inputs &amp; Calcs'!Z$650:Z$655)</f>
        <v>19868.444311345975</v>
      </c>
      <c r="AI31" s="533">
        <f>SUMIF('10. Inputs &amp; Calcs'!$D$650:$D$655,$E$10,'10. Inputs &amp; Calcs'!AA$650:AA$655)</f>
        <v>5782.4024133710354</v>
      </c>
      <c r="AJ31" s="533">
        <f>SUMIF('10. Inputs &amp; Calcs'!$D$650:$D$655,$E$10,'10. Inputs &amp; Calcs'!AB$650:AB$655)</f>
        <v>0</v>
      </c>
      <c r="AK31" s="533">
        <f>SUMIF('10. Inputs &amp; Calcs'!$D$650:$D$655,$E$10,'10. Inputs &amp; Calcs'!AC$650:AC$655)</f>
        <v>0</v>
      </c>
      <c r="AL31" s="533">
        <f t="shared" ref="AL31:AL46" si="14">SUM(Q31:AK31)</f>
        <v>1539869.6698596224</v>
      </c>
    </row>
    <row r="32" spans="2:65" x14ac:dyDescent="0.45">
      <c r="B32" t="s">
        <v>59</v>
      </c>
      <c r="D32" t="str">
        <f>'11. Table - Expenditure Review'!E178</f>
        <v>Municipal Charges</v>
      </c>
      <c r="F32" s="889">
        <f t="shared" si="9"/>
        <v>0</v>
      </c>
      <c r="G32" s="889">
        <f t="shared" si="10"/>
        <v>0</v>
      </c>
      <c r="I32" s="888">
        <f t="shared" si="11"/>
        <v>0</v>
      </c>
      <c r="J32" s="903">
        <v>0</v>
      </c>
      <c r="K32" s="888">
        <f t="shared" si="12"/>
        <v>0</v>
      </c>
      <c r="L32" s="889">
        <f t="shared" si="13"/>
        <v>0</v>
      </c>
      <c r="N32" s="566">
        <f>SUMIF('10. Inputs &amp; Calcs'!$D$659:$D$664,$E$10,'10. Inputs &amp; Calcs'!F$659:F$664)</f>
        <v>0</v>
      </c>
      <c r="O32" s="566">
        <f>SUMIF('10. Inputs &amp; Calcs'!$D$659:$D$664,$E$10,'10. Inputs &amp; Calcs'!G$659:G$664)</f>
        <v>0</v>
      </c>
      <c r="P32" s="566">
        <f>SUMIF('10. Inputs &amp; Calcs'!$D$659:$D$664,$E$10,'10. Inputs &amp; Calcs'!H$659:H$664)</f>
        <v>0</v>
      </c>
      <c r="Q32" s="533">
        <f>SUMIF('10. Inputs &amp; Calcs'!$D$659:$D$664,$E$10,'10. Inputs &amp; Calcs'!I$659:I$664)</f>
        <v>0</v>
      </c>
      <c r="R32" s="533">
        <f>SUMIF('10. Inputs &amp; Calcs'!$D$659:$D$664,$E$10,'10. Inputs &amp; Calcs'!J$659:J$664)</f>
        <v>0</v>
      </c>
      <c r="S32" s="533">
        <f>SUMIF('10. Inputs &amp; Calcs'!$D$659:$D$664,$E$10,'10. Inputs &amp; Calcs'!K$659:K$664)</f>
        <v>0</v>
      </c>
      <c r="T32" s="533">
        <f>SUMIF('10. Inputs &amp; Calcs'!$D$659:$D$664,$E$10,'10. Inputs &amp; Calcs'!L$659:L$664)</f>
        <v>0</v>
      </c>
      <c r="U32" s="533">
        <f>SUMIF('10. Inputs &amp; Calcs'!$D$659:$D$664,$E$10,'10. Inputs &amp; Calcs'!M$659:M$664)</f>
        <v>0</v>
      </c>
      <c r="V32" s="533">
        <f>SUMIF('10. Inputs &amp; Calcs'!$D$659:$D$664,$E$10,'10. Inputs &amp; Calcs'!N$659:N$664)</f>
        <v>0</v>
      </c>
      <c r="W32" s="533">
        <f>SUMIF('10. Inputs &amp; Calcs'!$D$659:$D$664,$E$10,'10. Inputs &amp; Calcs'!O$659:O$664)</f>
        <v>0</v>
      </c>
      <c r="X32" s="533">
        <f>SUMIF('10. Inputs &amp; Calcs'!$D$659:$D$664,$E$10,'10. Inputs &amp; Calcs'!P$659:P$664)</f>
        <v>0</v>
      </c>
      <c r="Y32" s="533">
        <f>SUMIF('10. Inputs &amp; Calcs'!$D$659:$D$664,$E$10,'10. Inputs &amp; Calcs'!Q$659:Q$664)</f>
        <v>0</v>
      </c>
      <c r="Z32" s="533">
        <f>SUMIF('10. Inputs &amp; Calcs'!$D$659:$D$664,$E$10,'10. Inputs &amp; Calcs'!R$659:R$664)</f>
        <v>0</v>
      </c>
      <c r="AA32" s="533">
        <f>SUMIF('10. Inputs &amp; Calcs'!$D$659:$D$664,$E$10,'10. Inputs &amp; Calcs'!S$659:S$664)</f>
        <v>0</v>
      </c>
      <c r="AB32" s="533">
        <f>SUMIF('10. Inputs &amp; Calcs'!$D$659:$D$664,$E$10,'10. Inputs &amp; Calcs'!T$659:T$664)</f>
        <v>0</v>
      </c>
      <c r="AC32" s="533">
        <f>SUMIF('10. Inputs &amp; Calcs'!$D$659:$D$664,$E$10,'10. Inputs &amp; Calcs'!U$659:U$664)</f>
        <v>0</v>
      </c>
      <c r="AD32" s="533">
        <f>SUMIF('10. Inputs &amp; Calcs'!$D$659:$D$664,$E$10,'10. Inputs &amp; Calcs'!V$659:V$664)</f>
        <v>0</v>
      </c>
      <c r="AE32" s="533">
        <f>SUMIF('10. Inputs &amp; Calcs'!$D$659:$D$664,$E$10,'10. Inputs &amp; Calcs'!W$659:W$664)</f>
        <v>0</v>
      </c>
      <c r="AF32" s="533">
        <f>SUMIF('10. Inputs &amp; Calcs'!$D$659:$D$664,$E$10,'10. Inputs &amp; Calcs'!X$659:X$664)</f>
        <v>0</v>
      </c>
      <c r="AG32" s="533">
        <f>SUMIF('10. Inputs &amp; Calcs'!$D$659:$D$664,$E$10,'10. Inputs &amp; Calcs'!Y$659:Y$664)</f>
        <v>0</v>
      </c>
      <c r="AH32" s="533">
        <f>SUMIF('10. Inputs &amp; Calcs'!$D$659:$D$664,$E$10,'10. Inputs &amp; Calcs'!Z$659:Z$664)</f>
        <v>0</v>
      </c>
      <c r="AI32" s="533">
        <f>SUMIF('10. Inputs &amp; Calcs'!$D$659:$D$664,$E$10,'10. Inputs &amp; Calcs'!AA$659:AA$664)</f>
        <v>0</v>
      </c>
      <c r="AJ32" s="533">
        <f>SUMIF('10. Inputs &amp; Calcs'!$D$659:$D$664,$E$10,'10. Inputs &amp; Calcs'!AB$659:AB$664)</f>
        <v>0</v>
      </c>
      <c r="AK32" s="533">
        <f>SUMIF('10. Inputs &amp; Calcs'!$D$659:$D$664,$E$10,'10. Inputs &amp; Calcs'!AC$659:AC$664)</f>
        <v>0</v>
      </c>
      <c r="AL32" s="533">
        <f t="shared" si="14"/>
        <v>0</v>
      </c>
    </row>
    <row r="33" spans="2:38" x14ac:dyDescent="0.45">
      <c r="B33" t="s">
        <v>59</v>
      </c>
      <c r="D33" t="str">
        <f>'11. Table - Expenditure Review'!E179</f>
        <v>Maintenance</v>
      </c>
      <c r="F33" s="889">
        <f t="shared" si="9"/>
        <v>4.1777325494959751E-2</v>
      </c>
      <c r="G33" s="889">
        <f t="shared" si="10"/>
        <v>1.7988758558439007E-2</v>
      </c>
      <c r="I33" s="888">
        <f t="shared" si="11"/>
        <v>2316747.5470274747</v>
      </c>
      <c r="J33" s="903">
        <v>2316747.5470274747</v>
      </c>
      <c r="K33" s="888">
        <f t="shared" si="12"/>
        <v>0</v>
      </c>
      <c r="L33" s="889">
        <f t="shared" si="13"/>
        <v>0</v>
      </c>
      <c r="N33" s="566">
        <f>SUMIF('10. Inputs &amp; Calcs'!$D$668:$D$673,$E$10,'10. Inputs &amp; Calcs'!F$668:F$673)</f>
        <v>859632.69000000006</v>
      </c>
      <c r="O33" s="566">
        <f>SUMIF('10. Inputs &amp; Calcs'!$D$668:$D$673,$E$10,'10. Inputs &amp; Calcs'!G$668:G$673)</f>
        <v>630746.84</v>
      </c>
      <c r="P33" s="566">
        <f>SUMIF('10. Inputs &amp; Calcs'!$D$668:$D$673,$E$10,'10. Inputs &amp; Calcs'!H$668:H$673)</f>
        <v>300799.96000000002</v>
      </c>
      <c r="Q33" s="533">
        <f>SUMIF('10. Inputs &amp; Calcs'!$D$668:$D$673,$E$10,'10. Inputs &amp; Calcs'!I$668:I$673)</f>
        <v>253875.16624000002</v>
      </c>
      <c r="R33" s="533">
        <f>SUMIF('10. Inputs &amp; Calcs'!$D$668:$D$673,$E$10,'10. Inputs &amp; Calcs'!J$668:J$673)</f>
        <v>200878.72528739998</v>
      </c>
      <c r="S33" s="533">
        <f>SUMIF('10. Inputs &amp; Calcs'!$D$668:$D$673,$E$10,'10. Inputs &amp; Calcs'!K$668:K$673)</f>
        <v>158829.86270436426</v>
      </c>
      <c r="T33" s="533">
        <f>SUMIF('10. Inputs &amp; Calcs'!$D$668:$D$673,$E$10,'10. Inputs &amp; Calcs'!L$668:L$673)</f>
        <v>157336.21559433918</v>
      </c>
      <c r="U33" s="533">
        <f>SUMIF('10. Inputs &amp; Calcs'!$D$668:$D$673,$E$10,'10. Inputs &amp; Calcs'!M$668:M$673)</f>
        <v>155197.80696753066</v>
      </c>
      <c r="V33" s="533">
        <f>SUMIF('10. Inputs &amp; Calcs'!$D$668:$D$673,$E$10,'10. Inputs &amp; Calcs'!N$668:N$673)</f>
        <v>152348.23133960034</v>
      </c>
      <c r="W33" s="533">
        <f>SUMIF('10. Inputs &amp; Calcs'!$D$668:$D$673,$E$10,'10. Inputs &amp; Calcs'!O$668:O$673)</f>
        <v>148715.72902652089</v>
      </c>
      <c r="X33" s="533">
        <f>SUMIF('10. Inputs &amp; Calcs'!$D$668:$D$673,$E$10,'10. Inputs &amp; Calcs'!P$668:P$673)</f>
        <v>144222.7980592004</v>
      </c>
      <c r="Y33" s="533">
        <f>SUMIF('10. Inputs &amp; Calcs'!$D$668:$D$673,$E$10,'10. Inputs &amp; Calcs'!Q$668:Q$673)</f>
        <v>138785.77960516946</v>
      </c>
      <c r="Z33" s="533">
        <f>SUMIF('10. Inputs &amp; Calcs'!$D$668:$D$673,$E$10,'10. Inputs &amp; Calcs'!R$668:R$673)</f>
        <v>132314.41515706602</v>
      </c>
      <c r="AA33" s="533">
        <f>SUMIF('10. Inputs &amp; Calcs'!$D$668:$D$673,$E$10,'10. Inputs &amp; Calcs'!S$668:S$673)</f>
        <v>124711.37363636558</v>
      </c>
      <c r="AB33" s="533">
        <f>SUMIF('10. Inputs &amp; Calcs'!$D$668:$D$673,$E$10,'10. Inputs &amp; Calcs'!T$668:T$673)</f>
        <v>115871.74644253796</v>
      </c>
      <c r="AC33" s="533">
        <f>SUMIF('10. Inputs &amp; Calcs'!$D$668:$D$673,$E$10,'10. Inputs &amp; Calcs'!U$668:U$673)</f>
        <v>105682.5083521393</v>
      </c>
      <c r="AD33" s="533">
        <f>SUMIF('10. Inputs &amp; Calcs'!$D$668:$D$673,$E$10,'10. Inputs &amp; Calcs'!V$668:V$673)</f>
        <v>94021.942038808105</v>
      </c>
      <c r="AE33" s="533">
        <f>SUMIF('10. Inputs &amp; Calcs'!$D$668:$D$673,$E$10,'10. Inputs &amp; Calcs'!W$668:W$673)</f>
        <v>80759.023843245261</v>
      </c>
      <c r="AF33" s="533">
        <f>SUMIF('10. Inputs &amp; Calcs'!$D$668:$D$673,$E$10,'10. Inputs &amp; Calcs'!X$668:X$673)</f>
        <v>65752.768271503111</v>
      </c>
      <c r="AG33" s="533">
        <f>SUMIF('10. Inputs &amp; Calcs'!$D$668:$D$673,$E$10,'10. Inputs &amp; Calcs'!Y$668:Y$673)</f>
        <v>48851.528539743507</v>
      </c>
      <c r="AH33" s="533">
        <f>SUMIF('10. Inputs &amp; Calcs'!$D$668:$D$673,$E$10,'10. Inputs &amp; Calcs'!Z$668:Z$673)</f>
        <v>29892.250313469049</v>
      </c>
      <c r="AI33" s="533">
        <f>SUMIF('10. Inputs &amp; Calcs'!$D$668:$D$673,$E$10,'10. Inputs &amp; Calcs'!AA$668:AA$673)</f>
        <v>8699.6756084716817</v>
      </c>
      <c r="AJ33" s="533">
        <f>SUMIF('10. Inputs &amp; Calcs'!$D$668:$D$673,$E$10,'10. Inputs &amp; Calcs'!AB$668:AB$673)</f>
        <v>0</v>
      </c>
      <c r="AK33" s="533">
        <f>SUMIF('10. Inputs &amp; Calcs'!$D$668:$D$673,$E$10,'10. Inputs &amp; Calcs'!AC$668:AC$673)</f>
        <v>0</v>
      </c>
      <c r="AL33" s="533">
        <f t="shared" si="14"/>
        <v>2316747.5470274747</v>
      </c>
    </row>
    <row r="34" spans="2:38" x14ac:dyDescent="0.45">
      <c r="B34" t="s">
        <v>59</v>
      </c>
      <c r="D34" t="str">
        <f>'11. Table - Expenditure Review'!E180</f>
        <v>Property Payments</v>
      </c>
      <c r="F34" s="889">
        <f t="shared" si="9"/>
        <v>0</v>
      </c>
      <c r="G34" s="889">
        <f t="shared" si="10"/>
        <v>0</v>
      </c>
      <c r="I34" s="888">
        <f t="shared" si="11"/>
        <v>0</v>
      </c>
      <c r="J34" s="903">
        <v>0</v>
      </c>
      <c r="K34" s="888">
        <f t="shared" si="12"/>
        <v>0</v>
      </c>
      <c r="L34" s="889">
        <f t="shared" si="13"/>
        <v>0</v>
      </c>
      <c r="N34" s="566">
        <f>SUMIF('10. Inputs &amp; Calcs'!$D$677:$D$682,$E$10,'10. Inputs &amp; Calcs'!F$677:F$682)</f>
        <v>0</v>
      </c>
      <c r="O34" s="566">
        <f>SUMIF('10. Inputs &amp; Calcs'!$D$677:$D$682,$E$10,'10. Inputs &amp; Calcs'!G$677:G$682)</f>
        <v>0</v>
      </c>
      <c r="P34" s="566">
        <f>SUMIF('10. Inputs &amp; Calcs'!$D$677:$D$682,$E$10,'10. Inputs &amp; Calcs'!H$677:H$682)</f>
        <v>0</v>
      </c>
      <c r="Q34" s="533">
        <f>SUMIF('10. Inputs &amp; Calcs'!$D$677:$D$682,$E$10,'10. Inputs &amp; Calcs'!I$677:I$682)</f>
        <v>0</v>
      </c>
      <c r="R34" s="533">
        <f>SUMIF('10. Inputs &amp; Calcs'!$D$677:$D$682,$E$10,'10. Inputs &amp; Calcs'!J$677:J$682)</f>
        <v>0</v>
      </c>
      <c r="S34" s="533">
        <f>SUMIF('10. Inputs &amp; Calcs'!$D$677:$D$682,$E$10,'10. Inputs &amp; Calcs'!K$677:K$682)</f>
        <v>0</v>
      </c>
      <c r="T34" s="533">
        <f>SUMIF('10. Inputs &amp; Calcs'!$D$677:$D$682,$E$10,'10. Inputs &amp; Calcs'!L$677:L$682)</f>
        <v>0</v>
      </c>
      <c r="U34" s="533">
        <f>SUMIF('10. Inputs &amp; Calcs'!$D$677:$D$682,$E$10,'10. Inputs &amp; Calcs'!M$677:M$682)</f>
        <v>0</v>
      </c>
      <c r="V34" s="533">
        <f>SUMIF('10. Inputs &amp; Calcs'!$D$677:$D$682,$E$10,'10. Inputs &amp; Calcs'!N$677:N$682)</f>
        <v>0</v>
      </c>
      <c r="W34" s="533">
        <f>SUMIF('10. Inputs &amp; Calcs'!$D$677:$D$682,$E$10,'10. Inputs &amp; Calcs'!O$677:O$682)</f>
        <v>0</v>
      </c>
      <c r="X34" s="533">
        <f>SUMIF('10. Inputs &amp; Calcs'!$D$677:$D$682,$E$10,'10. Inputs &amp; Calcs'!P$677:P$682)</f>
        <v>0</v>
      </c>
      <c r="Y34" s="533">
        <f>SUMIF('10. Inputs &amp; Calcs'!$D$677:$D$682,$E$10,'10. Inputs &amp; Calcs'!Q$677:Q$682)</f>
        <v>0</v>
      </c>
      <c r="Z34" s="533">
        <f>SUMIF('10. Inputs &amp; Calcs'!$D$677:$D$682,$E$10,'10. Inputs &amp; Calcs'!R$677:R$682)</f>
        <v>0</v>
      </c>
      <c r="AA34" s="533">
        <f>SUMIF('10. Inputs &amp; Calcs'!$D$677:$D$682,$E$10,'10. Inputs &amp; Calcs'!S$677:S$682)</f>
        <v>0</v>
      </c>
      <c r="AB34" s="533">
        <f>SUMIF('10. Inputs &amp; Calcs'!$D$677:$D$682,$E$10,'10. Inputs &amp; Calcs'!T$677:T$682)</f>
        <v>0</v>
      </c>
      <c r="AC34" s="533">
        <f>SUMIF('10. Inputs &amp; Calcs'!$D$677:$D$682,$E$10,'10. Inputs &amp; Calcs'!U$677:U$682)</f>
        <v>0</v>
      </c>
      <c r="AD34" s="533">
        <f>SUMIF('10. Inputs &amp; Calcs'!$D$677:$D$682,$E$10,'10. Inputs &amp; Calcs'!V$677:V$682)</f>
        <v>0</v>
      </c>
      <c r="AE34" s="533">
        <f>SUMIF('10. Inputs &amp; Calcs'!$D$677:$D$682,$E$10,'10. Inputs &amp; Calcs'!W$677:W$682)</f>
        <v>0</v>
      </c>
      <c r="AF34" s="533">
        <f>SUMIF('10. Inputs &amp; Calcs'!$D$677:$D$682,$E$10,'10. Inputs &amp; Calcs'!X$677:X$682)</f>
        <v>0</v>
      </c>
      <c r="AG34" s="533">
        <f>SUMIF('10. Inputs &amp; Calcs'!$D$677:$D$682,$E$10,'10. Inputs &amp; Calcs'!Y$677:Y$682)</f>
        <v>0</v>
      </c>
      <c r="AH34" s="533">
        <f>SUMIF('10. Inputs &amp; Calcs'!$D$677:$D$682,$E$10,'10. Inputs &amp; Calcs'!Z$677:Z$682)</f>
        <v>0</v>
      </c>
      <c r="AI34" s="533">
        <f>SUMIF('10. Inputs &amp; Calcs'!$D$677:$D$682,$E$10,'10. Inputs &amp; Calcs'!AA$677:AA$682)</f>
        <v>0</v>
      </c>
      <c r="AJ34" s="533">
        <f>SUMIF('10. Inputs &amp; Calcs'!$D$677:$D$682,$E$10,'10. Inputs &amp; Calcs'!AB$677:AB$682)</f>
        <v>0</v>
      </c>
      <c r="AK34" s="533">
        <f>SUMIF('10. Inputs &amp; Calcs'!$D$677:$D$682,$E$10,'10. Inputs &amp; Calcs'!AC$677:AC$682)</f>
        <v>0</v>
      </c>
      <c r="AL34" s="533">
        <f t="shared" si="14"/>
        <v>0</v>
      </c>
    </row>
    <row r="35" spans="2:38" x14ac:dyDescent="0.45">
      <c r="B35" t="s">
        <v>1077</v>
      </c>
      <c r="D35" t="str">
        <f>'11. Table - Expenditure Review'!E181</f>
        <v>Administering Assets</v>
      </c>
      <c r="F35" s="889">
        <f t="shared" si="9"/>
        <v>0</v>
      </c>
      <c r="G35" s="889">
        <f t="shared" si="10"/>
        <v>0</v>
      </c>
      <c r="I35" s="888">
        <f t="shared" si="11"/>
        <v>0</v>
      </c>
      <c r="J35" s="903">
        <v>0</v>
      </c>
      <c r="K35" s="888">
        <f t="shared" si="12"/>
        <v>0</v>
      </c>
      <c r="L35" s="889">
        <f t="shared" si="13"/>
        <v>0</v>
      </c>
      <c r="N35" s="566">
        <f>SUMIF('10. Inputs &amp; Calcs'!$D$686:$D$691,$E$10,'10. Inputs &amp; Calcs'!F$686:F$691)</f>
        <v>0</v>
      </c>
      <c r="O35" s="566">
        <f>SUMIF('10. Inputs &amp; Calcs'!$D$686:$D$691,$E$10,'10. Inputs &amp; Calcs'!G$686:G$691)</f>
        <v>0</v>
      </c>
      <c r="P35" s="566">
        <f>SUMIF('10. Inputs &amp; Calcs'!$D$686:$D$691,$E$10,'10. Inputs &amp; Calcs'!H$686:H$691)</f>
        <v>0</v>
      </c>
      <c r="Q35" s="533">
        <f>SUMIF('10. Inputs &amp; Calcs'!$D$686:$D$691,$E$10,'10. Inputs &amp; Calcs'!I$686:I$691)</f>
        <v>0</v>
      </c>
      <c r="R35" s="533">
        <f>SUMIF('10. Inputs &amp; Calcs'!$D$686:$D$691,$E$10,'10. Inputs &amp; Calcs'!J$686:J$691)</f>
        <v>0</v>
      </c>
      <c r="S35" s="533">
        <f>SUMIF('10. Inputs &amp; Calcs'!$D$686:$D$691,$E$10,'10. Inputs &amp; Calcs'!K$686:K$691)</f>
        <v>0</v>
      </c>
      <c r="T35" s="533">
        <f>SUMIF('10. Inputs &amp; Calcs'!$D$686:$D$691,$E$10,'10. Inputs &amp; Calcs'!L$686:L$691)</f>
        <v>0</v>
      </c>
      <c r="U35" s="533">
        <f>SUMIF('10. Inputs &amp; Calcs'!$D$686:$D$691,$E$10,'10. Inputs &amp; Calcs'!M$686:M$691)</f>
        <v>0</v>
      </c>
      <c r="V35" s="533">
        <f>SUMIF('10. Inputs &amp; Calcs'!$D$686:$D$691,$E$10,'10. Inputs &amp; Calcs'!N$686:N$691)</f>
        <v>0</v>
      </c>
      <c r="W35" s="533">
        <f>SUMIF('10. Inputs &amp; Calcs'!$D$686:$D$691,$E$10,'10. Inputs &amp; Calcs'!O$686:O$691)</f>
        <v>0</v>
      </c>
      <c r="X35" s="533">
        <f>SUMIF('10. Inputs &amp; Calcs'!$D$686:$D$691,$E$10,'10. Inputs &amp; Calcs'!P$686:P$691)</f>
        <v>0</v>
      </c>
      <c r="Y35" s="533">
        <f>SUMIF('10. Inputs &amp; Calcs'!$D$686:$D$691,$E$10,'10. Inputs &amp; Calcs'!Q$686:Q$691)</f>
        <v>0</v>
      </c>
      <c r="Z35" s="533">
        <f>SUMIF('10. Inputs &amp; Calcs'!$D$686:$D$691,$E$10,'10. Inputs &amp; Calcs'!R$686:R$691)</f>
        <v>0</v>
      </c>
      <c r="AA35" s="533">
        <f>SUMIF('10. Inputs &amp; Calcs'!$D$686:$D$691,$E$10,'10. Inputs &amp; Calcs'!S$686:S$691)</f>
        <v>0</v>
      </c>
      <c r="AB35" s="533">
        <f>SUMIF('10. Inputs &amp; Calcs'!$D$686:$D$691,$E$10,'10. Inputs &amp; Calcs'!T$686:T$691)</f>
        <v>0</v>
      </c>
      <c r="AC35" s="533">
        <f>SUMIF('10. Inputs &amp; Calcs'!$D$686:$D$691,$E$10,'10. Inputs &amp; Calcs'!U$686:U$691)</f>
        <v>0</v>
      </c>
      <c r="AD35" s="533">
        <f>SUMIF('10. Inputs &amp; Calcs'!$D$686:$D$691,$E$10,'10. Inputs &amp; Calcs'!V$686:V$691)</f>
        <v>0</v>
      </c>
      <c r="AE35" s="533">
        <f>SUMIF('10. Inputs &amp; Calcs'!$D$686:$D$691,$E$10,'10. Inputs &amp; Calcs'!W$686:W$691)</f>
        <v>0</v>
      </c>
      <c r="AF35" s="533">
        <f>SUMIF('10. Inputs &amp; Calcs'!$D$686:$D$691,$E$10,'10. Inputs &amp; Calcs'!X$686:X$691)</f>
        <v>0</v>
      </c>
      <c r="AG35" s="533">
        <f>SUMIF('10. Inputs &amp; Calcs'!$D$686:$D$691,$E$10,'10. Inputs &amp; Calcs'!Y$686:Y$691)</f>
        <v>0</v>
      </c>
      <c r="AH35" s="533">
        <f>SUMIF('10. Inputs &amp; Calcs'!$D$686:$D$691,$E$10,'10. Inputs &amp; Calcs'!Z$686:Z$691)</f>
        <v>0</v>
      </c>
      <c r="AI35" s="533">
        <f>SUMIF('10. Inputs &amp; Calcs'!$D$686:$D$691,$E$10,'10. Inputs &amp; Calcs'!AA$686:AA$691)</f>
        <v>0</v>
      </c>
      <c r="AJ35" s="533">
        <f>SUMIF('10. Inputs &amp; Calcs'!$D$686:$D$691,$E$10,'10. Inputs &amp; Calcs'!AB$686:AB$691)</f>
        <v>0</v>
      </c>
      <c r="AK35" s="533">
        <f>SUMIF('10. Inputs &amp; Calcs'!$D$686:$D$691,$E$10,'10. Inputs &amp; Calcs'!AC$686:AC$691)</f>
        <v>0</v>
      </c>
      <c r="AL35" s="533">
        <f t="shared" si="14"/>
        <v>0</v>
      </c>
    </row>
    <row r="36" spans="2:38" x14ac:dyDescent="0.45">
      <c r="B36" t="s">
        <v>1075</v>
      </c>
      <c r="D36" t="str">
        <f>'10. Inputs &amp; Calcs'!D507</f>
        <v>Total Disposal Costs</v>
      </c>
      <c r="F36" s="889">
        <f t="shared" si="9"/>
        <v>0</v>
      </c>
      <c r="G36" s="889">
        <f t="shared" si="10"/>
        <v>5.8275015454681639E-2</v>
      </c>
      <c r="I36" s="888">
        <f t="shared" si="11"/>
        <v>7505159.3287567794</v>
      </c>
      <c r="J36" s="903">
        <v>7505159.3287567794</v>
      </c>
      <c r="K36" s="888">
        <f t="shared" si="12"/>
        <v>0</v>
      </c>
      <c r="L36" s="889">
        <f t="shared" si="13"/>
        <v>0</v>
      </c>
      <c r="N36" s="566">
        <f>SUMIF('10. Inputs &amp; Calcs'!$D$508:$D$513,$E$10,'10. Inputs &amp; Calcs'!F$508:F$513)</f>
        <v>0</v>
      </c>
      <c r="O36" s="566">
        <f>SUMIF('10. Inputs &amp; Calcs'!$D$508:$D$513,$E$10,'10. Inputs &amp; Calcs'!G$508:G$513)</f>
        <v>0</v>
      </c>
      <c r="P36" s="566">
        <f>SUMIF('10. Inputs &amp; Calcs'!$D$508:$D$513,$E$10,'10. Inputs &amp; Calcs'!H$508:H$513)</f>
        <v>0</v>
      </c>
      <c r="Q36" s="533">
        <f>SUMIF('10. Inputs &amp; Calcs'!$D$508:$D$513,$E$10,'10. Inputs &amp; Calcs'!I$508:I$513)</f>
        <v>1071000</v>
      </c>
      <c r="R36" s="533">
        <f>SUMIF('10. Inputs &amp; Calcs'!$D$508:$D$513,$E$10,'10. Inputs &amp; Calcs'!J$508:J$513)</f>
        <v>1129905</v>
      </c>
      <c r="S36" s="533">
        <f>SUMIF('10. Inputs &amp; Calcs'!$D$508:$D$513,$E$10,'10. Inputs &amp; Calcs'!K$508:K$513)</f>
        <v>895985.125</v>
      </c>
      <c r="T36" s="533">
        <f>SUMIF('10. Inputs &amp; Calcs'!$D$508:$D$513,$E$10,'10. Inputs &amp; Calcs'!L$508:L$513)</f>
        <v>172613.48212499998</v>
      </c>
      <c r="U36" s="533">
        <f>SUMIF('10. Inputs &amp; Calcs'!$D$508:$D$513,$E$10,'10. Inputs &amp; Calcs'!M$508:M$513)</f>
        <v>182107.223641875</v>
      </c>
      <c r="V36" s="533">
        <f>SUMIF('10. Inputs &amp; Calcs'!$D$508:$D$513,$E$10,'10. Inputs &amp; Calcs'!N$508:N$513)</f>
        <v>192123.12094217809</v>
      </c>
      <c r="W36" s="533">
        <f>SUMIF('10. Inputs &amp; Calcs'!$D$508:$D$513,$E$10,'10. Inputs &amp; Calcs'!O$508:O$513)</f>
        <v>202689.89259399791</v>
      </c>
      <c r="X36" s="533">
        <f>SUMIF('10. Inputs &amp; Calcs'!$D$508:$D$513,$E$10,'10. Inputs &amp; Calcs'!P$508:P$513)</f>
        <v>213837.83668666778</v>
      </c>
      <c r="Y36" s="533">
        <f>SUMIF('10. Inputs &amp; Calcs'!$D$508:$D$513,$E$10,'10. Inputs &amp; Calcs'!Q$508:Q$513)</f>
        <v>225598.91770443445</v>
      </c>
      <c r="Z36" s="533">
        <f>SUMIF('10. Inputs &amp; Calcs'!$D$508:$D$513,$E$10,'10. Inputs &amp; Calcs'!R$508:R$513)</f>
        <v>238006.85817817837</v>
      </c>
      <c r="AA36" s="533">
        <f>SUMIF('10. Inputs &amp; Calcs'!$D$508:$D$513,$E$10,'10. Inputs &amp; Calcs'!S$508:S$513)</f>
        <v>251097.23537797813</v>
      </c>
      <c r="AB36" s="533">
        <f>SUMIF('10. Inputs &amp; Calcs'!$D$508:$D$513,$E$10,'10. Inputs &amp; Calcs'!T$508:T$513)</f>
        <v>264907.58332376694</v>
      </c>
      <c r="AC36" s="533">
        <f>SUMIF('10. Inputs &amp; Calcs'!$D$508:$D$513,$E$10,'10. Inputs &amp; Calcs'!U$508:U$513)</f>
        <v>279477.50040657411</v>
      </c>
      <c r="AD36" s="533">
        <f>SUMIF('10. Inputs &amp; Calcs'!$D$508:$D$513,$E$10,'10. Inputs &amp; Calcs'!V$508:V$513)</f>
        <v>294848.76292893564</v>
      </c>
      <c r="AE36" s="533">
        <f>SUMIF('10. Inputs &amp; Calcs'!$D$508:$D$513,$E$10,'10. Inputs &amp; Calcs'!W$508:W$513)</f>
        <v>311065.44489002711</v>
      </c>
      <c r="AF36" s="533">
        <f>SUMIF('10. Inputs &amp; Calcs'!$D$508:$D$513,$E$10,'10. Inputs &amp; Calcs'!X$508:X$513)</f>
        <v>328174.04435897863</v>
      </c>
      <c r="AG36" s="533">
        <f>SUMIF('10. Inputs &amp; Calcs'!$D$508:$D$513,$E$10,'10. Inputs &amp; Calcs'!Y$508:Y$513)</f>
        <v>346223.61679872242</v>
      </c>
      <c r="AH36" s="533">
        <f>SUMIF('10. Inputs &amp; Calcs'!$D$508:$D$513,$E$10,'10. Inputs &amp; Calcs'!Z$508:Z$513)</f>
        <v>365265.91572265216</v>
      </c>
      <c r="AI36" s="533">
        <f>SUMIF('10. Inputs &amp; Calcs'!$D$508:$D$513,$E$10,'10. Inputs &amp; Calcs'!AA$508:AA$513)</f>
        <v>385355.54108739796</v>
      </c>
      <c r="AJ36" s="533">
        <f>SUMIF('10. Inputs &amp; Calcs'!$D$508:$D$513,$E$10,'10. Inputs &amp; Calcs'!AB$508:AB$513)</f>
        <v>154876.22698941137</v>
      </c>
      <c r="AK36" s="533">
        <f>SUMIF('10. Inputs &amp; Calcs'!$D$508:$D$513,$E$10,'10. Inputs &amp; Calcs'!AC$508:AC$513)</f>
        <v>0</v>
      </c>
      <c r="AL36" s="533">
        <f t="shared" si="14"/>
        <v>7505159.3287567794</v>
      </c>
    </row>
    <row r="37" spans="2:38" x14ac:dyDescent="0.45">
      <c r="B37" t="s">
        <v>59</v>
      </c>
      <c r="C37" t="str">
        <f>'10. Inputs &amp; Calcs'!E15</f>
        <v>Sc1</v>
      </c>
      <c r="D37" t="str">
        <f>'10. Inputs &amp; Calcs'!D703</f>
        <v>Management Costs Paid to Outsourced Rental Property Manager p.a.</v>
      </c>
      <c r="F37" s="889">
        <f t="shared" si="9"/>
        <v>0</v>
      </c>
      <c r="G37" s="889">
        <f t="shared" si="10"/>
        <v>0</v>
      </c>
      <c r="I37" s="888">
        <f t="shared" si="11"/>
        <v>0</v>
      </c>
      <c r="J37" s="903">
        <v>0</v>
      </c>
      <c r="K37" s="888">
        <f t="shared" si="12"/>
        <v>0</v>
      </c>
      <c r="L37" s="889">
        <f t="shared" si="13"/>
        <v>0</v>
      </c>
      <c r="N37" s="566">
        <f>IF('7. Scenario Detailed'!$E$12='7. Scenario Detailed'!$E$14,SUMIF('10. Inputs &amp; Calcs'!$D$704:$D$709,$E$10,'10. Inputs &amp; Calcs'!F$704:F$709),0)</f>
        <v>0</v>
      </c>
      <c r="O37" s="566">
        <f>IF('7. Scenario Detailed'!$E$12='7. Scenario Detailed'!$E$14,SUMIF('10. Inputs &amp; Calcs'!$D$704:$D$709,$E$10,'10. Inputs &amp; Calcs'!G$704:G$709),0)</f>
        <v>0</v>
      </c>
      <c r="P37" s="566">
        <f>IF('7. Scenario Detailed'!$E$12='7. Scenario Detailed'!$E$14,SUMIF('10. Inputs &amp; Calcs'!$D$704:$D$709,$E$10,'10. Inputs &amp; Calcs'!H$704:H$709),0)</f>
        <v>0</v>
      </c>
      <c r="Q37" s="533">
        <f>IF('7. Scenario Detailed'!$E$12='7. Scenario Detailed'!$E$14,SUMIF('10. Inputs &amp; Calcs'!$D$704:$D$709,$E$10,'10. Inputs &amp; Calcs'!I$704:I$709),0)</f>
        <v>0</v>
      </c>
      <c r="R37" s="533">
        <f>IF('7. Scenario Detailed'!$E$12='7. Scenario Detailed'!$E$14,SUMIF('10. Inputs &amp; Calcs'!$D$704:$D$709,$E$10,'10. Inputs &amp; Calcs'!J$704:J$709),0)</f>
        <v>0</v>
      </c>
      <c r="S37" s="533">
        <f>IF('7. Scenario Detailed'!$E$12='7. Scenario Detailed'!$E$14,SUMIF('10. Inputs &amp; Calcs'!$D$704:$D$709,$E$10,'10. Inputs &amp; Calcs'!K$704:K$709),0)</f>
        <v>0</v>
      </c>
      <c r="T37" s="533">
        <f>IF('7. Scenario Detailed'!$E$12='7. Scenario Detailed'!$E$14,SUMIF('10. Inputs &amp; Calcs'!$D$704:$D$709,$E$10,'10. Inputs &amp; Calcs'!L$704:L$709),0)</f>
        <v>0</v>
      </c>
      <c r="U37" s="533">
        <f>IF('7. Scenario Detailed'!$E$12='7. Scenario Detailed'!$E$14,SUMIF('10. Inputs &amp; Calcs'!$D$704:$D$709,$E$10,'10. Inputs &amp; Calcs'!M$704:M$709),0)</f>
        <v>0</v>
      </c>
      <c r="V37" s="533">
        <f>IF('7. Scenario Detailed'!$E$12='7. Scenario Detailed'!$E$14,SUMIF('10. Inputs &amp; Calcs'!$D$704:$D$709,$E$10,'10. Inputs &amp; Calcs'!N$704:N$709),0)</f>
        <v>0</v>
      </c>
      <c r="W37" s="533">
        <f>IF('7. Scenario Detailed'!$E$12='7. Scenario Detailed'!$E$14,SUMIF('10. Inputs &amp; Calcs'!$D$704:$D$709,$E$10,'10. Inputs &amp; Calcs'!O$704:O$709),0)</f>
        <v>0</v>
      </c>
      <c r="X37" s="533">
        <f>IF('7. Scenario Detailed'!$E$12='7. Scenario Detailed'!$E$14,SUMIF('10. Inputs &amp; Calcs'!$D$704:$D$709,$E$10,'10. Inputs &amp; Calcs'!P$704:P$709),0)</f>
        <v>0</v>
      </c>
      <c r="Y37" s="533">
        <f>IF('7. Scenario Detailed'!$E$12='7. Scenario Detailed'!$E$14,SUMIF('10. Inputs &amp; Calcs'!$D$704:$D$709,$E$10,'10. Inputs &amp; Calcs'!Q$704:Q$709),0)</f>
        <v>0</v>
      </c>
      <c r="Z37" s="533">
        <f>IF('7. Scenario Detailed'!$E$12='7. Scenario Detailed'!$E$14,SUMIF('10. Inputs &amp; Calcs'!$D$704:$D$709,$E$10,'10. Inputs &amp; Calcs'!R$704:R$709),0)</f>
        <v>0</v>
      </c>
      <c r="AA37" s="533">
        <f>IF('7. Scenario Detailed'!$E$12='7. Scenario Detailed'!$E$14,SUMIF('10. Inputs &amp; Calcs'!$D$704:$D$709,$E$10,'10. Inputs &amp; Calcs'!S$704:S$709),0)</f>
        <v>0</v>
      </c>
      <c r="AB37" s="533">
        <f>IF('7. Scenario Detailed'!$E$12='7. Scenario Detailed'!$E$14,SUMIF('10. Inputs &amp; Calcs'!$D$704:$D$709,$E$10,'10. Inputs &amp; Calcs'!T$704:T$709),0)</f>
        <v>0</v>
      </c>
      <c r="AC37" s="533">
        <f>IF('7. Scenario Detailed'!$E$12='7. Scenario Detailed'!$E$14,SUMIF('10. Inputs &amp; Calcs'!$D$704:$D$709,$E$10,'10. Inputs &amp; Calcs'!U$704:U$709),0)</f>
        <v>0</v>
      </c>
      <c r="AD37" s="533">
        <f>IF('7. Scenario Detailed'!$E$12='7. Scenario Detailed'!$E$14,SUMIF('10. Inputs &amp; Calcs'!$D$704:$D$709,$E$10,'10. Inputs &amp; Calcs'!V$704:V$709),0)</f>
        <v>0</v>
      </c>
      <c r="AE37" s="533">
        <f>IF('7. Scenario Detailed'!$E$12='7. Scenario Detailed'!$E$14,SUMIF('10. Inputs &amp; Calcs'!$D$704:$D$709,$E$10,'10. Inputs &amp; Calcs'!W$704:W$709),0)</f>
        <v>0</v>
      </c>
      <c r="AF37" s="533">
        <f>IF('7. Scenario Detailed'!$E$12='7. Scenario Detailed'!$E$14,SUMIF('10. Inputs &amp; Calcs'!$D$704:$D$709,$E$10,'10. Inputs &amp; Calcs'!X$704:X$709),0)</f>
        <v>0</v>
      </c>
      <c r="AG37" s="533">
        <f>IF('7. Scenario Detailed'!$E$12='7. Scenario Detailed'!$E$14,SUMIF('10. Inputs &amp; Calcs'!$D$704:$D$709,$E$10,'10. Inputs &amp; Calcs'!Y$704:Y$709),0)</f>
        <v>0</v>
      </c>
      <c r="AH37" s="533">
        <f>IF('7. Scenario Detailed'!$E$12='7. Scenario Detailed'!$E$14,SUMIF('10. Inputs &amp; Calcs'!$D$704:$D$709,$E$10,'10. Inputs &amp; Calcs'!Z$704:Z$709),0)</f>
        <v>0</v>
      </c>
      <c r="AI37" s="533">
        <f>IF('7. Scenario Detailed'!$E$12='7. Scenario Detailed'!$E$14,SUMIF('10. Inputs &amp; Calcs'!$D$704:$D$709,$E$10,'10. Inputs &amp; Calcs'!AA$704:AA$709),0)</f>
        <v>0</v>
      </c>
      <c r="AJ37" s="533">
        <f>IF('7. Scenario Detailed'!$E$12='7. Scenario Detailed'!$E$14,SUMIF('10. Inputs &amp; Calcs'!$D$704:$D$709,$E$10,'10. Inputs &amp; Calcs'!AB$704:AB$709),0)</f>
        <v>0</v>
      </c>
      <c r="AK37" s="533">
        <f>IF('7. Scenario Detailed'!$E$12='7. Scenario Detailed'!$E$14,SUMIF('10. Inputs &amp; Calcs'!$D$704:$D$709,$E$10,'10. Inputs &amp; Calcs'!AC$704:AC$709),0)</f>
        <v>0</v>
      </c>
      <c r="AL37" s="533">
        <f t="shared" si="14"/>
        <v>0</v>
      </c>
    </row>
    <row r="38" spans="2:38" outlineLevel="1" x14ac:dyDescent="0.45">
      <c r="D38">
        <f>'11. Table - Expenditure Review'!E184</f>
        <v>0</v>
      </c>
      <c r="F38" s="889">
        <f t="shared" si="9"/>
        <v>0</v>
      </c>
      <c r="G38" s="889">
        <f t="shared" si="10"/>
        <v>0</v>
      </c>
      <c r="I38" s="888">
        <f t="shared" si="11"/>
        <v>0</v>
      </c>
      <c r="J38" s="903">
        <v>0</v>
      </c>
      <c r="K38" s="888">
        <f t="shared" si="12"/>
        <v>0</v>
      </c>
      <c r="L38" s="889">
        <f t="shared" si="13"/>
        <v>0</v>
      </c>
      <c r="N38" s="566">
        <f>'11. Table - Expenditure Review'!F184</f>
        <v>0</v>
      </c>
      <c r="O38" s="566">
        <f>'11. Table - Expenditure Review'!G184</f>
        <v>0</v>
      </c>
      <c r="P38" s="566">
        <f>'11. Table - Expenditure Review'!H184</f>
        <v>0</v>
      </c>
      <c r="Q38" s="533"/>
      <c r="R38" s="533"/>
      <c r="S38" s="533"/>
      <c r="T38" s="533"/>
      <c r="U38" s="533"/>
      <c r="V38" s="533"/>
      <c r="W38" s="533"/>
      <c r="X38" s="533"/>
      <c r="Y38" s="533"/>
      <c r="Z38" s="533"/>
      <c r="AA38" s="533"/>
      <c r="AB38" s="533"/>
      <c r="AC38" s="533"/>
      <c r="AD38" s="533"/>
      <c r="AE38" s="533"/>
      <c r="AF38" s="533"/>
      <c r="AG38" s="533"/>
      <c r="AH38" s="533"/>
      <c r="AI38" s="533"/>
      <c r="AJ38" s="533"/>
      <c r="AK38" s="533"/>
      <c r="AL38" s="533">
        <f t="shared" si="14"/>
        <v>0</v>
      </c>
    </row>
    <row r="39" spans="2:38" outlineLevel="1" x14ac:dyDescent="0.45">
      <c r="D39">
        <f>'11. Table - Expenditure Review'!E185</f>
        <v>0</v>
      </c>
      <c r="F39" s="889">
        <f t="shared" si="9"/>
        <v>0</v>
      </c>
      <c r="G39" s="889">
        <f t="shared" si="10"/>
        <v>0</v>
      </c>
      <c r="I39" s="888">
        <f t="shared" si="11"/>
        <v>0</v>
      </c>
      <c r="J39" s="903">
        <v>0</v>
      </c>
      <c r="K39" s="888">
        <f t="shared" si="12"/>
        <v>0</v>
      </c>
      <c r="L39" s="889">
        <f t="shared" si="13"/>
        <v>0</v>
      </c>
      <c r="N39" s="566">
        <f>'11. Table - Expenditure Review'!F185</f>
        <v>0</v>
      </c>
      <c r="O39" s="566">
        <f>'11. Table - Expenditure Review'!G185</f>
        <v>0</v>
      </c>
      <c r="P39" s="566">
        <f>'11. Table - Expenditure Review'!H185</f>
        <v>0</v>
      </c>
      <c r="Q39" s="533"/>
      <c r="R39" s="533"/>
      <c r="S39" s="533"/>
      <c r="T39" s="533"/>
      <c r="U39" s="533"/>
      <c r="V39" s="533"/>
      <c r="W39" s="533"/>
      <c r="X39" s="533"/>
      <c r="Y39" s="533"/>
      <c r="Z39" s="533"/>
      <c r="AA39" s="533"/>
      <c r="AB39" s="533"/>
      <c r="AC39" s="533"/>
      <c r="AD39" s="533"/>
      <c r="AE39" s="533"/>
      <c r="AF39" s="533"/>
      <c r="AG39" s="533"/>
      <c r="AH39" s="533"/>
      <c r="AI39" s="533"/>
      <c r="AJ39" s="533"/>
      <c r="AK39" s="533"/>
      <c r="AL39" s="533">
        <f t="shared" si="14"/>
        <v>0</v>
      </c>
    </row>
    <row r="40" spans="2:38" outlineLevel="1" x14ac:dyDescent="0.45">
      <c r="D40">
        <f>'11. Table - Expenditure Review'!E186</f>
        <v>0</v>
      </c>
      <c r="F40" s="889">
        <f t="shared" si="9"/>
        <v>0</v>
      </c>
      <c r="G40" s="889">
        <f t="shared" si="10"/>
        <v>0</v>
      </c>
      <c r="I40" s="888">
        <f t="shared" si="11"/>
        <v>0</v>
      </c>
      <c r="J40" s="903">
        <v>0</v>
      </c>
      <c r="K40" s="888">
        <f t="shared" si="12"/>
        <v>0</v>
      </c>
      <c r="L40" s="889">
        <f t="shared" si="13"/>
        <v>0</v>
      </c>
      <c r="N40" s="566">
        <f>'11. Table - Expenditure Review'!F186</f>
        <v>0</v>
      </c>
      <c r="O40" s="566">
        <f>'11. Table - Expenditure Review'!G186</f>
        <v>0</v>
      </c>
      <c r="P40" s="566">
        <f>'11. Table - Expenditure Review'!H186</f>
        <v>0</v>
      </c>
      <c r="Q40" s="533"/>
      <c r="R40" s="533"/>
      <c r="S40" s="533"/>
      <c r="T40" s="533"/>
      <c r="U40" s="533"/>
      <c r="V40" s="533"/>
      <c r="W40" s="533"/>
      <c r="X40" s="533"/>
      <c r="Y40" s="533"/>
      <c r="Z40" s="533"/>
      <c r="AA40" s="533"/>
      <c r="AB40" s="533"/>
      <c r="AC40" s="533"/>
      <c r="AD40" s="533"/>
      <c r="AE40" s="533"/>
      <c r="AF40" s="533"/>
      <c r="AG40" s="533"/>
      <c r="AH40" s="533"/>
      <c r="AI40" s="533"/>
      <c r="AJ40" s="533"/>
      <c r="AK40" s="533"/>
      <c r="AL40" s="533">
        <f t="shared" si="14"/>
        <v>0</v>
      </c>
    </row>
    <row r="41" spans="2:38" x14ac:dyDescent="0.45">
      <c r="B41" t="s">
        <v>59</v>
      </c>
      <c r="D41" t="str">
        <f>'11. Table - Expenditure Review'!E187</f>
        <v>Unallocated Expenses</v>
      </c>
      <c r="F41" s="889">
        <f t="shared" si="9"/>
        <v>0</v>
      </c>
      <c r="G41" s="889">
        <f t="shared" si="10"/>
        <v>0</v>
      </c>
      <c r="I41" s="888">
        <f t="shared" si="11"/>
        <v>0</v>
      </c>
      <c r="J41" s="903">
        <v>0</v>
      </c>
      <c r="K41" s="888">
        <f t="shared" si="12"/>
        <v>0</v>
      </c>
      <c r="L41" s="889">
        <f t="shared" si="13"/>
        <v>0</v>
      </c>
      <c r="N41" s="566">
        <f>SUMIF('10. Inputs &amp; Calcs'!$D$713:$D$718,$E$10,'10. Inputs &amp; Calcs'!F$713:F$718)</f>
        <v>0</v>
      </c>
      <c r="O41" s="566">
        <f>SUMIF('10. Inputs &amp; Calcs'!$D$713:$D$718,$E$10,'10. Inputs &amp; Calcs'!G$713:G$718)</f>
        <v>0</v>
      </c>
      <c r="P41" s="566">
        <f>SUMIF('10. Inputs &amp; Calcs'!$D$713:$D$718,$E$10,'10. Inputs &amp; Calcs'!H$713:H$718)</f>
        <v>0</v>
      </c>
      <c r="Q41" s="533">
        <f>SUMIF('10. Inputs &amp; Calcs'!$D$713:$D$718,$E$10,'10. Inputs &amp; Calcs'!I$713:I$718)</f>
        <v>0</v>
      </c>
      <c r="R41" s="533">
        <f>SUMIF('10. Inputs &amp; Calcs'!$D$713:$D$718,$E$10,'10. Inputs &amp; Calcs'!J$713:J$718)</f>
        <v>0</v>
      </c>
      <c r="S41" s="533">
        <f>SUMIF('10. Inputs &amp; Calcs'!$D$713:$D$718,$E$10,'10. Inputs &amp; Calcs'!K$713:K$718)</f>
        <v>0</v>
      </c>
      <c r="T41" s="533">
        <f>SUMIF('10. Inputs &amp; Calcs'!$D$713:$D$718,$E$10,'10. Inputs &amp; Calcs'!L$713:L$718)</f>
        <v>0</v>
      </c>
      <c r="U41" s="533">
        <f>SUMIF('10. Inputs &amp; Calcs'!$D$713:$D$718,$E$10,'10. Inputs &amp; Calcs'!M$713:M$718)</f>
        <v>0</v>
      </c>
      <c r="V41" s="533">
        <f>SUMIF('10. Inputs &amp; Calcs'!$D$713:$D$718,$E$10,'10. Inputs &amp; Calcs'!N$713:N$718)</f>
        <v>0</v>
      </c>
      <c r="W41" s="533">
        <f>SUMIF('10. Inputs &amp; Calcs'!$D$713:$D$718,$E$10,'10. Inputs &amp; Calcs'!O$713:O$718)</f>
        <v>0</v>
      </c>
      <c r="X41" s="533">
        <f>SUMIF('10. Inputs &amp; Calcs'!$D$713:$D$718,$E$10,'10. Inputs &amp; Calcs'!P$713:P$718)</f>
        <v>0</v>
      </c>
      <c r="Y41" s="533">
        <f>SUMIF('10. Inputs &amp; Calcs'!$D$713:$D$718,$E$10,'10. Inputs &amp; Calcs'!Q$713:Q$718)</f>
        <v>0</v>
      </c>
      <c r="Z41" s="533">
        <f>SUMIF('10. Inputs &amp; Calcs'!$D$713:$D$718,$E$10,'10. Inputs &amp; Calcs'!R$713:R$718)</f>
        <v>0</v>
      </c>
      <c r="AA41" s="533">
        <f>SUMIF('10. Inputs &amp; Calcs'!$D$713:$D$718,$E$10,'10. Inputs &amp; Calcs'!S$713:S$718)</f>
        <v>0</v>
      </c>
      <c r="AB41" s="533">
        <f>SUMIF('10. Inputs &amp; Calcs'!$D$713:$D$718,$E$10,'10. Inputs &amp; Calcs'!T$713:T$718)</f>
        <v>0</v>
      </c>
      <c r="AC41" s="533">
        <f>SUMIF('10. Inputs &amp; Calcs'!$D$713:$D$718,$E$10,'10. Inputs &amp; Calcs'!U$713:U$718)</f>
        <v>0</v>
      </c>
      <c r="AD41" s="533">
        <f>SUMIF('10. Inputs &amp; Calcs'!$D$713:$D$718,$E$10,'10. Inputs &amp; Calcs'!V$713:V$718)</f>
        <v>0</v>
      </c>
      <c r="AE41" s="533">
        <f>SUMIF('10. Inputs &amp; Calcs'!$D$713:$D$718,$E$10,'10. Inputs &amp; Calcs'!W$713:W$718)</f>
        <v>0</v>
      </c>
      <c r="AF41" s="533">
        <f>SUMIF('10. Inputs &amp; Calcs'!$D$713:$D$718,$E$10,'10. Inputs &amp; Calcs'!X$713:X$718)</f>
        <v>0</v>
      </c>
      <c r="AG41" s="533">
        <f>SUMIF('10. Inputs &amp; Calcs'!$D$713:$D$718,$E$10,'10. Inputs &amp; Calcs'!Y$713:Y$718)</f>
        <v>0</v>
      </c>
      <c r="AH41" s="533">
        <f>SUMIF('10. Inputs &amp; Calcs'!$D$713:$D$718,$E$10,'10. Inputs &amp; Calcs'!Z$713:Z$718)</f>
        <v>0</v>
      </c>
      <c r="AI41" s="533">
        <f>SUMIF('10. Inputs &amp; Calcs'!$D$713:$D$718,$E$10,'10. Inputs &amp; Calcs'!AA$713:AA$718)</f>
        <v>0</v>
      </c>
      <c r="AJ41" s="533">
        <f>SUMIF('10. Inputs &amp; Calcs'!$D$713:$D$718,$E$10,'10. Inputs &amp; Calcs'!AB$713:AB$718)</f>
        <v>0</v>
      </c>
      <c r="AK41" s="533">
        <f>SUMIF('10. Inputs &amp; Calcs'!$D$713:$D$718,$E$10,'10. Inputs &amp; Calcs'!AC$713:AC$718)</f>
        <v>0</v>
      </c>
      <c r="AL41" s="533">
        <f t="shared" si="14"/>
        <v>0</v>
      </c>
    </row>
    <row r="42" spans="2:38" x14ac:dyDescent="0.45">
      <c r="D42" t="str">
        <f>'11. Table - Expenditure Review'!E188</f>
        <v>Overheads</v>
      </c>
      <c r="F42" s="889">
        <f t="shared" si="9"/>
        <v>0</v>
      </c>
      <c r="G42" s="889">
        <f t="shared" si="10"/>
        <v>0</v>
      </c>
      <c r="I42" s="888">
        <f t="shared" si="11"/>
        <v>0</v>
      </c>
      <c r="J42" s="903">
        <v>0</v>
      </c>
      <c r="K42" s="888">
        <f t="shared" si="12"/>
        <v>0</v>
      </c>
      <c r="L42" s="889">
        <f t="shared" si="13"/>
        <v>0</v>
      </c>
      <c r="N42" s="566">
        <f>'11. Table - Expenditure Review'!F188</f>
        <v>0</v>
      </c>
      <c r="O42" s="566">
        <f>'11. Table - Expenditure Review'!G188</f>
        <v>0</v>
      </c>
      <c r="P42" s="566">
        <f>'11. Table - Expenditure Review'!H188</f>
        <v>0</v>
      </c>
      <c r="Q42" s="533"/>
      <c r="R42" s="533"/>
      <c r="S42" s="533"/>
      <c r="T42" s="533"/>
      <c r="U42" s="533"/>
      <c r="V42" s="533"/>
      <c r="W42" s="533"/>
      <c r="X42" s="533"/>
      <c r="Y42" s="533"/>
      <c r="Z42" s="533"/>
      <c r="AA42" s="533"/>
      <c r="AB42" s="533"/>
      <c r="AC42" s="533"/>
      <c r="AD42" s="533"/>
      <c r="AE42" s="533"/>
      <c r="AF42" s="533"/>
      <c r="AG42" s="533"/>
      <c r="AH42" s="533"/>
      <c r="AI42" s="533"/>
      <c r="AJ42" s="533"/>
      <c r="AK42" s="533"/>
      <c r="AL42" s="533">
        <f t="shared" si="14"/>
        <v>0</v>
      </c>
    </row>
    <row r="43" spans="2:38" x14ac:dyDescent="0.45">
      <c r="B43" t="s">
        <v>1077</v>
      </c>
      <c r="D43" t="str">
        <f>'11. Table - Expenditure Review'!E189</f>
        <v>Staff</v>
      </c>
      <c r="F43" s="889">
        <f t="shared" si="9"/>
        <v>0.93045459226401961</v>
      </c>
      <c r="G43" s="889">
        <f t="shared" si="10"/>
        <v>0.91177966052591242</v>
      </c>
      <c r="I43" s="888">
        <f t="shared" si="11"/>
        <v>117426852.16940583</v>
      </c>
      <c r="J43" s="903">
        <v>117426852.16940583</v>
      </c>
      <c r="K43" s="888">
        <f t="shared" si="12"/>
        <v>0</v>
      </c>
      <c r="L43" s="889">
        <f t="shared" si="13"/>
        <v>0</v>
      </c>
      <c r="N43" s="566">
        <f>SUMIF('10. Inputs &amp; Calcs'!$D$733:$D$738,$E$10,'10. Inputs &amp; Calcs'!F$733:F$738)</f>
        <v>5620514.5</v>
      </c>
      <c r="O43" s="566">
        <f>SUMIF('10. Inputs &amp; Calcs'!$D$733:$D$738,$E$10,'10. Inputs &amp; Calcs'!G$733:G$738)</f>
        <v>6162872.7249999996</v>
      </c>
      <c r="P43" s="566">
        <f>SUMIF('10. Inputs &amp; Calcs'!$D$733:$D$738,$E$10,'10. Inputs &amp; Calcs'!H$733:H$738)</f>
        <v>6699344.6999999993</v>
      </c>
      <c r="Q43" s="533">
        <f>SUMIF('10. Inputs &amp; Calcs'!$D$733:$D$738,$E$10,'10. Inputs &amp; Calcs'!I$733:I$738)</f>
        <v>6773316.6310624992</v>
      </c>
      <c r="R43" s="533">
        <f>SUMIF('10. Inputs &amp; Calcs'!$D$733:$D$738,$E$10,'10. Inputs &amp; Calcs'!J$733:J$738)</f>
        <v>6835159.9568243744</v>
      </c>
      <c r="S43" s="533">
        <f>SUMIF('10. Inputs &amp; Calcs'!$D$733:$D$738,$E$10,'10. Inputs &amp; Calcs'!K$733:K$738)</f>
        <v>6883316.7656110916</v>
      </c>
      <c r="T43" s="533">
        <f>SUMIF('10. Inputs &amp; Calcs'!$D$733:$D$738,$E$10,'10. Inputs &amp; Calcs'!L$733:L$738)</f>
        <v>6916094.4644949529</v>
      </c>
      <c r="U43" s="533">
        <f>SUMIF('10. Inputs &amp; Calcs'!$D$733:$D$738,$E$10,'10. Inputs &amp; Calcs'!M$733:M$738)</f>
        <v>6931655.6770400656</v>
      </c>
      <c r="V43" s="533">
        <f>SUMIF('10. Inputs &amp; Calcs'!$D$733:$D$738,$E$10,'10. Inputs &amp; Calcs'!N$733:N$738)</f>
        <v>6928007.437210043</v>
      </c>
      <c r="W43" s="533">
        <f>SUMIF('10. Inputs &amp; Calcs'!$D$733:$D$738,$E$10,'10. Inputs &amp; Calcs'!O$733:O$738)</f>
        <v>6902989.6325756731</v>
      </c>
      <c r="X43" s="533">
        <f>SUMIF('10. Inputs &amp; Calcs'!$D$733:$D$738,$E$10,'10. Inputs &amp; Calcs'!P$733:P$738)</f>
        <v>6854262.6469339617</v>
      </c>
      <c r="Y43" s="533">
        <f>SUMIF('10. Inputs &amp; Calcs'!$D$733:$D$738,$E$10,'10. Inputs &amp; Calcs'!Q$733:Q$738)</f>
        <v>6779294.1492331214</v>
      </c>
      <c r="Z43" s="533">
        <f>SUMIF('10. Inputs &amp; Calcs'!$D$733:$D$738,$E$10,'10. Inputs &amp; Calcs'!R$733:R$738)</f>
        <v>6675344.9722782141</v>
      </c>
      <c r="AA43" s="533">
        <f>SUMIF('10. Inputs &amp; Calcs'!$D$733:$D$738,$E$10,'10. Inputs &amp; Calcs'!S$733:S$738)</f>
        <v>6539454.0210568355</v>
      </c>
      <c r="AB43" s="533">
        <f>SUMIF('10. Inputs &amp; Calcs'!$D$733:$D$738,$E$10,'10. Inputs &amp; Calcs'!T$733:T$738)</f>
        <v>6368422.1466599647</v>
      </c>
      <c r="AC43" s="533">
        <f>SUMIF('10. Inputs &amp; Calcs'!$D$733:$D$738,$E$10,'10. Inputs &amp; Calcs'!U$733:U$738)</f>
        <v>6158794.9176657405</v>
      </c>
      <c r="AD43" s="533">
        <f>SUMIF('10. Inputs &amp; Calcs'!$D$733:$D$738,$E$10,'10. Inputs &amp; Calcs'!V$733:V$738)</f>
        <v>5906844.2164885057</v>
      </c>
      <c r="AE43" s="533">
        <f>SUMIF('10. Inputs &amp; Calcs'!$D$733:$D$738,$E$10,'10. Inputs &amp; Calcs'!W$733:W$738)</f>
        <v>5608548.5835558353</v>
      </c>
      <c r="AF43" s="533">
        <f>SUMIF('10. Inputs &amp; Calcs'!$D$733:$D$738,$E$10,'10. Inputs &amp; Calcs'!X$733:X$738)</f>
        <v>5259572.227245694</v>
      </c>
      <c r="AG43" s="533">
        <f>SUMIF('10. Inputs &amp; Calcs'!$D$733:$D$738,$E$10,'10. Inputs &amp; Calcs'!Y$733:Y$738)</f>
        <v>4855242.6122761806</v>
      </c>
      <c r="AH43" s="533">
        <f>SUMIF('10. Inputs &amp; Calcs'!$D$733:$D$738,$E$10,'10. Inputs &amp; Calcs'!Z$733:Z$738)</f>
        <v>4390526.5336726028</v>
      </c>
      <c r="AI43" s="533">
        <f>SUMIF('10. Inputs &amp; Calcs'!$D$733:$D$738,$E$10,'10. Inputs &amp; Calcs'!AA$733:AA$738)</f>
        <v>3860004.5775204962</v>
      </c>
      <c r="AJ43" s="533">
        <f>SUMIF('10. Inputs &amp; Calcs'!$D$733:$D$738,$E$10,'10. Inputs &amp; Calcs'!AB$733:AB$738)</f>
        <v>0</v>
      </c>
      <c r="AK43" s="533">
        <f>SUMIF('10. Inputs &amp; Calcs'!$D$733:$D$738,$E$10,'10. Inputs &amp; Calcs'!AC$733:AC$738)</f>
        <v>0</v>
      </c>
      <c r="AL43" s="533">
        <f t="shared" si="14"/>
        <v>117426852.16940583</v>
      </c>
    </row>
    <row r="44" spans="2:38" x14ac:dyDescent="0.45">
      <c r="D44" t="str">
        <f>'11. Table - Expenditure Review'!E190</f>
        <v>Office</v>
      </c>
      <c r="F44" s="889">
        <f t="shared" si="9"/>
        <v>0</v>
      </c>
      <c r="G44" s="889">
        <f t="shared" si="10"/>
        <v>0</v>
      </c>
      <c r="I44" s="888">
        <f t="shared" si="11"/>
        <v>0</v>
      </c>
      <c r="J44" s="903">
        <v>0</v>
      </c>
      <c r="K44" s="888">
        <f t="shared" si="12"/>
        <v>0</v>
      </c>
      <c r="L44" s="889">
        <f t="shared" si="13"/>
        <v>0</v>
      </c>
      <c r="N44" s="566">
        <f>'11. Table - Expenditure Review'!F190</f>
        <v>0</v>
      </c>
      <c r="O44" s="566">
        <f>'11. Table - Expenditure Review'!G190</f>
        <v>0</v>
      </c>
      <c r="P44" s="566">
        <f>'11. Table - Expenditure Review'!H190</f>
        <v>0</v>
      </c>
      <c r="Q44" s="533"/>
      <c r="R44" s="533"/>
      <c r="S44" s="533"/>
      <c r="T44" s="533"/>
      <c r="U44" s="533"/>
      <c r="V44" s="533"/>
      <c r="W44" s="533"/>
      <c r="X44" s="533"/>
      <c r="Y44" s="533"/>
      <c r="Z44" s="533"/>
      <c r="AA44" s="533"/>
      <c r="AB44" s="533"/>
      <c r="AC44" s="533"/>
      <c r="AD44" s="533"/>
      <c r="AE44" s="533"/>
      <c r="AF44" s="533"/>
      <c r="AG44" s="533"/>
      <c r="AH44" s="533"/>
      <c r="AI44" s="533"/>
      <c r="AJ44" s="533"/>
      <c r="AK44" s="533"/>
      <c r="AL44" s="533">
        <f t="shared" si="14"/>
        <v>0</v>
      </c>
    </row>
    <row r="45" spans="2:38" x14ac:dyDescent="0.45">
      <c r="D45">
        <f>'11. Table - Expenditure Review'!E191</f>
        <v>0</v>
      </c>
      <c r="F45" s="889">
        <f t="shared" si="9"/>
        <v>0</v>
      </c>
      <c r="G45" s="889">
        <f t="shared" si="10"/>
        <v>0</v>
      </c>
      <c r="I45" s="888">
        <f t="shared" si="11"/>
        <v>0</v>
      </c>
      <c r="J45" s="903">
        <v>0</v>
      </c>
      <c r="K45" s="888">
        <f t="shared" si="12"/>
        <v>0</v>
      </c>
      <c r="L45" s="889">
        <f t="shared" si="13"/>
        <v>0</v>
      </c>
      <c r="N45" s="566">
        <f>'11. Table - Expenditure Review'!F191</f>
        <v>0</v>
      </c>
      <c r="O45" s="566">
        <f>'11. Table - Expenditure Review'!G191</f>
        <v>0</v>
      </c>
      <c r="P45" s="566">
        <f>'11. Table - Expenditure Review'!H191</f>
        <v>0</v>
      </c>
      <c r="Q45" s="533"/>
      <c r="R45" s="533"/>
      <c r="S45" s="533"/>
      <c r="T45" s="533"/>
      <c r="U45" s="533"/>
      <c r="V45" s="533"/>
      <c r="W45" s="533"/>
      <c r="X45" s="533"/>
      <c r="Y45" s="533"/>
      <c r="Z45" s="533"/>
      <c r="AA45" s="533"/>
      <c r="AB45" s="533"/>
      <c r="AC45" s="533"/>
      <c r="AD45" s="533"/>
      <c r="AE45" s="533"/>
      <c r="AF45" s="533"/>
      <c r="AG45" s="533"/>
      <c r="AH45" s="533"/>
      <c r="AI45" s="533"/>
      <c r="AJ45" s="533"/>
      <c r="AK45" s="533"/>
      <c r="AL45" s="533">
        <f t="shared" si="14"/>
        <v>0</v>
      </c>
    </row>
    <row r="46" spans="2:38" x14ac:dyDescent="0.45">
      <c r="D46" s="794" t="str">
        <f>D133</f>
        <v>Total Expenditure for Rental Operations</v>
      </c>
      <c r="F46" s="886">
        <f t="shared" si="9"/>
        <v>1</v>
      </c>
      <c r="G46" s="886">
        <f t="shared" si="10"/>
        <v>0.94172498454531839</v>
      </c>
      <c r="I46" s="754">
        <f t="shared" si="11"/>
        <v>121283469.38629296</v>
      </c>
      <c r="J46" s="900">
        <v>121283469.38629296</v>
      </c>
      <c r="K46" s="754">
        <f t="shared" si="12"/>
        <v>0</v>
      </c>
      <c r="L46" s="886">
        <f t="shared" si="13"/>
        <v>0</v>
      </c>
      <c r="N46" s="793">
        <f>SUMIF('10. Inputs &amp; Calcs'!$D$742:$D$747,$E$10,'10. Inputs &amp; Calcs'!F$742:F$747)</f>
        <v>6816394.1699999999</v>
      </c>
      <c r="O46" s="793">
        <f>SUMIF('10. Inputs &amp; Calcs'!$D$742:$D$747,$E$10,'10. Inputs &amp; Calcs'!G$742:G$747)</f>
        <v>6934326.7449999992</v>
      </c>
      <c r="P46" s="793">
        <f>SUMIF('10. Inputs &amp; Calcs'!$D$742:$D$747,$E$10,'10. Inputs &amp; Calcs'!H$742:H$747)</f>
        <v>7200076.9899999993</v>
      </c>
      <c r="Q46" s="793">
        <f>SUMIF('10. Inputs &amp; Calcs'!$D$742:$D$747,$E$10,'10. Inputs &amp; Calcs'!I$742:I$747)</f>
        <v>7195934.6838224996</v>
      </c>
      <c r="R46" s="793">
        <f>SUMIF('10. Inputs &amp; Calcs'!$D$742:$D$747,$E$10,'10. Inputs &amp; Calcs'!J$742:J$747)</f>
        <v>7169556.4910707241</v>
      </c>
      <c r="S46" s="793">
        <f>SUMIF('10. Inputs &amp; Calcs'!$D$742:$D$747,$E$10,'10. Inputs &amp; Calcs'!K$742:K$747)</f>
        <v>7147715.8728195559</v>
      </c>
      <c r="T46" s="793">
        <f>SUMIF('10. Inputs &amp; Calcs'!$D$742:$D$747,$E$10,'10. Inputs &amp; Calcs'!L$742:L$747)</f>
        <v>7178007.1440527802</v>
      </c>
      <c r="U46" s="793">
        <f>SUMIF('10. Inputs &amp; Calcs'!$D$742:$D$747,$E$10,'10. Inputs &amp; Calcs'!M$742:M$747)</f>
        <v>7190008.6146063795</v>
      </c>
      <c r="V46" s="793">
        <f>SUMIF('10. Inputs &amp; Calcs'!$D$742:$D$747,$E$10,'10. Inputs &amp; Calcs'!N$742:N$747)</f>
        <v>7181616.775310114</v>
      </c>
      <c r="W46" s="793">
        <f>SUMIF('10. Inputs &amp; Calcs'!$D$742:$D$747,$E$10,'10. Inputs &amp; Calcs'!O$742:O$747)</f>
        <v>7150552.0576320766</v>
      </c>
      <c r="X46" s="793">
        <f>SUMIF('10. Inputs &amp; Calcs'!$D$742:$D$747,$E$10,'10. Inputs &amp; Calcs'!P$742:P$747)</f>
        <v>7094345.8302641418</v>
      </c>
      <c r="Y46" s="793">
        <f>SUMIF('10. Inputs &amp; Calcs'!$D$742:$D$747,$E$10,'10. Inputs &amp; Calcs'!Q$742:Q$747)</f>
        <v>7010326.4979113983</v>
      </c>
      <c r="Z46" s="793">
        <f>SUMIF('10. Inputs &amp; Calcs'!$D$742:$D$747,$E$10,'10. Inputs &amp; Calcs'!R$742:R$747)</f>
        <v>6895604.6428633044</v>
      </c>
      <c r="AA46" s="793">
        <f>SUMIF('10. Inputs &amp; Calcs'!$D$742:$D$747,$E$10,'10. Inputs &amp; Calcs'!S$742:S$747)</f>
        <v>6747057.1461037369</v>
      </c>
      <c r="AB46" s="793">
        <f>SUMIF('10. Inputs &amp; Calcs'!$D$742:$D$747,$E$10,'10. Inputs &amp; Calcs'!T$742:T$747)</f>
        <v>6561310.2206559563</v>
      </c>
      <c r="AC46" s="793">
        <f>SUMIF('10. Inputs &amp; Calcs'!$D$742:$D$747,$E$10,'10. Inputs &amp; Calcs'!U$742:U$747)</f>
        <v>6334721.2855419554</v>
      </c>
      <c r="AD46" s="793">
        <f>SUMIF('10. Inputs &amp; Calcs'!$D$742:$D$747,$E$10,'10. Inputs &amp; Calcs'!V$742:V$747)</f>
        <v>6063359.6041479316</v>
      </c>
      <c r="AE46" s="793">
        <f>SUMIF('10. Inputs &amp; Calcs'!$D$742:$D$747,$E$10,'10. Inputs &amp; Calcs'!W$742:W$747)</f>
        <v>5742985.6059117988</v>
      </c>
      <c r="AF46" s="793">
        <f>SUMIF('10. Inputs &amp; Calcs'!$D$742:$D$747,$E$10,'10. Inputs &amp; Calcs'!X$742:X$747)</f>
        <v>5369028.8050671443</v>
      </c>
      <c r="AG46" s="793">
        <f>SUMIF('10. Inputs &amp; Calcs'!$D$742:$D$747,$E$10,'10. Inputs &amp; Calcs'!Y$742:Y$747)</f>
        <v>4936564.2246716945</v>
      </c>
      <c r="AH46" s="793">
        <f>SUMIF('10. Inputs &amp; Calcs'!$D$742:$D$747,$E$10,'10. Inputs &amp; Calcs'!Z$742:Z$747)</f>
        <v>4440287.228297418</v>
      </c>
      <c r="AI46" s="793">
        <f>SUMIF('10. Inputs &amp; Calcs'!$D$742:$D$747,$E$10,'10. Inputs &amp; Calcs'!AA$742:AA$747)</f>
        <v>3874486.6555423387</v>
      </c>
      <c r="AJ46" s="793">
        <f>SUMIF('10. Inputs &amp; Calcs'!$D$742:$D$747,$E$10,'10. Inputs &amp; Calcs'!AB$742:AB$747)</f>
        <v>0</v>
      </c>
      <c r="AK46" s="793">
        <f>SUMIF('10. Inputs &amp; Calcs'!$D$742:$D$747,$E$10,'10. Inputs &amp; Calcs'!AC$742:AC$747)</f>
        <v>0</v>
      </c>
      <c r="AL46" s="793">
        <f t="shared" si="14"/>
        <v>121283469.38629296</v>
      </c>
    </row>
    <row r="47" spans="2:38" x14ac:dyDescent="0.45">
      <c r="D47" t="str">
        <f>'11. Table - Expenditure Review'!E193</f>
        <v>Total Expenditure</v>
      </c>
      <c r="F47" s="884">
        <f t="shared" si="9"/>
        <v>1</v>
      </c>
      <c r="G47" s="884">
        <f t="shared" si="10"/>
        <v>1</v>
      </c>
      <c r="I47" s="535">
        <f t="shared" si="11"/>
        <v>128788628.71504974</v>
      </c>
      <c r="J47" s="901">
        <v>128788628.71504974</v>
      </c>
      <c r="K47" s="535">
        <f t="shared" si="12"/>
        <v>0</v>
      </c>
      <c r="L47" s="884">
        <f t="shared" si="13"/>
        <v>0</v>
      </c>
      <c r="N47" s="567">
        <f>N46+N36</f>
        <v>6816394.1699999999</v>
      </c>
      <c r="O47" s="567">
        <f t="shared" ref="O47:AL47" si="15">O46+O36</f>
        <v>6934326.7449999992</v>
      </c>
      <c r="P47" s="567">
        <f t="shared" si="15"/>
        <v>7200076.9899999993</v>
      </c>
      <c r="Q47" s="535">
        <f t="shared" si="15"/>
        <v>8266934.6838224996</v>
      </c>
      <c r="R47" s="535">
        <f>R46+R36</f>
        <v>8299461.4910707241</v>
      </c>
      <c r="S47" s="535">
        <f t="shared" si="15"/>
        <v>8043700.9978195559</v>
      </c>
      <c r="T47" s="535">
        <f t="shared" si="15"/>
        <v>7350620.6261777803</v>
      </c>
      <c r="U47" s="535">
        <f t="shared" si="15"/>
        <v>7372115.8382482547</v>
      </c>
      <c r="V47" s="535">
        <f t="shared" si="15"/>
        <v>7373739.8962522922</v>
      </c>
      <c r="W47" s="535">
        <f t="shared" si="15"/>
        <v>7353241.9502260741</v>
      </c>
      <c r="X47" s="535">
        <f t="shared" si="15"/>
        <v>7308183.6669508098</v>
      </c>
      <c r="Y47" s="535">
        <f t="shared" si="15"/>
        <v>7235925.4156158324</v>
      </c>
      <c r="Z47" s="535">
        <f t="shared" si="15"/>
        <v>7133611.5010414831</v>
      </c>
      <c r="AA47" s="535">
        <f t="shared" si="15"/>
        <v>6998154.3814817155</v>
      </c>
      <c r="AB47" s="535">
        <f t="shared" si="15"/>
        <v>6826217.8039797228</v>
      </c>
      <c r="AC47" s="535">
        <f t="shared" si="15"/>
        <v>6614198.7859485298</v>
      </c>
      <c r="AD47" s="535">
        <f t="shared" si="15"/>
        <v>6358208.3670768673</v>
      </c>
      <c r="AE47" s="535">
        <f t="shared" si="15"/>
        <v>6054051.0508018257</v>
      </c>
      <c r="AF47" s="535">
        <f t="shared" si="15"/>
        <v>5697202.8494261233</v>
      </c>
      <c r="AG47" s="535">
        <f t="shared" si="15"/>
        <v>5282787.8414704166</v>
      </c>
      <c r="AH47" s="535">
        <f t="shared" si="15"/>
        <v>4805553.1440200703</v>
      </c>
      <c r="AI47" s="535">
        <f t="shared" si="15"/>
        <v>4259842.1966297366</v>
      </c>
      <c r="AJ47" s="535">
        <f t="shared" si="15"/>
        <v>154876.22698941137</v>
      </c>
      <c r="AK47" s="535">
        <f t="shared" si="15"/>
        <v>0</v>
      </c>
      <c r="AL47" s="535">
        <f t="shared" si="15"/>
        <v>128788628.71504974</v>
      </c>
    </row>
    <row r="48" spans="2:38" ht="14.65" thickBot="1" x14ac:dyDescent="0.5">
      <c r="D48" t="str">
        <f>'11. Table - Expenditure Review'!E194</f>
        <v>Net Surplus / (Deficit)</v>
      </c>
      <c r="I48" s="554">
        <f t="shared" ca="1" si="11"/>
        <v>-83329159.175193891</v>
      </c>
      <c r="J48" s="904">
        <v>-83329159.175193891</v>
      </c>
      <c r="K48" s="554">
        <f t="shared" ca="1" si="12"/>
        <v>0</v>
      </c>
      <c r="L48" s="887">
        <f t="shared" ca="1" si="13"/>
        <v>0</v>
      </c>
      <c r="N48" s="568">
        <f t="shared" ref="N48:AL48" si="16">N28-N47</f>
        <v>3646579.8900000006</v>
      </c>
      <c r="O48" s="568">
        <f t="shared" si="16"/>
        <v>5914523.3750000019</v>
      </c>
      <c r="P48" s="568">
        <f t="shared" si="16"/>
        <v>3793660.5200000023</v>
      </c>
      <c r="Q48" s="554">
        <f t="shared" ca="1" si="16"/>
        <v>-296981.87305132486</v>
      </c>
      <c r="R48" s="554">
        <f t="shared" ca="1" si="16"/>
        <v>-1185226.4662995497</v>
      </c>
      <c r="S48" s="554">
        <f t="shared" ca="1" si="16"/>
        <v>-2701993.0889131185</v>
      </c>
      <c r="T48" s="554">
        <f t="shared" ca="1" si="16"/>
        <v>-4919996.0517974235</v>
      </c>
      <c r="U48" s="554">
        <f t="shared" ca="1" si="16"/>
        <v>-5058942.7246914273</v>
      </c>
      <c r="V48" s="554">
        <f t="shared" ca="1" si="16"/>
        <v>-5178018.2435189942</v>
      </c>
      <c r="W48" s="554">
        <f t="shared" ca="1" si="16"/>
        <v>-5274971.7583163055</v>
      </c>
      <c r="X48" s="554">
        <f t="shared" ca="1" si="16"/>
        <v>-5347364.9358645715</v>
      </c>
      <c r="Y48" s="554">
        <f t="shared" ca="1" si="16"/>
        <v>-5392558.1453531226</v>
      </c>
      <c r="Z48" s="554">
        <f t="shared" ca="1" si="16"/>
        <v>-5407695.6916023027</v>
      </c>
      <c r="AA48" s="554">
        <f t="shared" ca="1" si="16"/>
        <v>-5389690.0328660645</v>
      </c>
      <c r="AB48" s="554">
        <f t="shared" ca="1" si="16"/>
        <v>-5335204.9161876012</v>
      </c>
      <c r="AC48" s="554">
        <f t="shared" ca="1" si="16"/>
        <v>-5240637.3589799376</v>
      </c>
      <c r="AD48" s="554">
        <f t="shared" ca="1" si="16"/>
        <v>-5102098.4009318044</v>
      </c>
      <c r="AE48" s="554">
        <f t="shared" ca="1" si="16"/>
        <v>-4915392.5454802923</v>
      </c>
      <c r="AF48" s="554">
        <f t="shared" ca="1" si="16"/>
        <v>-4675995.8049281193</v>
      </c>
      <c r="AG48" s="554">
        <f t="shared" ca="1" si="16"/>
        <v>-4379032.257795942</v>
      </c>
      <c r="AH48" s="554">
        <f t="shared" ca="1" si="16"/>
        <v>-4019249.0211691251</v>
      </c>
      <c r="AI48" s="554">
        <f t="shared" ca="1" si="16"/>
        <v>-3590989.5346023208</v>
      </c>
      <c r="AJ48" s="554">
        <f t="shared" ca="1" si="16"/>
        <v>82879.677155486657</v>
      </c>
      <c r="AK48" s="554">
        <f t="shared" ca="1" si="16"/>
        <v>0</v>
      </c>
      <c r="AL48" s="768">
        <f t="shared" ca="1" si="16"/>
        <v>-83329159.175193891</v>
      </c>
    </row>
    <row r="49" spans="4:40" ht="14.65" thickTop="1" x14ac:dyDescent="0.45"/>
    <row r="50" spans="4:40" x14ac:dyDescent="0.45">
      <c r="D50" s="451" t="s">
        <v>1327</v>
      </c>
    </row>
    <row r="51" spans="4:40" x14ac:dyDescent="0.45">
      <c r="D51" t="s">
        <v>1326</v>
      </c>
      <c r="I51" s="753">
        <f ca="1">AL51</f>
        <v>-83412038.852349356</v>
      </c>
      <c r="J51" s="899">
        <v>-83412038.852349356</v>
      </c>
      <c r="K51" s="753">
        <f ca="1">I51-J51</f>
        <v>0</v>
      </c>
      <c r="L51" s="885">
        <f ca="1">IF(J51&lt;&gt;0,K51/J51,0)</f>
        <v>0</v>
      </c>
      <c r="N51" s="566">
        <f>IF(N48&gt;0,0,N48)</f>
        <v>0</v>
      </c>
      <c r="O51" s="566">
        <f t="shared" ref="O51:AK51" si="17">IF(O48&gt;0,0,O48)</f>
        <v>0</v>
      </c>
      <c r="P51" s="566">
        <f t="shared" si="17"/>
        <v>0</v>
      </c>
      <c r="Q51" s="566">
        <f t="shared" ca="1" si="17"/>
        <v>-296981.87305132486</v>
      </c>
      <c r="R51" s="566">
        <f t="shared" ca="1" si="17"/>
        <v>-1185226.4662995497</v>
      </c>
      <c r="S51" s="566">
        <f t="shared" ca="1" si="17"/>
        <v>-2701993.0889131185</v>
      </c>
      <c r="T51" s="566">
        <f t="shared" ca="1" si="17"/>
        <v>-4919996.0517974235</v>
      </c>
      <c r="U51" s="566">
        <f t="shared" ca="1" si="17"/>
        <v>-5058942.7246914273</v>
      </c>
      <c r="V51" s="566">
        <f t="shared" ca="1" si="17"/>
        <v>-5178018.2435189942</v>
      </c>
      <c r="W51" s="566">
        <f t="shared" ca="1" si="17"/>
        <v>-5274971.7583163055</v>
      </c>
      <c r="X51" s="566">
        <f t="shared" ca="1" si="17"/>
        <v>-5347364.9358645715</v>
      </c>
      <c r="Y51" s="566">
        <f t="shared" ca="1" si="17"/>
        <v>-5392558.1453531226</v>
      </c>
      <c r="Z51" s="566">
        <f t="shared" ca="1" si="17"/>
        <v>-5407695.6916023027</v>
      </c>
      <c r="AA51" s="566">
        <f t="shared" ca="1" si="17"/>
        <v>-5389690.0328660645</v>
      </c>
      <c r="AB51" s="566">
        <f t="shared" ca="1" si="17"/>
        <v>-5335204.9161876012</v>
      </c>
      <c r="AC51" s="566">
        <f t="shared" ca="1" si="17"/>
        <v>-5240637.3589799376</v>
      </c>
      <c r="AD51" s="566">
        <f t="shared" ca="1" si="17"/>
        <v>-5102098.4009318044</v>
      </c>
      <c r="AE51" s="566">
        <f t="shared" ca="1" si="17"/>
        <v>-4915392.5454802923</v>
      </c>
      <c r="AF51" s="566">
        <f t="shared" ca="1" si="17"/>
        <v>-4675995.8049281193</v>
      </c>
      <c r="AG51" s="566">
        <f t="shared" ca="1" si="17"/>
        <v>-4379032.257795942</v>
      </c>
      <c r="AH51" s="566">
        <f t="shared" ca="1" si="17"/>
        <v>-4019249.0211691251</v>
      </c>
      <c r="AI51" s="566">
        <f t="shared" ca="1" si="17"/>
        <v>-3590989.5346023208</v>
      </c>
      <c r="AJ51" s="566">
        <f t="shared" ca="1" si="17"/>
        <v>0</v>
      </c>
      <c r="AK51" s="566">
        <f t="shared" ca="1" si="17"/>
        <v>0</v>
      </c>
      <c r="AL51" s="566">
        <f ca="1">SUM(Q51:AK51)</f>
        <v>-83412038.852349356</v>
      </c>
    </row>
    <row r="52" spans="4:40" x14ac:dyDescent="0.45">
      <c r="D52" t="s">
        <v>1562</v>
      </c>
      <c r="I52" s="888">
        <f>AL52</f>
        <v>0</v>
      </c>
      <c r="J52" s="903">
        <v>0</v>
      </c>
      <c r="K52" s="888">
        <f>I52-J52</f>
        <v>0</v>
      </c>
      <c r="L52" s="889">
        <f>IF(J52&lt;&gt;0,K52/J52,0)</f>
        <v>0</v>
      </c>
      <c r="N52" s="533">
        <f t="shared" ref="N52:AK53" si="18">-N66</f>
        <v>0</v>
      </c>
      <c r="O52" s="533">
        <f t="shared" si="18"/>
        <v>0</v>
      </c>
      <c r="P52" s="533">
        <f t="shared" si="18"/>
        <v>0</v>
      </c>
      <c r="Q52" s="533">
        <f t="shared" si="18"/>
        <v>0</v>
      </c>
      <c r="R52" s="533">
        <f t="shared" si="18"/>
        <v>0</v>
      </c>
      <c r="S52" s="533">
        <f t="shared" si="18"/>
        <v>0</v>
      </c>
      <c r="T52" s="533">
        <f t="shared" si="18"/>
        <v>0</v>
      </c>
      <c r="U52" s="533">
        <f t="shared" si="18"/>
        <v>0</v>
      </c>
      <c r="V52" s="533">
        <f t="shared" si="18"/>
        <v>0</v>
      </c>
      <c r="W52" s="533">
        <f t="shared" si="18"/>
        <v>0</v>
      </c>
      <c r="X52" s="533">
        <f t="shared" si="18"/>
        <v>0</v>
      </c>
      <c r="Y52" s="533">
        <f t="shared" si="18"/>
        <v>0</v>
      </c>
      <c r="Z52" s="533">
        <f t="shared" si="18"/>
        <v>0</v>
      </c>
      <c r="AA52" s="533">
        <f t="shared" si="18"/>
        <v>0</v>
      </c>
      <c r="AB52" s="533">
        <f t="shared" si="18"/>
        <v>0</v>
      </c>
      <c r="AC52" s="533">
        <f t="shared" si="18"/>
        <v>0</v>
      </c>
      <c r="AD52" s="533">
        <f t="shared" si="18"/>
        <v>0</v>
      </c>
      <c r="AE52" s="533">
        <f t="shared" si="18"/>
        <v>0</v>
      </c>
      <c r="AF52" s="533">
        <f t="shared" si="18"/>
        <v>0</v>
      </c>
      <c r="AG52" s="533">
        <f t="shared" si="18"/>
        <v>0</v>
      </c>
      <c r="AH52" s="533">
        <f t="shared" si="18"/>
        <v>0</v>
      </c>
      <c r="AI52" s="533">
        <f t="shared" si="18"/>
        <v>0</v>
      </c>
      <c r="AJ52" s="533">
        <f t="shared" si="18"/>
        <v>0</v>
      </c>
      <c r="AK52" s="533">
        <f t="shared" si="18"/>
        <v>0</v>
      </c>
      <c r="AL52" s="533">
        <f>SUM(Q52:AK52)</f>
        <v>0</v>
      </c>
    </row>
    <row r="53" spans="4:40" x14ac:dyDescent="0.45">
      <c r="D53" t="s">
        <v>1537</v>
      </c>
      <c r="I53" s="754">
        <f ca="1">AL53</f>
        <v>-99983580.399622828</v>
      </c>
      <c r="J53" s="1097">
        <v>-99983580.399622828</v>
      </c>
      <c r="K53" s="754">
        <f ca="1">I53-J53</f>
        <v>0</v>
      </c>
      <c r="L53" s="886">
        <f ca="1">IF(J53&lt;&gt;0,K53/J53,0)</f>
        <v>0</v>
      </c>
      <c r="N53" s="533">
        <f t="shared" si="18"/>
        <v>-562843</v>
      </c>
      <c r="O53" s="533">
        <f t="shared" si="18"/>
        <v>-358439</v>
      </c>
      <c r="P53" s="533">
        <f t="shared" si="18"/>
        <v>-267958</v>
      </c>
      <c r="Q53" s="533">
        <f t="shared" ca="1" si="18"/>
        <v>-2811433.6077560242</v>
      </c>
      <c r="R53" s="533">
        <f t="shared" ca="1" si="18"/>
        <v>-2811433.6077560242</v>
      </c>
      <c r="S53" s="533">
        <f t="shared" ca="1" si="18"/>
        <v>-2113169.0515813255</v>
      </c>
      <c r="T53" s="533">
        <f t="shared" ca="1" si="18"/>
        <v>-385883.04420180724</v>
      </c>
      <c r="U53" s="533">
        <f t="shared" ca="1" si="18"/>
        <v>-385883.04420180724</v>
      </c>
      <c r="V53" s="533">
        <f t="shared" ca="1" si="18"/>
        <v>-385883.04420180724</v>
      </c>
      <c r="W53" s="533">
        <f t="shared" ca="1" si="18"/>
        <v>-385883.04420180724</v>
      </c>
      <c r="X53" s="533">
        <f t="shared" ca="1" si="18"/>
        <v>-385883.04420180724</v>
      </c>
      <c r="Y53" s="533">
        <f t="shared" ca="1" si="18"/>
        <v>-385883.04420180724</v>
      </c>
      <c r="Z53" s="533">
        <f t="shared" ca="1" si="18"/>
        <v>-385883.04420180724</v>
      </c>
      <c r="AA53" s="533">
        <f t="shared" ca="1" si="18"/>
        <v>-385883.04420180724</v>
      </c>
      <c r="AB53" s="533">
        <f t="shared" ca="1" si="18"/>
        <v>-385883.04420180724</v>
      </c>
      <c r="AC53" s="533">
        <f t="shared" ca="1" si="18"/>
        <v>-385883.04420180724</v>
      </c>
      <c r="AD53" s="533">
        <f t="shared" ca="1" si="18"/>
        <v>-385883.04420180724</v>
      </c>
      <c r="AE53" s="533">
        <f t="shared" ca="1" si="18"/>
        <v>-385883.04420180724</v>
      </c>
      <c r="AF53" s="533">
        <f t="shared" ca="1" si="18"/>
        <v>-385883.04420180724</v>
      </c>
      <c r="AG53" s="533">
        <f t="shared" ca="1" si="18"/>
        <v>-385883.04420180724</v>
      </c>
      <c r="AH53" s="533">
        <f t="shared" ca="1" si="18"/>
        <v>-385883.04420180724</v>
      </c>
      <c r="AI53" s="533">
        <f t="shared" ca="1" si="18"/>
        <v>-385883.04420180724</v>
      </c>
      <c r="AJ53" s="533">
        <f t="shared" ca="1" si="18"/>
        <v>-86073415.425300524</v>
      </c>
      <c r="AK53" s="533">
        <f t="shared" ca="1" si="18"/>
        <v>0</v>
      </c>
      <c r="AL53" s="533">
        <f ca="1">SUM(Q53:AK53)</f>
        <v>-99983580.399622828</v>
      </c>
      <c r="AN53" s="533">
        <f>SUMIF('10. Inputs &amp; Calcs'!$D$288:$D$293,$E$10,'10. Inputs &amp; Calcs'!$AD$288:$AD$293)</f>
        <v>-99983580.399622828</v>
      </c>
    </row>
    <row r="54" spans="4:40" ht="14.65" thickBot="1" x14ac:dyDescent="0.5">
      <c r="D54" t="s">
        <v>1331</v>
      </c>
      <c r="I54" s="554">
        <f ca="1">AL54</f>
        <v>-183395619.2519722</v>
      </c>
      <c r="J54" s="904">
        <f>SUM(J51:J53)</f>
        <v>-183395619.2519722</v>
      </c>
      <c r="K54" s="554">
        <f ca="1">I54-J54</f>
        <v>0</v>
      </c>
      <c r="L54" s="887">
        <f ca="1">IF(J54&lt;&gt;0,K54/J54,0)</f>
        <v>0</v>
      </c>
      <c r="N54" s="535">
        <f>SUM(N51:N53)</f>
        <v>-562843</v>
      </c>
      <c r="O54" s="535">
        <f t="shared" ref="O54:AL54" si="19">SUM(O51:O53)</f>
        <v>-358439</v>
      </c>
      <c r="P54" s="535">
        <f t="shared" si="19"/>
        <v>-267958</v>
      </c>
      <c r="Q54" s="535">
        <f t="shared" ca="1" si="19"/>
        <v>-3108415.4808073491</v>
      </c>
      <c r="R54" s="535">
        <f t="shared" ca="1" si="19"/>
        <v>-3996660.0740555739</v>
      </c>
      <c r="S54" s="535">
        <f t="shared" ca="1" si="19"/>
        <v>-4815162.1404944435</v>
      </c>
      <c r="T54" s="535">
        <f t="shared" ca="1" si="19"/>
        <v>-5305879.0959992306</v>
      </c>
      <c r="U54" s="535">
        <f t="shared" ca="1" si="19"/>
        <v>-5444825.7688932344</v>
      </c>
      <c r="V54" s="535">
        <f t="shared" ca="1" si="19"/>
        <v>-5563901.2877208013</v>
      </c>
      <c r="W54" s="535">
        <f t="shared" ca="1" si="19"/>
        <v>-5660854.8025181126</v>
      </c>
      <c r="X54" s="535">
        <f t="shared" ca="1" si="19"/>
        <v>-5733247.9800663786</v>
      </c>
      <c r="Y54" s="535">
        <f t="shared" ca="1" si="19"/>
        <v>-5778441.1895549297</v>
      </c>
      <c r="Z54" s="535">
        <f t="shared" ca="1" si="19"/>
        <v>-5793578.7358041098</v>
      </c>
      <c r="AA54" s="535">
        <f t="shared" ca="1" si="19"/>
        <v>-5775573.0770678716</v>
      </c>
      <c r="AB54" s="535">
        <f t="shared" ca="1" si="19"/>
        <v>-5721087.9603894083</v>
      </c>
      <c r="AC54" s="535">
        <f t="shared" ca="1" si="19"/>
        <v>-5626520.4031817447</v>
      </c>
      <c r="AD54" s="535">
        <f t="shared" ca="1" si="19"/>
        <v>-5487981.4451336116</v>
      </c>
      <c r="AE54" s="535">
        <f t="shared" ca="1" si="19"/>
        <v>-5301275.5896820994</v>
      </c>
      <c r="AF54" s="535">
        <f t="shared" ca="1" si="19"/>
        <v>-5061878.8491299264</v>
      </c>
      <c r="AG54" s="535">
        <f t="shared" ca="1" si="19"/>
        <v>-4764915.3019977491</v>
      </c>
      <c r="AH54" s="535">
        <f t="shared" ca="1" si="19"/>
        <v>-4405132.0653709322</v>
      </c>
      <c r="AI54" s="535">
        <f t="shared" ca="1" si="19"/>
        <v>-3976872.5788041279</v>
      </c>
      <c r="AJ54" s="535">
        <f t="shared" ca="1" si="19"/>
        <v>-86073415.425300524</v>
      </c>
      <c r="AK54" s="535">
        <f t="shared" ca="1" si="19"/>
        <v>0</v>
      </c>
      <c r="AL54" s="535">
        <f t="shared" ca="1" si="19"/>
        <v>-183395619.2519722</v>
      </c>
    </row>
    <row r="55" spans="4:40" ht="14.65" thickTop="1" x14ac:dyDescent="0.45">
      <c r="N55" s="552"/>
      <c r="O55" s="552"/>
      <c r="P55" s="552"/>
      <c r="Q55" s="552"/>
      <c r="R55" s="552"/>
      <c r="S55" s="552"/>
      <c r="T55" s="552"/>
      <c r="U55" s="782"/>
      <c r="V55" s="552"/>
      <c r="W55" s="552"/>
      <c r="X55" s="552"/>
      <c r="Y55" s="552"/>
      <c r="Z55" s="552"/>
      <c r="AA55" s="552"/>
      <c r="AB55" s="552"/>
      <c r="AC55" s="552"/>
      <c r="AD55" s="552"/>
      <c r="AE55" s="552"/>
      <c r="AF55" s="552"/>
      <c r="AG55" s="552"/>
      <c r="AH55" s="552"/>
      <c r="AI55" s="552"/>
      <c r="AJ55" s="552"/>
      <c r="AK55" s="552"/>
      <c r="AL55" s="552"/>
    </row>
    <row r="56" spans="4:40" x14ac:dyDescent="0.45">
      <c r="D56" t="s">
        <v>1583</v>
      </c>
      <c r="N56" s="552"/>
      <c r="O56" s="552"/>
      <c r="P56" s="552"/>
      <c r="Q56" s="552"/>
      <c r="R56" s="552"/>
      <c r="S56" s="552"/>
      <c r="T56" s="552"/>
      <c r="U56" s="782"/>
      <c r="V56" s="552"/>
      <c r="W56" s="552"/>
      <c r="X56" s="552"/>
      <c r="Y56" s="552"/>
      <c r="Z56" s="552"/>
      <c r="AA56" s="552"/>
      <c r="AB56" s="552"/>
      <c r="AC56" s="552"/>
      <c r="AD56" s="552"/>
      <c r="AE56" s="552"/>
      <c r="AF56" s="552"/>
      <c r="AG56" s="552"/>
      <c r="AH56" s="552"/>
      <c r="AI56" s="552"/>
      <c r="AJ56" s="552"/>
      <c r="AK56" s="552"/>
      <c r="AL56" s="552"/>
    </row>
    <row r="57" spans="4:40" x14ac:dyDescent="0.45">
      <c r="D57" t="s">
        <v>1038</v>
      </c>
      <c r="I57" s="748">
        <f ca="1">AL57</f>
        <v>-23133921.867237266</v>
      </c>
      <c r="J57" s="899">
        <v>-23133921.867237266</v>
      </c>
      <c r="K57" s="753">
        <f ca="1">I57-J57</f>
        <v>0</v>
      </c>
      <c r="N57" s="552"/>
      <c r="O57" s="552"/>
      <c r="P57" s="552"/>
      <c r="Q57" s="552"/>
      <c r="R57" s="552"/>
      <c r="S57" s="552">
        <f ca="1">S51</f>
        <v>-2701993.0889131185</v>
      </c>
      <c r="T57" s="552">
        <f ca="1">T51</f>
        <v>-4919996.0517974235</v>
      </c>
      <c r="U57" s="552">
        <f ca="1">U51</f>
        <v>-5058942.7246914273</v>
      </c>
      <c r="V57" s="552">
        <f ca="1">V51</f>
        <v>-5178018.2435189942</v>
      </c>
      <c r="W57" s="552">
        <f ca="1">W51</f>
        <v>-5274971.7583163055</v>
      </c>
      <c r="X57" s="552"/>
      <c r="Y57" s="552"/>
      <c r="Z57" s="552"/>
      <c r="AA57" s="552"/>
      <c r="AB57" s="552"/>
      <c r="AC57" s="552"/>
      <c r="AD57" s="552"/>
      <c r="AE57" s="552"/>
      <c r="AF57" s="552"/>
      <c r="AG57" s="552"/>
      <c r="AH57" s="552"/>
      <c r="AI57" s="552"/>
      <c r="AJ57" s="552"/>
      <c r="AK57" s="552"/>
      <c r="AL57" s="533">
        <f ca="1">SUM(Q57:AK57)</f>
        <v>-23133921.867237266</v>
      </c>
    </row>
    <row r="58" spans="4:40" x14ac:dyDescent="0.45">
      <c r="D58" t="s">
        <v>233</v>
      </c>
      <c r="I58" s="750">
        <f ca="1">AL58</f>
        <v>-3656701.228388554</v>
      </c>
      <c r="J58" s="1097">
        <v>-3656701.228388554</v>
      </c>
      <c r="K58" s="754">
        <f ca="1">I58-J58</f>
        <v>0</v>
      </c>
      <c r="N58" s="552"/>
      <c r="O58" s="552"/>
      <c r="P58" s="552"/>
      <c r="Q58" s="552"/>
      <c r="R58" s="552"/>
      <c r="S58" s="552">
        <f ca="1">S53</f>
        <v>-2113169.0515813255</v>
      </c>
      <c r="T58" s="552">
        <f ca="1">T53</f>
        <v>-385883.04420180724</v>
      </c>
      <c r="U58" s="552">
        <f ca="1">U53</f>
        <v>-385883.04420180724</v>
      </c>
      <c r="V58" s="552">
        <f ca="1">V53</f>
        <v>-385883.04420180724</v>
      </c>
      <c r="W58" s="552">
        <f ca="1">W53</f>
        <v>-385883.04420180724</v>
      </c>
      <c r="X58" s="552"/>
      <c r="Y58" s="552"/>
      <c r="Z58" s="552"/>
      <c r="AA58" s="552"/>
      <c r="AB58" s="552"/>
      <c r="AC58" s="552"/>
      <c r="AD58" s="552"/>
      <c r="AE58" s="552"/>
      <c r="AF58" s="552"/>
      <c r="AG58" s="552"/>
      <c r="AH58" s="552"/>
      <c r="AI58" s="552"/>
      <c r="AJ58" s="552"/>
      <c r="AK58" s="552"/>
      <c r="AL58" s="533">
        <f ca="1">SUM(Q58:AK58)</f>
        <v>-3656701.228388554</v>
      </c>
    </row>
    <row r="59" spans="4:40" ht="14.65" thickBot="1" x14ac:dyDescent="0.5">
      <c r="I59" s="554">
        <f ca="1">SUM(S59:W59)</f>
        <v>-26790623.095625825</v>
      </c>
      <c r="J59" s="904">
        <f>SUM(J57:J58)</f>
        <v>-26790623.095625822</v>
      </c>
      <c r="K59" s="554">
        <f ca="1">I59-J59</f>
        <v>0</v>
      </c>
      <c r="N59" s="552"/>
      <c r="O59" s="552"/>
      <c r="P59" s="552"/>
      <c r="Q59" s="552"/>
      <c r="R59" s="552"/>
      <c r="S59" s="535">
        <f ca="1">SUM(S57:S58)</f>
        <v>-4815162.1404944435</v>
      </c>
      <c r="T59" s="535">
        <f ca="1">SUM(T57:T58)</f>
        <v>-5305879.0959992306</v>
      </c>
      <c r="U59" s="535">
        <f ca="1">SUM(U57:U58)</f>
        <v>-5444825.7688932344</v>
      </c>
      <c r="V59" s="535">
        <f ca="1">SUM(V57:V58)</f>
        <v>-5563901.2877208013</v>
      </c>
      <c r="W59" s="535">
        <f ca="1">SUM(W57:W58)</f>
        <v>-5660854.8025181126</v>
      </c>
      <c r="X59" s="552"/>
      <c r="Y59" s="552"/>
      <c r="Z59" s="552"/>
      <c r="AA59" s="552"/>
      <c r="AB59" s="552"/>
      <c r="AC59" s="552"/>
      <c r="AD59" s="552"/>
      <c r="AE59" s="552"/>
      <c r="AF59" s="552"/>
      <c r="AG59" s="552"/>
      <c r="AH59" s="552"/>
      <c r="AI59" s="552"/>
      <c r="AJ59" s="552"/>
      <c r="AK59" s="552"/>
      <c r="AL59" s="535">
        <f ca="1">SUM(Q59:AK59)</f>
        <v>-26790623.095625825</v>
      </c>
    </row>
    <row r="60" spans="4:40" ht="14.65" thickTop="1" x14ac:dyDescent="0.45">
      <c r="J60" s="4"/>
      <c r="N60" s="552"/>
      <c r="O60" s="552"/>
      <c r="P60" s="552"/>
      <c r="Q60" s="552"/>
      <c r="R60" s="552"/>
      <c r="S60" s="552"/>
      <c r="T60" s="552"/>
      <c r="U60" s="782"/>
      <c r="V60" s="552"/>
      <c r="W60" s="552"/>
      <c r="X60" s="552"/>
      <c r="Y60" s="552"/>
      <c r="Z60" s="552"/>
      <c r="AA60" s="552"/>
      <c r="AB60" s="552"/>
      <c r="AC60" s="552"/>
      <c r="AD60" s="552"/>
      <c r="AE60" s="552"/>
      <c r="AF60" s="552"/>
      <c r="AG60" s="552"/>
      <c r="AH60" s="552"/>
      <c r="AI60" s="552"/>
      <c r="AJ60" s="552"/>
      <c r="AK60" s="552"/>
      <c r="AL60" s="552"/>
    </row>
    <row r="61" spans="4:40" x14ac:dyDescent="0.45">
      <c r="D61" s="451" t="s">
        <v>1321</v>
      </c>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4:40" x14ac:dyDescent="0.45">
      <c r="D62" t="s">
        <v>1319</v>
      </c>
      <c r="N62" s="533">
        <f t="shared" ref="N62:AK62" si="20">-N20</f>
        <v>12548679.850000001</v>
      </c>
      <c r="O62" s="533">
        <f t="shared" si="20"/>
        <v>3682223.3999999985</v>
      </c>
      <c r="P62" s="533">
        <f t="shared" si="20"/>
        <v>813409.55999999959</v>
      </c>
      <c r="Q62" s="533">
        <f t="shared" si="20"/>
        <v>3396568.5393973636</v>
      </c>
      <c r="R62" s="533">
        <f t="shared" si="20"/>
        <v>3396568.5393973636</v>
      </c>
      <c r="S62" s="533">
        <f t="shared" si="20"/>
        <v>2552976.3531418093</v>
      </c>
      <c r="T62" s="533">
        <f t="shared" si="20"/>
        <v>466195.68187806953</v>
      </c>
      <c r="U62" s="533">
        <f t="shared" si="20"/>
        <v>466195.68187806953</v>
      </c>
      <c r="V62" s="533">
        <f t="shared" si="20"/>
        <v>466195.68187806953</v>
      </c>
      <c r="W62" s="533">
        <f t="shared" si="20"/>
        <v>466195.68187806953</v>
      </c>
      <c r="X62" s="533">
        <f t="shared" si="20"/>
        <v>466195.68187806953</v>
      </c>
      <c r="Y62" s="533">
        <f t="shared" si="20"/>
        <v>466195.68187806953</v>
      </c>
      <c r="Z62" s="533">
        <f t="shared" si="20"/>
        <v>466195.68187806953</v>
      </c>
      <c r="AA62" s="533">
        <f t="shared" si="20"/>
        <v>466195.68187806953</v>
      </c>
      <c r="AB62" s="533">
        <f t="shared" si="20"/>
        <v>466195.68187806953</v>
      </c>
      <c r="AC62" s="533">
        <f t="shared" si="20"/>
        <v>466195.68187806953</v>
      </c>
      <c r="AD62" s="533">
        <f t="shared" si="20"/>
        <v>466195.68187806953</v>
      </c>
      <c r="AE62" s="533">
        <f t="shared" si="20"/>
        <v>466195.68187806953</v>
      </c>
      <c r="AF62" s="533">
        <f t="shared" si="20"/>
        <v>466195.68187806953</v>
      </c>
      <c r="AG62" s="533">
        <f t="shared" si="20"/>
        <v>466195.68187806953</v>
      </c>
      <c r="AH62" s="533">
        <f t="shared" si="20"/>
        <v>466195.68187806953</v>
      </c>
      <c r="AI62" s="533">
        <f t="shared" si="20"/>
        <v>466195.68187806953</v>
      </c>
      <c r="AJ62" s="533">
        <f t="shared" si="20"/>
        <v>177598.35500116934</v>
      </c>
      <c r="AK62" s="533">
        <f t="shared" si="20"/>
        <v>0</v>
      </c>
      <c r="AL62" s="533">
        <f>SUM(Q62:AK62)</f>
        <v>16982842.696986817</v>
      </c>
    </row>
    <row r="63" spans="4:40" x14ac:dyDescent="0.45">
      <c r="D63" t="s">
        <v>1320</v>
      </c>
      <c r="N63" s="533">
        <f t="shared" ref="N63:AK63" si="21">-N24</f>
        <v>1583944.5799999991</v>
      </c>
      <c r="O63" s="533">
        <f t="shared" si="21"/>
        <v>1583464.2000000011</v>
      </c>
      <c r="P63" s="533">
        <f t="shared" si="21"/>
        <v>1310970.8400000017</v>
      </c>
      <c r="Q63" s="533">
        <f t="shared" si="21"/>
        <v>1048776.6720000017</v>
      </c>
      <c r="R63" s="533">
        <f t="shared" si="21"/>
        <v>786582.50400000112</v>
      </c>
      <c r="S63" s="533">
        <f t="shared" si="21"/>
        <v>589508.4561568636</v>
      </c>
      <c r="T63" s="533">
        <f t="shared" si="21"/>
        <v>553521.02133333404</v>
      </c>
      <c r="U63" s="533">
        <f t="shared" si="21"/>
        <v>517533.58650980471</v>
      </c>
      <c r="V63" s="533">
        <f t="shared" si="21"/>
        <v>481546.15168627515</v>
      </c>
      <c r="W63" s="533">
        <f t="shared" si="21"/>
        <v>445558.71686274558</v>
      </c>
      <c r="X63" s="533">
        <f t="shared" si="21"/>
        <v>409571.28203921625</v>
      </c>
      <c r="Y63" s="533">
        <f t="shared" si="21"/>
        <v>373583.84721568669</v>
      </c>
      <c r="Z63" s="533">
        <f t="shared" si="21"/>
        <v>337596.41239215736</v>
      </c>
      <c r="AA63" s="533">
        <f t="shared" si="21"/>
        <v>301608.9775686278</v>
      </c>
      <c r="AB63" s="533">
        <f t="shared" si="21"/>
        <v>265621.54274509847</v>
      </c>
      <c r="AC63" s="533">
        <f t="shared" si="21"/>
        <v>229634.10792156891</v>
      </c>
      <c r="AD63" s="533">
        <f t="shared" si="21"/>
        <v>193646.67309803946</v>
      </c>
      <c r="AE63" s="533">
        <f t="shared" si="21"/>
        <v>157659.23827451002</v>
      </c>
      <c r="AF63" s="533">
        <f t="shared" si="21"/>
        <v>121671.80345098051</v>
      </c>
      <c r="AG63" s="533">
        <f t="shared" si="21"/>
        <v>85684.368627451069</v>
      </c>
      <c r="AH63" s="533">
        <f t="shared" si="21"/>
        <v>49696.933803921624</v>
      </c>
      <c r="AI63" s="533">
        <f t="shared" si="21"/>
        <v>13709.498980392171</v>
      </c>
      <c r="AJ63" s="533">
        <f t="shared" si="21"/>
        <v>0</v>
      </c>
      <c r="AK63" s="533">
        <f t="shared" si="21"/>
        <v>0</v>
      </c>
      <c r="AL63" s="533">
        <f>SUM(Q63:AK63)</f>
        <v>6962711.7946666768</v>
      </c>
    </row>
    <row r="64" spans="4:40" x14ac:dyDescent="0.45">
      <c r="N64" s="535">
        <f>SUM(N62:N63)</f>
        <v>14132624.43</v>
      </c>
      <c r="O64" s="535">
        <f t="shared" ref="O64:AL64" si="22">SUM(O62:O63)</f>
        <v>5265687.5999999996</v>
      </c>
      <c r="P64" s="535">
        <f t="shared" si="22"/>
        <v>2124380.4000000013</v>
      </c>
      <c r="Q64" s="535">
        <f t="shared" si="22"/>
        <v>4445345.2113973647</v>
      </c>
      <c r="R64" s="535">
        <f t="shared" si="22"/>
        <v>4183151.0433973647</v>
      </c>
      <c r="S64" s="535">
        <f t="shared" si="22"/>
        <v>3142484.8092986727</v>
      </c>
      <c r="T64" s="535">
        <f t="shared" si="22"/>
        <v>1019716.7032114036</v>
      </c>
      <c r="U64" s="535">
        <f t="shared" si="22"/>
        <v>983729.26838787424</v>
      </c>
      <c r="V64" s="535">
        <f t="shared" si="22"/>
        <v>947741.83356434468</v>
      </c>
      <c r="W64" s="535">
        <f t="shared" si="22"/>
        <v>911754.39874081512</v>
      </c>
      <c r="X64" s="535">
        <f t="shared" si="22"/>
        <v>875766.96391728579</v>
      </c>
      <c r="Y64" s="535">
        <f t="shared" si="22"/>
        <v>839779.52909375622</v>
      </c>
      <c r="Z64" s="535">
        <f t="shared" si="22"/>
        <v>803792.09427022689</v>
      </c>
      <c r="AA64" s="535">
        <f t="shared" si="22"/>
        <v>767804.65944669733</v>
      </c>
      <c r="AB64" s="535">
        <f t="shared" si="22"/>
        <v>731817.224623168</v>
      </c>
      <c r="AC64" s="535">
        <f t="shared" si="22"/>
        <v>695829.78979963844</v>
      </c>
      <c r="AD64" s="535">
        <f t="shared" si="22"/>
        <v>659842.354976109</v>
      </c>
      <c r="AE64" s="535">
        <f t="shared" si="22"/>
        <v>623854.92015257955</v>
      </c>
      <c r="AF64" s="535">
        <f t="shared" si="22"/>
        <v>587867.48532905011</v>
      </c>
      <c r="AG64" s="535">
        <f t="shared" si="22"/>
        <v>551880.05050552054</v>
      </c>
      <c r="AH64" s="535">
        <f t="shared" si="22"/>
        <v>515892.61568199116</v>
      </c>
      <c r="AI64" s="535">
        <f t="shared" si="22"/>
        <v>479905.18085846171</v>
      </c>
      <c r="AJ64" s="535">
        <f t="shared" si="22"/>
        <v>177598.35500116934</v>
      </c>
      <c r="AK64" s="535">
        <f t="shared" si="22"/>
        <v>0</v>
      </c>
      <c r="AL64" s="535">
        <f t="shared" si="22"/>
        <v>23945554.491653495</v>
      </c>
    </row>
    <row r="65" spans="2:46" x14ac:dyDescent="0.45">
      <c r="N65" s="533"/>
    </row>
    <row r="66" spans="2:46" x14ac:dyDescent="0.45">
      <c r="I66" s="533"/>
      <c r="J66" s="801"/>
      <c r="K66" s="533"/>
      <c r="L66" s="813"/>
      <c r="N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f>SUM(Q66:AK66)</f>
        <v>0</v>
      </c>
    </row>
    <row r="67" spans="2:46" x14ac:dyDescent="0.45">
      <c r="B67" t="s">
        <v>1075</v>
      </c>
      <c r="D67" t="str">
        <f>'11. Table - Expenditure Review'!E171</f>
        <v>EEDBS Received</v>
      </c>
      <c r="F67" s="852">
        <f>SUM(O67:P67)/SUM(O$28:P$28)</f>
        <v>2.6272190322657523E-2</v>
      </c>
      <c r="G67" s="852">
        <f ca="1">AL67/AL$28</f>
        <v>2.199400508005573</v>
      </c>
      <c r="I67" s="533">
        <f ca="1">AL67</f>
        <v>99983580.399622828</v>
      </c>
      <c r="J67" s="898">
        <f>-J53</f>
        <v>99983580.399622828</v>
      </c>
      <c r="K67" s="533">
        <f ca="1">I67-J67</f>
        <v>0</v>
      </c>
      <c r="L67" s="813">
        <f ca="1">IF(J67&lt;&gt;0,K67/J67,0)</f>
        <v>0</v>
      </c>
      <c r="N67" s="566">
        <f>SUMIF('10. Inputs &amp; Calcs'!$D$143:$D$148,$E$10,'10. Inputs &amp; Calcs'!F$143:F$148)</f>
        <v>562843</v>
      </c>
      <c r="O67" s="566">
        <f>SUMIF('10. Inputs &amp; Calcs'!$D$143:$D$148,$E$10,'10. Inputs &amp; Calcs'!G$143:G$148)</f>
        <v>358439</v>
      </c>
      <c r="P67" s="566">
        <f>SUMIF('10. Inputs &amp; Calcs'!$D$143:$D$148,$E$10,'10. Inputs &amp; Calcs'!H$143:H$148)</f>
        <v>267958</v>
      </c>
      <c r="Q67" s="997">
        <f ca="1">-SUMIF('10. Inputs &amp; Calcs'!$D$279:$D$284,$E$10,'10. Inputs &amp; Calcs'!I$279:I$284)</f>
        <v>2811433.6077560242</v>
      </c>
      <c r="R67" s="997">
        <f ca="1">-SUMIF('10. Inputs &amp; Calcs'!$D$279:$D$284,$E$10,'10. Inputs &amp; Calcs'!J$279:J$284)</f>
        <v>2811433.6077560242</v>
      </c>
      <c r="S67" s="997">
        <f ca="1">-SUMIF('10. Inputs &amp; Calcs'!$D$279:$D$284,$E$10,'10. Inputs &amp; Calcs'!K$279:K$284)</f>
        <v>2113169.0515813255</v>
      </c>
      <c r="T67" s="533">
        <f ca="1">-SUMIF('10. Inputs &amp; Calcs'!$D$279:$D$284,$E$10,'10. Inputs &amp; Calcs'!L$279:L$284)</f>
        <v>385883.04420180724</v>
      </c>
      <c r="U67" s="533">
        <f ca="1">-SUMIF('10. Inputs &amp; Calcs'!$D$279:$D$284,$E$10,'10. Inputs &amp; Calcs'!M$279:M$284)</f>
        <v>385883.04420180724</v>
      </c>
      <c r="V67" s="533">
        <f ca="1">-SUMIF('10. Inputs &amp; Calcs'!$D$279:$D$284,$E$10,'10. Inputs &amp; Calcs'!N$279:N$284)</f>
        <v>385883.04420180724</v>
      </c>
      <c r="W67" s="533">
        <f ca="1">-SUMIF('10. Inputs &amp; Calcs'!$D$279:$D$284,$E$10,'10. Inputs &amp; Calcs'!O$279:O$284)</f>
        <v>385883.04420180724</v>
      </c>
      <c r="X67" s="533">
        <f ca="1">-SUMIF('10. Inputs &amp; Calcs'!$D$279:$D$284,$E$10,'10. Inputs &amp; Calcs'!P$279:P$284)</f>
        <v>385883.04420180724</v>
      </c>
      <c r="Y67" s="533">
        <f ca="1">-SUMIF('10. Inputs &amp; Calcs'!$D$279:$D$284,$E$10,'10. Inputs &amp; Calcs'!Q$279:Q$284)</f>
        <v>385883.04420180724</v>
      </c>
      <c r="Z67" s="533">
        <f ca="1">-SUMIF('10. Inputs &amp; Calcs'!$D$279:$D$284,$E$10,'10. Inputs &amp; Calcs'!R$279:R$284)</f>
        <v>385883.04420180724</v>
      </c>
      <c r="AA67" s="533">
        <f ca="1">-SUMIF('10. Inputs &amp; Calcs'!$D$279:$D$284,$E$10,'10. Inputs &amp; Calcs'!S$279:S$284)</f>
        <v>385883.04420180724</v>
      </c>
      <c r="AB67" s="533">
        <f ca="1">-SUMIF('10. Inputs &amp; Calcs'!$D$279:$D$284,$E$10,'10. Inputs &amp; Calcs'!T$279:T$284)</f>
        <v>385883.04420180724</v>
      </c>
      <c r="AC67" s="533">
        <f ca="1">-SUMIF('10. Inputs &amp; Calcs'!$D$279:$D$284,$E$10,'10. Inputs &amp; Calcs'!U$279:U$284)</f>
        <v>385883.04420180724</v>
      </c>
      <c r="AD67" s="533">
        <f ca="1">-SUMIF('10. Inputs &amp; Calcs'!$D$279:$D$284,$E$10,'10. Inputs &amp; Calcs'!V$279:V$284)</f>
        <v>385883.04420180724</v>
      </c>
      <c r="AE67" s="533">
        <f ca="1">-SUMIF('10. Inputs &amp; Calcs'!$D$279:$D$284,$E$10,'10. Inputs &amp; Calcs'!W$279:W$284)</f>
        <v>385883.04420180724</v>
      </c>
      <c r="AF67" s="533">
        <f ca="1">-SUMIF('10. Inputs &amp; Calcs'!$D$279:$D$284,$E$10,'10. Inputs &amp; Calcs'!X$279:X$284)</f>
        <v>385883.04420180724</v>
      </c>
      <c r="AG67" s="533">
        <f ca="1">-SUMIF('10. Inputs &amp; Calcs'!$D$279:$D$284,$E$10,'10. Inputs &amp; Calcs'!Y$279:Y$284)</f>
        <v>385883.04420180724</v>
      </c>
      <c r="AH67" s="533">
        <f ca="1">-SUMIF('10. Inputs &amp; Calcs'!$D$279:$D$284,$E$10,'10. Inputs &amp; Calcs'!Z$279:Z$284)</f>
        <v>385883.04420180724</v>
      </c>
      <c r="AI67" s="533">
        <f ca="1">-SUMIF('10. Inputs &amp; Calcs'!$D$279:$D$284,$E$10,'10. Inputs &amp; Calcs'!AA$279:AA$284)</f>
        <v>385883.04420180724</v>
      </c>
      <c r="AJ67" s="533">
        <f ca="1">-SUMIF('10. Inputs &amp; Calcs'!$D$279:$D$284,$E$10,'10. Inputs &amp; Calcs'!AB$279:AB$284)</f>
        <v>86073415.425300524</v>
      </c>
      <c r="AK67" s="533">
        <f ca="1">-SUMIF('10. Inputs &amp; Calcs'!$D$279:$D$284,$E$10,'10. Inputs &amp; Calcs'!AC$279:AC$284)</f>
        <v>0</v>
      </c>
      <c r="AL67" s="533">
        <f ca="1">SUM(Q67:AK67)</f>
        <v>99983580.399622828</v>
      </c>
    </row>
    <row r="68" spans="2:46" x14ac:dyDescent="0.45">
      <c r="N68" s="533"/>
    </row>
    <row r="69" spans="2:46" x14ac:dyDescent="0.45">
      <c r="N69" s="533"/>
    </row>
    <row r="71" spans="2:46" x14ac:dyDescent="0.45">
      <c r="D71" t="s">
        <v>1038</v>
      </c>
      <c r="N71" s="533">
        <f>SUMIF('10. Inputs &amp; Calcs'!$D$763:$D$768,$E$10,'10. Inputs &amp; Calcs'!F$763:F$768)</f>
        <v>1959237000</v>
      </c>
      <c r="O71" s="533">
        <f>SUMIF('10. Inputs &amp; Calcs'!$D$763:$D$768,$E$10,'10. Inputs &amp; Calcs'!G$763:G$768)</f>
        <v>1934936000</v>
      </c>
      <c r="P71" s="533">
        <f>SUMIF('10. Inputs &amp; Calcs'!$D$763:$D$768,$E$10,'10. Inputs &amp; Calcs'!H$763:H$768)</f>
        <v>1975122000</v>
      </c>
      <c r="Q71" s="801">
        <f>SUMIF('10. Inputs &amp; Calcs'!$D$763:$D$768,$E$10,'10. Inputs &amp; Calcs'!I$763:I$768)</f>
        <v>1975122000</v>
      </c>
      <c r="R71" s="801">
        <f>SUMIF('10. Inputs &amp; Calcs'!$D$763:$D$768,$E$10,'10. Inputs &amp; Calcs'!J$763:J$768)</f>
        <v>1975122000</v>
      </c>
      <c r="S71" s="801">
        <f>SUMIF('10. Inputs &amp; Calcs'!$D$763:$D$768,$E$10,'10. Inputs &amp; Calcs'!K$763:K$768)</f>
        <v>1975122000</v>
      </c>
      <c r="T71" s="801">
        <f>SUMIF('10. Inputs &amp; Calcs'!$D$763:$D$768,$E$10,'10. Inputs &amp; Calcs'!L$763:L$768)</f>
        <v>1975122000</v>
      </c>
      <c r="U71" s="801">
        <f>SUMIF('10. Inputs &amp; Calcs'!$D$763:$D$768,$E$10,'10. Inputs &amp; Calcs'!M$763:M$768)</f>
        <v>1975122000</v>
      </c>
      <c r="V71" s="801">
        <f>SUMIF('10. Inputs &amp; Calcs'!$D$763:$D$768,$E$10,'10. Inputs &amp; Calcs'!N$763:N$768)</f>
        <v>1975122000</v>
      </c>
      <c r="W71" s="801">
        <f>SUMIF('10. Inputs &amp; Calcs'!$D$763:$D$768,$E$10,'10. Inputs &amp; Calcs'!O$763:O$768)</f>
        <v>1975122000</v>
      </c>
      <c r="X71" s="801">
        <f>SUMIF('10. Inputs &amp; Calcs'!$D$763:$D$768,$E$10,'10. Inputs &amp; Calcs'!P$763:P$768)</f>
        <v>1975122000</v>
      </c>
      <c r="Y71" s="801">
        <f>SUMIF('10. Inputs &amp; Calcs'!$D$763:$D$768,$E$10,'10. Inputs &amp; Calcs'!Q$763:Q$768)</f>
        <v>1975122000</v>
      </c>
      <c r="Z71" s="801">
        <f>SUMIF('10. Inputs &amp; Calcs'!$D$763:$D$768,$E$10,'10. Inputs &amp; Calcs'!R$763:R$768)</f>
        <v>1975122000</v>
      </c>
      <c r="AA71" s="801">
        <f>SUMIF('10. Inputs &amp; Calcs'!$D$763:$D$768,$E$10,'10. Inputs &amp; Calcs'!S$763:S$768)</f>
        <v>1975122000</v>
      </c>
      <c r="AB71" s="801">
        <f>SUMIF('10. Inputs &amp; Calcs'!$D$763:$D$768,$E$10,'10. Inputs &amp; Calcs'!T$763:T$768)</f>
        <v>1975122000</v>
      </c>
      <c r="AC71" s="801">
        <f>SUMIF('10. Inputs &amp; Calcs'!$D$763:$D$768,$E$10,'10. Inputs &amp; Calcs'!U$763:U$768)</f>
        <v>1975122000</v>
      </c>
      <c r="AD71" s="801">
        <f>SUMIF('10. Inputs &amp; Calcs'!$D$763:$D$768,$E$10,'10. Inputs &amp; Calcs'!V$763:V$768)</f>
        <v>1975122000</v>
      </c>
      <c r="AE71" s="801">
        <f>SUMIF('10. Inputs &amp; Calcs'!$D$763:$D$768,$E$10,'10. Inputs &amp; Calcs'!W$763:W$768)</f>
        <v>1975122000</v>
      </c>
      <c r="AF71" s="533">
        <f>SUMIF('10. Inputs &amp; Calcs'!$D$763:$D$768,$E$10,'10. Inputs &amp; Calcs'!X$763:X$768)</f>
        <v>1975122000</v>
      </c>
      <c r="AG71" s="533">
        <f>SUMIF('10. Inputs &amp; Calcs'!$D$763:$D$768,$E$10,'10. Inputs &amp; Calcs'!Y$763:Y$768)</f>
        <v>1975122000</v>
      </c>
      <c r="AH71" s="533">
        <f>SUMIF('10. Inputs &amp; Calcs'!$D$763:$D$768,$E$10,'10. Inputs &amp; Calcs'!Z$763:Z$768)</f>
        <v>1975122000</v>
      </c>
      <c r="AI71" s="533">
        <f>SUMIF('10. Inputs &amp; Calcs'!$D$763:$D$768,$E$10,'10. Inputs &amp; Calcs'!AA$763:AA$768)</f>
        <v>1975122000</v>
      </c>
      <c r="AJ71" s="533">
        <f>SUMIF('10. Inputs &amp; Calcs'!$D$763:$D$768,$E$10,'10. Inputs &amp; Calcs'!AB$763:AB$768)</f>
        <v>1975122000</v>
      </c>
      <c r="AK71" s="533">
        <f>SUMIF('10. Inputs &amp; Calcs'!$D$763:$D$768,$E$10,'10. Inputs &amp; Calcs'!AC$763:AC$768)</f>
        <v>1975122000</v>
      </c>
      <c r="AL71" s="533">
        <f>SUM(Q71:AK71)</f>
        <v>41477562000</v>
      </c>
    </row>
    <row r="72" spans="2:46" x14ac:dyDescent="0.45">
      <c r="D72" t="s">
        <v>233</v>
      </c>
      <c r="N72" s="533">
        <f t="shared" ref="N72:AL72" si="23">N67</f>
        <v>562843</v>
      </c>
      <c r="O72" s="533">
        <f t="shared" si="23"/>
        <v>358439</v>
      </c>
      <c r="P72" s="533">
        <f t="shared" si="23"/>
        <v>267958</v>
      </c>
      <c r="Q72" s="801">
        <f t="shared" ca="1" si="23"/>
        <v>2811433.6077560242</v>
      </c>
      <c r="R72" s="801">
        <f t="shared" ca="1" si="23"/>
        <v>2811433.6077560242</v>
      </c>
      <c r="S72" s="801">
        <f t="shared" ca="1" si="23"/>
        <v>2113169.0515813255</v>
      </c>
      <c r="T72" s="801">
        <f t="shared" ca="1" si="23"/>
        <v>385883.04420180724</v>
      </c>
      <c r="U72" s="801">
        <f t="shared" ca="1" si="23"/>
        <v>385883.04420180724</v>
      </c>
      <c r="V72" s="801">
        <f t="shared" ca="1" si="23"/>
        <v>385883.04420180724</v>
      </c>
      <c r="W72" s="801">
        <f t="shared" ca="1" si="23"/>
        <v>385883.04420180724</v>
      </c>
      <c r="X72" s="801">
        <f t="shared" ca="1" si="23"/>
        <v>385883.04420180724</v>
      </c>
      <c r="Y72" s="801">
        <f t="shared" ca="1" si="23"/>
        <v>385883.04420180724</v>
      </c>
      <c r="Z72" s="801">
        <f t="shared" ca="1" si="23"/>
        <v>385883.04420180724</v>
      </c>
      <c r="AA72" s="801">
        <f t="shared" ca="1" si="23"/>
        <v>385883.04420180724</v>
      </c>
      <c r="AB72" s="801">
        <f t="shared" ca="1" si="23"/>
        <v>385883.04420180724</v>
      </c>
      <c r="AC72" s="801">
        <f t="shared" ca="1" si="23"/>
        <v>385883.04420180724</v>
      </c>
      <c r="AD72" s="801">
        <f t="shared" ca="1" si="23"/>
        <v>385883.04420180724</v>
      </c>
      <c r="AE72" s="801">
        <f t="shared" ca="1" si="23"/>
        <v>385883.04420180724</v>
      </c>
      <c r="AF72" s="533">
        <f t="shared" ca="1" si="23"/>
        <v>385883.04420180724</v>
      </c>
      <c r="AG72" s="533">
        <f t="shared" ca="1" si="23"/>
        <v>385883.04420180724</v>
      </c>
      <c r="AH72" s="533">
        <f t="shared" ca="1" si="23"/>
        <v>385883.04420180724</v>
      </c>
      <c r="AI72" s="533">
        <f t="shared" ca="1" si="23"/>
        <v>385883.04420180724</v>
      </c>
      <c r="AJ72" s="533">
        <f t="shared" ca="1" si="23"/>
        <v>86073415.425300524</v>
      </c>
      <c r="AK72" s="533">
        <f t="shared" ca="1" si="23"/>
        <v>0</v>
      </c>
      <c r="AL72" s="533">
        <f t="shared" ca="1" si="23"/>
        <v>99983580.399622828</v>
      </c>
    </row>
    <row r="73" spans="2:46" x14ac:dyDescent="0.45">
      <c r="D73" t="s">
        <v>1037</v>
      </c>
      <c r="N73" s="559">
        <f>N48/N71</f>
        <v>1.8612244919833591E-3</v>
      </c>
      <c r="O73" s="559">
        <f t="shared" ref="O73:AL73" si="24">O48/O71</f>
        <v>3.0567023276222064E-3</v>
      </c>
      <c r="P73" s="559">
        <f t="shared" si="24"/>
        <v>1.9207221224815491E-3</v>
      </c>
      <c r="Q73" s="581">
        <f ca="1">Q48/Q71</f>
        <v>-1.5036128049372385E-4</v>
      </c>
      <c r="R73" s="581">
        <f t="shared" ca="1" si="24"/>
        <v>-6.0007759839622544E-4</v>
      </c>
      <c r="S73" s="581">
        <f t="shared" ca="1" si="24"/>
        <v>-1.3680132614153043E-3</v>
      </c>
      <c r="T73" s="581">
        <f t="shared" ca="1" si="24"/>
        <v>-2.4909833680134309E-3</v>
      </c>
      <c r="U73" s="581">
        <f t="shared" ca="1" si="24"/>
        <v>-2.561331768210484E-3</v>
      </c>
      <c r="V73" s="581">
        <f t="shared" ca="1" si="24"/>
        <v>-2.6216194460488992E-3</v>
      </c>
      <c r="W73" s="581">
        <f t="shared" ca="1" si="24"/>
        <v>-2.6707068010564943E-3</v>
      </c>
      <c r="X73" s="581">
        <f t="shared" ca="1" si="24"/>
        <v>-2.7073593103942801E-3</v>
      </c>
      <c r="Y73" s="581">
        <f t="shared" ca="1" si="24"/>
        <v>-2.7302405346875396E-3</v>
      </c>
      <c r="Z73" s="581">
        <f t="shared" ca="1" si="24"/>
        <v>-2.7379046416384925E-3</v>
      </c>
      <c r="AA73" s="581">
        <f t="shared" ca="1" si="24"/>
        <v>-2.728788415533858E-3</v>
      </c>
      <c r="AB73" s="581">
        <f t="shared" ca="1" si="24"/>
        <v>-2.7012027187118572E-3</v>
      </c>
      <c r="AC73" s="581">
        <f t="shared" ca="1" si="24"/>
        <v>-2.6533233688754102E-3</v>
      </c>
      <c r="AD73" s="581">
        <f t="shared" ca="1" si="24"/>
        <v>-2.583181393823675E-3</v>
      </c>
      <c r="AE73" s="581">
        <f t="shared" ca="1" si="24"/>
        <v>-2.4886526227140865E-3</v>
      </c>
      <c r="AF73" s="559">
        <f t="shared" ca="1" si="24"/>
        <v>-2.3674465703526766E-3</v>
      </c>
      <c r="AG73" s="559">
        <f t="shared" ca="1" si="24"/>
        <v>-2.2170945682322115E-3</v>
      </c>
      <c r="AH73" s="559">
        <f t="shared" ca="1" si="24"/>
        <v>-2.0349370930854527E-3</v>
      </c>
      <c r="AI73" s="559">
        <f t="shared" ca="1" si="24"/>
        <v>-1.818110240583782E-3</v>
      </c>
      <c r="AJ73" s="559">
        <f t="shared" ca="1" si="24"/>
        <v>4.1961801425677327E-5</v>
      </c>
      <c r="AK73" s="559">
        <f t="shared" ca="1" si="24"/>
        <v>0</v>
      </c>
      <c r="AL73" s="559">
        <f t="shared" ca="1" si="24"/>
        <v>-2.0090177714686772E-3</v>
      </c>
    </row>
    <row r="74" spans="2:46" x14ac:dyDescent="0.45">
      <c r="Q74" s="581"/>
      <c r="R74" s="581"/>
      <c r="S74" s="581"/>
      <c r="T74" s="581"/>
      <c r="U74" s="581"/>
      <c r="V74" s="581"/>
      <c r="W74" s="582"/>
      <c r="X74" s="18"/>
      <c r="Y74" s="18"/>
      <c r="Z74" s="18"/>
      <c r="AA74" s="18"/>
      <c r="AB74" s="18"/>
      <c r="AC74" s="18"/>
      <c r="AD74" s="18"/>
      <c r="AE74" s="18"/>
    </row>
    <row r="75" spans="2:46" hidden="1" outlineLevel="1" x14ac:dyDescent="0.45">
      <c r="D75" s="451" t="s">
        <v>19</v>
      </c>
      <c r="F75" s="18"/>
      <c r="G75" s="18"/>
      <c r="I75" s="18"/>
      <c r="J75" s="18"/>
      <c r="K75" s="18"/>
      <c r="L75" s="18"/>
      <c r="N75" s="533"/>
      <c r="O75" s="533"/>
      <c r="P75" s="533"/>
      <c r="Q75" s="581"/>
      <c r="R75" s="581"/>
      <c r="S75" s="581"/>
      <c r="T75" s="581"/>
      <c r="U75" s="581"/>
      <c r="V75" s="581"/>
      <c r="W75" s="582"/>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2:46" hidden="1" outlineLevel="1" x14ac:dyDescent="0.45">
      <c r="D76" t="s">
        <v>1539</v>
      </c>
      <c r="F76" s="18"/>
      <c r="G76" s="18"/>
      <c r="I76" s="18"/>
      <c r="J76" s="18"/>
      <c r="K76" s="18"/>
      <c r="L76" s="18"/>
      <c r="O76" s="533"/>
      <c r="P76" s="533">
        <f>SUMIF('10. Inputs &amp; Calcs'!$D$628:$D$633,$E$10,'10. Inputs &amp; Calcs'!$H$628:$H$633)</f>
        <v>12200737.359999999</v>
      </c>
      <c r="Q76" s="801">
        <f t="shared" ref="Q76:AK76" si="25">P83</f>
        <v>12200737.359999999</v>
      </c>
      <c r="R76" s="801">
        <f t="shared" ca="1" si="25"/>
        <v>10809366.559999999</v>
      </c>
      <c r="S76" s="801">
        <f t="shared" ca="1" si="25"/>
        <v>8893607.4239999987</v>
      </c>
      <c r="T76" s="801">
        <f t="shared" ca="1" si="25"/>
        <v>7254870.0113986935</v>
      </c>
      <c r="U76" s="801">
        <f t="shared" ca="1" si="25"/>
        <v>7329519.0913986936</v>
      </c>
      <c r="V76" s="801">
        <f t="shared" ca="1" si="25"/>
        <v>7332193.301751636</v>
      </c>
      <c r="W76" s="801">
        <f t="shared" ca="1" si="25"/>
        <v>7262892.6424575187</v>
      </c>
      <c r="X76" s="801">
        <f t="shared" ca="1" si="25"/>
        <v>7157604.5483398717</v>
      </c>
      <c r="Y76" s="801">
        <f t="shared" ca="1" si="25"/>
        <v>6980341.584575166</v>
      </c>
      <c r="Z76" s="801">
        <f t="shared" ca="1" si="25"/>
        <v>6731103.7511634007</v>
      </c>
      <c r="AA76" s="801">
        <f t="shared" ca="1" si="25"/>
        <v>6409891.0481045777</v>
      </c>
      <c r="AB76" s="801">
        <f t="shared" ca="1" si="25"/>
        <v>6016703.4753986951</v>
      </c>
      <c r="AC76" s="801">
        <f t="shared" ca="1" si="25"/>
        <v>5551541.0330457538</v>
      </c>
      <c r="AD76" s="801">
        <f t="shared" ca="1" si="25"/>
        <v>5014403.7210457539</v>
      </c>
      <c r="AE76" s="801">
        <f t="shared" ca="1" si="25"/>
        <v>4405291.5393986944</v>
      </c>
      <c r="AF76" s="533">
        <f t="shared" ca="1" si="25"/>
        <v>3724204.4881045762</v>
      </c>
      <c r="AG76" s="533">
        <f t="shared" ca="1" si="25"/>
        <v>2971142.5671633985</v>
      </c>
      <c r="AH76" s="533">
        <f t="shared" ca="1" si="25"/>
        <v>2146105.7765751625</v>
      </c>
      <c r="AI76" s="533">
        <f t="shared" ca="1" si="25"/>
        <v>1249094.1163398679</v>
      </c>
      <c r="AJ76" s="533">
        <f t="shared" ca="1" si="25"/>
        <v>280107.58645751374</v>
      </c>
      <c r="AK76" s="533">
        <f t="shared" ca="1" si="25"/>
        <v>0</v>
      </c>
      <c r="AL76" s="533">
        <f>P76</f>
        <v>12200737.359999999</v>
      </c>
      <c r="AM76" s="18"/>
      <c r="AN76" s="18"/>
      <c r="AO76" s="18"/>
      <c r="AP76" s="18"/>
      <c r="AQ76" s="18"/>
      <c r="AR76" s="18"/>
      <c r="AS76" s="18"/>
      <c r="AT76" s="18"/>
    </row>
    <row r="77" spans="2:46" hidden="1" outlineLevel="1" x14ac:dyDescent="0.45">
      <c r="D77" t="s">
        <v>1546</v>
      </c>
      <c r="F77" s="18"/>
      <c r="G77" s="18"/>
      <c r="I77" s="18"/>
      <c r="J77" s="18"/>
      <c r="K77" s="18"/>
      <c r="L77" s="18"/>
      <c r="N77" s="533"/>
      <c r="O77" s="533"/>
      <c r="P77" s="533">
        <f>IF(P84&gt;P76,P84-P76,0)</f>
        <v>0</v>
      </c>
      <c r="Q77" s="801">
        <f>IF(Q84&gt;Q76,Q84-Q76,0)</f>
        <v>0</v>
      </c>
      <c r="R77" s="801">
        <f ca="1">IF(R84&gt;R76,R84-R76,0)</f>
        <v>0</v>
      </c>
      <c r="S77" s="801">
        <f t="shared" ref="S77:AK77" ca="1" si="26">IF(S84&gt;S76,S84-S76,0)</f>
        <v>0</v>
      </c>
      <c r="T77" s="801">
        <f t="shared" ca="1" si="26"/>
        <v>74649.080000000075</v>
      </c>
      <c r="U77" s="801">
        <f t="shared" ca="1" si="26"/>
        <v>2674.2103529423475</v>
      </c>
      <c r="V77" s="801">
        <f t="shared" ca="1" si="26"/>
        <v>0</v>
      </c>
      <c r="W77" s="801">
        <f t="shared" ca="1" si="26"/>
        <v>0</v>
      </c>
      <c r="X77" s="801">
        <f t="shared" ca="1" si="26"/>
        <v>0</v>
      </c>
      <c r="Y77" s="801">
        <f t="shared" ca="1" si="26"/>
        <v>0</v>
      </c>
      <c r="Z77" s="801">
        <f t="shared" ca="1" si="26"/>
        <v>0</v>
      </c>
      <c r="AA77" s="801">
        <f t="shared" ca="1" si="26"/>
        <v>0</v>
      </c>
      <c r="AB77" s="801">
        <f t="shared" ca="1" si="26"/>
        <v>0</v>
      </c>
      <c r="AC77" s="801">
        <f t="shared" ca="1" si="26"/>
        <v>0</v>
      </c>
      <c r="AD77" s="801">
        <f t="shared" ca="1" si="26"/>
        <v>0</v>
      </c>
      <c r="AE77" s="801">
        <f t="shared" ca="1" si="26"/>
        <v>0</v>
      </c>
      <c r="AF77" s="533">
        <f t="shared" ca="1" si="26"/>
        <v>0</v>
      </c>
      <c r="AG77" s="533">
        <f t="shared" ca="1" si="26"/>
        <v>0</v>
      </c>
      <c r="AH77" s="533">
        <f t="shared" ca="1" si="26"/>
        <v>0</v>
      </c>
      <c r="AI77" s="533">
        <f t="shared" ca="1" si="26"/>
        <v>0</v>
      </c>
      <c r="AJ77" s="533">
        <f t="shared" ca="1" si="26"/>
        <v>0</v>
      </c>
      <c r="AK77" s="533">
        <f t="shared" ca="1" si="26"/>
        <v>0</v>
      </c>
      <c r="AL77" s="533">
        <f ca="1">SUM(P77:AK77)</f>
        <v>77323.290352942422</v>
      </c>
      <c r="AM77" s="18"/>
      <c r="AN77" s="18"/>
      <c r="AO77" s="18"/>
      <c r="AP77" s="18"/>
      <c r="AQ77" s="18"/>
      <c r="AR77" s="18"/>
      <c r="AS77" s="18"/>
      <c r="AT77" s="18"/>
    </row>
    <row r="78" spans="2:46" hidden="1" outlineLevel="1" x14ac:dyDescent="0.45">
      <c r="D78" t="s">
        <v>1547</v>
      </c>
      <c r="F78" s="18"/>
      <c r="G78" s="18"/>
      <c r="I78" s="18"/>
      <c r="J78" s="18"/>
      <c r="K78" s="18"/>
      <c r="L78" s="18"/>
      <c r="N78" s="533"/>
      <c r="O78" s="533"/>
      <c r="P78" s="533">
        <f>IF(P84&lt;P76,P84-P76,0)</f>
        <v>0</v>
      </c>
      <c r="Q78" s="801">
        <f>IF(Q84&lt;Q76,Q84-Q76,0)</f>
        <v>-1391370.7999999989</v>
      </c>
      <c r="R78" s="801">
        <f ca="1">IF(R84&lt;R76,R84-R76,0)</f>
        <v>-1915759.1359999981</v>
      </c>
      <c r="S78" s="801">
        <f t="shared" ref="S78:AK78" ca="1" si="27">IF(S84&lt;S76,S84-S76,0)</f>
        <v>-1638737.4126013052</v>
      </c>
      <c r="T78" s="801">
        <f t="shared" ca="1" si="27"/>
        <v>0</v>
      </c>
      <c r="U78" s="801">
        <f t="shared" ca="1" si="27"/>
        <v>0</v>
      </c>
      <c r="V78" s="801">
        <f t="shared" ca="1" si="27"/>
        <v>-69300.659294117242</v>
      </c>
      <c r="W78" s="801">
        <f t="shared" ca="1" si="27"/>
        <v>-105288.09411764704</v>
      </c>
      <c r="X78" s="801">
        <f t="shared" ca="1" si="27"/>
        <v>-177262.9637647057</v>
      </c>
      <c r="Y78" s="801">
        <f t="shared" ca="1" si="27"/>
        <v>-249237.83341176528</v>
      </c>
      <c r="Z78" s="801">
        <f t="shared" ca="1" si="27"/>
        <v>-321212.70305882301</v>
      </c>
      <c r="AA78" s="801">
        <f t="shared" ca="1" si="27"/>
        <v>-393187.5727058826</v>
      </c>
      <c r="AB78" s="801">
        <f t="shared" ca="1" si="27"/>
        <v>-465162.44235294126</v>
      </c>
      <c r="AC78" s="801">
        <f t="shared" ca="1" si="27"/>
        <v>-537137.31199999992</v>
      </c>
      <c r="AD78" s="801">
        <f t="shared" ca="1" si="27"/>
        <v>-609112.18164705951</v>
      </c>
      <c r="AE78" s="801">
        <f t="shared" ca="1" si="27"/>
        <v>-681087.05129411863</v>
      </c>
      <c r="AF78" s="533">
        <f t="shared" ca="1" si="27"/>
        <v>-753061.92094117776</v>
      </c>
      <c r="AG78" s="533">
        <f t="shared" ca="1" si="27"/>
        <v>-825036.79058823595</v>
      </c>
      <c r="AH78" s="533">
        <f t="shared" ca="1" si="27"/>
        <v>-897011.66023529484</v>
      </c>
      <c r="AI78" s="533">
        <f t="shared" ca="1" si="27"/>
        <v>-968986.5298823542</v>
      </c>
      <c r="AJ78" s="533">
        <f t="shared" ca="1" si="27"/>
        <v>-280107.58645751374</v>
      </c>
      <c r="AK78" s="533">
        <f t="shared" ca="1" si="27"/>
        <v>0</v>
      </c>
      <c r="AL78" s="533">
        <f ca="1">SUM(P78:AK78)</f>
        <v>-12278060.650352938</v>
      </c>
      <c r="AM78" s="18"/>
      <c r="AN78" s="18"/>
      <c r="AO78" s="18"/>
      <c r="AP78" s="18"/>
      <c r="AQ78" s="18"/>
      <c r="AR78" s="18"/>
      <c r="AS78" s="18"/>
      <c r="AT78" s="18"/>
    </row>
    <row r="79" spans="2:46" hidden="1" outlineLevel="1" x14ac:dyDescent="0.45">
      <c r="D79" t="s">
        <v>1537</v>
      </c>
      <c r="F79" s="18"/>
      <c r="G79" s="18"/>
      <c r="I79" s="18"/>
      <c r="J79" s="18"/>
      <c r="K79" s="18"/>
      <c r="L79" s="18"/>
      <c r="N79" s="533"/>
      <c r="O79" s="533"/>
      <c r="P79" s="533"/>
      <c r="Q79" s="801">
        <f ca="1">'10. Inputs &amp; Calcs'!I148*0</f>
        <v>0</v>
      </c>
      <c r="R79" s="801">
        <f ca="1">'10. Inputs &amp; Calcs'!J148*0</f>
        <v>0</v>
      </c>
      <c r="S79" s="801">
        <f ca="1">'10. Inputs &amp; Calcs'!K148*0</f>
        <v>0</v>
      </c>
      <c r="T79" s="801"/>
      <c r="U79" s="801"/>
      <c r="V79" s="801"/>
      <c r="W79" s="801"/>
      <c r="X79" s="801"/>
      <c r="Y79" s="801"/>
      <c r="Z79" s="801"/>
      <c r="AA79" s="801"/>
      <c r="AB79" s="801"/>
      <c r="AC79" s="801"/>
      <c r="AD79" s="801"/>
      <c r="AE79" s="801"/>
      <c r="AF79" s="533"/>
      <c r="AG79" s="533"/>
      <c r="AH79" s="533"/>
      <c r="AI79" s="533"/>
      <c r="AJ79" s="533"/>
      <c r="AK79" s="533"/>
      <c r="AL79" s="533">
        <f ca="1">SUM(P79:AK79)</f>
        <v>0</v>
      </c>
      <c r="AM79" s="18"/>
      <c r="AN79" s="18"/>
      <c r="AO79" s="18"/>
      <c r="AP79" s="18"/>
      <c r="AQ79" s="18"/>
      <c r="AR79" s="18"/>
      <c r="AS79" s="18"/>
      <c r="AT79" s="18"/>
    </row>
    <row r="80" spans="2:46" hidden="1" outlineLevel="1" x14ac:dyDescent="0.45">
      <c r="D80" t="s">
        <v>1540</v>
      </c>
      <c r="F80" s="18"/>
      <c r="G80" s="18"/>
      <c r="I80" s="18"/>
      <c r="J80" s="18"/>
      <c r="K80" s="18"/>
      <c r="L80" s="18"/>
      <c r="N80" s="533"/>
      <c r="O80" s="533"/>
      <c r="P80" s="533">
        <f t="shared" ref="P80:AL80" si="28">P19</f>
        <v>7528558.1400000006</v>
      </c>
      <c r="Q80" s="801">
        <f t="shared" si="28"/>
        <v>7943650.2061685389</v>
      </c>
      <c r="R80" s="801">
        <f t="shared" si="28"/>
        <v>7943650.2061685389</v>
      </c>
      <c r="S80" s="801">
        <f t="shared" si="28"/>
        <v>5970717.4752247185</v>
      </c>
      <c r="T80" s="801">
        <f t="shared" si="28"/>
        <v>1090304.9302584268</v>
      </c>
      <c r="U80" s="801">
        <f t="shared" si="28"/>
        <v>1090304.9302584268</v>
      </c>
      <c r="V80" s="801">
        <f t="shared" si="28"/>
        <v>1090304.9302584268</v>
      </c>
      <c r="W80" s="801">
        <f t="shared" si="28"/>
        <v>1090304.9302584268</v>
      </c>
      <c r="X80" s="801">
        <f t="shared" si="28"/>
        <v>1090304.9302584268</v>
      </c>
      <c r="Y80" s="801">
        <f t="shared" si="28"/>
        <v>1090304.9302584268</v>
      </c>
      <c r="Z80" s="801">
        <f t="shared" si="28"/>
        <v>1090304.9302584268</v>
      </c>
      <c r="AA80" s="801">
        <f t="shared" si="28"/>
        <v>1090304.9302584268</v>
      </c>
      <c r="AB80" s="801">
        <f t="shared" si="28"/>
        <v>1090304.9302584268</v>
      </c>
      <c r="AC80" s="801">
        <f t="shared" si="28"/>
        <v>1090304.9302584268</v>
      </c>
      <c r="AD80" s="801">
        <f t="shared" si="28"/>
        <v>1090304.9302584268</v>
      </c>
      <c r="AE80" s="801">
        <f t="shared" si="28"/>
        <v>1090304.9302584268</v>
      </c>
      <c r="AF80" s="533">
        <f t="shared" si="28"/>
        <v>1090304.9302584268</v>
      </c>
      <c r="AG80" s="533">
        <f t="shared" si="28"/>
        <v>1090304.9302584268</v>
      </c>
      <c r="AH80" s="533">
        <f t="shared" si="28"/>
        <v>1090304.9302584268</v>
      </c>
      <c r="AI80" s="533">
        <f t="shared" si="28"/>
        <v>1090304.9302584268</v>
      </c>
      <c r="AJ80" s="533">
        <f t="shared" si="28"/>
        <v>415354.25914606737</v>
      </c>
      <c r="AK80" s="533">
        <f t="shared" si="28"/>
        <v>0</v>
      </c>
      <c r="AL80" s="533">
        <f t="shared" si="28"/>
        <v>39718251.030842677</v>
      </c>
      <c r="AM80" s="18"/>
      <c r="AN80" s="18"/>
      <c r="AO80" s="18"/>
      <c r="AP80" s="18"/>
      <c r="AQ80" s="18"/>
      <c r="AR80" s="18"/>
      <c r="AS80" s="18"/>
      <c r="AT80" s="18"/>
    </row>
    <row r="81" spans="1:46" hidden="1" outlineLevel="1" x14ac:dyDescent="0.45">
      <c r="D81" t="s">
        <v>379</v>
      </c>
      <c r="F81" s="18"/>
      <c r="G81" s="18"/>
      <c r="I81" s="18"/>
      <c r="J81" s="18"/>
      <c r="K81" s="18"/>
      <c r="L81" s="18"/>
      <c r="N81" s="533"/>
      <c r="O81" s="533"/>
      <c r="P81" s="533">
        <f t="shared" ref="P81:AL81" si="29">-P21</f>
        <v>-6715148.580000001</v>
      </c>
      <c r="Q81" s="801">
        <f t="shared" si="29"/>
        <v>-4547081.6667711753</v>
      </c>
      <c r="R81" s="801">
        <f t="shared" si="29"/>
        <v>-4547081.6667711753</v>
      </c>
      <c r="S81" s="801">
        <f t="shared" si="29"/>
        <v>-3417741.1220829091</v>
      </c>
      <c r="T81" s="801">
        <f t="shared" si="29"/>
        <v>-624109.24838035728</v>
      </c>
      <c r="U81" s="801">
        <f t="shared" si="29"/>
        <v>-624109.24838035728</v>
      </c>
      <c r="V81" s="801">
        <f t="shared" si="29"/>
        <v>-624109.24838035728</v>
      </c>
      <c r="W81" s="801">
        <f t="shared" si="29"/>
        <v>-624109.24838035728</v>
      </c>
      <c r="X81" s="801">
        <f t="shared" si="29"/>
        <v>-624109.24838035728</v>
      </c>
      <c r="Y81" s="801">
        <f t="shared" si="29"/>
        <v>-624109.24838035728</v>
      </c>
      <c r="Z81" s="801">
        <f t="shared" si="29"/>
        <v>-624109.24838035728</v>
      </c>
      <c r="AA81" s="801">
        <f t="shared" si="29"/>
        <v>-624109.24838035728</v>
      </c>
      <c r="AB81" s="801">
        <f t="shared" si="29"/>
        <v>-624109.24838035728</v>
      </c>
      <c r="AC81" s="801">
        <f t="shared" si="29"/>
        <v>-624109.24838035728</v>
      </c>
      <c r="AD81" s="801">
        <f t="shared" si="29"/>
        <v>-624109.24838035728</v>
      </c>
      <c r="AE81" s="801">
        <f t="shared" si="29"/>
        <v>-624109.24838035728</v>
      </c>
      <c r="AF81" s="533">
        <f t="shared" si="29"/>
        <v>-624109.24838035728</v>
      </c>
      <c r="AG81" s="533">
        <f t="shared" si="29"/>
        <v>-624109.24838035728</v>
      </c>
      <c r="AH81" s="533">
        <f t="shared" si="29"/>
        <v>-624109.24838035728</v>
      </c>
      <c r="AI81" s="533">
        <f t="shared" si="29"/>
        <v>-624109.24838035728</v>
      </c>
      <c r="AJ81" s="533">
        <f t="shared" si="29"/>
        <v>-237755.90414489803</v>
      </c>
      <c r="AK81" s="533">
        <f t="shared" si="29"/>
        <v>0</v>
      </c>
      <c r="AL81" s="533">
        <f t="shared" si="29"/>
        <v>-22735408.33385586</v>
      </c>
      <c r="AM81" s="18"/>
      <c r="AN81" s="18"/>
      <c r="AO81" s="18"/>
      <c r="AP81" s="18"/>
      <c r="AQ81" s="18"/>
      <c r="AR81" s="18"/>
      <c r="AS81" s="18"/>
      <c r="AT81" s="18"/>
    </row>
    <row r="82" spans="1:46" hidden="1" outlineLevel="1" x14ac:dyDescent="0.45">
      <c r="D82" t="s">
        <v>1545</v>
      </c>
      <c r="F82" s="18"/>
      <c r="G82" s="18"/>
      <c r="I82" s="18"/>
      <c r="J82" s="18"/>
      <c r="K82" s="18"/>
      <c r="L82" s="18"/>
      <c r="N82" s="533"/>
      <c r="O82" s="533"/>
      <c r="P82" s="533">
        <f t="shared" ref="P82:AL82" si="30">-P80-P81</f>
        <v>-813409.55999999959</v>
      </c>
      <c r="Q82" s="801">
        <f t="shared" si="30"/>
        <v>-3396568.5393973636</v>
      </c>
      <c r="R82" s="801">
        <f t="shared" si="30"/>
        <v>-3396568.5393973636</v>
      </c>
      <c r="S82" s="801">
        <f t="shared" si="30"/>
        <v>-2552976.3531418093</v>
      </c>
      <c r="T82" s="801">
        <f t="shared" si="30"/>
        <v>-466195.68187806953</v>
      </c>
      <c r="U82" s="801">
        <f t="shared" si="30"/>
        <v>-466195.68187806953</v>
      </c>
      <c r="V82" s="801">
        <f t="shared" si="30"/>
        <v>-466195.68187806953</v>
      </c>
      <c r="W82" s="801">
        <f t="shared" si="30"/>
        <v>-466195.68187806953</v>
      </c>
      <c r="X82" s="801">
        <f t="shared" si="30"/>
        <v>-466195.68187806953</v>
      </c>
      <c r="Y82" s="801">
        <f t="shared" si="30"/>
        <v>-466195.68187806953</v>
      </c>
      <c r="Z82" s="801">
        <f t="shared" si="30"/>
        <v>-466195.68187806953</v>
      </c>
      <c r="AA82" s="801">
        <f t="shared" si="30"/>
        <v>-466195.68187806953</v>
      </c>
      <c r="AB82" s="801">
        <f t="shared" si="30"/>
        <v>-466195.68187806953</v>
      </c>
      <c r="AC82" s="801">
        <f t="shared" si="30"/>
        <v>-466195.68187806953</v>
      </c>
      <c r="AD82" s="801">
        <f t="shared" si="30"/>
        <v>-466195.68187806953</v>
      </c>
      <c r="AE82" s="801">
        <f t="shared" si="30"/>
        <v>-466195.68187806953</v>
      </c>
      <c r="AF82" s="533">
        <f t="shared" si="30"/>
        <v>-466195.68187806953</v>
      </c>
      <c r="AG82" s="533">
        <f t="shared" si="30"/>
        <v>-466195.68187806953</v>
      </c>
      <c r="AH82" s="533">
        <f t="shared" si="30"/>
        <v>-466195.68187806953</v>
      </c>
      <c r="AI82" s="533">
        <f t="shared" si="30"/>
        <v>-466195.68187806953</v>
      </c>
      <c r="AJ82" s="533">
        <f t="shared" si="30"/>
        <v>-177598.35500116934</v>
      </c>
      <c r="AK82" s="533">
        <f t="shared" si="30"/>
        <v>0</v>
      </c>
      <c r="AL82" s="533">
        <f t="shared" si="30"/>
        <v>-16982842.696986817</v>
      </c>
      <c r="AM82" s="18"/>
      <c r="AN82" s="18"/>
      <c r="AO82" s="18"/>
      <c r="AP82" s="18"/>
      <c r="AQ82" s="18"/>
      <c r="AR82" s="18"/>
      <c r="AS82" s="18"/>
      <c r="AT82" s="18"/>
    </row>
    <row r="83" spans="1:46" hidden="1" outlineLevel="1" x14ac:dyDescent="0.45">
      <c r="D83" t="s">
        <v>1544</v>
      </c>
      <c r="F83" s="18"/>
      <c r="G83" s="18"/>
      <c r="I83" s="18"/>
      <c r="J83" s="18"/>
      <c r="K83" s="18"/>
      <c r="L83" s="18"/>
      <c r="N83" s="535"/>
      <c r="O83" s="535"/>
      <c r="P83" s="535">
        <f>SUM(P76:P82)</f>
        <v>12200737.359999999</v>
      </c>
      <c r="Q83" s="1135">
        <f t="shared" ref="Q83:AL83" ca="1" si="31">SUM(Q76:Q82)</f>
        <v>10809366.559999999</v>
      </c>
      <c r="R83" s="1135">
        <f ca="1">SUM(R76:R82)</f>
        <v>8893607.4239999987</v>
      </c>
      <c r="S83" s="1135">
        <f t="shared" ca="1" si="31"/>
        <v>7254870.0113986935</v>
      </c>
      <c r="T83" s="1135">
        <f t="shared" ca="1" si="31"/>
        <v>7329519.0913986936</v>
      </c>
      <c r="U83" s="1135">
        <f t="shared" ca="1" si="31"/>
        <v>7332193.301751636</v>
      </c>
      <c r="V83" s="1135">
        <f t="shared" ca="1" si="31"/>
        <v>7262892.6424575187</v>
      </c>
      <c r="W83" s="1135">
        <f t="shared" ca="1" si="31"/>
        <v>7157604.5483398717</v>
      </c>
      <c r="X83" s="1135">
        <f t="shared" ca="1" si="31"/>
        <v>6980341.584575166</v>
      </c>
      <c r="Y83" s="1135">
        <f t="shared" ca="1" si="31"/>
        <v>6731103.7511634007</v>
      </c>
      <c r="Z83" s="1135">
        <f t="shared" ca="1" si="31"/>
        <v>6409891.0481045777</v>
      </c>
      <c r="AA83" s="1135">
        <f t="shared" ca="1" si="31"/>
        <v>6016703.4753986951</v>
      </c>
      <c r="AB83" s="1135">
        <f t="shared" ca="1" si="31"/>
        <v>5551541.0330457538</v>
      </c>
      <c r="AC83" s="1135">
        <f t="shared" ca="1" si="31"/>
        <v>5014403.7210457539</v>
      </c>
      <c r="AD83" s="1135">
        <f t="shared" ca="1" si="31"/>
        <v>4405291.5393986944</v>
      </c>
      <c r="AE83" s="1135">
        <f t="shared" ca="1" si="31"/>
        <v>3724204.4881045762</v>
      </c>
      <c r="AF83" s="535">
        <f t="shared" ca="1" si="31"/>
        <v>2971142.5671633985</v>
      </c>
      <c r="AG83" s="535">
        <f t="shared" ca="1" si="31"/>
        <v>2146105.7765751625</v>
      </c>
      <c r="AH83" s="535">
        <f t="shared" ca="1" si="31"/>
        <v>1249094.1163398679</v>
      </c>
      <c r="AI83" s="535">
        <f t="shared" ca="1" si="31"/>
        <v>280107.58645751374</v>
      </c>
      <c r="AJ83" s="535">
        <f t="shared" ca="1" si="31"/>
        <v>0</v>
      </c>
      <c r="AK83" s="535">
        <f t="shared" ca="1" si="31"/>
        <v>0</v>
      </c>
      <c r="AL83" s="535">
        <f t="shared" ca="1" si="31"/>
        <v>0</v>
      </c>
      <c r="AM83" s="18"/>
      <c r="AN83" s="18"/>
      <c r="AO83" s="18"/>
      <c r="AP83" s="18"/>
      <c r="AQ83" s="18"/>
      <c r="AR83" s="18"/>
      <c r="AS83" s="18"/>
      <c r="AT83" s="18"/>
    </row>
    <row r="84" spans="1:46" hidden="1" outlineLevel="1" x14ac:dyDescent="0.45">
      <c r="F84" s="18"/>
      <c r="G84" s="18"/>
      <c r="I84" s="18"/>
      <c r="J84" s="18"/>
      <c r="K84" s="18"/>
      <c r="L84" s="18"/>
      <c r="P84" s="533">
        <f>SUMIF('10. Inputs &amp; Calcs'!$D$628:$D$633,$E$10,'10. Inputs &amp; Calcs'!H$628:H$633)</f>
        <v>12200737.359999999</v>
      </c>
      <c r="Q84" s="801">
        <f>SUMIF('10. Inputs &amp; Calcs'!$D$628:$D$633,$E$10,'10. Inputs &amp; Calcs'!I$628:I$633)</f>
        <v>10809366.560000001</v>
      </c>
      <c r="R84" s="801">
        <f>SUMIF('10. Inputs &amp; Calcs'!$D$628:$D$633,$E$10,'10. Inputs &amp; Calcs'!J$628:J$633)</f>
        <v>8893607.4240000006</v>
      </c>
      <c r="S84" s="801">
        <f>SUMIF('10. Inputs &amp; Calcs'!$D$628:$D$633,$E$10,'10. Inputs &amp; Calcs'!K$628:K$633)</f>
        <v>7254870.0113986935</v>
      </c>
      <c r="T84" s="801">
        <f>SUMIF('10. Inputs &amp; Calcs'!$D$628:$D$633,$E$10,'10. Inputs &amp; Calcs'!L$628:L$633)</f>
        <v>7329519.0913986936</v>
      </c>
      <c r="U84" s="801">
        <f>SUMIF('10. Inputs &amp; Calcs'!$D$628:$D$633,$E$10,'10. Inputs &amp; Calcs'!M$628:M$633)</f>
        <v>7332193.301751636</v>
      </c>
      <c r="V84" s="801">
        <f>SUMIF('10. Inputs &amp; Calcs'!$D$628:$D$633,$E$10,'10. Inputs &amp; Calcs'!N$628:N$633)</f>
        <v>7262892.6424575187</v>
      </c>
      <c r="W84" s="801">
        <f>SUMIF('10. Inputs &amp; Calcs'!$D$628:$D$633,$E$10,'10. Inputs &amp; Calcs'!O$628:O$633)</f>
        <v>7157604.5483398717</v>
      </c>
      <c r="X84" s="801">
        <f>SUMIF('10. Inputs &amp; Calcs'!$D$628:$D$633,$E$10,'10. Inputs &amp; Calcs'!P$628:P$633)</f>
        <v>6980341.584575166</v>
      </c>
      <c r="Y84" s="801">
        <f>SUMIF('10. Inputs &amp; Calcs'!$D$628:$D$633,$E$10,'10. Inputs &amp; Calcs'!Q$628:Q$633)</f>
        <v>6731103.7511634007</v>
      </c>
      <c r="Z84" s="801">
        <f>SUMIF('10. Inputs &amp; Calcs'!$D$628:$D$633,$E$10,'10. Inputs &amp; Calcs'!R$628:R$633)</f>
        <v>6409891.0481045777</v>
      </c>
      <c r="AA84" s="801">
        <f>SUMIF('10. Inputs &amp; Calcs'!$D$628:$D$633,$E$10,'10. Inputs &amp; Calcs'!S$628:S$633)</f>
        <v>6016703.4753986951</v>
      </c>
      <c r="AB84" s="801">
        <f>SUMIF('10. Inputs &amp; Calcs'!$D$628:$D$633,$E$10,'10. Inputs &amp; Calcs'!T$628:T$633)</f>
        <v>5551541.0330457538</v>
      </c>
      <c r="AC84" s="801">
        <f>SUMIF('10. Inputs &amp; Calcs'!$D$628:$D$633,$E$10,'10. Inputs &amp; Calcs'!U$628:U$633)</f>
        <v>5014403.7210457539</v>
      </c>
      <c r="AD84" s="801">
        <f>SUMIF('10. Inputs &amp; Calcs'!$D$628:$D$633,$E$10,'10. Inputs &amp; Calcs'!V$628:V$633)</f>
        <v>4405291.5393986944</v>
      </c>
      <c r="AE84" s="801">
        <f>SUMIF('10. Inputs &amp; Calcs'!$D$628:$D$633,$E$10,'10. Inputs &amp; Calcs'!W$628:W$633)</f>
        <v>3724204.4881045758</v>
      </c>
      <c r="AF84" s="533">
        <f>SUMIF('10. Inputs &amp; Calcs'!$D$628:$D$633,$E$10,'10. Inputs &amp; Calcs'!X$628:X$633)</f>
        <v>2971142.5671633985</v>
      </c>
      <c r="AG84" s="533">
        <f>SUMIF('10. Inputs &amp; Calcs'!$D$628:$D$633,$E$10,'10. Inputs &amp; Calcs'!Y$628:Y$633)</f>
        <v>2146105.7765751625</v>
      </c>
      <c r="AH84" s="533">
        <f>SUMIF('10. Inputs &amp; Calcs'!$D$628:$D$633,$E$10,'10. Inputs &amp; Calcs'!Z$628:Z$633)</f>
        <v>1249094.1163398677</v>
      </c>
      <c r="AI84" s="533">
        <f>SUMIF('10. Inputs &amp; Calcs'!$D$628:$D$633,$E$10,'10. Inputs &amp; Calcs'!AA$628:AA$633)</f>
        <v>280107.5864575138</v>
      </c>
      <c r="AJ84" s="533">
        <f>SUMIF('10. Inputs &amp; Calcs'!$D$628:$D$633,$E$10,'10. Inputs &amp; Calcs'!AB$628:AB$633)</f>
        <v>0</v>
      </c>
      <c r="AK84" s="533">
        <f>SUMIF('10. Inputs &amp; Calcs'!$D$628:$D$633,$E$10,'10. Inputs &amp; Calcs'!AC$628:AC$633)</f>
        <v>0</v>
      </c>
      <c r="AM84" s="18"/>
      <c r="AN84" s="18"/>
      <c r="AO84" s="18"/>
      <c r="AP84" s="18"/>
      <c r="AQ84" s="18"/>
      <c r="AR84" s="18"/>
      <c r="AS84" s="18"/>
      <c r="AT84" s="18"/>
    </row>
    <row r="85" spans="1:46" hidden="1" outlineLevel="1" x14ac:dyDescent="0.45">
      <c r="D85" s="451" t="s">
        <v>1541</v>
      </c>
      <c r="F85" s="18"/>
      <c r="G85" s="18"/>
      <c r="I85" s="18"/>
      <c r="J85" s="18"/>
      <c r="K85" s="18"/>
      <c r="L85" s="18"/>
      <c r="Q85" s="18"/>
      <c r="R85" s="18"/>
      <c r="S85" s="18"/>
      <c r="T85" s="18"/>
      <c r="U85" s="18"/>
      <c r="V85" s="18"/>
      <c r="W85" s="18"/>
      <c r="X85" s="18"/>
      <c r="Y85" s="18"/>
      <c r="Z85" s="18"/>
      <c r="AA85" s="18"/>
      <c r="AB85" s="18"/>
      <c r="AC85" s="18"/>
      <c r="AD85" s="18"/>
      <c r="AE85" s="18"/>
      <c r="AM85" s="18"/>
      <c r="AN85" s="18"/>
      <c r="AO85" s="18"/>
      <c r="AP85" s="18"/>
      <c r="AQ85" s="18"/>
      <c r="AR85" s="18"/>
      <c r="AS85" s="18"/>
      <c r="AT85" s="18"/>
    </row>
    <row r="86" spans="1:46" hidden="1" outlineLevel="1" x14ac:dyDescent="0.45">
      <c r="D86" t="s">
        <v>1539</v>
      </c>
      <c r="F86" s="18"/>
      <c r="G86" s="18"/>
      <c r="I86" s="18"/>
      <c r="J86" s="18"/>
      <c r="K86" s="18"/>
      <c r="L86" s="18"/>
      <c r="O86" s="533"/>
      <c r="P86" s="533">
        <f>SUMIF('10. Inputs &amp; Calcs'!$D$396:$D$400,$E$10,'10. Inputs &amp; Calcs'!$H$396:$H$400)</f>
        <v>46208161.329999998</v>
      </c>
      <c r="Q86" s="801">
        <f t="shared" ref="Q86:AK86" si="32">P93</f>
        <v>46476119.329999998</v>
      </c>
      <c r="R86" s="801">
        <f t="shared" si="32"/>
        <v>54151811.536168531</v>
      </c>
      <c r="S86" s="801">
        <f t="shared" si="32"/>
        <v>62095461.74233707</v>
      </c>
      <c r="T86" s="801">
        <f t="shared" si="32"/>
        <v>68066179.217561796</v>
      </c>
      <c r="U86" s="801">
        <f t="shared" si="32"/>
        <v>69156484.147820204</v>
      </c>
      <c r="V86" s="801">
        <f t="shared" si="32"/>
        <v>70246789.078078642</v>
      </c>
      <c r="W86" s="801">
        <f t="shared" si="32"/>
        <v>71337094.008337051</v>
      </c>
      <c r="X86" s="801">
        <f t="shared" si="32"/>
        <v>72427398.938595504</v>
      </c>
      <c r="Y86" s="801">
        <f t="shared" si="32"/>
        <v>73517703.868853942</v>
      </c>
      <c r="Z86" s="801">
        <f t="shared" si="32"/>
        <v>74608008.79911235</v>
      </c>
      <c r="AA86" s="801">
        <f t="shared" si="32"/>
        <v>75698313.729370773</v>
      </c>
      <c r="AB86" s="801">
        <f t="shared" si="32"/>
        <v>76788618.659629211</v>
      </c>
      <c r="AC86" s="801">
        <f t="shared" si="32"/>
        <v>77878923.589887634</v>
      </c>
      <c r="AD86" s="801">
        <f t="shared" si="32"/>
        <v>78969228.520146042</v>
      </c>
      <c r="AE86" s="801">
        <f t="shared" si="32"/>
        <v>80059533.45040448</v>
      </c>
      <c r="AF86" s="533">
        <f t="shared" si="32"/>
        <v>81149838.380662918</v>
      </c>
      <c r="AG86" s="533">
        <f t="shared" si="32"/>
        <v>82240143.310921326</v>
      </c>
      <c r="AH86" s="533">
        <f t="shared" si="32"/>
        <v>83330448.241179779</v>
      </c>
      <c r="AI86" s="533">
        <f t="shared" si="32"/>
        <v>84420753.171438187</v>
      </c>
      <c r="AJ86" s="533">
        <f t="shared" si="32"/>
        <v>85511058.101696625</v>
      </c>
      <c r="AK86" s="533">
        <f t="shared" si="32"/>
        <v>69798224.840644002</v>
      </c>
      <c r="AL86" s="533">
        <f>P86</f>
        <v>46208161.329999998</v>
      </c>
      <c r="AM86" s="18"/>
      <c r="AN86" s="18"/>
      <c r="AO86" s="18"/>
      <c r="AP86" s="18"/>
      <c r="AQ86" s="18"/>
      <c r="AR86" s="18"/>
      <c r="AS86" s="18"/>
      <c r="AT86" s="18"/>
    </row>
    <row r="87" spans="1:46" hidden="1" outlineLevel="1" x14ac:dyDescent="0.45">
      <c r="D87" t="s">
        <v>1546</v>
      </c>
      <c r="F87" s="18"/>
      <c r="G87" s="18"/>
      <c r="I87" s="18"/>
      <c r="J87" s="18"/>
      <c r="K87" s="18"/>
      <c r="L87" s="18"/>
      <c r="N87" s="533"/>
      <c r="O87" s="533"/>
      <c r="P87" s="533">
        <f t="shared" ref="P87:AK87" si="33">IF(P94&gt;P86,P94-P86-P89,0)</f>
        <v>0</v>
      </c>
      <c r="Q87" s="801">
        <f>IF(Q94&gt;Q86,Q94-Q86-Q89,0)</f>
        <v>7675692.2061685324</v>
      </c>
      <c r="R87" s="801">
        <f t="shared" si="33"/>
        <v>7943650.2061685398</v>
      </c>
      <c r="S87" s="801">
        <f t="shared" si="33"/>
        <v>5970717.4752247259</v>
      </c>
      <c r="T87" s="801">
        <f t="shared" si="33"/>
        <v>1090304.9302584231</v>
      </c>
      <c r="U87" s="801">
        <f t="shared" si="33"/>
        <v>1090304.930258438</v>
      </c>
      <c r="V87" s="801">
        <f t="shared" si="33"/>
        <v>1090304.9302584231</v>
      </c>
      <c r="W87" s="801">
        <f t="shared" si="33"/>
        <v>1090304.9302584529</v>
      </c>
      <c r="X87" s="801">
        <f t="shared" si="33"/>
        <v>1090304.9302584231</v>
      </c>
      <c r="Y87" s="801">
        <f t="shared" si="33"/>
        <v>1090304.9302584082</v>
      </c>
      <c r="Z87" s="801">
        <f t="shared" si="33"/>
        <v>1090304.9302584231</v>
      </c>
      <c r="AA87" s="801">
        <f t="shared" si="33"/>
        <v>1090304.930258438</v>
      </c>
      <c r="AB87" s="801">
        <f t="shared" si="33"/>
        <v>1090304.9302584231</v>
      </c>
      <c r="AC87" s="801">
        <f t="shared" si="33"/>
        <v>1090304.9302584231</v>
      </c>
      <c r="AD87" s="801">
        <f t="shared" si="33"/>
        <v>1090304.930258438</v>
      </c>
      <c r="AE87" s="801">
        <f t="shared" si="33"/>
        <v>1090304.930258438</v>
      </c>
      <c r="AF87" s="533">
        <f t="shared" si="33"/>
        <v>1090304.9302584231</v>
      </c>
      <c r="AG87" s="533">
        <f t="shared" si="33"/>
        <v>1090304.930258438</v>
      </c>
      <c r="AH87" s="533">
        <f t="shared" si="33"/>
        <v>1090304.9302584082</v>
      </c>
      <c r="AI87" s="533">
        <f t="shared" si="33"/>
        <v>1090304.930258438</v>
      </c>
      <c r="AJ87" s="533">
        <f t="shared" si="33"/>
        <v>0</v>
      </c>
      <c r="AK87" s="533">
        <f t="shared" si="33"/>
        <v>0</v>
      </c>
      <c r="AL87" s="533">
        <f>SUM(P87:AK87)</f>
        <v>39034938.771696657</v>
      </c>
      <c r="AM87" s="18"/>
      <c r="AN87" s="18"/>
      <c r="AO87" s="18"/>
      <c r="AP87" s="18"/>
      <c r="AQ87" s="18"/>
      <c r="AR87" s="18"/>
      <c r="AS87" s="18"/>
      <c r="AT87" s="18"/>
    </row>
    <row r="88" spans="1:46" hidden="1" outlineLevel="1" x14ac:dyDescent="0.45">
      <c r="D88" t="s">
        <v>1547</v>
      </c>
      <c r="F88" s="18"/>
      <c r="G88" s="18"/>
      <c r="I88" s="18"/>
      <c r="J88" s="18"/>
      <c r="K88" s="18"/>
      <c r="L88" s="18"/>
      <c r="N88" s="533"/>
      <c r="O88" s="533"/>
      <c r="P88" s="533">
        <f>IF(P94&lt;P86,P94-P86-P89,0)</f>
        <v>0</v>
      </c>
      <c r="Q88" s="801"/>
      <c r="R88" s="801"/>
      <c r="S88" s="801"/>
      <c r="T88" s="801"/>
      <c r="U88" s="801"/>
      <c r="V88" s="801"/>
      <c r="W88" s="801"/>
      <c r="X88" s="801"/>
      <c r="Y88" s="801"/>
      <c r="Z88" s="801"/>
      <c r="AA88" s="801"/>
      <c r="AB88" s="801"/>
      <c r="AC88" s="801"/>
      <c r="AD88" s="801"/>
      <c r="AE88" s="801"/>
      <c r="AF88" s="533"/>
      <c r="AG88" s="533"/>
      <c r="AH88" s="533"/>
      <c r="AI88" s="533"/>
      <c r="AJ88" s="533"/>
      <c r="AK88" s="533"/>
      <c r="AL88" s="533">
        <f>SUM(P88:AK88)</f>
        <v>0</v>
      </c>
      <c r="AM88" s="18"/>
      <c r="AN88" s="18"/>
      <c r="AO88" s="18"/>
      <c r="AP88" s="18"/>
      <c r="AQ88" s="18"/>
      <c r="AR88" s="18"/>
      <c r="AS88" s="18"/>
      <c r="AT88" s="18"/>
    </row>
    <row r="89" spans="1:46" hidden="1" outlineLevel="1" x14ac:dyDescent="0.45">
      <c r="A89">
        <v>0</v>
      </c>
      <c r="D89" t="s">
        <v>1537</v>
      </c>
      <c r="F89" s="18"/>
      <c r="G89" s="18"/>
      <c r="I89" s="18"/>
      <c r="J89" s="18"/>
      <c r="K89" s="18"/>
      <c r="L89" s="18"/>
      <c r="N89" s="533"/>
      <c r="O89" s="533"/>
      <c r="P89" s="533">
        <f>SUMIF('10. Inputs &amp; Calcs'!$D$143:$D$148,$E$10,'10. Inputs &amp; Calcs'!$H$143:$H$148)</f>
        <v>267958</v>
      </c>
      <c r="Q89" s="801">
        <f>'10. Inputs &amp; Calcs'!I190</f>
        <v>0</v>
      </c>
      <c r="R89" s="801">
        <f>'10. Inputs &amp; Calcs'!J190</f>
        <v>0</v>
      </c>
      <c r="S89" s="801">
        <f>'10. Inputs &amp; Calcs'!K190</f>
        <v>0</v>
      </c>
      <c r="T89" s="801">
        <f>'10. Inputs &amp; Calcs'!L190</f>
        <v>0</v>
      </c>
      <c r="U89" s="801">
        <f>'10. Inputs &amp; Calcs'!M190</f>
        <v>0</v>
      </c>
      <c r="V89" s="801">
        <f>'10. Inputs &amp; Calcs'!N190</f>
        <v>0</v>
      </c>
      <c r="W89" s="801">
        <f>'10. Inputs &amp; Calcs'!O190</f>
        <v>0</v>
      </c>
      <c r="X89" s="801">
        <f>'10. Inputs &amp; Calcs'!P190</f>
        <v>0</v>
      </c>
      <c r="Y89" s="801">
        <f>'10. Inputs &amp; Calcs'!Q190</f>
        <v>0</v>
      </c>
      <c r="Z89" s="801">
        <f>'10. Inputs &amp; Calcs'!R190</f>
        <v>0</v>
      </c>
      <c r="AA89" s="801">
        <f>'10. Inputs &amp; Calcs'!S190</f>
        <v>0</v>
      </c>
      <c r="AB89" s="801">
        <f>'10. Inputs &amp; Calcs'!T190</f>
        <v>0</v>
      </c>
      <c r="AC89" s="801">
        <f>'10. Inputs &amp; Calcs'!U190</f>
        <v>0</v>
      </c>
      <c r="AD89" s="801">
        <f>'10. Inputs &amp; Calcs'!V190</f>
        <v>0</v>
      </c>
      <c r="AE89" s="801">
        <f>'10. Inputs &amp; Calcs'!W190</f>
        <v>0</v>
      </c>
      <c r="AF89" s="533">
        <f>'10. Inputs &amp; Calcs'!X190</f>
        <v>0</v>
      </c>
      <c r="AG89" s="533">
        <f>'10. Inputs &amp; Calcs'!Y190</f>
        <v>0</v>
      </c>
      <c r="AH89" s="533">
        <f>'10. Inputs &amp; Calcs'!Z190</f>
        <v>0</v>
      </c>
      <c r="AI89" s="533">
        <f>'10. Inputs &amp; Calcs'!AA190</f>
        <v>0</v>
      </c>
      <c r="AJ89" s="533">
        <f>'10. Inputs &amp; Calcs'!AB190</f>
        <v>-15712833.261052625</v>
      </c>
      <c r="AK89" s="533">
        <f>-'10. Inputs &amp; Calcs'!AC148</f>
        <v>0</v>
      </c>
      <c r="AL89" s="533">
        <f>SUM(P89:AK89)</f>
        <v>-15444875.261052625</v>
      </c>
      <c r="AM89" s="18"/>
      <c r="AN89" s="18"/>
      <c r="AO89" s="18"/>
      <c r="AP89" s="18"/>
      <c r="AQ89" s="18"/>
      <c r="AR89" s="18"/>
      <c r="AS89" s="18"/>
      <c r="AT89" s="18"/>
    </row>
    <row r="90" spans="1:46" hidden="1" outlineLevel="1" x14ac:dyDescent="0.45">
      <c r="D90" t="s">
        <v>1542</v>
      </c>
      <c r="F90" s="18"/>
      <c r="G90" s="18"/>
      <c r="I90" s="18"/>
      <c r="J90" s="18"/>
      <c r="K90" s="18"/>
      <c r="L90" s="18"/>
      <c r="N90" s="533"/>
      <c r="O90" s="533"/>
      <c r="P90" s="533">
        <f t="shared" ref="P90:AL90" si="34">P23</f>
        <v>5589559.7700000014</v>
      </c>
      <c r="Q90" s="801">
        <f t="shared" si="34"/>
        <v>4471647.8160000006</v>
      </c>
      <c r="R90" s="801">
        <f t="shared" si="34"/>
        <v>3353735.8620000002</v>
      </c>
      <c r="S90" s="801">
        <f t="shared" si="34"/>
        <v>2513475.2429803922</v>
      </c>
      <c r="T90" s="801">
        <f t="shared" si="34"/>
        <v>2360036.3473333335</v>
      </c>
      <c r="U90" s="801">
        <f t="shared" si="34"/>
        <v>2206597.4516862747</v>
      </c>
      <c r="V90" s="801">
        <f t="shared" si="34"/>
        <v>2053158.5560392158</v>
      </c>
      <c r="W90" s="801">
        <f t="shared" si="34"/>
        <v>1899719.6603921568</v>
      </c>
      <c r="X90" s="801">
        <f t="shared" si="34"/>
        <v>1746280.7647450978</v>
      </c>
      <c r="Y90" s="801">
        <f t="shared" si="34"/>
        <v>1592841.8690980391</v>
      </c>
      <c r="Z90" s="801">
        <f t="shared" si="34"/>
        <v>1439402.9734509804</v>
      </c>
      <c r="AA90" s="801">
        <f t="shared" si="34"/>
        <v>1285964.0778039217</v>
      </c>
      <c r="AB90" s="801">
        <f t="shared" si="34"/>
        <v>1132525.1821568629</v>
      </c>
      <c r="AC90" s="801">
        <f t="shared" si="34"/>
        <v>979086.28650980396</v>
      </c>
      <c r="AD90" s="801">
        <f t="shared" si="34"/>
        <v>825647.39086274512</v>
      </c>
      <c r="AE90" s="801">
        <f t="shared" si="34"/>
        <v>672208.49521568627</v>
      </c>
      <c r="AF90" s="533">
        <f t="shared" si="34"/>
        <v>518769.59956862743</v>
      </c>
      <c r="AG90" s="533">
        <f t="shared" si="34"/>
        <v>365330.70392156858</v>
      </c>
      <c r="AH90" s="533">
        <f t="shared" si="34"/>
        <v>211891.80827450976</v>
      </c>
      <c r="AI90" s="533">
        <f t="shared" si="34"/>
        <v>58452.912627450969</v>
      </c>
      <c r="AJ90" s="533">
        <f t="shared" si="34"/>
        <v>0</v>
      </c>
      <c r="AK90" s="533">
        <f t="shared" si="34"/>
        <v>0</v>
      </c>
      <c r="AL90" s="533">
        <f t="shared" si="34"/>
        <v>29686773.000666671</v>
      </c>
      <c r="AM90" s="18"/>
      <c r="AN90" s="18"/>
      <c r="AO90" s="18"/>
      <c r="AP90" s="18"/>
      <c r="AQ90" s="18"/>
      <c r="AR90" s="18"/>
      <c r="AS90" s="18"/>
      <c r="AT90" s="18"/>
    </row>
    <row r="91" spans="1:46" hidden="1" outlineLevel="1" x14ac:dyDescent="0.45">
      <c r="D91" t="s">
        <v>1543</v>
      </c>
      <c r="F91" s="18"/>
      <c r="G91" s="18"/>
      <c r="I91" s="18"/>
      <c r="J91" s="18"/>
      <c r="K91" s="18"/>
      <c r="L91" s="18"/>
      <c r="N91" s="533"/>
      <c r="O91" s="533"/>
      <c r="P91" s="533">
        <f t="shared" ref="P91:AL91" si="35">-P25</f>
        <v>-4278588.93</v>
      </c>
      <c r="Q91" s="801">
        <f t="shared" si="35"/>
        <v>-3422871.1439999989</v>
      </c>
      <c r="R91" s="801">
        <f t="shared" si="35"/>
        <v>-2567153.3579999991</v>
      </c>
      <c r="S91" s="801">
        <f t="shared" si="35"/>
        <v>-1923966.7868235286</v>
      </c>
      <c r="T91" s="801">
        <f t="shared" si="35"/>
        <v>-1806515.3259999994</v>
      </c>
      <c r="U91" s="801">
        <f t="shared" si="35"/>
        <v>-1689063.86517647</v>
      </c>
      <c r="V91" s="801">
        <f t="shared" si="35"/>
        <v>-1571612.4043529406</v>
      </c>
      <c r="W91" s="801">
        <f t="shared" si="35"/>
        <v>-1454160.9435294112</v>
      </c>
      <c r="X91" s="801">
        <f t="shared" si="35"/>
        <v>-1336709.4827058816</v>
      </c>
      <c r="Y91" s="801">
        <f t="shared" si="35"/>
        <v>-1219258.0218823524</v>
      </c>
      <c r="Z91" s="801">
        <f t="shared" si="35"/>
        <v>-1101806.561058823</v>
      </c>
      <c r="AA91" s="801">
        <f t="shared" si="35"/>
        <v>-984355.10023529385</v>
      </c>
      <c r="AB91" s="801">
        <f t="shared" si="35"/>
        <v>-866903.63941176445</v>
      </c>
      <c r="AC91" s="801">
        <f t="shared" si="35"/>
        <v>-749452.17858823505</v>
      </c>
      <c r="AD91" s="801">
        <f t="shared" si="35"/>
        <v>-632000.71776470565</v>
      </c>
      <c r="AE91" s="801">
        <f t="shared" si="35"/>
        <v>-514549.25694117625</v>
      </c>
      <c r="AF91" s="533">
        <f t="shared" si="35"/>
        <v>-397097.79611764691</v>
      </c>
      <c r="AG91" s="533">
        <f t="shared" si="35"/>
        <v>-279646.33529411751</v>
      </c>
      <c r="AH91" s="533">
        <f t="shared" si="35"/>
        <v>-162194.87447058814</v>
      </c>
      <c r="AI91" s="533">
        <f t="shared" si="35"/>
        <v>-44743.413647058798</v>
      </c>
      <c r="AJ91" s="533">
        <f t="shared" si="35"/>
        <v>0</v>
      </c>
      <c r="AK91" s="533">
        <f t="shared" si="35"/>
        <v>0</v>
      </c>
      <c r="AL91" s="533">
        <f t="shared" si="35"/>
        <v>-22724061.205999997</v>
      </c>
      <c r="AM91" s="18"/>
      <c r="AN91" s="18"/>
      <c r="AO91" s="18"/>
      <c r="AP91" s="18"/>
      <c r="AQ91" s="18"/>
      <c r="AR91" s="18"/>
      <c r="AS91" s="18"/>
      <c r="AT91" s="18"/>
    </row>
    <row r="92" spans="1:46" hidden="1" outlineLevel="1" x14ac:dyDescent="0.45">
      <c r="D92" t="s">
        <v>1545</v>
      </c>
      <c r="F92" s="18"/>
      <c r="G92" s="18"/>
      <c r="I92" s="18"/>
      <c r="J92" s="18"/>
      <c r="K92" s="18"/>
      <c r="L92" s="18"/>
      <c r="N92" s="533"/>
      <c r="O92" s="533"/>
      <c r="P92" s="533">
        <f t="shared" ref="P92:AL92" si="36">-P90-P91</f>
        <v>-1310970.8400000017</v>
      </c>
      <c r="Q92" s="801">
        <f t="shared" si="36"/>
        <v>-1048776.6720000017</v>
      </c>
      <c r="R92" s="801">
        <f t="shared" si="36"/>
        <v>-786582.50400000112</v>
      </c>
      <c r="S92" s="801">
        <f t="shared" si="36"/>
        <v>-589508.4561568636</v>
      </c>
      <c r="T92" s="801">
        <f t="shared" si="36"/>
        <v>-553521.02133333404</v>
      </c>
      <c r="U92" s="801">
        <f t="shared" si="36"/>
        <v>-517533.58650980471</v>
      </c>
      <c r="V92" s="801">
        <f t="shared" si="36"/>
        <v>-481546.15168627515</v>
      </c>
      <c r="W92" s="801">
        <f t="shared" si="36"/>
        <v>-445558.71686274558</v>
      </c>
      <c r="X92" s="801">
        <f t="shared" si="36"/>
        <v>-409571.28203921625</v>
      </c>
      <c r="Y92" s="801">
        <f t="shared" si="36"/>
        <v>-373583.84721568669</v>
      </c>
      <c r="Z92" s="801">
        <f t="shared" si="36"/>
        <v>-337596.41239215736</v>
      </c>
      <c r="AA92" s="801">
        <f t="shared" si="36"/>
        <v>-301608.9775686278</v>
      </c>
      <c r="AB92" s="801">
        <f t="shared" si="36"/>
        <v>-265621.54274509847</v>
      </c>
      <c r="AC92" s="801">
        <f t="shared" si="36"/>
        <v>-229634.10792156891</v>
      </c>
      <c r="AD92" s="801">
        <f t="shared" si="36"/>
        <v>-193646.67309803946</v>
      </c>
      <c r="AE92" s="801">
        <f t="shared" si="36"/>
        <v>-157659.23827451002</v>
      </c>
      <c r="AF92" s="533">
        <f t="shared" si="36"/>
        <v>-121671.80345098051</v>
      </c>
      <c r="AG92" s="533">
        <f t="shared" si="36"/>
        <v>-85684.368627451069</v>
      </c>
      <c r="AH92" s="533">
        <f t="shared" si="36"/>
        <v>-49696.933803921624</v>
      </c>
      <c r="AI92" s="533">
        <f t="shared" si="36"/>
        <v>-13709.498980392171</v>
      </c>
      <c r="AJ92" s="533">
        <f t="shared" si="36"/>
        <v>0</v>
      </c>
      <c r="AK92" s="533">
        <f t="shared" si="36"/>
        <v>0</v>
      </c>
      <c r="AL92" s="533">
        <f t="shared" si="36"/>
        <v>-6962711.794666674</v>
      </c>
      <c r="AM92" s="18"/>
      <c r="AN92" s="18"/>
      <c r="AO92" s="18"/>
      <c r="AP92" s="18"/>
      <c r="AQ92" s="18"/>
      <c r="AR92" s="18"/>
      <c r="AS92" s="18"/>
      <c r="AT92" s="18"/>
    </row>
    <row r="93" spans="1:46" hidden="1" outlineLevel="1" x14ac:dyDescent="0.45">
      <c r="D93" t="s">
        <v>1544</v>
      </c>
      <c r="F93" s="18"/>
      <c r="G93" s="18"/>
      <c r="I93" s="18"/>
      <c r="J93" s="18"/>
      <c r="K93" s="18"/>
      <c r="L93" s="18"/>
      <c r="N93" s="535"/>
      <c r="O93" s="535"/>
      <c r="P93" s="535">
        <f>SUM(P86:P92)</f>
        <v>46476119.329999998</v>
      </c>
      <c r="Q93" s="1135">
        <f t="shared" ref="Q93:AL93" si="37">SUM(Q86:Q92)</f>
        <v>54151811.536168531</v>
      </c>
      <c r="R93" s="1135">
        <f t="shared" si="37"/>
        <v>62095461.74233707</v>
      </c>
      <c r="S93" s="1135">
        <f t="shared" si="37"/>
        <v>68066179.217561796</v>
      </c>
      <c r="T93" s="1135">
        <f>SUM(T86:T92)</f>
        <v>69156484.147820204</v>
      </c>
      <c r="U93" s="1135">
        <f t="shared" si="37"/>
        <v>70246789.078078642</v>
      </c>
      <c r="V93" s="1135">
        <f t="shared" si="37"/>
        <v>71337094.008337051</v>
      </c>
      <c r="W93" s="1135">
        <f t="shared" si="37"/>
        <v>72427398.938595504</v>
      </c>
      <c r="X93" s="1135">
        <f t="shared" si="37"/>
        <v>73517703.868853942</v>
      </c>
      <c r="Y93" s="1135">
        <f t="shared" si="37"/>
        <v>74608008.79911235</v>
      </c>
      <c r="Z93" s="1135">
        <f t="shared" si="37"/>
        <v>75698313.729370773</v>
      </c>
      <c r="AA93" s="1135">
        <f t="shared" si="37"/>
        <v>76788618.659629211</v>
      </c>
      <c r="AB93" s="1135">
        <f t="shared" si="37"/>
        <v>77878923.589887634</v>
      </c>
      <c r="AC93" s="1135">
        <f t="shared" si="37"/>
        <v>78969228.520146042</v>
      </c>
      <c r="AD93" s="1135">
        <f t="shared" si="37"/>
        <v>80059533.45040448</v>
      </c>
      <c r="AE93" s="1135">
        <f t="shared" si="37"/>
        <v>81149838.380662918</v>
      </c>
      <c r="AF93" s="535">
        <f t="shared" si="37"/>
        <v>82240143.310921326</v>
      </c>
      <c r="AG93" s="535">
        <f t="shared" si="37"/>
        <v>83330448.241179779</v>
      </c>
      <c r="AH93" s="535">
        <f t="shared" si="37"/>
        <v>84420753.171438187</v>
      </c>
      <c r="AI93" s="535">
        <f t="shared" si="37"/>
        <v>85511058.101696625</v>
      </c>
      <c r="AJ93" s="535">
        <f t="shared" si="37"/>
        <v>69798224.840644002</v>
      </c>
      <c r="AK93" s="535">
        <f t="shared" si="37"/>
        <v>69798224.840644002</v>
      </c>
      <c r="AL93" s="535">
        <f t="shared" si="37"/>
        <v>69798224.840644032</v>
      </c>
      <c r="AM93" s="18"/>
      <c r="AN93" s="18"/>
      <c r="AO93" s="18"/>
      <c r="AP93" s="18"/>
      <c r="AQ93" s="18"/>
      <c r="AR93" s="18"/>
      <c r="AS93" s="18"/>
      <c r="AT93" s="18"/>
    </row>
    <row r="94" spans="1:46" hidden="1" outlineLevel="1" x14ac:dyDescent="0.45">
      <c r="F94" s="18"/>
      <c r="G94" s="18"/>
      <c r="I94" s="18"/>
      <c r="J94" s="18"/>
      <c r="K94" s="18"/>
      <c r="L94" s="18"/>
      <c r="P94" s="533">
        <f>SUMIF('10. Inputs &amp; Calcs'!$D$396:$D$400,$E$10,'10. Inputs &amp; Calcs'!H$396:H$400)</f>
        <v>46208161.329999998</v>
      </c>
      <c r="Q94" s="801">
        <f>SUMIF('10. Inputs &amp; Calcs'!$D$396:$D$400,$E$10,'10. Inputs &amp; Calcs'!I$396:I$400)</f>
        <v>54151811.536168531</v>
      </c>
      <c r="R94" s="801">
        <f>SUMIF('10. Inputs &amp; Calcs'!$D$396:$D$400,$E$10,'10. Inputs &amp; Calcs'!J$396:J$400)</f>
        <v>62095461.74233707</v>
      </c>
      <c r="S94" s="801">
        <f>SUMIF('10. Inputs &amp; Calcs'!$D$396:$D$400,$E$10,'10. Inputs &amp; Calcs'!K$396:K$400)</f>
        <v>68066179.217561796</v>
      </c>
      <c r="T94" s="801">
        <f>SUMIF('10. Inputs &amp; Calcs'!$D$396:$D$400,$E$10,'10. Inputs &amp; Calcs'!L$396:L$400)</f>
        <v>69156484.147820219</v>
      </c>
      <c r="U94" s="801">
        <f>SUMIF('10. Inputs &amp; Calcs'!$D$396:$D$400,$E$10,'10. Inputs &amp; Calcs'!M$396:M$400)</f>
        <v>70246789.078078642</v>
      </c>
      <c r="V94" s="801">
        <f>SUMIF('10. Inputs &amp; Calcs'!$D$396:$D$400,$E$10,'10. Inputs &amp; Calcs'!N$396:N$400)</f>
        <v>71337094.008337066</v>
      </c>
      <c r="W94" s="801">
        <f>SUMIF('10. Inputs &amp; Calcs'!$D$396:$D$400,$E$10,'10. Inputs &amp; Calcs'!O$396:O$400)</f>
        <v>72427398.938595504</v>
      </c>
      <c r="X94" s="801">
        <f>SUMIF('10. Inputs &amp; Calcs'!$D$396:$D$400,$E$10,'10. Inputs &amp; Calcs'!P$396:P$400)</f>
        <v>73517703.868853927</v>
      </c>
      <c r="Y94" s="801">
        <f>SUMIF('10. Inputs &amp; Calcs'!$D$396:$D$400,$E$10,'10. Inputs &amp; Calcs'!Q$396:Q$400)</f>
        <v>74608008.79911235</v>
      </c>
      <c r="Z94" s="801">
        <f>SUMIF('10. Inputs &amp; Calcs'!$D$396:$D$400,$E$10,'10. Inputs &amp; Calcs'!R$396:R$400)</f>
        <v>75698313.729370773</v>
      </c>
      <c r="AA94" s="801">
        <f>SUMIF('10. Inputs &amp; Calcs'!$D$396:$D$400,$E$10,'10. Inputs &amp; Calcs'!S$396:S$400)</f>
        <v>76788618.659629211</v>
      </c>
      <c r="AB94" s="801">
        <f>SUMIF('10. Inputs &amp; Calcs'!$D$396:$D$400,$E$10,'10. Inputs &amp; Calcs'!T$396:T$400)</f>
        <v>77878923.589887634</v>
      </c>
      <c r="AC94" s="801">
        <f>SUMIF('10. Inputs &amp; Calcs'!$D$396:$D$400,$E$10,'10. Inputs &amp; Calcs'!U$396:U$400)</f>
        <v>78969228.520146057</v>
      </c>
      <c r="AD94" s="801">
        <f>SUMIF('10. Inputs &amp; Calcs'!$D$396:$D$400,$E$10,'10. Inputs &amp; Calcs'!V$396:V$400)</f>
        <v>80059533.45040448</v>
      </c>
      <c r="AE94" s="801">
        <f>SUMIF('10. Inputs &amp; Calcs'!$D$396:$D$400,$E$10,'10. Inputs &amp; Calcs'!W$396:W$400)</f>
        <v>81149838.380662918</v>
      </c>
      <c r="AF94" s="533">
        <f>SUMIF('10. Inputs &amp; Calcs'!$D$396:$D$400,$E$10,'10. Inputs &amp; Calcs'!X$396:X$400)</f>
        <v>82240143.310921341</v>
      </c>
      <c r="AG94" s="533">
        <f>SUMIF('10. Inputs &amp; Calcs'!$D$396:$D$400,$E$10,'10. Inputs &amp; Calcs'!Y$396:Y$400)</f>
        <v>83330448.241179764</v>
      </c>
      <c r="AH94" s="533">
        <f>SUMIF('10. Inputs &amp; Calcs'!$D$396:$D$400,$E$10,'10. Inputs &amp; Calcs'!Z$396:Z$400)</f>
        <v>84420753.171438187</v>
      </c>
      <c r="AI94" s="533">
        <f>SUMIF('10. Inputs &amp; Calcs'!$D$396:$D$400,$E$10,'10. Inputs &amp; Calcs'!AA$396:AA$400)</f>
        <v>85511058.101696625</v>
      </c>
      <c r="AJ94" s="533">
        <f>SUMIF('10. Inputs &amp; Calcs'!$D$396:$D$400,$E$10,'10. Inputs &amp; Calcs'!AB$396:AB$400)</f>
        <v>0</v>
      </c>
      <c r="AK94" s="533">
        <f>SUMIF('10. Inputs &amp; Calcs'!$D$396:$D$400,$E$10,'10. Inputs &amp; Calcs'!AC$396:AC$400)</f>
        <v>0</v>
      </c>
      <c r="AL94" s="533">
        <f>SUMIF('10. Inputs &amp; Calcs'!$D$396:$D$400,$E$10,'10. Inputs &amp; Calcs'!AD$396:AD$400)</f>
        <v>0</v>
      </c>
      <c r="AM94" s="18"/>
      <c r="AN94" s="18"/>
      <c r="AO94" s="18"/>
      <c r="AP94" s="18"/>
      <c r="AQ94" s="18"/>
      <c r="AR94" s="18"/>
      <c r="AS94" s="18"/>
      <c r="AT94" s="18"/>
    </row>
    <row r="95" spans="1:46" hidden="1" outlineLevel="1" x14ac:dyDescent="0.45">
      <c r="D95" s="533" t="str">
        <f>'10. Inputs &amp; Calcs'!D191</f>
        <v>Balance c/f</v>
      </c>
      <c r="E95" s="533"/>
      <c r="F95" s="533"/>
      <c r="G95" s="533"/>
      <c r="H95" s="533"/>
      <c r="I95" s="533"/>
      <c r="J95" s="533"/>
      <c r="K95" s="533"/>
      <c r="N95" s="533"/>
      <c r="O95" s="533"/>
      <c r="P95" s="533">
        <f>'10. Inputs &amp; Calcs'!H191</f>
        <v>8780700.9399999995</v>
      </c>
      <c r="Q95" s="801">
        <f>'10. Inputs &amp; Calcs'!I191</f>
        <v>10167127.404210526</v>
      </c>
      <c r="R95" s="801">
        <f>'10. Inputs &amp; Calcs'!J191</f>
        <v>11553553.868421052</v>
      </c>
      <c r="S95" s="801">
        <f>'10. Inputs &amp; Calcs'!K191</f>
        <v>12939980.332631577</v>
      </c>
      <c r="T95" s="801">
        <f>'10. Inputs &amp; Calcs'!L191</f>
        <v>13094027.717543857</v>
      </c>
      <c r="U95" s="801">
        <f>'10. Inputs &amp; Calcs'!M191</f>
        <v>13248075.102456138</v>
      </c>
      <c r="V95" s="801">
        <f>'10. Inputs &amp; Calcs'!N191</f>
        <v>13402122.487368418</v>
      </c>
      <c r="W95" s="801">
        <f>'10. Inputs &amp; Calcs'!O191</f>
        <v>13556169.872280698</v>
      </c>
      <c r="X95" s="801">
        <f>'10. Inputs &amp; Calcs'!P191</f>
        <v>13710217.257192979</v>
      </c>
      <c r="Y95" s="801">
        <f>'10. Inputs &amp; Calcs'!Q191</f>
        <v>13864264.642105259</v>
      </c>
      <c r="Z95" s="801">
        <f>'10. Inputs &amp; Calcs'!R191</f>
        <v>14018312.027017539</v>
      </c>
      <c r="AA95" s="801">
        <f>'10. Inputs &amp; Calcs'!S191</f>
        <v>14172359.41192982</v>
      </c>
      <c r="AB95" s="801">
        <f>'10. Inputs &amp; Calcs'!T191</f>
        <v>14326406.7968421</v>
      </c>
      <c r="AC95" s="801">
        <f>'10. Inputs &amp; Calcs'!U191</f>
        <v>14480454.18175438</v>
      </c>
      <c r="AD95" s="801">
        <f>'10. Inputs &amp; Calcs'!V191</f>
        <v>14634501.566666661</v>
      </c>
      <c r="AE95" s="801">
        <f>'10. Inputs &amp; Calcs'!W191</f>
        <v>14788548.951578941</v>
      </c>
      <c r="AF95" s="533">
        <f>'10. Inputs &amp; Calcs'!X191</f>
        <v>14942596.336491222</v>
      </c>
      <c r="AG95" s="533">
        <f>'10. Inputs &amp; Calcs'!Y191</f>
        <v>15096643.721403502</v>
      </c>
      <c r="AH95" s="533">
        <f>'10. Inputs &amp; Calcs'!Z191</f>
        <v>15250691.106315782</v>
      </c>
      <c r="AI95" s="533">
        <f>'10. Inputs &amp; Calcs'!AA191</f>
        <v>15404738.491228063</v>
      </c>
      <c r="AJ95" s="533">
        <f>'10. Inputs &amp; Calcs'!AB191</f>
        <v>0</v>
      </c>
      <c r="AK95" s="533">
        <f>'10. Inputs &amp; Calcs'!AC191</f>
        <v>0</v>
      </c>
      <c r="AL95" s="533">
        <f>'10. Inputs &amp; Calcs'!AD191</f>
        <v>0</v>
      </c>
      <c r="AM95" s="18"/>
      <c r="AN95" s="18"/>
      <c r="AO95" s="18"/>
      <c r="AP95" s="18"/>
      <c r="AQ95" s="18"/>
      <c r="AR95" s="18"/>
      <c r="AS95" s="18"/>
      <c r="AT95" s="18"/>
    </row>
    <row r="96" spans="1:46" hidden="1" outlineLevel="1" x14ac:dyDescent="0.45">
      <c r="F96" s="18"/>
      <c r="G96" s="18"/>
      <c r="I96" s="18"/>
      <c r="J96" s="18"/>
      <c r="K96" s="18"/>
      <c r="L96" s="18"/>
      <c r="P96" s="533">
        <f>P94-P95</f>
        <v>37427460.390000001</v>
      </c>
      <c r="Q96" s="801">
        <f t="shared" ref="Q96:AL96" si="38">Q94-Q95</f>
        <v>43984684.131958008</v>
      </c>
      <c r="R96" s="801">
        <f t="shared" si="38"/>
        <v>50541907.873916015</v>
      </c>
      <c r="S96" s="801">
        <f t="shared" si="38"/>
        <v>55126198.884930223</v>
      </c>
      <c r="T96" s="801">
        <f t="shared" si="38"/>
        <v>56062456.430276364</v>
      </c>
      <c r="U96" s="801">
        <f t="shared" si="38"/>
        <v>56998713.975622505</v>
      </c>
      <c r="V96" s="801">
        <f t="shared" si="38"/>
        <v>57934971.520968646</v>
      </c>
      <c r="W96" s="801">
        <f t="shared" si="38"/>
        <v>58871229.066314802</v>
      </c>
      <c r="X96" s="801">
        <f t="shared" si="38"/>
        <v>59807486.61166095</v>
      </c>
      <c r="Y96" s="801">
        <f t="shared" si="38"/>
        <v>60743744.157007091</v>
      </c>
      <c r="Z96" s="801">
        <f t="shared" si="38"/>
        <v>61680001.702353232</v>
      </c>
      <c r="AA96" s="801">
        <f t="shared" si="38"/>
        <v>62616259.247699395</v>
      </c>
      <c r="AB96" s="801">
        <f t="shared" si="38"/>
        <v>63552516.793045536</v>
      </c>
      <c r="AC96" s="801">
        <f t="shared" si="38"/>
        <v>64488774.338391677</v>
      </c>
      <c r="AD96" s="801">
        <f t="shared" si="38"/>
        <v>65425031.883737817</v>
      </c>
      <c r="AE96" s="801">
        <f t="shared" si="38"/>
        <v>66361289.429083973</v>
      </c>
      <c r="AF96" s="533">
        <f t="shared" si="38"/>
        <v>67297546.974430114</v>
      </c>
      <c r="AG96" s="533">
        <f t="shared" si="38"/>
        <v>68233804.519776255</v>
      </c>
      <c r="AH96" s="533">
        <f t="shared" si="38"/>
        <v>69170062.065122411</v>
      </c>
      <c r="AI96" s="533">
        <f t="shared" si="38"/>
        <v>70106319.610468566</v>
      </c>
      <c r="AJ96" s="533">
        <f t="shared" si="38"/>
        <v>0</v>
      </c>
      <c r="AK96" s="533">
        <f t="shared" si="38"/>
        <v>0</v>
      </c>
      <c r="AL96" s="533">
        <f t="shared" si="38"/>
        <v>0</v>
      </c>
      <c r="AM96" s="18"/>
      <c r="AN96" s="18"/>
      <c r="AO96" s="18"/>
      <c r="AP96" s="18"/>
      <c r="AQ96" s="18"/>
      <c r="AR96" s="18"/>
      <c r="AS96" s="18"/>
      <c r="AT96" s="18"/>
    </row>
    <row r="97" spans="3:46" hidden="1" outlineLevel="1" x14ac:dyDescent="0.45">
      <c r="F97" s="18"/>
      <c r="G97" s="18"/>
      <c r="I97" s="18"/>
      <c r="J97" s="18"/>
      <c r="K97" s="18"/>
      <c r="L97" s="18"/>
      <c r="P97" s="533"/>
      <c r="Q97" s="801">
        <f>SUM($Q89:Q89)</f>
        <v>0</v>
      </c>
      <c r="R97" s="801">
        <f>SUM($Q89:R89)</f>
        <v>0</v>
      </c>
      <c r="S97" s="801">
        <f>SUM($Q89:S89)</f>
        <v>0</v>
      </c>
      <c r="T97" s="801">
        <f>SUM($Q89:T89)</f>
        <v>0</v>
      </c>
      <c r="U97" s="801">
        <f>SUM($Q89:U89)</f>
        <v>0</v>
      </c>
      <c r="V97" s="801">
        <f>SUM($Q89:V89)</f>
        <v>0</v>
      </c>
      <c r="W97" s="801">
        <f>SUM($Q89:W89)</f>
        <v>0</v>
      </c>
      <c r="X97" s="801">
        <f>SUM($Q89:X89)</f>
        <v>0</v>
      </c>
      <c r="Y97" s="801">
        <f>SUM($Q89:Y89)</f>
        <v>0</v>
      </c>
      <c r="Z97" s="801">
        <f>SUM($Q89:Z89)</f>
        <v>0</v>
      </c>
      <c r="AA97" s="801">
        <f>SUM($Q89:AA89)</f>
        <v>0</v>
      </c>
      <c r="AB97" s="801">
        <f>SUM($Q89:AB89)</f>
        <v>0</v>
      </c>
      <c r="AC97" s="801">
        <f>SUM($Q89:AC89)</f>
        <v>0</v>
      </c>
      <c r="AD97" s="801">
        <f>SUM($Q89:AD89)</f>
        <v>0</v>
      </c>
      <c r="AE97" s="801">
        <f>SUM($Q89:AE89)</f>
        <v>0</v>
      </c>
      <c r="AF97" s="533">
        <f>SUM($Q89:AF89)</f>
        <v>0</v>
      </c>
      <c r="AG97" s="533">
        <f>SUM($Q89:AG89)</f>
        <v>0</v>
      </c>
      <c r="AH97" s="533">
        <f>SUM($Q89:AH89)</f>
        <v>0</v>
      </c>
      <c r="AI97" s="533">
        <f>SUM($Q89:AI89)</f>
        <v>0</v>
      </c>
      <c r="AJ97" s="533"/>
      <c r="AK97" s="533"/>
      <c r="AL97" s="18"/>
      <c r="AM97" s="18"/>
      <c r="AN97" s="18"/>
      <c r="AO97" s="18"/>
      <c r="AP97" s="18"/>
      <c r="AQ97" s="18"/>
      <c r="AR97" s="18"/>
      <c r="AS97" s="18"/>
      <c r="AT97" s="18"/>
    </row>
    <row r="98" spans="3:46" hidden="1" outlineLevel="1" x14ac:dyDescent="0.45">
      <c r="F98" s="18"/>
      <c r="G98" s="18"/>
      <c r="I98" s="18"/>
      <c r="J98" s="18"/>
      <c r="K98" s="18"/>
      <c r="L98" s="18"/>
      <c r="P98" s="533"/>
      <c r="Q98" s="801"/>
      <c r="R98" s="801"/>
      <c r="S98" s="801"/>
      <c r="T98" s="801"/>
      <c r="U98" s="801"/>
      <c r="V98" s="801"/>
      <c r="W98" s="801"/>
      <c r="X98" s="801"/>
      <c r="Y98" s="801"/>
      <c r="Z98" s="801"/>
      <c r="AA98" s="801"/>
      <c r="AB98" s="801"/>
      <c r="AC98" s="801"/>
      <c r="AD98" s="801"/>
      <c r="AE98" s="801"/>
      <c r="AF98" s="533"/>
      <c r="AG98" s="533"/>
      <c r="AH98" s="533"/>
      <c r="AI98" s="533"/>
      <c r="AJ98" s="533"/>
      <c r="AK98" s="533"/>
      <c r="AL98" s="18"/>
      <c r="AM98" s="18"/>
      <c r="AN98" s="18"/>
      <c r="AO98" s="18"/>
      <c r="AP98" s="18"/>
      <c r="AQ98" s="18"/>
      <c r="AR98" s="18"/>
      <c r="AS98" s="18"/>
      <c r="AT98" s="18"/>
    </row>
    <row r="99" spans="3:46" hidden="1" outlineLevel="1" x14ac:dyDescent="0.45">
      <c r="D99" t="s">
        <v>1548</v>
      </c>
      <c r="F99" s="18"/>
      <c r="G99" s="18"/>
      <c r="I99" s="18"/>
      <c r="J99" s="18"/>
      <c r="K99" s="18"/>
      <c r="L99" s="18"/>
      <c r="P99" s="785">
        <f>'10. Inputs &amp; Calcs'!H525</f>
        <v>5160</v>
      </c>
      <c r="Q99" s="1136">
        <f>'10. Inputs &amp; Calcs'!I525</f>
        <v>4646</v>
      </c>
      <c r="R99" s="1136">
        <f>'10. Inputs &amp; Calcs'!J525</f>
        <v>4132</v>
      </c>
      <c r="S99" s="1136">
        <f>'10. Inputs &amp; Calcs'!K525</f>
        <v>3656</v>
      </c>
      <c r="T99" s="1136">
        <f>'10. Inputs &amp; Calcs'!L525</f>
        <v>3430</v>
      </c>
      <c r="U99" s="1136">
        <f>'10. Inputs &amp; Calcs'!M525</f>
        <v>3204</v>
      </c>
      <c r="V99" s="1136">
        <f>'10. Inputs &amp; Calcs'!N525</f>
        <v>2978</v>
      </c>
      <c r="W99" s="1136">
        <f>'10. Inputs &amp; Calcs'!O525</f>
        <v>2752</v>
      </c>
      <c r="X99" s="1136">
        <f>'10. Inputs &amp; Calcs'!P525</f>
        <v>2526</v>
      </c>
      <c r="Y99" s="1136">
        <f>'10. Inputs &amp; Calcs'!Q525</f>
        <v>2300</v>
      </c>
      <c r="Z99" s="1136">
        <f>'10. Inputs &amp; Calcs'!R525</f>
        <v>2074</v>
      </c>
      <c r="AA99" s="1136">
        <f>'10. Inputs &amp; Calcs'!S525</f>
        <v>1848</v>
      </c>
      <c r="AB99" s="1136">
        <f>'10. Inputs &amp; Calcs'!T525</f>
        <v>1622</v>
      </c>
      <c r="AC99" s="1136">
        <f>'10. Inputs &amp; Calcs'!U525</f>
        <v>1396</v>
      </c>
      <c r="AD99" s="1136">
        <f>'10. Inputs &amp; Calcs'!V525</f>
        <v>1170</v>
      </c>
      <c r="AE99" s="1136">
        <f>'10. Inputs &amp; Calcs'!W525</f>
        <v>944</v>
      </c>
      <c r="AF99" s="785">
        <f>'10. Inputs &amp; Calcs'!X525</f>
        <v>718</v>
      </c>
      <c r="AG99" s="785">
        <f>'10. Inputs &amp; Calcs'!Y525</f>
        <v>492</v>
      </c>
      <c r="AH99" s="785">
        <f>'10. Inputs &amp; Calcs'!Z525</f>
        <v>266</v>
      </c>
      <c r="AI99" s="785">
        <f>'10. Inputs &amp; Calcs'!AA525</f>
        <v>40</v>
      </c>
      <c r="AJ99" s="785">
        <f>'10. Inputs &amp; Calcs'!AB525</f>
        <v>0</v>
      </c>
      <c r="AK99" s="785">
        <f>'10. Inputs &amp; Calcs'!AC525</f>
        <v>0</v>
      </c>
      <c r="AL99" s="18"/>
      <c r="AM99" s="18"/>
      <c r="AN99" s="18"/>
      <c r="AO99" s="18"/>
      <c r="AP99" s="18"/>
      <c r="AQ99" s="18"/>
      <c r="AR99" s="18"/>
      <c r="AS99" s="18"/>
      <c r="AT99" s="18"/>
    </row>
    <row r="100" spans="3:46" hidden="1" outlineLevel="1" x14ac:dyDescent="0.45">
      <c r="D100" t="s">
        <v>1549</v>
      </c>
      <c r="P100" s="785">
        <f>'10. Inputs &amp; Calcs'!H83</f>
        <v>2239</v>
      </c>
      <c r="Q100" s="1136">
        <f>'10. Inputs &amp; Calcs'!I83</f>
        <v>2753</v>
      </c>
      <c r="R100" s="1136">
        <f>'10. Inputs &amp; Calcs'!J83</f>
        <v>3267</v>
      </c>
      <c r="S100" s="1136">
        <f>'10. Inputs &amp; Calcs'!K83</f>
        <v>3743</v>
      </c>
      <c r="T100" s="1136">
        <f>'10. Inputs &amp; Calcs'!L83</f>
        <v>3969</v>
      </c>
      <c r="U100" s="1136">
        <f>'10. Inputs &amp; Calcs'!M83</f>
        <v>4195</v>
      </c>
      <c r="V100" s="1136">
        <f>'10. Inputs &amp; Calcs'!N83</f>
        <v>4421</v>
      </c>
      <c r="W100" s="1136">
        <f>'10. Inputs &amp; Calcs'!O83</f>
        <v>4647</v>
      </c>
      <c r="X100" s="1136">
        <f>'10. Inputs &amp; Calcs'!P83</f>
        <v>4873</v>
      </c>
      <c r="Y100" s="1136">
        <f>'10. Inputs &amp; Calcs'!Q83</f>
        <v>5099</v>
      </c>
      <c r="Z100" s="1136">
        <f>'10. Inputs &amp; Calcs'!R83</f>
        <v>5325</v>
      </c>
      <c r="AA100" s="1136">
        <f>'10. Inputs &amp; Calcs'!S83</f>
        <v>5551</v>
      </c>
      <c r="AB100" s="1136">
        <f>'10. Inputs &amp; Calcs'!T83</f>
        <v>5777</v>
      </c>
      <c r="AC100" s="1136">
        <f>'10. Inputs &amp; Calcs'!U83</f>
        <v>6003</v>
      </c>
      <c r="AD100" s="1136">
        <f>'10. Inputs &amp; Calcs'!V83</f>
        <v>6229</v>
      </c>
      <c r="AE100" s="1136">
        <f>'10. Inputs &amp; Calcs'!W83</f>
        <v>6455</v>
      </c>
      <c r="AF100" s="785">
        <f>'10. Inputs &amp; Calcs'!X83</f>
        <v>6681</v>
      </c>
      <c r="AG100" s="785">
        <f>'10. Inputs &amp; Calcs'!Y83</f>
        <v>6907</v>
      </c>
      <c r="AH100" s="785">
        <f>'10. Inputs &amp; Calcs'!Z83</f>
        <v>7133</v>
      </c>
      <c r="AI100" s="785">
        <f>'10. Inputs &amp; Calcs'!AA83</f>
        <v>7359</v>
      </c>
      <c r="AJ100" s="785">
        <f>'10. Inputs &amp; Calcs'!AB83</f>
        <v>7399</v>
      </c>
      <c r="AK100" s="785">
        <f>'10. Inputs &amp; Calcs'!AC83</f>
        <v>0</v>
      </c>
      <c r="AL100" s="18"/>
      <c r="AM100" s="18"/>
      <c r="AN100" s="18"/>
      <c r="AO100" s="18"/>
      <c r="AP100" s="18"/>
      <c r="AQ100" s="18"/>
      <c r="AR100" s="18"/>
      <c r="AS100" s="18"/>
      <c r="AT100" s="18"/>
    </row>
    <row r="101" spans="3:46" hidden="1" outlineLevel="1" x14ac:dyDescent="0.45">
      <c r="P101" s="896">
        <f>SUM(P99:P100)</f>
        <v>7399</v>
      </c>
      <c r="Q101" s="1137">
        <f t="shared" ref="Q101:AK101" si="39">SUM(Q99:Q100)</f>
        <v>7399</v>
      </c>
      <c r="R101" s="1137">
        <f t="shared" si="39"/>
        <v>7399</v>
      </c>
      <c r="S101" s="1137">
        <f t="shared" si="39"/>
        <v>7399</v>
      </c>
      <c r="T101" s="1137">
        <f t="shared" si="39"/>
        <v>7399</v>
      </c>
      <c r="U101" s="1137">
        <f t="shared" si="39"/>
        <v>7399</v>
      </c>
      <c r="V101" s="1137">
        <f t="shared" si="39"/>
        <v>7399</v>
      </c>
      <c r="W101" s="1137">
        <f t="shared" si="39"/>
        <v>7399</v>
      </c>
      <c r="X101" s="1137">
        <f t="shared" si="39"/>
        <v>7399</v>
      </c>
      <c r="Y101" s="1137">
        <f t="shared" si="39"/>
        <v>7399</v>
      </c>
      <c r="Z101" s="1137">
        <f t="shared" si="39"/>
        <v>7399</v>
      </c>
      <c r="AA101" s="1137">
        <f t="shared" si="39"/>
        <v>7399</v>
      </c>
      <c r="AB101" s="1137">
        <f t="shared" si="39"/>
        <v>7399</v>
      </c>
      <c r="AC101" s="1137">
        <f t="shared" si="39"/>
        <v>7399</v>
      </c>
      <c r="AD101" s="1137">
        <f t="shared" si="39"/>
        <v>7399</v>
      </c>
      <c r="AE101" s="1137">
        <f t="shared" si="39"/>
        <v>7399</v>
      </c>
      <c r="AF101" s="896">
        <f t="shared" si="39"/>
        <v>7399</v>
      </c>
      <c r="AG101" s="896">
        <f t="shared" si="39"/>
        <v>7399</v>
      </c>
      <c r="AH101" s="896">
        <f t="shared" si="39"/>
        <v>7399</v>
      </c>
      <c r="AI101" s="896">
        <f t="shared" si="39"/>
        <v>7399</v>
      </c>
      <c r="AJ101" s="896">
        <f t="shared" si="39"/>
        <v>7399</v>
      </c>
      <c r="AK101" s="896">
        <f t="shared" si="39"/>
        <v>0</v>
      </c>
      <c r="AL101" s="18"/>
      <c r="AM101" s="18"/>
      <c r="AN101" s="18"/>
      <c r="AO101" s="18"/>
      <c r="AP101" s="18"/>
      <c r="AQ101" s="18"/>
      <c r="AR101" s="18"/>
      <c r="AS101" s="18"/>
      <c r="AT101" s="18"/>
    </row>
    <row r="102" spans="3:46" collapsed="1" x14ac:dyDescent="0.45">
      <c r="Q102" s="581"/>
      <c r="R102" s="581"/>
      <c r="S102" s="581"/>
      <c r="T102" s="581"/>
      <c r="U102" s="581"/>
      <c r="V102" s="581"/>
      <c r="W102" s="582"/>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3:46" x14ac:dyDescent="0.45">
      <c r="C103" t="str">
        <f>'11. Table - Expenditure Review'!C209</f>
        <v>E1.42</v>
      </c>
      <c r="D103" s="451" t="str">
        <f>'11. Table - Expenditure Review'!E209</f>
        <v>Ratios</v>
      </c>
      <c r="N103" s="800"/>
      <c r="O103" s="800"/>
      <c r="P103" s="800"/>
    </row>
    <row r="104" spans="3:46" x14ac:dyDescent="0.45">
      <c r="C104" t="str">
        <f>'11. Table - Expenditure Review'!C210</f>
        <v>E1.43</v>
      </c>
      <c r="D104" t="str">
        <f>'11. Table - Expenditure Review'!E210</f>
        <v>Sales &amp; Loans Collections/Sales &amp; Loans Raised</v>
      </c>
      <c r="N104" s="800">
        <f>SUMIF('11. Table - Expenditure Review'!$F$3:$W$3,'9f. Forecast Results - WC'!N$1,'11. Table - Expenditure Review'!$F210:$W210)</f>
        <v>0.35548862450798441</v>
      </c>
      <c r="O104" s="800">
        <f>SUMIF('11. Table - Expenditure Review'!$F$3:$W$3,'9f. Forecast Results - WC'!O$1,'11. Table - Expenditure Review'!$F210:$W210)</f>
        <v>0.71374387922892613</v>
      </c>
      <c r="P104" s="800">
        <f>SUMIF('11. Table - Expenditure Review'!$F$3:$W$3,'9f. Forecast Results - WC'!P$1,'11. Table - Expenditure Review'!$F210:$W210)</f>
        <v>0.89195679373474301</v>
      </c>
      <c r="Q104" s="916">
        <f t="shared" ref="Q104:AL104" si="40">IF(Q19&lt;&gt;0,Q21/Q19,0)</f>
        <v>0.57241715694381878</v>
      </c>
      <c r="R104" s="916">
        <f t="shared" si="40"/>
        <v>0.57241715694381878</v>
      </c>
      <c r="S104" s="916">
        <f t="shared" si="40"/>
        <v>0.57241715694381878</v>
      </c>
      <c r="T104" s="916">
        <f t="shared" si="40"/>
        <v>0.57241715694381878</v>
      </c>
      <c r="U104" s="916">
        <f t="shared" si="40"/>
        <v>0.57241715694381878</v>
      </c>
      <c r="V104" s="916">
        <f t="shared" si="40"/>
        <v>0.57241715694381878</v>
      </c>
      <c r="W104" s="916">
        <f t="shared" si="40"/>
        <v>0.57241715694381878</v>
      </c>
      <c r="X104" s="916">
        <f t="shared" si="40"/>
        <v>0.57241715694381878</v>
      </c>
      <c r="Y104" s="916">
        <f t="shared" si="40"/>
        <v>0.57241715694381878</v>
      </c>
      <c r="Z104" s="916">
        <f t="shared" si="40"/>
        <v>0.57241715694381878</v>
      </c>
      <c r="AA104" s="916">
        <f t="shared" si="40"/>
        <v>0.57241715694381878</v>
      </c>
      <c r="AB104" s="916">
        <f t="shared" si="40"/>
        <v>0.57241715694381878</v>
      </c>
      <c r="AC104" s="916">
        <f t="shared" si="40"/>
        <v>0.57241715694381878</v>
      </c>
      <c r="AD104" s="916">
        <f t="shared" si="40"/>
        <v>0.57241715694381878</v>
      </c>
      <c r="AE104" s="916">
        <f t="shared" si="40"/>
        <v>0.57241715694381878</v>
      </c>
      <c r="AF104" s="916">
        <f t="shared" si="40"/>
        <v>0.57241715694381878</v>
      </c>
      <c r="AG104" s="916">
        <f t="shared" si="40"/>
        <v>0.57241715694381878</v>
      </c>
      <c r="AH104" s="916">
        <f t="shared" si="40"/>
        <v>0.57241715694381878</v>
      </c>
      <c r="AI104" s="916">
        <f t="shared" si="40"/>
        <v>0.57241715694381878</v>
      </c>
      <c r="AJ104" s="916">
        <f t="shared" si="40"/>
        <v>0.57241715694381878</v>
      </c>
      <c r="AK104" s="916">
        <f t="shared" si="40"/>
        <v>0</v>
      </c>
      <c r="AL104" s="916">
        <f t="shared" si="40"/>
        <v>0.57241715694381867</v>
      </c>
    </row>
    <row r="105" spans="3:46" x14ac:dyDescent="0.45">
      <c r="C105" t="str">
        <f>'11. Table - Expenditure Review'!C211</f>
        <v>E1.44</v>
      </c>
      <c r="D105" t="str">
        <f>'11. Table - Expenditure Review'!E211</f>
        <v>Rental Collections/Rentals Raised</v>
      </c>
      <c r="N105" s="800">
        <f>SUMIF('11. Table - Expenditure Review'!$F$3:$W$3,'9f. Forecast Results - WC'!N$1,'11. Table - Expenditure Review'!$F211:$W211)</f>
        <v>0.69096967354330041</v>
      </c>
      <c r="O105" s="800">
        <f>SUMIF('11. Table - Expenditure Review'!$F$3:$W$3,'9f. Forecast Results - WC'!O$1,'11. Table - Expenditure Review'!$F211:$W211)</f>
        <v>0.69845383818231777</v>
      </c>
      <c r="P105" s="800">
        <f>SUMIF('11. Table - Expenditure Review'!$F$3:$W$3,'9f. Forecast Results - WC'!P$1,'11. Table - Expenditure Review'!$F211:$W211)</f>
        <v>0.76546080658513083</v>
      </c>
      <c r="Q105" s="916">
        <f t="shared" ref="Q105:AL105" si="41">IF(Q23&lt;&gt;0,Q25/Q23,0)</f>
        <v>0.76546080658513083</v>
      </c>
      <c r="R105" s="916">
        <f t="shared" si="41"/>
        <v>0.76546080658513083</v>
      </c>
      <c r="S105" s="916">
        <f t="shared" si="41"/>
        <v>0.76546080658513083</v>
      </c>
      <c r="T105" s="916">
        <f t="shared" si="41"/>
        <v>0.76546080658513083</v>
      </c>
      <c r="U105" s="916">
        <f t="shared" si="41"/>
        <v>0.76546080658513083</v>
      </c>
      <c r="V105" s="916">
        <f t="shared" si="41"/>
        <v>0.76546080658513083</v>
      </c>
      <c r="W105" s="916">
        <f t="shared" si="41"/>
        <v>0.76546080658513083</v>
      </c>
      <c r="X105" s="916">
        <f t="shared" si="41"/>
        <v>0.76546080658513072</v>
      </c>
      <c r="Y105" s="916">
        <f t="shared" si="41"/>
        <v>0.76546080658513083</v>
      </c>
      <c r="Z105" s="916">
        <f t="shared" si="41"/>
        <v>0.76546080658513083</v>
      </c>
      <c r="AA105" s="916">
        <f t="shared" si="41"/>
        <v>0.76546080658513083</v>
      </c>
      <c r="AB105" s="916">
        <f t="shared" si="41"/>
        <v>0.76546080658513083</v>
      </c>
      <c r="AC105" s="916">
        <f t="shared" si="41"/>
        <v>0.76546080658513083</v>
      </c>
      <c r="AD105" s="916">
        <f t="shared" si="41"/>
        <v>0.76546080658513083</v>
      </c>
      <c r="AE105" s="916">
        <f t="shared" si="41"/>
        <v>0.76546080658513083</v>
      </c>
      <c r="AF105" s="916">
        <f t="shared" si="41"/>
        <v>0.76546080658513083</v>
      </c>
      <c r="AG105" s="916">
        <f t="shared" si="41"/>
        <v>0.76546080658513083</v>
      </c>
      <c r="AH105" s="916">
        <f t="shared" si="41"/>
        <v>0.76546080658513083</v>
      </c>
      <c r="AI105" s="916">
        <f t="shared" si="41"/>
        <v>0.76546080658513083</v>
      </c>
      <c r="AJ105" s="916">
        <f t="shared" si="41"/>
        <v>0</v>
      </c>
      <c r="AK105" s="916">
        <f t="shared" si="41"/>
        <v>0</v>
      </c>
      <c r="AL105" s="916">
        <f t="shared" si="41"/>
        <v>0.76546080658513094</v>
      </c>
    </row>
    <row r="106" spans="3:46" x14ac:dyDescent="0.45">
      <c r="C106" t="str">
        <f>'11. Table - Expenditure Review'!C212</f>
        <v>E1.45</v>
      </c>
      <c r="D106" t="str">
        <f>'11. Table - Expenditure Review'!E212</f>
        <v>No. of Sales Accounts Where Any Collections Were Made/Sales Accounts Raised</v>
      </c>
      <c r="N106" s="800">
        <f>SUMIF('11. Table - Expenditure Review'!$F$3:$W$3,'9f. Forecast Results - WC'!N$1,'11. Table - Expenditure Review'!$F212:$W212)</f>
        <v>6.3957863054928524E-2</v>
      </c>
      <c r="O106" s="800">
        <f>SUMIF('11. Table - Expenditure Review'!$F$3:$W$3,'9f. Forecast Results - WC'!O$1,'11. Table - Expenditure Review'!$F212:$W212)</f>
        <v>5.6846267918932276E-2</v>
      </c>
      <c r="P106" s="800">
        <f>SUMIF('11. Table - Expenditure Review'!$F$3:$W$3,'9f. Forecast Results - WC'!P$1,'11. Table - Expenditure Review'!$F212:$W212)</f>
        <v>6.2086092715231786E-2</v>
      </c>
      <c r="Q106" s="805"/>
      <c r="R106" s="805"/>
      <c r="S106" s="805"/>
      <c r="T106" s="805"/>
      <c r="U106" s="805"/>
      <c r="V106" s="805"/>
      <c r="W106" s="805"/>
      <c r="X106" s="805"/>
      <c r="Y106" s="805"/>
      <c r="Z106" s="805"/>
      <c r="AA106" s="805"/>
      <c r="AB106" s="805"/>
      <c r="AC106" s="805"/>
      <c r="AD106" s="805"/>
      <c r="AE106" s="805"/>
      <c r="AF106" s="805"/>
      <c r="AG106" s="805"/>
      <c r="AH106" s="805"/>
      <c r="AI106" s="805"/>
      <c r="AJ106" s="805"/>
      <c r="AK106" s="805"/>
      <c r="AL106" s="805"/>
    </row>
    <row r="107" spans="3:46" x14ac:dyDescent="0.45">
      <c r="C107" t="str">
        <f>'11. Table - Expenditure Review'!C213</f>
        <v>E1.46</v>
      </c>
      <c r="D107" t="str">
        <f>'11. Table - Expenditure Review'!E213</f>
        <v>No. of Rental Accounts Where Any Collections Were Made/Rental Accounts Raised</v>
      </c>
      <c r="N107" s="800">
        <f>SUMIF('11. Table - Expenditure Review'!$F$3:$W$3,'9f. Forecast Results - WC'!N$1,'11. Table - Expenditure Review'!$F213:$W213)</f>
        <v>0.82199546485260766</v>
      </c>
      <c r="O107" s="800">
        <f>SUMIF('11. Table - Expenditure Review'!$F$3:$W$3,'9f. Forecast Results - WC'!O$1,'11. Table - Expenditure Review'!$F213:$W213)</f>
        <v>0.83685446009389675</v>
      </c>
      <c r="P107" s="800">
        <f>SUMIF('11. Table - Expenditure Review'!$F$3:$W$3,'9f. Forecast Results - WC'!P$1,'11. Table - Expenditure Review'!$F213:$W213)</f>
        <v>0.83985765124555156</v>
      </c>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805"/>
      <c r="AL107" s="805"/>
    </row>
    <row r="108" spans="3:46" x14ac:dyDescent="0.45">
      <c r="C108" t="str">
        <f>'11. Table - Expenditure Review'!C214</f>
        <v>E1.47</v>
      </c>
      <c r="D108" t="str">
        <f>'11. Table - Expenditure Review'!E214</f>
        <v>% Increase/(Decrease) in Rental Debtors</v>
      </c>
      <c r="N108" s="800">
        <f>SUMIF('11. Table - Expenditure Review'!$F$3:$W$3,'9f. Forecast Results - WC'!N$1,'11. Table - Expenditure Review'!$F214:$W214)</f>
        <v>0</v>
      </c>
      <c r="O108" s="800">
        <f>SUMIF('11. Table - Expenditure Review'!$F$3:$W$3,'9f. Forecast Results - WC'!O$1,'11. Table - Expenditure Review'!$F214:$W214)</f>
        <v>0</v>
      </c>
      <c r="P108" s="800">
        <f>SUMIF('11. Table - Expenditure Review'!$F$3:$W$3,'9f. Forecast Results - WC'!P$1,'11. Table - Expenditure Review'!$F214:$W214)</f>
        <v>0</v>
      </c>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row>
    <row r="109" spans="3:46" x14ac:dyDescent="0.45">
      <c r="C109" t="str">
        <f>'11. Table - Expenditure Review'!C215</f>
        <v>E1.48</v>
      </c>
      <c r="D109" t="str">
        <f>'11. Table - Expenditure Review'!E215</f>
        <v>Eviction rate</v>
      </c>
      <c r="N109" s="800">
        <f>SUMIF('11. Table - Expenditure Review'!$F$3:$W$3,'9f. Forecast Results - WC'!N$1,'11. Table - Expenditure Review'!$F215:$W215)</f>
        <v>0</v>
      </c>
      <c r="O109" s="800">
        <f>SUMIF('11. Table - Expenditure Review'!$F$3:$W$3,'9f. Forecast Results - WC'!O$1,'11. Table - Expenditure Review'!$F215:$W215)</f>
        <v>0</v>
      </c>
      <c r="P109" s="800">
        <f>SUMIF('11. Table - Expenditure Review'!$F$3:$W$3,'9f. Forecast Results - WC'!P$1,'11. Table - Expenditure Review'!$F215:$W215)</f>
        <v>0</v>
      </c>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5"/>
      <c r="AL109" s="805"/>
    </row>
    <row r="110" spans="3:46" x14ac:dyDescent="0.45">
      <c r="C110" t="str">
        <f>'11. Table - Expenditure Review'!C216</f>
        <v>E1.49</v>
      </c>
      <c r="D110" t="str">
        <f>'11. Table - Expenditure Review'!E216</f>
        <v>Cost to Income Ratio</v>
      </c>
      <c r="N110" s="800">
        <f>SUMIF('11. Table - Expenditure Review'!$F$3:$W$3,'9f. Forecast Results - WC'!N$1,'11. Table - Expenditure Review'!$F216:$W216)</f>
        <v>0.61708094423988302</v>
      </c>
      <c r="O110" s="800">
        <f>SUMIF('11. Table - Expenditure Review'!$F$3:$W$3,'9f. Forecast Results - WC'!O$1,'11. Table - Expenditure Review'!$F216:$W216)</f>
        <v>0.52103972271287047</v>
      </c>
      <c r="P110" s="800">
        <f>SUMIF('11. Table - Expenditure Review'!$F$3:$W$3,'9f. Forecast Results - WC'!P$1,'11. Table - Expenditure Review'!$F216:$W216)</f>
        <v>0.63914181482022636</v>
      </c>
      <c r="Q110" s="914">
        <f t="shared" ref="Q110:AL110" ca="1" si="42">IF(Q28&lt;&gt;0,Q47/Q28,0)</f>
        <v>1.0372626890149164</v>
      </c>
      <c r="R110" s="914">
        <f t="shared" ca="1" si="42"/>
        <v>1.1665992846978894</v>
      </c>
      <c r="S110" s="914">
        <f t="shared" ca="1" si="42"/>
        <v>1.505829434141837</v>
      </c>
      <c r="T110" s="914">
        <f t="shared" ca="1" si="42"/>
        <v>3.0241694680683815</v>
      </c>
      <c r="U110" s="914">
        <f t="shared" ca="1" si="42"/>
        <v>3.1870143203041965</v>
      </c>
      <c r="V110" s="914">
        <f t="shared" ca="1" si="42"/>
        <v>3.3582307152062043</v>
      </c>
      <c r="W110" s="914">
        <f t="shared" ca="1" si="42"/>
        <v>3.5381549419563281</v>
      </c>
      <c r="X110" s="914">
        <f t="shared" ca="1" si="42"/>
        <v>3.7271082487580482</v>
      </c>
      <c r="Y110" s="914">
        <f t="shared" ca="1" si="42"/>
        <v>3.9253845570256845</v>
      </c>
      <c r="Z110" s="914">
        <f t="shared" ca="1" si="42"/>
        <v>4.1332326073074679</v>
      </c>
      <c r="AA110" s="914">
        <f t="shared" ca="1" si="42"/>
        <v>4.3508296515895939</v>
      </c>
      <c r="AB110" s="914">
        <f t="shared" ca="1" si="42"/>
        <v>4.5782419856128298</v>
      </c>
      <c r="AC110" s="914">
        <f t="shared" ca="1" si="42"/>
        <v>4.815364392217873</v>
      </c>
      <c r="AD110" s="914">
        <f t="shared" ca="1" si="42"/>
        <v>5.0618246319547033</v>
      </c>
      <c r="AE110" s="914">
        <f t="shared" ca="1" si="42"/>
        <v>5.3168276726587909</v>
      </c>
      <c r="AF110" s="914">
        <f t="shared" ca="1" si="42"/>
        <v>5.5788910584990168</v>
      </c>
      <c r="AG110" s="914">
        <f t="shared" ca="1" si="42"/>
        <v>5.845372285271802</v>
      </c>
      <c r="AH110" s="914">
        <f t="shared" ca="1" si="42"/>
        <v>6.1115705798366111</v>
      </c>
      <c r="AI110" s="914">
        <f t="shared" ca="1" si="42"/>
        <v>6.3688797824581691</v>
      </c>
      <c r="AJ110" s="914">
        <f t="shared" ca="1" si="42"/>
        <v>0.65140854249837499</v>
      </c>
      <c r="AK110" s="914">
        <f t="shared" ca="1" si="42"/>
        <v>0</v>
      </c>
      <c r="AL110" s="914">
        <f t="shared" ca="1" si="42"/>
        <v>2.8330429285395953</v>
      </c>
    </row>
    <row r="111" spans="3:46" x14ac:dyDescent="0.45">
      <c r="C111" t="str">
        <f>'11. Table - Expenditure Review'!C217</f>
        <v>E1.50</v>
      </c>
      <c r="D111" t="str">
        <f>'11. Table - Expenditure Review'!E217</f>
        <v>Maintenance as % of Expenses</v>
      </c>
      <c r="N111" s="800">
        <f>SUMIF('11. Table - Expenditure Review'!$F$3:$W$3,'9f. Forecast Results - WC'!N$1,'11. Table - Expenditure Review'!$F217:$W217)</f>
        <v>0.12611252644152768</v>
      </c>
      <c r="O111" s="800">
        <f>SUMIF('11. Table - Expenditure Review'!$F$3:$W$3,'9f. Forecast Results - WC'!O$1,'11. Table - Expenditure Review'!$F217:$W217)</f>
        <v>9.0960069116270068E-2</v>
      </c>
      <c r="P111" s="800">
        <f>SUMIF('11. Table - Expenditure Review'!$F$3:$W$3,'9f. Forecast Results - WC'!P$1,'11. Table - Expenditure Review'!$F217:$W217)</f>
        <v>4.1777325494959751E-2</v>
      </c>
      <c r="Q111" s="914">
        <f t="shared" ref="Q111:AL111" si="43">IF(Q47&lt;&gt;0,Q33/Q47,0)</f>
        <v>3.0709709940832889E-2</v>
      </c>
      <c r="R111" s="914">
        <f t="shared" si="43"/>
        <v>2.4203826417355224E-2</v>
      </c>
      <c r="S111" s="914">
        <f t="shared" si="43"/>
        <v>1.974586856814034E-2</v>
      </c>
      <c r="T111" s="914">
        <f t="shared" si="43"/>
        <v>2.1404480464413768E-2</v>
      </c>
      <c r="U111" s="914">
        <f t="shared" si="43"/>
        <v>2.1052003301728964E-2</v>
      </c>
      <c r="V111" s="914">
        <f t="shared" si="43"/>
        <v>2.0660917456151583E-2</v>
      </c>
      <c r="W111" s="914">
        <f t="shared" si="43"/>
        <v>2.022451185928251E-2</v>
      </c>
      <c r="X111" s="914">
        <f t="shared" si="43"/>
        <v>1.9734424397597879E-2</v>
      </c>
      <c r="Y111" s="914">
        <f t="shared" si="43"/>
        <v>1.9180100903977839E-2</v>
      </c>
      <c r="Z111" s="914">
        <f t="shared" si="43"/>
        <v>1.8548026499305235E-2</v>
      </c>
      <c r="AA111" s="914">
        <f t="shared" si="43"/>
        <v>1.7820609097503291E-2</v>
      </c>
      <c r="AB111" s="914">
        <f t="shared" si="43"/>
        <v>1.6974516455508362E-2</v>
      </c>
      <c r="AC111" s="914">
        <f t="shared" si="43"/>
        <v>1.5978127022226105E-2</v>
      </c>
      <c r="AD111" s="914">
        <f t="shared" si="43"/>
        <v>1.4787489904492373E-2</v>
      </c>
      <c r="AE111" s="914">
        <f t="shared" si="43"/>
        <v>1.3339666805840558E-2</v>
      </c>
      <c r="AF111" s="914">
        <f t="shared" si="43"/>
        <v>1.1541236991083503E-2</v>
      </c>
      <c r="AG111" s="914">
        <f t="shared" si="43"/>
        <v>9.2473008581291285E-3</v>
      </c>
      <c r="AH111" s="914">
        <f t="shared" si="43"/>
        <v>6.220355787900575E-3</v>
      </c>
      <c r="AI111" s="914">
        <f t="shared" si="43"/>
        <v>2.0422530241506628E-3</v>
      </c>
      <c r="AJ111" s="914">
        <f t="shared" si="43"/>
        <v>0</v>
      </c>
      <c r="AK111" s="914">
        <f t="shared" si="43"/>
        <v>0</v>
      </c>
      <c r="AL111" s="914">
        <f t="shared" si="43"/>
        <v>1.7988758558439007E-2</v>
      </c>
    </row>
    <row r="112" spans="3:46" x14ac:dyDescent="0.45">
      <c r="C112" t="str">
        <f>'11. Table - Expenditure Review'!C218</f>
        <v>E1.51</v>
      </c>
      <c r="D112" t="str">
        <f>'11. Table - Expenditure Review'!E218</f>
        <v>Maintenance Cost per Unit</v>
      </c>
      <c r="N112" s="801">
        <f>SUMIF('11. Table - Expenditure Review'!$F$3:$W$3,'9f. Forecast Results - WC'!N$1,'11. Table - Expenditure Review'!$F218:$W218)</f>
        <v>0</v>
      </c>
      <c r="O112" s="801">
        <f>SUMIF('11. Table - Expenditure Review'!$F$3:$W$3,'9f. Forecast Results - WC'!O$1,'11. Table - Expenditure Review'!$F218:$W218)</f>
        <v>0</v>
      </c>
      <c r="P112" s="801">
        <f>SUMIF('11. Table - Expenditure Review'!$F$3:$W$3,'9f. Forecast Results - WC'!P$1,'11. Table - Expenditure Review'!$F218:$W218)</f>
        <v>393.2025620915033</v>
      </c>
      <c r="Q112" s="566">
        <f t="shared" ref="Q112:AL112" si="44">IF(Q13&lt;&gt;0,Q33/Q13,0)</f>
        <v>414.82870300653599</v>
      </c>
      <c r="R112" s="566">
        <f t="shared" si="44"/>
        <v>437.64428167189538</v>
      </c>
      <c r="S112" s="566">
        <f t="shared" si="44"/>
        <v>461.71471716384963</v>
      </c>
      <c r="T112" s="566">
        <f t="shared" si="44"/>
        <v>487.10902660786127</v>
      </c>
      <c r="U112" s="566">
        <f t="shared" si="44"/>
        <v>513.90002307129362</v>
      </c>
      <c r="V112" s="566">
        <f t="shared" si="44"/>
        <v>542.16452434021471</v>
      </c>
      <c r="W112" s="566">
        <f t="shared" si="44"/>
        <v>571.98357317892646</v>
      </c>
      <c r="X112" s="566">
        <f t="shared" si="44"/>
        <v>603.44266970376736</v>
      </c>
      <c r="Y112" s="566">
        <f t="shared" si="44"/>
        <v>636.63201653747456</v>
      </c>
      <c r="Z112" s="566">
        <f t="shared" si="44"/>
        <v>671.64677744703567</v>
      </c>
      <c r="AA112" s="566">
        <f t="shared" si="44"/>
        <v>708.58735020662255</v>
      </c>
      <c r="AB112" s="566">
        <f t="shared" si="44"/>
        <v>747.55965446798677</v>
      </c>
      <c r="AC112" s="566">
        <f t="shared" si="44"/>
        <v>788.6754354637261</v>
      </c>
      <c r="AD112" s="566">
        <f t="shared" si="44"/>
        <v>832.05258441423098</v>
      </c>
      <c r="AE112" s="566">
        <f t="shared" si="44"/>
        <v>877.81547655701365</v>
      </c>
      <c r="AF112" s="566">
        <f t="shared" si="44"/>
        <v>926.09532776764945</v>
      </c>
      <c r="AG112" s="566">
        <f t="shared" si="44"/>
        <v>977.03057079487019</v>
      </c>
      <c r="AH112" s="566">
        <f t="shared" si="44"/>
        <v>1030.7672521885879</v>
      </c>
      <c r="AI112" s="566">
        <f t="shared" si="44"/>
        <v>1087.4594510589602</v>
      </c>
      <c r="AJ112" s="566">
        <f t="shared" si="44"/>
        <v>0</v>
      </c>
      <c r="AK112" s="566">
        <f t="shared" si="44"/>
        <v>0</v>
      </c>
      <c r="AL112" s="566">
        <f t="shared" si="44"/>
        <v>0</v>
      </c>
    </row>
    <row r="113" spans="1:38" x14ac:dyDescent="0.45">
      <c r="C113" t="str">
        <f>'11. Table - Expenditure Review'!C219</f>
        <v>E1.52</v>
      </c>
      <c r="D113" t="str">
        <f>'11. Table - Expenditure Review'!E219</f>
        <v>Net Deficit as % of HSDG Grant -  NDoHS Calc  (excl staff costs)</v>
      </c>
      <c r="N113" s="802">
        <f>SUMIF('11. Table - Expenditure Review'!$F$3:$W$3,'9f. Forecast Results - WC'!N$1,'11. Table - Expenditure Review'!$F219:$W219)</f>
        <v>-4.7403497637090357E-3</v>
      </c>
      <c r="O113" s="802">
        <f>SUMIF('11. Table - Expenditure Review'!$F$3:$W$3,'9f. Forecast Results - WC'!O$1,'11. Table - Expenditure Review'!$F219:$W219)</f>
        <v>-6.2941309428322179E-3</v>
      </c>
      <c r="P113" s="802">
        <f>SUMIF('11. Table - Expenditure Review'!$F$3:$W$3,'9f. Forecast Results - WC'!P$1,'11. Table - Expenditure Review'!$F219:$W219)</f>
        <v>0</v>
      </c>
      <c r="Q113" s="915">
        <f t="shared" ref="Q113:AL113" ca="1" si="45">IF(Q71&lt;&gt;0,-Q48/Q71,0)</f>
        <v>1.5036128049372385E-4</v>
      </c>
      <c r="R113" s="915">
        <f t="shared" ca="1" si="45"/>
        <v>6.0007759839622544E-4</v>
      </c>
      <c r="S113" s="915">
        <f t="shared" ca="1" si="45"/>
        <v>1.3680132614153043E-3</v>
      </c>
      <c r="T113" s="915">
        <f t="shared" ca="1" si="45"/>
        <v>2.4909833680134309E-3</v>
      </c>
      <c r="U113" s="915">
        <f t="shared" ca="1" si="45"/>
        <v>2.561331768210484E-3</v>
      </c>
      <c r="V113" s="915">
        <f t="shared" ca="1" si="45"/>
        <v>2.6216194460488992E-3</v>
      </c>
      <c r="W113" s="915">
        <f t="shared" ca="1" si="45"/>
        <v>2.6707068010564943E-3</v>
      </c>
      <c r="X113" s="915">
        <f t="shared" ca="1" si="45"/>
        <v>2.7073593103942801E-3</v>
      </c>
      <c r="Y113" s="915">
        <f t="shared" ca="1" si="45"/>
        <v>2.7302405346875396E-3</v>
      </c>
      <c r="Z113" s="915">
        <f t="shared" ca="1" si="45"/>
        <v>2.7379046416384925E-3</v>
      </c>
      <c r="AA113" s="915">
        <f t="shared" ca="1" si="45"/>
        <v>2.728788415533858E-3</v>
      </c>
      <c r="AB113" s="915">
        <f t="shared" ca="1" si="45"/>
        <v>2.7012027187118572E-3</v>
      </c>
      <c r="AC113" s="915">
        <f t="shared" ca="1" si="45"/>
        <v>2.6533233688754102E-3</v>
      </c>
      <c r="AD113" s="915">
        <f t="shared" ca="1" si="45"/>
        <v>2.583181393823675E-3</v>
      </c>
      <c r="AE113" s="915">
        <f t="shared" ca="1" si="45"/>
        <v>2.4886526227140865E-3</v>
      </c>
      <c r="AF113" s="915">
        <f t="shared" ca="1" si="45"/>
        <v>2.3674465703526766E-3</v>
      </c>
      <c r="AG113" s="915">
        <f t="shared" ca="1" si="45"/>
        <v>2.2170945682322115E-3</v>
      </c>
      <c r="AH113" s="915">
        <f t="shared" ca="1" si="45"/>
        <v>2.0349370930854527E-3</v>
      </c>
      <c r="AI113" s="915">
        <f t="shared" ca="1" si="45"/>
        <v>1.818110240583782E-3</v>
      </c>
      <c r="AJ113" s="915">
        <f t="shared" ca="1" si="45"/>
        <v>-4.1961801425677327E-5</v>
      </c>
      <c r="AK113" s="915">
        <f t="shared" ca="1" si="45"/>
        <v>0</v>
      </c>
      <c r="AL113" s="915">
        <f t="shared" ca="1" si="45"/>
        <v>2.0090177714686772E-3</v>
      </c>
    </row>
    <row r="114" spans="1:38" x14ac:dyDescent="0.45">
      <c r="C114" t="str">
        <f>'11. Table - Expenditure Review'!C220</f>
        <v>E1.53</v>
      </c>
      <c r="D114" t="str">
        <f>'11. Table - Expenditure Review'!E220</f>
        <v>Net Deficit (Surplus) as % of HSDG Grant - Calculated Above</v>
      </c>
      <c r="N114" s="802">
        <f>SUMIF('11. Table - Expenditure Review'!$F$3:$W$3,'9f. Forecast Results - WC'!N$1,'11. Table - Expenditure Review'!$F220:$W220)</f>
        <v>-2.158900199414364E-3</v>
      </c>
      <c r="O114" s="802">
        <f>SUMIF('11. Table - Expenditure Review'!$F$3:$W$3,'9f. Forecast Results - WC'!O$1,'11. Table - Expenditure Review'!$F220:$W220)</f>
        <v>-3.2943243730025186E-3</v>
      </c>
      <c r="P114" s="802">
        <f>SUMIF('11. Table - Expenditure Review'!$F$3:$W$3,'9f. Forecast Results - WC'!P$1,'11. Table - Expenditure Review'!$F220:$W220)</f>
        <v>-2.0581761582322512E-3</v>
      </c>
      <c r="Q114" s="915">
        <f t="shared" ref="Q114:AL114" ca="1" si="46">IF(Q71&lt;&gt;0,-Q48/Q71,0)</f>
        <v>1.5036128049372385E-4</v>
      </c>
      <c r="R114" s="915">
        <f t="shared" ca="1" si="46"/>
        <v>6.0007759839622544E-4</v>
      </c>
      <c r="S114" s="915">
        <f t="shared" ca="1" si="46"/>
        <v>1.3680132614153043E-3</v>
      </c>
      <c r="T114" s="915">
        <f t="shared" ca="1" si="46"/>
        <v>2.4909833680134309E-3</v>
      </c>
      <c r="U114" s="915">
        <f t="shared" ca="1" si="46"/>
        <v>2.561331768210484E-3</v>
      </c>
      <c r="V114" s="915">
        <f t="shared" ca="1" si="46"/>
        <v>2.6216194460488992E-3</v>
      </c>
      <c r="W114" s="915">
        <f t="shared" ca="1" si="46"/>
        <v>2.6707068010564943E-3</v>
      </c>
      <c r="X114" s="915">
        <f t="shared" ca="1" si="46"/>
        <v>2.7073593103942801E-3</v>
      </c>
      <c r="Y114" s="915">
        <f t="shared" ca="1" si="46"/>
        <v>2.7302405346875396E-3</v>
      </c>
      <c r="Z114" s="915">
        <f t="shared" ca="1" si="46"/>
        <v>2.7379046416384925E-3</v>
      </c>
      <c r="AA114" s="915">
        <f t="shared" ca="1" si="46"/>
        <v>2.728788415533858E-3</v>
      </c>
      <c r="AB114" s="915">
        <f t="shared" ca="1" si="46"/>
        <v>2.7012027187118572E-3</v>
      </c>
      <c r="AC114" s="915">
        <f t="shared" ca="1" si="46"/>
        <v>2.6533233688754102E-3</v>
      </c>
      <c r="AD114" s="915">
        <f t="shared" ca="1" si="46"/>
        <v>2.583181393823675E-3</v>
      </c>
      <c r="AE114" s="915">
        <f t="shared" ca="1" si="46"/>
        <v>2.4886526227140865E-3</v>
      </c>
      <c r="AF114" s="915">
        <f t="shared" ca="1" si="46"/>
        <v>2.3674465703526766E-3</v>
      </c>
      <c r="AG114" s="915">
        <f t="shared" ca="1" si="46"/>
        <v>2.2170945682322115E-3</v>
      </c>
      <c r="AH114" s="915">
        <f t="shared" ca="1" si="46"/>
        <v>2.0349370930854527E-3</v>
      </c>
      <c r="AI114" s="915">
        <f t="shared" ca="1" si="46"/>
        <v>1.818110240583782E-3</v>
      </c>
      <c r="AJ114" s="915">
        <f t="shared" ca="1" si="46"/>
        <v>-4.1961801425677327E-5</v>
      </c>
      <c r="AK114" s="915">
        <f t="shared" ca="1" si="46"/>
        <v>0</v>
      </c>
      <c r="AL114" s="915">
        <f t="shared" ca="1" si="46"/>
        <v>2.0090177714686772E-3</v>
      </c>
    </row>
    <row r="115" spans="1:38" x14ac:dyDescent="0.45">
      <c r="C115" t="str">
        <f>'11. Table - Expenditure Review'!C221</f>
        <v>E1.54</v>
      </c>
      <c r="D115" t="str">
        <f>'11. Table - Expenditure Review'!E221</f>
        <v>EEDBS as % of HSDG</v>
      </c>
      <c r="N115" s="802">
        <f>SUMIF('11. Table - Expenditure Review'!$F$3:$W$3,'9f. Forecast Results - WC'!N$1,'11. Table - Expenditure Review'!$F221:$W221)</f>
        <v>2.8727662860593178E-4</v>
      </c>
      <c r="O115" s="802">
        <f>SUMIF('11. Table - Expenditure Review'!$F$3:$W$3,'9f. Forecast Results - WC'!O$1,'11. Table - Expenditure Review'!$F221:$W221)</f>
        <v>1.8524592027850017E-4</v>
      </c>
      <c r="P115" s="802">
        <f>SUMIF('11. Table - Expenditure Review'!$F$3:$W$3,'9f. Forecast Results - WC'!P$1,'11. Table - Expenditure Review'!$F221:$W221)</f>
        <v>1.356665562937378E-4</v>
      </c>
      <c r="Q115" s="580">
        <f t="shared" ref="Q115:AL115" ca="1" si="47">IF(Q71&lt;&gt;0,Q67/Q71,0)</f>
        <v>1.4234227595844836E-3</v>
      </c>
      <c r="R115" s="580">
        <f t="shared" ca="1" si="47"/>
        <v>1.4234227595844836E-3</v>
      </c>
      <c r="S115" s="580">
        <f t="shared" ca="1" si="47"/>
        <v>1.0698929238706903E-3</v>
      </c>
      <c r="T115" s="580">
        <f t="shared" ca="1" si="47"/>
        <v>1.9537175131551732E-4</v>
      </c>
      <c r="U115" s="580">
        <f t="shared" ca="1" si="47"/>
        <v>1.9537175131551732E-4</v>
      </c>
      <c r="V115" s="580">
        <f t="shared" ca="1" si="47"/>
        <v>1.9537175131551732E-4</v>
      </c>
      <c r="W115" s="580">
        <f t="shared" ca="1" si="47"/>
        <v>1.9537175131551732E-4</v>
      </c>
      <c r="X115" s="580">
        <f t="shared" ca="1" si="47"/>
        <v>1.9537175131551732E-4</v>
      </c>
      <c r="Y115" s="580">
        <f t="shared" ca="1" si="47"/>
        <v>1.9537175131551732E-4</v>
      </c>
      <c r="Z115" s="580">
        <f t="shared" ca="1" si="47"/>
        <v>1.9537175131551732E-4</v>
      </c>
      <c r="AA115" s="580">
        <f t="shared" ca="1" si="47"/>
        <v>1.9537175131551732E-4</v>
      </c>
      <c r="AB115" s="580">
        <f t="shared" ca="1" si="47"/>
        <v>1.9537175131551732E-4</v>
      </c>
      <c r="AC115" s="580">
        <f t="shared" ca="1" si="47"/>
        <v>1.9537175131551732E-4</v>
      </c>
      <c r="AD115" s="580">
        <f t="shared" ca="1" si="47"/>
        <v>1.9537175131551732E-4</v>
      </c>
      <c r="AE115" s="580">
        <f t="shared" ca="1" si="47"/>
        <v>1.9537175131551732E-4</v>
      </c>
      <c r="AF115" s="580">
        <f t="shared" ca="1" si="47"/>
        <v>1.9537175131551732E-4</v>
      </c>
      <c r="AG115" s="580">
        <f t="shared" ca="1" si="47"/>
        <v>1.9537175131551732E-4</v>
      </c>
      <c r="AH115" s="580">
        <f t="shared" ca="1" si="47"/>
        <v>1.9537175131551732E-4</v>
      </c>
      <c r="AI115" s="580">
        <f t="shared" ca="1" si="47"/>
        <v>1.9537175131551732E-4</v>
      </c>
      <c r="AJ115" s="580">
        <f t="shared" ca="1" si="47"/>
        <v>4.3578784209431377E-2</v>
      </c>
      <c r="AK115" s="580">
        <f t="shared" ca="1" si="47"/>
        <v>0</v>
      </c>
      <c r="AL115" s="580">
        <f t="shared" ca="1" si="47"/>
        <v>2.410546222548539E-3</v>
      </c>
    </row>
    <row r="116" spans="1:38" x14ac:dyDescent="0.45">
      <c r="C116" t="str">
        <f>'11. Table - Expenditure Review'!C222</f>
        <v>E1.55</v>
      </c>
      <c r="D116" t="str">
        <f>'11. Table - Expenditure Review'!E222</f>
        <v>Debtors Balance as % of Rental Raised</v>
      </c>
      <c r="N116" s="802">
        <f>SUMIF('11. Table - Expenditure Review'!$F$3:$W$3,'9f. Forecast Results - WC'!N$1,'11. Table - Expenditure Review'!$F222:$W222)</f>
        <v>0</v>
      </c>
      <c r="O116" s="802">
        <f>SUMIF('11. Table - Expenditure Review'!$F$3:$W$3,'9f. Forecast Results - WC'!O$1,'11. Table - Expenditure Review'!$F222:$W222)</f>
        <v>0</v>
      </c>
      <c r="P116" s="802">
        <f>SUMIF('11. Table - Expenditure Review'!$F$3:$W$3,'9f. Forecast Results - WC'!P$1,'11. Table - Expenditure Review'!$F222:$W222)</f>
        <v>2.182772501241184</v>
      </c>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row>
    <row r="117" spans="1:38" x14ac:dyDescent="0.45">
      <c r="C117" t="str">
        <f>'11. Table - Expenditure Review'!C223</f>
        <v>E1.56</v>
      </c>
      <c r="D117" t="str">
        <f>'11. Table - Expenditure Review'!E223</f>
        <v>Average Expenditure per unit per month</v>
      </c>
      <c r="N117" s="801">
        <f>SUMIF('11. Table - Expenditure Review'!$F$3:$W$3,'9f. Forecast Results - WC'!N$1,'11. Table - Expenditure Review'!$F223:$W223)</f>
        <v>0</v>
      </c>
      <c r="O117" s="801">
        <f>SUMIF('11. Table - Expenditure Review'!$F$3:$W$3,'9f. Forecast Results - WC'!O$1,'11. Table - Expenditure Review'!$F223:$W223)</f>
        <v>0</v>
      </c>
      <c r="P117" s="801">
        <f>SUMIF('11. Table - Expenditure Review'!$F$3:$W$3,'9f. Forecast Results - WC'!P$1,'11. Table - Expenditure Review'!$F223:$W223)</f>
        <v>784.32211220043564</v>
      </c>
      <c r="Q117" s="566">
        <f t="shared" ref="Q117:AL117" si="48">IF(Q13&lt;&gt;0,Q47/Q13/12,0)</f>
        <v>1125.6719340716911</v>
      </c>
      <c r="R117" s="566">
        <f t="shared" si="48"/>
        <v>1506.8012874129854</v>
      </c>
      <c r="S117" s="566">
        <f t="shared" si="48"/>
        <v>1948.5709781539624</v>
      </c>
      <c r="T117" s="566">
        <f t="shared" si="48"/>
        <v>1896.4449499942675</v>
      </c>
      <c r="U117" s="566">
        <f t="shared" si="48"/>
        <v>2034.2482997373772</v>
      </c>
      <c r="V117" s="566">
        <f t="shared" si="48"/>
        <v>2186.7556038707867</v>
      </c>
      <c r="W117" s="566">
        <f t="shared" si="48"/>
        <v>2356.8083173801519</v>
      </c>
      <c r="X117" s="566">
        <f t="shared" si="48"/>
        <v>2548.1811948921932</v>
      </c>
      <c r="Y117" s="566">
        <f t="shared" si="48"/>
        <v>2766.0265350213426</v>
      </c>
      <c r="Z117" s="566">
        <f t="shared" si="48"/>
        <v>3017.6021578009659</v>
      </c>
      <c r="AA117" s="566">
        <f t="shared" si="48"/>
        <v>3313.5200669894489</v>
      </c>
      <c r="AB117" s="566">
        <f t="shared" si="48"/>
        <v>3670.0095720321092</v>
      </c>
      <c r="AC117" s="566">
        <f t="shared" si="48"/>
        <v>4113.30770270431</v>
      </c>
      <c r="AD117" s="566">
        <f t="shared" si="48"/>
        <v>4688.9442235080141</v>
      </c>
      <c r="AE117" s="566">
        <f t="shared" si="48"/>
        <v>5483.7418938422334</v>
      </c>
      <c r="AF117" s="566">
        <f t="shared" si="48"/>
        <v>6686.8578044907554</v>
      </c>
      <c r="AG117" s="566">
        <f t="shared" si="48"/>
        <v>8804.6464024506949</v>
      </c>
      <c r="AH117" s="566">
        <f t="shared" si="48"/>
        <v>13809.060758678364</v>
      </c>
      <c r="AI117" s="566">
        <f t="shared" si="48"/>
        <v>44373.356214893087</v>
      </c>
      <c r="AJ117" s="566">
        <f t="shared" si="48"/>
        <v>0</v>
      </c>
      <c r="AK117" s="566">
        <f t="shared" si="48"/>
        <v>0</v>
      </c>
      <c r="AL117" s="566">
        <f t="shared" si="48"/>
        <v>0</v>
      </c>
    </row>
    <row r="118" spans="1:38" x14ac:dyDescent="0.45">
      <c r="C118" t="str">
        <f>'11. Table - Expenditure Review'!C224</f>
        <v>E1.57</v>
      </c>
      <c r="D118" t="str">
        <f>'11. Table - Expenditure Review'!E224</f>
        <v>Net Surplus/Deficit p.u.p.m.</v>
      </c>
      <c r="N118" s="801">
        <f>SUMIF('11. Table - Expenditure Review'!$F$3:$W$3,'9f. Forecast Results - WC'!N$1,'11. Table - Expenditure Review'!$F224:$W224)</f>
        <v>0</v>
      </c>
      <c r="O118" s="801">
        <f>SUMIF('11. Table - Expenditure Review'!$F$3:$W$3,'9f. Forecast Results - WC'!O$1,'11. Table - Expenditure Review'!$F224:$W224)</f>
        <v>0</v>
      </c>
      <c r="P118" s="801">
        <f>SUMIF('11. Table - Expenditure Review'!$F$3:$W$3,'9f. Forecast Results - WC'!P$1,'11. Table - Expenditure Review'!$F224:$W224)</f>
        <v>442.82668954248373</v>
      </c>
      <c r="Q118" s="566">
        <f t="shared" ref="Q118:AL118" ca="1" si="49">IF(Q13&lt;&gt;0,Q48/Q13/12,0)</f>
        <v>-40.438708204156434</v>
      </c>
      <c r="R118" s="566">
        <f t="shared" ca="1" si="49"/>
        <v>-215.18272808633799</v>
      </c>
      <c r="S118" s="566">
        <f t="shared" ca="1" si="49"/>
        <v>-654.55258936848793</v>
      </c>
      <c r="T118" s="566">
        <f t="shared" ca="1" si="49"/>
        <v>-1269.3488265731228</v>
      </c>
      <c r="U118" s="566">
        <f t="shared" ca="1" si="49"/>
        <v>-1395.9554979832856</v>
      </c>
      <c r="V118" s="566">
        <f t="shared" ca="1" si="49"/>
        <v>-1535.5925989083614</v>
      </c>
      <c r="W118" s="566">
        <f t="shared" ca="1" si="49"/>
        <v>-1690.6960763834313</v>
      </c>
      <c r="X118" s="566">
        <f t="shared" ca="1" si="49"/>
        <v>-1864.4926554618451</v>
      </c>
      <c r="Y118" s="566">
        <f t="shared" ca="1" si="49"/>
        <v>-2061.3754378261169</v>
      </c>
      <c r="Z118" s="566">
        <f t="shared" ca="1" si="49"/>
        <v>-2287.5193280889603</v>
      </c>
      <c r="AA118" s="566">
        <f t="shared" ca="1" si="49"/>
        <v>-2551.9365685918865</v>
      </c>
      <c r="AB118" s="566">
        <f t="shared" ca="1" si="49"/>
        <v>-2868.3897398858066</v>
      </c>
      <c r="AC118" s="566">
        <f t="shared" ca="1" si="49"/>
        <v>-3259.1028351865284</v>
      </c>
      <c r="AD118" s="566">
        <f t="shared" ca="1" si="49"/>
        <v>-3762.6094402151953</v>
      </c>
      <c r="AE118" s="566">
        <f t="shared" ca="1" si="49"/>
        <v>-4452.3483201814242</v>
      </c>
      <c r="AF118" s="566">
        <f t="shared" ca="1" si="49"/>
        <v>-5488.2579870048348</v>
      </c>
      <c r="AG118" s="566">
        <f t="shared" ca="1" si="49"/>
        <v>-7298.3870963265699</v>
      </c>
      <c r="AH118" s="566">
        <f t="shared" ca="1" si="49"/>
        <v>-11549.566152784842</v>
      </c>
      <c r="AI118" s="566">
        <f t="shared" ca="1" si="49"/>
        <v>-37406.140985440841</v>
      </c>
      <c r="AJ118" s="566">
        <f t="shared" si="49"/>
        <v>0</v>
      </c>
      <c r="AK118" s="566">
        <f t="shared" si="49"/>
        <v>0</v>
      </c>
      <c r="AL118" s="566">
        <f t="shared" si="49"/>
        <v>0</v>
      </c>
    </row>
    <row r="126" spans="1:38" x14ac:dyDescent="0.45">
      <c r="A126" s="583"/>
      <c r="B126" s="583"/>
      <c r="C126" s="583"/>
      <c r="D126" s="451" t="s">
        <v>1335</v>
      </c>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row>
    <row r="127" spans="1:38" x14ac:dyDescent="0.45">
      <c r="A127" s="583"/>
      <c r="B127" s="583"/>
      <c r="C127" s="583">
        <f>'10. Inputs &amp; Calcs'!C142</f>
        <v>13</v>
      </c>
      <c r="D127" s="583" t="str">
        <f>'10. Inputs &amp; Calcs'!D142</f>
        <v>Total EEDBS Paid p.a. i.r.o. Existing Rental Units</v>
      </c>
      <c r="E127" s="583"/>
      <c r="M127" s="583"/>
      <c r="N127" s="615">
        <f>SUMIF('10. Inputs &amp; Calcs'!$D$143:$D$148,$E$10,'10. Inputs &amp; Calcs'!F$143:F$148)</f>
        <v>562843</v>
      </c>
      <c r="O127" s="615">
        <f>SUMIF('10. Inputs &amp; Calcs'!$D$143:$D$148,$E$10,'10. Inputs &amp; Calcs'!G$143:G$148)</f>
        <v>358439</v>
      </c>
      <c r="P127" s="615">
        <f>SUMIF('10. Inputs &amp; Calcs'!$D$143:$D$148,$E$10,'10. Inputs &amp; Calcs'!H$143:H$148)</f>
        <v>267958</v>
      </c>
      <c r="Q127" s="996">
        <f>-'10. Inputs &amp; Calcs'!I$190-'10. Inputs &amp; Calcs'!I189</f>
        <v>210409.8845669291</v>
      </c>
      <c r="R127" s="996">
        <f>-'10. Inputs &amp; Calcs'!J$190-'10. Inputs &amp; Calcs'!J189</f>
        <v>210409.8845669291</v>
      </c>
      <c r="S127" s="996">
        <f>-'10. Inputs &amp; Calcs'!K$190-'10. Inputs &amp; Calcs'!K189</f>
        <v>210409.8845669291</v>
      </c>
      <c r="T127" s="615">
        <f>-'10. Inputs &amp; Calcs'!L$190-'10. Inputs &amp; Calcs'!L189</f>
        <v>23378.876062992123</v>
      </c>
      <c r="U127" s="615">
        <f>-'10. Inputs &amp; Calcs'!M$190-'10. Inputs &amp; Calcs'!M189</f>
        <v>23378.876062992123</v>
      </c>
      <c r="V127" s="615">
        <f>-'10. Inputs &amp; Calcs'!N$190-'10. Inputs &amp; Calcs'!N189</f>
        <v>23378.876062992123</v>
      </c>
      <c r="W127" s="615">
        <f>-'10. Inputs &amp; Calcs'!O$190-'10. Inputs &amp; Calcs'!O189</f>
        <v>23378.876062992123</v>
      </c>
      <c r="X127" s="615">
        <f>-'10. Inputs &amp; Calcs'!P$190-'10. Inputs &amp; Calcs'!P189</f>
        <v>23378.876062992123</v>
      </c>
      <c r="Y127" s="615">
        <f>-'10. Inputs &amp; Calcs'!Q$190-'10. Inputs &amp; Calcs'!Q189</f>
        <v>23378.876062992123</v>
      </c>
      <c r="Z127" s="615">
        <f>-'10. Inputs &amp; Calcs'!R$190-'10. Inputs &amp; Calcs'!R189</f>
        <v>23378.876062992123</v>
      </c>
      <c r="AA127" s="615">
        <f>-'10. Inputs &amp; Calcs'!S$190-'10. Inputs &amp; Calcs'!S189</f>
        <v>23378.876062992123</v>
      </c>
      <c r="AB127" s="615">
        <f>-'10. Inputs &amp; Calcs'!T$190-'10. Inputs &amp; Calcs'!T189</f>
        <v>23378.876062992123</v>
      </c>
      <c r="AC127" s="615">
        <f>-'10. Inputs &amp; Calcs'!U$190-'10. Inputs &amp; Calcs'!U189</f>
        <v>23378.876062992123</v>
      </c>
      <c r="AD127" s="615">
        <f>-'10. Inputs &amp; Calcs'!V$190-'10. Inputs &amp; Calcs'!V189</f>
        <v>23378.876062992123</v>
      </c>
      <c r="AE127" s="615">
        <f>-'10. Inputs &amp; Calcs'!W$190-'10. Inputs &amp; Calcs'!W189</f>
        <v>23378.876062992123</v>
      </c>
      <c r="AF127" s="615">
        <f>-'10. Inputs &amp; Calcs'!X$190-'10. Inputs &amp; Calcs'!X189</f>
        <v>23378.876062992123</v>
      </c>
      <c r="AG127" s="615">
        <f>-'10. Inputs &amp; Calcs'!Y$190-'10. Inputs &amp; Calcs'!Y189</f>
        <v>23378.876062992123</v>
      </c>
      <c r="AH127" s="615">
        <f>-'10. Inputs &amp; Calcs'!Z$190-'10. Inputs &amp; Calcs'!Z189</f>
        <v>23378.876062992123</v>
      </c>
      <c r="AI127" s="980">
        <f>-'10. Inputs &amp; Calcs'!AA$190-'10. Inputs &amp; Calcs'!AA189</f>
        <v>23378.876062992123</v>
      </c>
      <c r="AJ127" s="980">
        <f>-'10. Inputs &amp; Calcs'!AB$190-'10. Inputs &amp; Calcs'!AB189</f>
        <v>16020928.030877186</v>
      </c>
      <c r="AK127" s="615">
        <f>-'10. Inputs &amp; Calcs'!AC$190-'10. Inputs &amp; Calcs'!AC189</f>
        <v>0</v>
      </c>
      <c r="AL127" s="615">
        <f>-'10. Inputs &amp; Calcs'!AD$190-'10. Inputs &amp; Calcs'!AD189</f>
        <v>17026219.701585848</v>
      </c>
    </row>
    <row r="128" spans="1:38" x14ac:dyDescent="0.45">
      <c r="A128" s="583"/>
      <c r="B128" s="583"/>
      <c r="C128" s="583">
        <f>'10. Inputs &amp; Calcs'!C431</f>
        <v>45</v>
      </c>
      <c r="D128" s="583" t="str">
        <f>'10. Inputs &amp; Calcs'!D431</f>
        <v>Sales Collected</v>
      </c>
      <c r="E128" s="583"/>
      <c r="M128" s="583"/>
      <c r="N128" s="615">
        <f>SUMIF('10. Inputs &amp; Calcs'!$D$432:$D$437,$E$10,'10. Inputs &amp; Calcs'!F$432:F$437)</f>
        <v>6921387.4400000004</v>
      </c>
      <c r="O128" s="615">
        <f>SUMIF('10. Inputs &amp; Calcs'!$D$432:$D$437,$E$10,'10. Inputs &amp; Calcs'!G$432:G$437)</f>
        <v>9181164.0800000001</v>
      </c>
      <c r="P128" s="615">
        <f>SUMIF('10. Inputs &amp; Calcs'!$D$432:$D$437,$E$10,'10. Inputs &amp; Calcs'!H$432:H$437)</f>
        <v>6715148.580000001</v>
      </c>
      <c r="Q128" s="615">
        <f>SUMIF('10. Inputs &amp; Calcs'!$D$432:$D$437,$E$10,'10. Inputs &amp; Calcs'!I$432:I$437)</f>
        <v>4547081.6667711753</v>
      </c>
      <c r="R128" s="615">
        <f>SUMIF('10. Inputs &amp; Calcs'!$D$432:$D$437,$E$10,'10. Inputs &amp; Calcs'!J$432:J$437)</f>
        <v>4547081.6667711753</v>
      </c>
      <c r="S128" s="615">
        <f>SUMIF('10. Inputs &amp; Calcs'!$D$432:$D$437,$E$10,'10. Inputs &amp; Calcs'!K$432:K$437)</f>
        <v>3417741.1220829091</v>
      </c>
      <c r="T128" s="615">
        <f>SUMIF('10. Inputs &amp; Calcs'!$D$432:$D$437,$E$10,'10. Inputs &amp; Calcs'!L$432:L$437)</f>
        <v>624109.24838035728</v>
      </c>
      <c r="U128" s="615">
        <f>SUMIF('10. Inputs &amp; Calcs'!$D$432:$D$437,$E$10,'10. Inputs &amp; Calcs'!M$432:M$437)</f>
        <v>624109.24838035728</v>
      </c>
      <c r="V128" s="615">
        <f>SUMIF('10. Inputs &amp; Calcs'!$D$432:$D$437,$E$10,'10. Inputs &amp; Calcs'!N$432:N$437)</f>
        <v>624109.24838035728</v>
      </c>
      <c r="W128" s="615">
        <f>SUMIF('10. Inputs &amp; Calcs'!$D$432:$D$437,$E$10,'10. Inputs &amp; Calcs'!O$432:O$437)</f>
        <v>624109.24838035728</v>
      </c>
      <c r="X128" s="615">
        <f>SUMIF('10. Inputs &amp; Calcs'!$D$432:$D$437,$E$10,'10. Inputs &amp; Calcs'!P$432:P$437)</f>
        <v>624109.24838035728</v>
      </c>
      <c r="Y128" s="615">
        <f>SUMIF('10. Inputs &amp; Calcs'!$D$432:$D$437,$E$10,'10. Inputs &amp; Calcs'!Q$432:Q$437)</f>
        <v>624109.24838035728</v>
      </c>
      <c r="Z128" s="615">
        <f>SUMIF('10. Inputs &amp; Calcs'!$D$432:$D$437,$E$10,'10. Inputs &amp; Calcs'!R$432:R$437)</f>
        <v>624109.24838035728</v>
      </c>
      <c r="AA128" s="615">
        <f>SUMIF('10. Inputs &amp; Calcs'!$D$432:$D$437,$E$10,'10. Inputs &amp; Calcs'!S$432:S$437)</f>
        <v>624109.24838035728</v>
      </c>
      <c r="AB128" s="615">
        <f>SUMIF('10. Inputs &amp; Calcs'!$D$432:$D$437,$E$10,'10. Inputs &amp; Calcs'!T$432:T$437)</f>
        <v>624109.24838035728</v>
      </c>
      <c r="AC128" s="615">
        <f>SUMIF('10. Inputs &amp; Calcs'!$D$432:$D$437,$E$10,'10. Inputs &amp; Calcs'!U$432:U$437)</f>
        <v>624109.24838035728</v>
      </c>
      <c r="AD128" s="615">
        <f>SUMIF('10. Inputs &amp; Calcs'!$D$432:$D$437,$E$10,'10. Inputs &amp; Calcs'!V$432:V$437)</f>
        <v>624109.24838035728</v>
      </c>
      <c r="AE128" s="615">
        <f>SUMIF('10. Inputs &amp; Calcs'!$D$432:$D$437,$E$10,'10. Inputs &amp; Calcs'!W$432:W$437)</f>
        <v>624109.24838035728</v>
      </c>
      <c r="AF128" s="615">
        <f>SUMIF('10. Inputs &amp; Calcs'!$D$432:$D$437,$E$10,'10. Inputs &amp; Calcs'!X$432:X$437)</f>
        <v>624109.24838035728</v>
      </c>
      <c r="AG128" s="615">
        <f>SUMIF('10. Inputs &amp; Calcs'!$D$432:$D$437,$E$10,'10. Inputs &amp; Calcs'!Y$432:Y$437)</f>
        <v>624109.24838035728</v>
      </c>
      <c r="AH128" s="615">
        <f>SUMIF('10. Inputs &amp; Calcs'!$D$432:$D$437,$E$10,'10. Inputs &amp; Calcs'!Z$432:Z$437)</f>
        <v>624109.24838035728</v>
      </c>
      <c r="AI128" s="615">
        <f>SUMIF('10. Inputs &amp; Calcs'!$D$432:$D$437,$E$10,'10. Inputs &amp; Calcs'!AA$432:AA$437)</f>
        <v>624109.24838035728</v>
      </c>
      <c r="AJ128" s="615">
        <f>SUMIF('10. Inputs &amp; Calcs'!$D$432:$D$437,$E$10,'10. Inputs &amp; Calcs'!AB$432:AB$437)</f>
        <v>237755.90414489803</v>
      </c>
      <c r="AK128" s="615">
        <f>SUMIF('10. Inputs &amp; Calcs'!$D$432:$D$437,$E$10,'10. Inputs &amp; Calcs'!AC$432:AC$437)</f>
        <v>0</v>
      </c>
      <c r="AL128" s="615">
        <f>SUMIF('10. Inputs &amp; Calcs'!$D$432:$D$437,$E$10,'10. Inputs &amp; Calcs'!AD$432:AD$437)</f>
        <v>22735408.33385586</v>
      </c>
    </row>
    <row r="129" spans="1:38" x14ac:dyDescent="0.45">
      <c r="A129" s="583"/>
      <c r="B129" s="583"/>
      <c r="C129" s="583">
        <f>'10. Inputs &amp; Calcs'!C573</f>
        <v>60</v>
      </c>
      <c r="D129" s="583" t="str">
        <f>'10. Inputs &amp; Calcs'!D573</f>
        <v>Total Rental Collected p.a.</v>
      </c>
      <c r="E129" s="583"/>
      <c r="M129" s="583"/>
      <c r="N129" s="615">
        <f>SUMIF('10. Inputs &amp; Calcs'!$D$574:$D$579,$E$10,'10. Inputs &amp; Calcs'!F$574:F$579)</f>
        <v>3541586.62</v>
      </c>
      <c r="O129" s="615">
        <f>SUMIF('10. Inputs &amp; Calcs'!$D$574:$D$579,$E$10,'10. Inputs &amp; Calcs'!G$574:G$579)</f>
        <v>3667686.04</v>
      </c>
      <c r="P129" s="615">
        <f>SUMIF('10. Inputs &amp; Calcs'!$D$574:$D$579,$E$10,'10. Inputs &amp; Calcs'!H$574:H$579)</f>
        <v>4278588.93</v>
      </c>
      <c r="Q129" s="615">
        <f>SUMIF('10. Inputs &amp; Calcs'!$D$574:$D$579,$E$10,'10. Inputs &amp; Calcs'!I$574:I$579)</f>
        <v>3422871.1439999989</v>
      </c>
      <c r="R129" s="615">
        <f>SUMIF('10. Inputs &amp; Calcs'!$D$574:$D$579,$E$10,'10. Inputs &amp; Calcs'!J$574:J$579)</f>
        <v>2567153.3579999991</v>
      </c>
      <c r="S129" s="615">
        <f>SUMIF('10. Inputs &amp; Calcs'!$D$574:$D$579,$E$10,'10. Inputs &amp; Calcs'!K$574:K$579)</f>
        <v>1923966.7868235286</v>
      </c>
      <c r="T129" s="615">
        <f>SUMIF('10. Inputs &amp; Calcs'!$D$574:$D$579,$E$10,'10. Inputs &amp; Calcs'!L$574:L$579)</f>
        <v>1806515.3259999994</v>
      </c>
      <c r="U129" s="615">
        <f>SUMIF('10. Inputs &amp; Calcs'!$D$574:$D$579,$E$10,'10. Inputs &amp; Calcs'!M$574:M$579)</f>
        <v>1689063.86517647</v>
      </c>
      <c r="V129" s="615">
        <f>SUMIF('10. Inputs &amp; Calcs'!$D$574:$D$579,$E$10,'10. Inputs &amp; Calcs'!N$574:N$579)</f>
        <v>1571612.4043529406</v>
      </c>
      <c r="W129" s="615">
        <f>SUMIF('10. Inputs &amp; Calcs'!$D$574:$D$579,$E$10,'10. Inputs &amp; Calcs'!O$574:O$579)</f>
        <v>1454160.9435294112</v>
      </c>
      <c r="X129" s="615">
        <f>SUMIF('10. Inputs &amp; Calcs'!$D$574:$D$579,$E$10,'10. Inputs &amp; Calcs'!P$574:P$579)</f>
        <v>1336709.4827058816</v>
      </c>
      <c r="Y129" s="615">
        <f>SUMIF('10. Inputs &amp; Calcs'!$D$574:$D$579,$E$10,'10. Inputs &amp; Calcs'!Q$574:Q$579)</f>
        <v>1219258.0218823524</v>
      </c>
      <c r="Z129" s="615">
        <f>SUMIF('10. Inputs &amp; Calcs'!$D$574:$D$579,$E$10,'10. Inputs &amp; Calcs'!R$574:R$579)</f>
        <v>1101806.561058823</v>
      </c>
      <c r="AA129" s="615">
        <f>SUMIF('10. Inputs &amp; Calcs'!$D$574:$D$579,$E$10,'10. Inputs &amp; Calcs'!S$574:S$579)</f>
        <v>984355.10023529385</v>
      </c>
      <c r="AB129" s="615">
        <f>SUMIF('10. Inputs &amp; Calcs'!$D$574:$D$579,$E$10,'10. Inputs &amp; Calcs'!T$574:T$579)</f>
        <v>866903.63941176445</v>
      </c>
      <c r="AC129" s="615">
        <f>SUMIF('10. Inputs &amp; Calcs'!$D$574:$D$579,$E$10,'10. Inputs &amp; Calcs'!U$574:U$579)</f>
        <v>749452.17858823505</v>
      </c>
      <c r="AD129" s="615">
        <f>SUMIF('10. Inputs &amp; Calcs'!$D$574:$D$579,$E$10,'10. Inputs &amp; Calcs'!V$574:V$579)</f>
        <v>632000.71776470565</v>
      </c>
      <c r="AE129" s="615">
        <f>SUMIF('10. Inputs &amp; Calcs'!$D$574:$D$579,$E$10,'10. Inputs &amp; Calcs'!W$574:W$579)</f>
        <v>514549.25694117625</v>
      </c>
      <c r="AF129" s="615">
        <f>SUMIF('10. Inputs &amp; Calcs'!$D$574:$D$579,$E$10,'10. Inputs &amp; Calcs'!X$574:X$579)</f>
        <v>397097.79611764691</v>
      </c>
      <c r="AG129" s="615">
        <f>SUMIF('10. Inputs &amp; Calcs'!$D$574:$D$579,$E$10,'10. Inputs &amp; Calcs'!Y$574:Y$579)</f>
        <v>279646.33529411751</v>
      </c>
      <c r="AH129" s="615">
        <f>SUMIF('10. Inputs &amp; Calcs'!$D$574:$D$579,$E$10,'10. Inputs &amp; Calcs'!Z$574:Z$579)</f>
        <v>162194.87447058814</v>
      </c>
      <c r="AI129" s="615">
        <f>SUMIF('10. Inputs &amp; Calcs'!$D$574:$D$579,$E$10,'10. Inputs &amp; Calcs'!AA$574:AA$579)</f>
        <v>44743.413647058798</v>
      </c>
      <c r="AJ129" s="615">
        <f>SUMIF('10. Inputs &amp; Calcs'!$D$574:$D$579,$E$10,'10. Inputs &amp; Calcs'!AB$574:AB$579)</f>
        <v>0</v>
      </c>
      <c r="AK129" s="615">
        <f>SUMIF('10. Inputs &amp; Calcs'!$D$574:$D$579,$E$10,'10. Inputs &amp; Calcs'!AC$574:AC$579)</f>
        <v>0</v>
      </c>
      <c r="AL129" s="615">
        <f>SUMIF('10. Inputs &amp; Calcs'!$D$574:$D$579,$E$10,'10. Inputs &amp; Calcs'!AD$574:AD$579)</f>
        <v>22724061.205999997</v>
      </c>
    </row>
    <row r="130" spans="1:38" x14ac:dyDescent="0.45">
      <c r="A130" s="583"/>
      <c r="B130" s="583"/>
      <c r="C130" s="583"/>
      <c r="D130" s="747" t="s">
        <v>330</v>
      </c>
      <c r="E130" s="583"/>
      <c r="M130" s="583"/>
      <c r="N130" s="613">
        <f t="shared" ref="N130:AL130" si="50">SUM(N127:N129)</f>
        <v>11025817.060000001</v>
      </c>
      <c r="O130" s="613">
        <f t="shared" si="50"/>
        <v>13207289.120000001</v>
      </c>
      <c r="P130" s="613">
        <f t="shared" si="50"/>
        <v>11261695.510000002</v>
      </c>
      <c r="Q130" s="613">
        <f t="shared" si="50"/>
        <v>8180362.6953381039</v>
      </c>
      <c r="R130" s="613">
        <f t="shared" si="50"/>
        <v>7324644.9093381036</v>
      </c>
      <c r="S130" s="613">
        <f t="shared" si="50"/>
        <v>5552117.7934733666</v>
      </c>
      <c r="T130" s="613">
        <f t="shared" si="50"/>
        <v>2454003.4504433488</v>
      </c>
      <c r="U130" s="613">
        <f t="shared" si="50"/>
        <v>2336551.9896198194</v>
      </c>
      <c r="V130" s="613">
        <f t="shared" si="50"/>
        <v>2219100.52879629</v>
      </c>
      <c r="W130" s="613">
        <f t="shared" si="50"/>
        <v>2101649.0679727606</v>
      </c>
      <c r="X130" s="613">
        <f t="shared" si="50"/>
        <v>1984197.607149231</v>
      </c>
      <c r="Y130" s="613">
        <f t="shared" si="50"/>
        <v>1866746.1463257018</v>
      </c>
      <c r="Z130" s="613">
        <f t="shared" ref="Z130:AJ130" si="51">SUM(Z127:Z129)</f>
        <v>1749294.6855021724</v>
      </c>
      <c r="AA130" s="613">
        <f t="shared" si="51"/>
        <v>1631843.2246786433</v>
      </c>
      <c r="AB130" s="613">
        <f t="shared" si="51"/>
        <v>1514391.7638551139</v>
      </c>
      <c r="AC130" s="613">
        <f t="shared" si="51"/>
        <v>1396940.3030315845</v>
      </c>
      <c r="AD130" s="613">
        <f t="shared" si="51"/>
        <v>1279488.8422080551</v>
      </c>
      <c r="AE130" s="613">
        <f t="shared" si="51"/>
        <v>1162037.3813845257</v>
      </c>
      <c r="AF130" s="613">
        <f t="shared" si="51"/>
        <v>1044585.9205609963</v>
      </c>
      <c r="AG130" s="613">
        <f t="shared" si="51"/>
        <v>927134.45973746688</v>
      </c>
      <c r="AH130" s="613">
        <f t="shared" si="51"/>
        <v>809682.9989139376</v>
      </c>
      <c r="AI130" s="613">
        <f t="shared" si="51"/>
        <v>692231.5380904082</v>
      </c>
      <c r="AJ130" s="613">
        <f t="shared" si="51"/>
        <v>16258683.935022084</v>
      </c>
      <c r="AK130" s="613">
        <f t="shared" si="50"/>
        <v>0</v>
      </c>
      <c r="AL130" s="613">
        <f t="shared" si="50"/>
        <v>62485689.241441712</v>
      </c>
    </row>
    <row r="131" spans="1:38" x14ac:dyDescent="0.45">
      <c r="A131" s="583"/>
      <c r="B131" s="583"/>
      <c r="C131" s="583"/>
      <c r="D131" s="583"/>
      <c r="E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row>
    <row r="132" spans="1:38" x14ac:dyDescent="0.45">
      <c r="A132" s="583"/>
      <c r="B132" s="583"/>
      <c r="C132" s="583">
        <f>'10. Inputs &amp; Calcs'!C507</f>
        <v>53</v>
      </c>
      <c r="D132" s="583" t="str">
        <f>'10. Inputs &amp; Calcs'!D507</f>
        <v>Total Disposal Costs</v>
      </c>
      <c r="E132" s="583"/>
      <c r="M132" s="583"/>
      <c r="N132" s="615">
        <f>SUMIF('10. Inputs &amp; Calcs'!$D$508:$D$513,$E$10,'10. Inputs &amp; Calcs'!F$508:F$513)</f>
        <v>0</v>
      </c>
      <c r="O132" s="615">
        <f>SUMIF('10. Inputs &amp; Calcs'!$D$508:$D$513,$E$10,'10. Inputs &amp; Calcs'!G$508:G$513)</f>
        <v>0</v>
      </c>
      <c r="P132" s="615">
        <f>SUMIF('10. Inputs &amp; Calcs'!$D$508:$D$513,$E$10,'10. Inputs &amp; Calcs'!H$508:H$513)</f>
        <v>0</v>
      </c>
      <c r="Q132" s="615">
        <f>SUMIF('10. Inputs &amp; Calcs'!$D$508:$D$513,$E$10,'10. Inputs &amp; Calcs'!I$508:I$513)</f>
        <v>1071000</v>
      </c>
      <c r="R132" s="615">
        <f>SUMIF('10. Inputs &amp; Calcs'!$D$508:$D$513,$E$10,'10. Inputs &amp; Calcs'!J$508:J$513)</f>
        <v>1129905</v>
      </c>
      <c r="S132" s="615">
        <f>SUMIF('10. Inputs &amp; Calcs'!$D$508:$D$513,$E$10,'10. Inputs &amp; Calcs'!K$508:K$513)</f>
        <v>895985.125</v>
      </c>
      <c r="T132" s="615">
        <f>SUMIF('10. Inputs &amp; Calcs'!$D$508:$D$513,$E$10,'10. Inputs &amp; Calcs'!L$508:L$513)</f>
        <v>172613.48212499998</v>
      </c>
      <c r="U132" s="615">
        <f>SUMIF('10. Inputs &amp; Calcs'!$D$508:$D$513,$E$10,'10. Inputs &amp; Calcs'!M$508:M$513)</f>
        <v>182107.223641875</v>
      </c>
      <c r="V132" s="615">
        <f>SUMIF('10. Inputs &amp; Calcs'!$D$508:$D$513,$E$10,'10. Inputs &amp; Calcs'!N$508:N$513)</f>
        <v>192123.12094217809</v>
      </c>
      <c r="W132" s="615">
        <f>SUMIF('10. Inputs &amp; Calcs'!$D$508:$D$513,$E$10,'10. Inputs &amp; Calcs'!O$508:O$513)</f>
        <v>202689.89259399791</v>
      </c>
      <c r="X132" s="615">
        <f>SUMIF('10. Inputs &amp; Calcs'!$D$508:$D$513,$E$10,'10. Inputs &amp; Calcs'!P$508:P$513)</f>
        <v>213837.83668666778</v>
      </c>
      <c r="Y132" s="615">
        <f>SUMIF('10. Inputs &amp; Calcs'!$D$508:$D$513,$E$10,'10. Inputs &amp; Calcs'!Q$508:Q$513)</f>
        <v>225598.91770443445</v>
      </c>
      <c r="Z132" s="615">
        <f>SUMIF('10. Inputs &amp; Calcs'!$D$508:$D$513,$E$10,'10. Inputs &amp; Calcs'!R$508:R$513)</f>
        <v>238006.85817817837</v>
      </c>
      <c r="AA132" s="615">
        <f>SUMIF('10. Inputs &amp; Calcs'!$D$508:$D$513,$E$10,'10. Inputs &amp; Calcs'!S$508:S$513)</f>
        <v>251097.23537797813</v>
      </c>
      <c r="AB132" s="615">
        <f>SUMIF('10. Inputs &amp; Calcs'!$D$508:$D$513,$E$10,'10. Inputs &amp; Calcs'!T$508:T$513)</f>
        <v>264907.58332376694</v>
      </c>
      <c r="AC132" s="615">
        <f>SUMIF('10. Inputs &amp; Calcs'!$D$508:$D$513,$E$10,'10. Inputs &amp; Calcs'!U$508:U$513)</f>
        <v>279477.50040657411</v>
      </c>
      <c r="AD132" s="615">
        <f>SUMIF('10. Inputs &amp; Calcs'!$D$508:$D$513,$E$10,'10. Inputs &amp; Calcs'!V$508:V$513)</f>
        <v>294848.76292893564</v>
      </c>
      <c r="AE132" s="615">
        <f>SUMIF('10. Inputs &amp; Calcs'!$D$508:$D$513,$E$10,'10. Inputs &amp; Calcs'!W$508:W$513)</f>
        <v>311065.44489002711</v>
      </c>
      <c r="AF132" s="615">
        <f>SUMIF('10. Inputs &amp; Calcs'!$D$508:$D$513,$E$10,'10. Inputs &amp; Calcs'!X$508:X$513)</f>
        <v>328174.04435897863</v>
      </c>
      <c r="AG132" s="615">
        <f>SUMIF('10. Inputs &amp; Calcs'!$D$508:$D$513,$E$10,'10. Inputs &amp; Calcs'!Y$508:Y$513)</f>
        <v>346223.61679872242</v>
      </c>
      <c r="AH132" s="615">
        <f>SUMIF('10. Inputs &amp; Calcs'!$D$508:$D$513,$E$10,'10. Inputs &amp; Calcs'!Z$508:Z$513)</f>
        <v>365265.91572265216</v>
      </c>
      <c r="AI132" s="615">
        <f>SUMIF('10. Inputs &amp; Calcs'!$D$508:$D$513,$E$10,'10. Inputs &amp; Calcs'!AA$508:AA$513)</f>
        <v>385355.54108739796</v>
      </c>
      <c r="AJ132" s="615">
        <f>SUMIF('10. Inputs &amp; Calcs'!$D$508:$D$513,$E$10,'10. Inputs &amp; Calcs'!AB$508:AB$513)</f>
        <v>154876.22698941137</v>
      </c>
      <c r="AK132" s="615">
        <f>SUMIF('10. Inputs &amp; Calcs'!$D$508:$D$513,$E$10,'10. Inputs &amp; Calcs'!AC$508:AC$513)</f>
        <v>0</v>
      </c>
      <c r="AL132" s="615">
        <f>SUMIF('10. Inputs &amp; Calcs'!$D$508:$D$513,$E$10,'10. Inputs &amp; Calcs'!AD$508:AD$513)</f>
        <v>7505159.3287567794</v>
      </c>
    </row>
    <row r="133" spans="1:38" x14ac:dyDescent="0.45">
      <c r="A133" s="583"/>
      <c r="B133" s="583"/>
      <c r="C133" s="583">
        <f>'10. Inputs &amp; Calcs'!C741</f>
        <v>77</v>
      </c>
      <c r="D133" s="583" t="str">
        <f>'10. Inputs &amp; Calcs'!D741</f>
        <v>Total Expenditure for Rental Operations</v>
      </c>
      <c r="E133" s="583"/>
      <c r="M133" s="583"/>
      <c r="N133" s="615">
        <f>SUMIF('10. Inputs &amp; Calcs'!$D$742:$D$747,$E$10,'10. Inputs &amp; Calcs'!F$742:F$747)</f>
        <v>6816394.1699999999</v>
      </c>
      <c r="O133" s="615">
        <f>SUMIF('10. Inputs &amp; Calcs'!$D$742:$D$747,$E$10,'10. Inputs &amp; Calcs'!G$742:G$747)</f>
        <v>6934326.7449999992</v>
      </c>
      <c r="P133" s="615">
        <f>SUMIF('10. Inputs &amp; Calcs'!$D$742:$D$747,$E$10,'10. Inputs &amp; Calcs'!H$742:H$747)</f>
        <v>7200076.9899999993</v>
      </c>
      <c r="Q133" s="615">
        <f>SUMIF('10. Inputs &amp; Calcs'!$D$742:$D$747,$E$10,'10. Inputs &amp; Calcs'!I$742:I$747)</f>
        <v>7195934.6838224996</v>
      </c>
      <c r="R133" s="615">
        <f>SUMIF('10. Inputs &amp; Calcs'!$D$742:$D$747,$E$10,'10. Inputs &amp; Calcs'!J$742:J$747)</f>
        <v>7169556.4910707241</v>
      </c>
      <c r="S133" s="615">
        <f>SUMIF('10. Inputs &amp; Calcs'!$D$742:$D$747,$E$10,'10. Inputs &amp; Calcs'!K$742:K$747)</f>
        <v>7147715.8728195559</v>
      </c>
      <c r="T133" s="615">
        <f>SUMIF('10. Inputs &amp; Calcs'!$D$742:$D$747,$E$10,'10. Inputs &amp; Calcs'!L$742:L$747)</f>
        <v>7178007.1440527802</v>
      </c>
      <c r="U133" s="615">
        <f>SUMIF('10. Inputs &amp; Calcs'!$D$742:$D$747,$E$10,'10. Inputs &amp; Calcs'!M$742:M$747)</f>
        <v>7190008.6146063795</v>
      </c>
      <c r="V133" s="615">
        <f>SUMIF('10. Inputs &amp; Calcs'!$D$742:$D$747,$E$10,'10. Inputs &amp; Calcs'!N$742:N$747)</f>
        <v>7181616.775310114</v>
      </c>
      <c r="W133" s="615">
        <f>SUMIF('10. Inputs &amp; Calcs'!$D$742:$D$747,$E$10,'10. Inputs &amp; Calcs'!O$742:O$747)</f>
        <v>7150552.0576320766</v>
      </c>
      <c r="X133" s="615">
        <f>SUMIF('10. Inputs &amp; Calcs'!$D$742:$D$747,$E$10,'10. Inputs &amp; Calcs'!P$742:P$747)</f>
        <v>7094345.8302641418</v>
      </c>
      <c r="Y133" s="615">
        <f>SUMIF('10. Inputs &amp; Calcs'!$D$742:$D$747,$E$10,'10. Inputs &amp; Calcs'!Q$742:Q$747)</f>
        <v>7010326.4979113983</v>
      </c>
      <c r="Z133" s="615">
        <f>SUMIF('10. Inputs &amp; Calcs'!$D$742:$D$747,$E$10,'10. Inputs &amp; Calcs'!R$742:R$747)</f>
        <v>6895604.6428633044</v>
      </c>
      <c r="AA133" s="615">
        <f>SUMIF('10. Inputs &amp; Calcs'!$D$742:$D$747,$E$10,'10. Inputs &amp; Calcs'!S$742:S$747)</f>
        <v>6747057.1461037369</v>
      </c>
      <c r="AB133" s="615">
        <f>SUMIF('10. Inputs &amp; Calcs'!$D$742:$D$747,$E$10,'10. Inputs &amp; Calcs'!T$742:T$747)</f>
        <v>6561310.2206559563</v>
      </c>
      <c r="AC133" s="615">
        <f>SUMIF('10. Inputs &amp; Calcs'!$D$742:$D$747,$E$10,'10. Inputs &amp; Calcs'!U$742:U$747)</f>
        <v>6334721.2855419554</v>
      </c>
      <c r="AD133" s="615">
        <f>SUMIF('10. Inputs &amp; Calcs'!$D$742:$D$747,$E$10,'10. Inputs &amp; Calcs'!V$742:V$747)</f>
        <v>6063359.6041479316</v>
      </c>
      <c r="AE133" s="615">
        <f>SUMIF('10. Inputs &amp; Calcs'!$D$742:$D$747,$E$10,'10. Inputs &amp; Calcs'!W$742:W$747)</f>
        <v>5742985.6059117988</v>
      </c>
      <c r="AF133" s="615">
        <f>SUMIF('10. Inputs &amp; Calcs'!$D$742:$D$747,$E$10,'10. Inputs &amp; Calcs'!X$742:X$747)</f>
        <v>5369028.8050671443</v>
      </c>
      <c r="AG133" s="615">
        <f>SUMIF('10. Inputs &amp; Calcs'!$D$742:$D$747,$E$10,'10. Inputs &amp; Calcs'!Y$742:Y$747)</f>
        <v>4936564.2246716945</v>
      </c>
      <c r="AH133" s="615">
        <f>SUMIF('10. Inputs &amp; Calcs'!$D$742:$D$747,$E$10,'10. Inputs &amp; Calcs'!Z$742:Z$747)</f>
        <v>4440287.228297418</v>
      </c>
      <c r="AI133" s="615">
        <f>SUMIF('10. Inputs &amp; Calcs'!$D$742:$D$747,$E$10,'10. Inputs &amp; Calcs'!AA$742:AA$747)</f>
        <v>3874486.6555423387</v>
      </c>
      <c r="AJ133" s="615">
        <f>SUMIF('10. Inputs &amp; Calcs'!$D$742:$D$747,$E$10,'10. Inputs &amp; Calcs'!AB$742:AB$747)</f>
        <v>0</v>
      </c>
      <c r="AK133" s="615">
        <f>SUMIF('10. Inputs &amp; Calcs'!$D$742:$D$747,$E$10,'10. Inputs &amp; Calcs'!AC$742:AC$747)</f>
        <v>0</v>
      </c>
      <c r="AL133" s="615">
        <f>SUMIF('10. Inputs &amp; Calcs'!$D$742:$D$747,$E$10,'10. Inputs &amp; Calcs'!AD$742:AD$747)</f>
        <v>121283469.38629293</v>
      </c>
    </row>
    <row r="134" spans="1:38" x14ac:dyDescent="0.45">
      <c r="A134" s="583"/>
      <c r="B134" s="583"/>
      <c r="C134" s="583"/>
      <c r="D134" s="747" t="s">
        <v>369</v>
      </c>
      <c r="E134" s="583"/>
      <c r="M134" s="583"/>
      <c r="N134" s="613">
        <f t="shared" ref="N134:AL134" si="52">SUM(N132:N133)</f>
        <v>6816394.1699999999</v>
      </c>
      <c r="O134" s="613">
        <f t="shared" si="52"/>
        <v>6934326.7449999992</v>
      </c>
      <c r="P134" s="613">
        <f t="shared" si="52"/>
        <v>7200076.9899999993</v>
      </c>
      <c r="Q134" s="613">
        <f t="shared" si="52"/>
        <v>8266934.6838224996</v>
      </c>
      <c r="R134" s="613">
        <f t="shared" si="52"/>
        <v>8299461.4910707241</v>
      </c>
      <c r="S134" s="613">
        <f t="shared" si="52"/>
        <v>8043700.9978195559</v>
      </c>
      <c r="T134" s="613">
        <f t="shared" si="52"/>
        <v>7350620.6261777803</v>
      </c>
      <c r="U134" s="613">
        <f t="shared" si="52"/>
        <v>7372115.8382482547</v>
      </c>
      <c r="V134" s="613">
        <f t="shared" si="52"/>
        <v>7373739.8962522922</v>
      </c>
      <c r="W134" s="613">
        <f t="shared" si="52"/>
        <v>7353241.9502260741</v>
      </c>
      <c r="X134" s="613">
        <f t="shared" si="52"/>
        <v>7308183.6669508098</v>
      </c>
      <c r="Y134" s="613">
        <f t="shared" si="52"/>
        <v>7235925.4156158324</v>
      </c>
      <c r="Z134" s="613">
        <f t="shared" ref="Z134:AJ134" si="53">SUM(Z132:Z133)</f>
        <v>7133611.5010414831</v>
      </c>
      <c r="AA134" s="613">
        <f t="shared" si="53"/>
        <v>6998154.3814817155</v>
      </c>
      <c r="AB134" s="613">
        <f t="shared" si="53"/>
        <v>6826217.8039797228</v>
      </c>
      <c r="AC134" s="613">
        <f t="shared" si="53"/>
        <v>6614198.7859485298</v>
      </c>
      <c r="AD134" s="613">
        <f t="shared" si="53"/>
        <v>6358208.3670768673</v>
      </c>
      <c r="AE134" s="613">
        <f t="shared" si="53"/>
        <v>6054051.0508018257</v>
      </c>
      <c r="AF134" s="613">
        <f t="shared" si="53"/>
        <v>5697202.8494261233</v>
      </c>
      <c r="AG134" s="613">
        <f t="shared" si="53"/>
        <v>5282787.8414704166</v>
      </c>
      <c r="AH134" s="613">
        <f t="shared" si="53"/>
        <v>4805553.1440200703</v>
      </c>
      <c r="AI134" s="613">
        <f t="shared" si="53"/>
        <v>4259842.1966297366</v>
      </c>
      <c r="AJ134" s="613">
        <f t="shared" si="53"/>
        <v>154876.22698941137</v>
      </c>
      <c r="AK134" s="613">
        <f t="shared" si="52"/>
        <v>0</v>
      </c>
      <c r="AL134" s="613">
        <f t="shared" si="52"/>
        <v>128788628.71504971</v>
      </c>
    </row>
    <row r="135" spans="1:38" x14ac:dyDescent="0.45">
      <c r="A135" s="583"/>
      <c r="B135" s="583"/>
      <c r="C135" s="583"/>
      <c r="D135" s="583"/>
      <c r="E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row>
    <row r="136" spans="1:38" x14ac:dyDescent="0.45">
      <c r="A136" s="583"/>
      <c r="B136" s="583"/>
      <c r="C136" s="583"/>
      <c r="D136" s="747" t="s">
        <v>937</v>
      </c>
      <c r="E136" s="583"/>
      <c r="M136" s="583"/>
      <c r="N136" s="613">
        <f t="shared" ref="N136:AL136" si="54">N130-N134</f>
        <v>4209422.8900000006</v>
      </c>
      <c r="O136" s="613">
        <f t="shared" si="54"/>
        <v>6272962.3750000019</v>
      </c>
      <c r="P136" s="613">
        <f t="shared" si="54"/>
        <v>4061618.5200000023</v>
      </c>
      <c r="Q136" s="613">
        <f t="shared" si="54"/>
        <v>-86571.988484395668</v>
      </c>
      <c r="R136" s="613">
        <f t="shared" si="54"/>
        <v>-974816.58173262049</v>
      </c>
      <c r="S136" s="613">
        <f t="shared" si="54"/>
        <v>-2491583.2043461893</v>
      </c>
      <c r="T136" s="613">
        <f t="shared" si="54"/>
        <v>-4896617.1757344315</v>
      </c>
      <c r="U136" s="613">
        <f t="shared" si="54"/>
        <v>-5035563.8486284353</v>
      </c>
      <c r="V136" s="613">
        <f t="shared" si="54"/>
        <v>-5154639.3674560022</v>
      </c>
      <c r="W136" s="613">
        <f t="shared" si="54"/>
        <v>-5251592.8822533134</v>
      </c>
      <c r="X136" s="613">
        <f t="shared" si="54"/>
        <v>-5323986.0598015785</v>
      </c>
      <c r="Y136" s="613">
        <f t="shared" si="54"/>
        <v>-5369179.2692901306</v>
      </c>
      <c r="Z136" s="613">
        <f t="shared" si="54"/>
        <v>-5384316.8155393107</v>
      </c>
      <c r="AA136" s="613">
        <f t="shared" si="54"/>
        <v>-5366311.1568030724</v>
      </c>
      <c r="AB136" s="613">
        <f t="shared" si="54"/>
        <v>-5311826.0401246091</v>
      </c>
      <c r="AC136" s="613">
        <f t="shared" si="54"/>
        <v>-5217258.4829169456</v>
      </c>
      <c r="AD136" s="613">
        <f t="shared" si="54"/>
        <v>-5078719.5248688124</v>
      </c>
      <c r="AE136" s="613">
        <f t="shared" si="54"/>
        <v>-4892013.6694173003</v>
      </c>
      <c r="AF136" s="613">
        <f t="shared" si="54"/>
        <v>-4652616.9288651273</v>
      </c>
      <c r="AG136" s="613">
        <f t="shared" si="54"/>
        <v>-4355653.38173295</v>
      </c>
      <c r="AH136" s="613">
        <f t="shared" si="54"/>
        <v>-3995870.1451061326</v>
      </c>
      <c r="AI136" s="613">
        <f t="shared" si="54"/>
        <v>-3567610.6585393283</v>
      </c>
      <c r="AJ136" s="613">
        <f t="shared" si="54"/>
        <v>16103807.708032673</v>
      </c>
      <c r="AK136" s="613">
        <f t="shared" si="54"/>
        <v>0</v>
      </c>
      <c r="AL136" s="613">
        <f t="shared" si="54"/>
        <v>-66302939.473608002</v>
      </c>
    </row>
    <row r="137" spans="1:38" x14ac:dyDescent="0.45">
      <c r="A137" s="583"/>
      <c r="B137" s="583"/>
      <c r="C137" s="583"/>
      <c r="D137" s="583"/>
      <c r="E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row>
    <row r="138" spans="1:38" x14ac:dyDescent="0.45">
      <c r="A138" s="583"/>
      <c r="B138" s="583"/>
      <c r="C138" s="583"/>
      <c r="D138" s="583" t="str">
        <f>'10. Inputs &amp; Calcs'!D762</f>
        <v>Human Settlements Development Grant</v>
      </c>
      <c r="E138" s="583"/>
      <c r="M138" s="583"/>
      <c r="N138" s="615">
        <f>SUMIF('10. Inputs &amp; Calcs'!$D$763:$D$768,$E$10,'10. Inputs &amp; Calcs'!F$763:F$768)</f>
        <v>1959237000</v>
      </c>
      <c r="O138" s="615">
        <f>SUMIF('10. Inputs &amp; Calcs'!$D$763:$D$768,$E$10,'10. Inputs &amp; Calcs'!G$763:G$768)</f>
        <v>1934936000</v>
      </c>
      <c r="P138" s="615">
        <f>SUMIF('10. Inputs &amp; Calcs'!$D$763:$D$768,$E$10,'10. Inputs &amp; Calcs'!H$763:H$768)</f>
        <v>1975122000</v>
      </c>
      <c r="Q138" s="615">
        <f>SUMIF('10. Inputs &amp; Calcs'!$D$763:$D$768,$E$10,'10. Inputs &amp; Calcs'!I$763:I$768)</f>
        <v>1975122000</v>
      </c>
      <c r="R138" s="615">
        <f>SUMIF('10. Inputs &amp; Calcs'!$D$763:$D$768,$E$10,'10. Inputs &amp; Calcs'!J$763:J$768)</f>
        <v>1975122000</v>
      </c>
      <c r="S138" s="615">
        <f>SUMIF('10. Inputs &amp; Calcs'!$D$763:$D$768,$E$10,'10. Inputs &amp; Calcs'!K$763:K$768)</f>
        <v>1975122000</v>
      </c>
      <c r="T138" s="615">
        <f>SUMIF('10. Inputs &amp; Calcs'!$D$763:$D$768,$E$10,'10. Inputs &amp; Calcs'!L$763:L$768)</f>
        <v>1975122000</v>
      </c>
      <c r="U138" s="615">
        <f>SUMIF('10. Inputs &amp; Calcs'!$D$763:$D$768,$E$10,'10. Inputs &amp; Calcs'!M$763:M$768)</f>
        <v>1975122000</v>
      </c>
      <c r="V138" s="615">
        <f>SUMIF('10. Inputs &amp; Calcs'!$D$763:$D$768,$E$10,'10. Inputs &amp; Calcs'!N$763:N$768)</f>
        <v>1975122000</v>
      </c>
      <c r="W138" s="615">
        <f>SUMIF('10. Inputs &amp; Calcs'!$D$763:$D$768,$E$10,'10. Inputs &amp; Calcs'!O$763:O$768)</f>
        <v>1975122000</v>
      </c>
      <c r="X138" s="615">
        <f>SUMIF('10. Inputs &amp; Calcs'!$D$763:$D$768,$E$10,'10. Inputs &amp; Calcs'!P$763:P$768)</f>
        <v>1975122000</v>
      </c>
      <c r="Y138" s="615">
        <f>SUMIF('10. Inputs &amp; Calcs'!$D$763:$D$768,$E$10,'10. Inputs &amp; Calcs'!Q$763:Q$768)</f>
        <v>1975122000</v>
      </c>
      <c r="Z138" s="615">
        <f>SUMIF('10. Inputs &amp; Calcs'!$D$763:$D$768,$E$10,'10. Inputs &amp; Calcs'!R$763:R$768)</f>
        <v>1975122000</v>
      </c>
      <c r="AA138" s="615">
        <f>SUMIF('10. Inputs &amp; Calcs'!$D$763:$D$768,$E$10,'10. Inputs &amp; Calcs'!S$763:S$768)</f>
        <v>1975122000</v>
      </c>
      <c r="AB138" s="615">
        <f>SUMIF('10. Inputs &amp; Calcs'!$D$763:$D$768,$E$10,'10. Inputs &amp; Calcs'!T$763:T$768)</f>
        <v>1975122000</v>
      </c>
      <c r="AC138" s="615">
        <f>SUMIF('10. Inputs &amp; Calcs'!$D$763:$D$768,$E$10,'10. Inputs &amp; Calcs'!U$763:U$768)</f>
        <v>1975122000</v>
      </c>
      <c r="AD138" s="615">
        <f>SUMIF('10. Inputs &amp; Calcs'!$D$763:$D$768,$E$10,'10. Inputs &amp; Calcs'!V$763:V$768)</f>
        <v>1975122000</v>
      </c>
      <c r="AE138" s="615">
        <f>SUMIF('10. Inputs &amp; Calcs'!$D$763:$D$768,$E$10,'10. Inputs &amp; Calcs'!W$763:W$768)</f>
        <v>1975122000</v>
      </c>
      <c r="AF138" s="615">
        <f>SUMIF('10. Inputs &amp; Calcs'!$D$763:$D$768,$E$10,'10. Inputs &amp; Calcs'!X$763:X$768)</f>
        <v>1975122000</v>
      </c>
      <c r="AG138" s="615">
        <f>SUMIF('10. Inputs &amp; Calcs'!$D$763:$D$768,$E$10,'10. Inputs &amp; Calcs'!Y$763:Y$768)</f>
        <v>1975122000</v>
      </c>
      <c r="AH138" s="615">
        <f>SUMIF('10. Inputs &amp; Calcs'!$D$763:$D$768,$E$10,'10. Inputs &amp; Calcs'!Z$763:Z$768)</f>
        <v>1975122000</v>
      </c>
      <c r="AI138" s="615">
        <f>SUMIF('10. Inputs &amp; Calcs'!$D$763:$D$768,$E$10,'10. Inputs &amp; Calcs'!AA$763:AA$768)</f>
        <v>1975122000</v>
      </c>
      <c r="AJ138" s="615">
        <f>SUMIF('10. Inputs &amp; Calcs'!$D$763:$D$768,$E$10,'10. Inputs &amp; Calcs'!AB$763:AB$768)</f>
        <v>1975122000</v>
      </c>
      <c r="AK138" s="615">
        <f>SUMIF('10. Inputs &amp; Calcs'!$D$763:$D$768,$E$10,'10. Inputs &amp; Calcs'!AC$763:AC$768)</f>
        <v>1975122000</v>
      </c>
      <c r="AL138" s="615">
        <f>SUMIF('10. Inputs &amp; Calcs'!$D$763:$D$768,$E$10,'10. Inputs &amp; Calcs'!AD$763:AD$768)</f>
        <v>47346857000</v>
      </c>
    </row>
    <row r="139" spans="1:38" x14ac:dyDescent="0.45">
      <c r="A139" s="583"/>
      <c r="B139" s="583"/>
      <c r="C139" s="583"/>
      <c r="D139" s="583"/>
      <c r="E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row>
    <row r="140" spans="1:38" x14ac:dyDescent="0.45">
      <c r="A140" s="583"/>
      <c r="B140" s="583"/>
      <c r="C140" s="583"/>
      <c r="D140" s="747" t="s">
        <v>1337</v>
      </c>
      <c r="E140" s="583"/>
      <c r="M140" s="583"/>
      <c r="N140" s="789">
        <f t="shared" ref="N140:AL140" si="55">N136/N138</f>
        <v>2.1485011205892909E-3</v>
      </c>
      <c r="O140" s="789">
        <f t="shared" si="55"/>
        <v>3.2419482479007066E-3</v>
      </c>
      <c r="P140" s="789">
        <f t="shared" si="55"/>
        <v>2.056388678775287E-3</v>
      </c>
      <c r="Q140" s="789">
        <f t="shared" si="55"/>
        <v>-4.3831210671743655E-5</v>
      </c>
      <c r="R140" s="789">
        <f t="shared" si="55"/>
        <v>-4.9354752857424524E-4</v>
      </c>
      <c r="S140" s="789">
        <f t="shared" si="55"/>
        <v>-1.261483191593324E-3</v>
      </c>
      <c r="T140" s="789">
        <f t="shared" si="55"/>
        <v>-2.4791466935887665E-3</v>
      </c>
      <c r="U140" s="789">
        <f t="shared" si="55"/>
        <v>-2.5494950937858195E-3</v>
      </c>
      <c r="V140" s="789">
        <f t="shared" si="55"/>
        <v>-2.6097827716242352E-3</v>
      </c>
      <c r="W140" s="789">
        <f t="shared" si="55"/>
        <v>-2.6588701266318303E-3</v>
      </c>
      <c r="X140" s="789">
        <f t="shared" si="55"/>
        <v>-2.6955226359696152E-3</v>
      </c>
      <c r="Y140" s="789">
        <f t="shared" si="55"/>
        <v>-2.7184038602628751E-3</v>
      </c>
      <c r="Z140" s="789">
        <f t="shared" si="55"/>
        <v>-2.7260679672138281E-3</v>
      </c>
      <c r="AA140" s="789">
        <f t="shared" si="55"/>
        <v>-2.7169517411091935E-3</v>
      </c>
      <c r="AB140" s="789">
        <f t="shared" si="55"/>
        <v>-2.6893660442871932E-3</v>
      </c>
      <c r="AC140" s="789">
        <f t="shared" si="55"/>
        <v>-2.6414866944507458E-3</v>
      </c>
      <c r="AD140" s="789">
        <f t="shared" si="55"/>
        <v>-2.5713447193990106E-3</v>
      </c>
      <c r="AE140" s="789">
        <f t="shared" si="55"/>
        <v>-2.4768159482894221E-3</v>
      </c>
      <c r="AF140" s="789">
        <f t="shared" si="55"/>
        <v>-2.3556098959280122E-3</v>
      </c>
      <c r="AG140" s="789">
        <f t="shared" si="55"/>
        <v>-2.205257893807547E-3</v>
      </c>
      <c r="AH140" s="789">
        <f t="shared" si="55"/>
        <v>-2.0231004186607878E-3</v>
      </c>
      <c r="AI140" s="789">
        <f t="shared" si="55"/>
        <v>-1.8062735661591174E-3</v>
      </c>
      <c r="AJ140" s="789">
        <f t="shared" si="55"/>
        <v>8.1533230393022165E-3</v>
      </c>
      <c r="AK140" s="789">
        <f t="shared" si="55"/>
        <v>0</v>
      </c>
      <c r="AL140" s="789">
        <f t="shared" si="55"/>
        <v>-1.4003662264975266E-3</v>
      </c>
    </row>
    <row r="141" spans="1:38" x14ac:dyDescent="0.45">
      <c r="A141" s="583"/>
      <c r="B141" s="583"/>
      <c r="C141" s="583"/>
      <c r="D141" s="583"/>
      <c r="E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row>
    <row r="142" spans="1:38" x14ac:dyDescent="0.45">
      <c r="A142" s="583"/>
      <c r="B142" s="583"/>
      <c r="C142" s="583"/>
      <c r="D142" s="583"/>
      <c r="E142" s="583"/>
      <c r="M142" s="583"/>
      <c r="N142" s="615">
        <f>'8. Forecast Results National'!N48</f>
        <v>-112639142.49333334</v>
      </c>
      <c r="O142" s="615">
        <f>'8. Forecast Results National'!O48</f>
        <v>-120020127.89333332</v>
      </c>
      <c r="P142" s="615">
        <f>'8. Forecast Results National'!P48</f>
        <v>-128289183.36000001</v>
      </c>
      <c r="Q142" s="615">
        <f>'8. Forecast Results National'!Q48</f>
        <v>-131948176.67010787</v>
      </c>
      <c r="R142" s="615">
        <f>'8. Forecast Results National'!R48</f>
        <v>-128772071.22519906</v>
      </c>
      <c r="S142" s="615">
        <f>'8. Forecast Results National'!S48</f>
        <v>-125352126.05131695</v>
      </c>
      <c r="T142" s="615">
        <f>'8. Forecast Results National'!T48</f>
        <v>-126956932.24841155</v>
      </c>
      <c r="U142" s="615">
        <f>'8. Forecast Results National'!U48</f>
        <v>-126155549.41692396</v>
      </c>
      <c r="V142" s="615">
        <f>'8. Forecast Results National'!V48</f>
        <v>-124849979.70312491</v>
      </c>
      <c r="W142" s="615">
        <f>'8. Forecast Results National'!W48</f>
        <v>-122987708.90222575</v>
      </c>
      <c r="X142" s="615">
        <f>'8. Forecast Results National'!X48</f>
        <v>-120511971.41223007</v>
      </c>
      <c r="Y142" s="615">
        <f>'8. Forecast Results National'!Y48</f>
        <v>-117361441.43571034</v>
      </c>
      <c r="Z142" s="615">
        <f>'8. Forecast Results National'!Z48</f>
        <v>-113469903.07425649</v>
      </c>
      <c r="AA142" s="615">
        <f>'8. Forecast Results National'!AA48</f>
        <v>-108765897.92790511</v>
      </c>
      <c r="AB142" s="615">
        <f>'8. Forecast Results National'!AB48</f>
        <v>-103172348.7230612</v>
      </c>
      <c r="AC142" s="615">
        <f>'8. Forecast Results National'!AC48</f>
        <v>-96606157.398058668</v>
      </c>
      <c r="AD142" s="615">
        <f>'8. Forecast Results National'!AD48</f>
        <v>-88977775.975225061</v>
      </c>
      <c r="AE142" s="615">
        <f>'8. Forecast Results National'!AE48</f>
        <v>-80190748.441757485</v>
      </c>
      <c r="AF142" s="615">
        <f>'8. Forecast Results National'!AF48</f>
        <v>-70141221.748490617</v>
      </c>
      <c r="AG142" s="615">
        <f>'8. Forecast Results National'!AG48</f>
        <v>-58717423.915335573</v>
      </c>
      <c r="AH142" s="615">
        <f>'8. Forecast Results National'!AH48</f>
        <v>-45799107.104352206</v>
      </c>
      <c r="AI142" s="615">
        <f>'8. Forecast Results National'!AI48</f>
        <v>-31256953.38562502</v>
      </c>
      <c r="AJ142" s="615">
        <f>'8. Forecast Results National'!AJ48</f>
        <v>-292672.82400684012</v>
      </c>
      <c r="AK142" s="615">
        <f>'8. Forecast Results National'!AK48</f>
        <v>0</v>
      </c>
      <c r="AL142" s="615">
        <f>'8. Forecast Results National'!AL48</f>
        <v>-1922286167.5833244</v>
      </c>
    </row>
    <row r="145" spans="4:37" ht="33" customHeight="1" x14ac:dyDescent="0.45">
      <c r="D145" s="451" t="s">
        <v>1333</v>
      </c>
      <c r="E145" s="908" t="str">
        <f>D$12</f>
        <v>No. of Sales Accounts</v>
      </c>
      <c r="F145" s="803"/>
      <c r="G145" s="803"/>
      <c r="H145" s="803"/>
      <c r="I145" s="803"/>
      <c r="J145" s="803"/>
      <c r="K145" s="803"/>
      <c r="L145" s="803"/>
      <c r="M145" s="908"/>
      <c r="N145" s="785">
        <f>N$12</f>
        <v>0</v>
      </c>
      <c r="O145" s="785">
        <f t="shared" ref="O145:AK148" si="56">O$12</f>
        <v>0</v>
      </c>
      <c r="P145" s="785">
        <f t="shared" si="56"/>
        <v>890</v>
      </c>
      <c r="Q145" s="785">
        <f t="shared" si="56"/>
        <v>1043</v>
      </c>
      <c r="R145" s="785">
        <f t="shared" si="56"/>
        <v>1196</v>
      </c>
      <c r="S145" s="785">
        <f t="shared" si="56"/>
        <v>1311</v>
      </c>
      <c r="T145" s="785">
        <f t="shared" si="56"/>
        <v>1332</v>
      </c>
      <c r="U145" s="785">
        <f t="shared" si="56"/>
        <v>1353</v>
      </c>
      <c r="V145" s="785">
        <f t="shared" si="56"/>
        <v>1374</v>
      </c>
      <c r="W145" s="785">
        <f t="shared" si="56"/>
        <v>1395</v>
      </c>
      <c r="X145" s="785">
        <f t="shared" si="56"/>
        <v>1416</v>
      </c>
      <c r="Y145" s="785">
        <f t="shared" si="56"/>
        <v>1437</v>
      </c>
      <c r="Z145" s="785">
        <f t="shared" si="56"/>
        <v>1458</v>
      </c>
      <c r="AA145" s="785">
        <f t="shared" si="56"/>
        <v>1479</v>
      </c>
      <c r="AB145" s="785">
        <f t="shared" si="56"/>
        <v>1500</v>
      </c>
      <c r="AC145" s="785">
        <f t="shared" si="56"/>
        <v>1521</v>
      </c>
      <c r="AD145" s="785">
        <f t="shared" si="56"/>
        <v>1542</v>
      </c>
      <c r="AE145" s="785">
        <f t="shared" si="56"/>
        <v>1563</v>
      </c>
      <c r="AF145" s="785">
        <f t="shared" si="56"/>
        <v>1584</v>
      </c>
      <c r="AG145" s="785">
        <f t="shared" si="56"/>
        <v>1605</v>
      </c>
      <c r="AH145" s="785">
        <f t="shared" si="56"/>
        <v>1626</v>
      </c>
      <c r="AI145" s="785">
        <f t="shared" si="56"/>
        <v>1647</v>
      </c>
      <c r="AJ145" s="785">
        <f t="shared" si="56"/>
        <v>1655</v>
      </c>
      <c r="AK145" s="785">
        <f t="shared" si="56"/>
        <v>0</v>
      </c>
    </row>
    <row r="146" spans="4:37" x14ac:dyDescent="0.45">
      <c r="D146" s="451"/>
      <c r="N146" s="536" t="str">
        <f>N$5</f>
        <v>2013/14</v>
      </c>
      <c r="O146" s="536" t="str">
        <f t="shared" ref="O146:AK146" si="57">O$5</f>
        <v>2014/15</v>
      </c>
      <c r="P146" s="536" t="str">
        <f t="shared" si="57"/>
        <v>2015/16</v>
      </c>
      <c r="Q146" s="536" t="str">
        <f t="shared" si="57"/>
        <v>2016/17</v>
      </c>
      <c r="R146" s="536" t="str">
        <f t="shared" si="57"/>
        <v>2017/18</v>
      </c>
      <c r="S146" s="536" t="str">
        <f t="shared" si="57"/>
        <v>2018/19</v>
      </c>
      <c r="T146" s="536" t="str">
        <f t="shared" si="57"/>
        <v>2019/20</v>
      </c>
      <c r="U146" s="536" t="str">
        <f t="shared" si="57"/>
        <v>2020/21</v>
      </c>
      <c r="V146" s="536" t="str">
        <f t="shared" si="57"/>
        <v>2021/22</v>
      </c>
      <c r="W146" s="536" t="str">
        <f t="shared" si="57"/>
        <v>2022/23</v>
      </c>
      <c r="X146" s="536" t="str">
        <f t="shared" si="57"/>
        <v>2023/24</v>
      </c>
      <c r="Y146" s="536" t="str">
        <f t="shared" si="57"/>
        <v>2024/25</v>
      </c>
      <c r="Z146" s="536" t="str">
        <f t="shared" si="57"/>
        <v>2025/26</v>
      </c>
      <c r="AA146" s="536" t="str">
        <f t="shared" si="57"/>
        <v>2026/27</v>
      </c>
      <c r="AB146" s="536" t="str">
        <f t="shared" si="57"/>
        <v>2027/28</v>
      </c>
      <c r="AC146" s="536" t="str">
        <f t="shared" si="57"/>
        <v>2028/29</v>
      </c>
      <c r="AD146" s="536" t="str">
        <f t="shared" si="57"/>
        <v>2029/30</v>
      </c>
      <c r="AE146" s="536" t="str">
        <f t="shared" si="57"/>
        <v>2030/31</v>
      </c>
      <c r="AF146" s="536" t="str">
        <f t="shared" si="57"/>
        <v>2031/32</v>
      </c>
      <c r="AG146" s="536" t="str">
        <f t="shared" si="57"/>
        <v>3032/33</v>
      </c>
      <c r="AH146" s="536" t="str">
        <f t="shared" si="57"/>
        <v>2033/34</v>
      </c>
      <c r="AI146" s="536" t="str">
        <f t="shared" si="57"/>
        <v>2034/35</v>
      </c>
      <c r="AJ146" s="536" t="str">
        <f t="shared" si="57"/>
        <v>2035/36</v>
      </c>
      <c r="AK146" s="536" t="str">
        <f t="shared" si="57"/>
        <v>2036/37</v>
      </c>
    </row>
    <row r="147" spans="4:37" x14ac:dyDescent="0.45">
      <c r="D147" s="451"/>
      <c r="E147" s="803" t="str">
        <f>D$13</f>
        <v>No. of Rental Units</v>
      </c>
      <c r="F147" s="803"/>
      <c r="G147" s="803"/>
      <c r="H147" s="803"/>
      <c r="I147" s="803"/>
      <c r="J147" s="803"/>
      <c r="K147" s="803"/>
      <c r="L147" s="803"/>
      <c r="M147" s="803"/>
      <c r="N147" s="785">
        <f>N$13</f>
        <v>0</v>
      </c>
      <c r="O147" s="785">
        <f t="shared" ref="O147:AK147" si="58">O$13</f>
        <v>0</v>
      </c>
      <c r="P147" s="785">
        <f t="shared" si="58"/>
        <v>765</v>
      </c>
      <c r="Q147" s="785">
        <f t="shared" si="58"/>
        <v>612</v>
      </c>
      <c r="R147" s="785">
        <f t="shared" si="58"/>
        <v>459</v>
      </c>
      <c r="S147" s="785">
        <f t="shared" si="58"/>
        <v>344</v>
      </c>
      <c r="T147" s="785">
        <f t="shared" si="58"/>
        <v>323</v>
      </c>
      <c r="U147" s="785">
        <f t="shared" si="58"/>
        <v>302</v>
      </c>
      <c r="V147" s="785">
        <f t="shared" si="58"/>
        <v>281</v>
      </c>
      <c r="W147" s="785">
        <f t="shared" si="58"/>
        <v>260</v>
      </c>
      <c r="X147" s="785">
        <f t="shared" si="58"/>
        <v>239</v>
      </c>
      <c r="Y147" s="785">
        <f t="shared" si="58"/>
        <v>218</v>
      </c>
      <c r="Z147" s="785">
        <f t="shared" si="58"/>
        <v>197</v>
      </c>
      <c r="AA147" s="785">
        <f t="shared" si="58"/>
        <v>176</v>
      </c>
      <c r="AB147" s="785">
        <f t="shared" si="58"/>
        <v>155</v>
      </c>
      <c r="AC147" s="785">
        <f t="shared" si="58"/>
        <v>134</v>
      </c>
      <c r="AD147" s="785">
        <f t="shared" si="58"/>
        <v>113</v>
      </c>
      <c r="AE147" s="785">
        <f t="shared" si="58"/>
        <v>92</v>
      </c>
      <c r="AF147" s="785">
        <f t="shared" si="58"/>
        <v>71</v>
      </c>
      <c r="AG147" s="785">
        <f t="shared" si="58"/>
        <v>50</v>
      </c>
      <c r="AH147" s="785">
        <f t="shared" si="58"/>
        <v>29</v>
      </c>
      <c r="AI147" s="785">
        <f t="shared" si="58"/>
        <v>8</v>
      </c>
      <c r="AJ147" s="785">
        <f t="shared" si="58"/>
        <v>0</v>
      </c>
      <c r="AK147" s="785">
        <f t="shared" si="58"/>
        <v>0</v>
      </c>
    </row>
    <row r="148" spans="4:37" x14ac:dyDescent="0.45">
      <c r="D148" s="451"/>
      <c r="E148" s="803" t="str">
        <f>D$12</f>
        <v>No. of Sales Accounts</v>
      </c>
      <c r="F148" s="803"/>
      <c r="G148" s="803"/>
      <c r="H148" s="803"/>
      <c r="I148" s="803"/>
      <c r="J148" s="803"/>
      <c r="K148" s="803"/>
      <c r="L148" s="803"/>
      <c r="M148" s="803"/>
      <c r="N148" s="785">
        <f>N$12</f>
        <v>0</v>
      </c>
      <c r="O148" s="785">
        <f t="shared" si="56"/>
        <v>0</v>
      </c>
      <c r="P148" s="785">
        <f t="shared" si="56"/>
        <v>890</v>
      </c>
      <c r="Q148" s="785">
        <f t="shared" si="56"/>
        <v>1043</v>
      </c>
      <c r="R148" s="785">
        <f t="shared" si="56"/>
        <v>1196</v>
      </c>
      <c r="S148" s="785">
        <f t="shared" si="56"/>
        <v>1311</v>
      </c>
      <c r="T148" s="785">
        <f t="shared" si="56"/>
        <v>1332</v>
      </c>
      <c r="U148" s="785">
        <f t="shared" si="56"/>
        <v>1353</v>
      </c>
      <c r="V148" s="785">
        <f t="shared" si="56"/>
        <v>1374</v>
      </c>
      <c r="W148" s="785">
        <f t="shared" si="56"/>
        <v>1395</v>
      </c>
      <c r="X148" s="785">
        <f t="shared" si="56"/>
        <v>1416</v>
      </c>
      <c r="Y148" s="785">
        <f t="shared" si="56"/>
        <v>1437</v>
      </c>
      <c r="Z148" s="785">
        <f t="shared" si="56"/>
        <v>1458</v>
      </c>
      <c r="AA148" s="785">
        <f t="shared" si="56"/>
        <v>1479</v>
      </c>
      <c r="AB148" s="785">
        <f t="shared" si="56"/>
        <v>1500</v>
      </c>
      <c r="AC148" s="785">
        <f t="shared" si="56"/>
        <v>1521</v>
      </c>
      <c r="AD148" s="785">
        <f t="shared" si="56"/>
        <v>1542</v>
      </c>
      <c r="AE148" s="785">
        <f t="shared" si="56"/>
        <v>1563</v>
      </c>
      <c r="AF148" s="785">
        <f t="shared" si="56"/>
        <v>1584</v>
      </c>
      <c r="AG148" s="785">
        <f t="shared" si="56"/>
        <v>1605</v>
      </c>
      <c r="AH148" s="785">
        <f t="shared" si="56"/>
        <v>1626</v>
      </c>
      <c r="AI148" s="785">
        <f t="shared" si="56"/>
        <v>1647</v>
      </c>
      <c r="AJ148" s="785">
        <f t="shared" si="56"/>
        <v>1655</v>
      </c>
      <c r="AK148" s="785">
        <f t="shared" si="56"/>
        <v>0</v>
      </c>
    </row>
    <row r="149" spans="4:37" x14ac:dyDescent="0.45">
      <c r="D149" s="451"/>
    </row>
    <row r="150" spans="4:37" x14ac:dyDescent="0.45">
      <c r="D150" s="451"/>
    </row>
    <row r="151" spans="4:37" x14ac:dyDescent="0.45">
      <c r="D151" s="451"/>
    </row>
    <row r="152" spans="4:37" x14ac:dyDescent="0.45">
      <c r="D152" s="451"/>
    </row>
    <row r="153" spans="4:37" x14ac:dyDescent="0.45">
      <c r="D153" s="451"/>
    </row>
    <row r="154" spans="4:37" x14ac:dyDescent="0.45">
      <c r="D154" s="451"/>
    </row>
    <row r="155" spans="4:37" x14ac:dyDescent="0.45">
      <c r="D155" s="451"/>
    </row>
    <row r="156" spans="4:37" x14ac:dyDescent="0.45">
      <c r="D156" s="451"/>
    </row>
    <row r="157" spans="4:37" x14ac:dyDescent="0.45">
      <c r="D157" s="451"/>
    </row>
    <row r="158" spans="4:37" x14ac:dyDescent="0.45">
      <c r="D158" s="451"/>
    </row>
    <row r="159" spans="4:37" x14ac:dyDescent="0.45">
      <c r="D159" s="451"/>
    </row>
    <row r="160" spans="4:37" x14ac:dyDescent="0.45">
      <c r="D160" s="451"/>
    </row>
    <row r="161" spans="4:37" x14ac:dyDescent="0.45">
      <c r="D161" s="451"/>
    </row>
    <row r="162" spans="4:37" x14ac:dyDescent="0.45">
      <c r="D162" s="451"/>
    </row>
    <row r="163" spans="4:37" x14ac:dyDescent="0.45">
      <c r="D163" s="451"/>
    </row>
    <row r="164" spans="4:37" x14ac:dyDescent="0.45">
      <c r="D164" s="451"/>
    </row>
    <row r="165" spans="4:37" x14ac:dyDescent="0.45">
      <c r="D165" s="451"/>
    </row>
    <row r="166" spans="4:37" x14ac:dyDescent="0.45">
      <c r="D166" s="451"/>
    </row>
    <row r="167" spans="4:37" x14ac:dyDescent="0.45">
      <c r="D167" s="451"/>
    </row>
    <row r="168" spans="4:37" x14ac:dyDescent="0.45">
      <c r="D168" s="451"/>
    </row>
    <row r="169" spans="4:37" x14ac:dyDescent="0.45">
      <c r="D169" s="451"/>
    </row>
    <row r="170" spans="4:37" x14ac:dyDescent="0.45">
      <c r="N170" s="536" t="str">
        <f>N$5</f>
        <v>2013/14</v>
      </c>
      <c r="O170" s="536" t="str">
        <f t="shared" ref="O170:AK170" si="59">O$5</f>
        <v>2014/15</v>
      </c>
      <c r="P170" s="536" t="str">
        <f t="shared" si="59"/>
        <v>2015/16</v>
      </c>
      <c r="Q170" s="536" t="str">
        <f t="shared" si="59"/>
        <v>2016/17</v>
      </c>
      <c r="R170" s="536" t="str">
        <f t="shared" si="59"/>
        <v>2017/18</v>
      </c>
      <c r="S170" s="536" t="str">
        <f t="shared" si="59"/>
        <v>2018/19</v>
      </c>
      <c r="T170" s="536" t="str">
        <f t="shared" si="59"/>
        <v>2019/20</v>
      </c>
      <c r="U170" s="536" t="str">
        <f t="shared" si="59"/>
        <v>2020/21</v>
      </c>
      <c r="V170" s="536" t="str">
        <f t="shared" si="59"/>
        <v>2021/22</v>
      </c>
      <c r="W170" s="536" t="str">
        <f t="shared" si="59"/>
        <v>2022/23</v>
      </c>
      <c r="X170" s="536" t="str">
        <f t="shared" si="59"/>
        <v>2023/24</v>
      </c>
      <c r="Y170" s="536" t="str">
        <f t="shared" si="59"/>
        <v>2024/25</v>
      </c>
      <c r="Z170" s="536" t="str">
        <f t="shared" si="59"/>
        <v>2025/26</v>
      </c>
      <c r="AA170" s="536" t="str">
        <f t="shared" si="59"/>
        <v>2026/27</v>
      </c>
      <c r="AB170" s="536" t="str">
        <f t="shared" si="59"/>
        <v>2027/28</v>
      </c>
      <c r="AC170" s="536" t="str">
        <f t="shared" si="59"/>
        <v>2028/29</v>
      </c>
      <c r="AD170" s="536" t="str">
        <f t="shared" si="59"/>
        <v>2029/30</v>
      </c>
      <c r="AE170" s="536" t="str">
        <f t="shared" si="59"/>
        <v>2030/31</v>
      </c>
      <c r="AF170" s="536" t="str">
        <f t="shared" si="59"/>
        <v>2031/32</v>
      </c>
      <c r="AG170" s="536" t="str">
        <f t="shared" si="59"/>
        <v>3032/33</v>
      </c>
      <c r="AH170" s="536" t="str">
        <f t="shared" si="59"/>
        <v>2033/34</v>
      </c>
      <c r="AI170" s="536" t="str">
        <f t="shared" si="59"/>
        <v>2034/35</v>
      </c>
      <c r="AJ170" s="536" t="str">
        <f t="shared" si="59"/>
        <v>2035/36</v>
      </c>
      <c r="AK170" s="536" t="str">
        <f t="shared" si="59"/>
        <v>2036/37</v>
      </c>
    </row>
    <row r="171" spans="4:37" x14ac:dyDescent="0.45">
      <c r="E171" s="803" t="str">
        <f>D48</f>
        <v>Net Surplus / (Deficit)</v>
      </c>
      <c r="F171" s="803"/>
      <c r="G171" s="803"/>
      <c r="H171" s="803"/>
      <c r="I171" s="803"/>
      <c r="J171" s="803"/>
      <c r="K171" s="803"/>
      <c r="L171" s="803"/>
      <c r="M171" s="803"/>
      <c r="N171" s="533">
        <f t="shared" ref="N171:AK171" si="60">N48</f>
        <v>3646579.8900000006</v>
      </c>
      <c r="O171" s="533">
        <f t="shared" si="60"/>
        <v>5914523.3750000019</v>
      </c>
      <c r="P171" s="533">
        <f t="shared" si="60"/>
        <v>3793660.5200000023</v>
      </c>
      <c r="Q171" s="579">
        <f t="shared" ca="1" si="60"/>
        <v>-296981.87305132486</v>
      </c>
      <c r="R171" s="579">
        <f t="shared" ca="1" si="60"/>
        <v>-1185226.4662995497</v>
      </c>
      <c r="S171" s="579">
        <f t="shared" ca="1" si="60"/>
        <v>-2701993.0889131185</v>
      </c>
      <c r="T171" s="533">
        <f t="shared" ca="1" si="60"/>
        <v>-4919996.0517974235</v>
      </c>
      <c r="U171" s="533">
        <f t="shared" ca="1" si="60"/>
        <v>-5058942.7246914273</v>
      </c>
      <c r="V171" s="533">
        <f t="shared" ca="1" si="60"/>
        <v>-5178018.2435189942</v>
      </c>
      <c r="W171" s="533">
        <f t="shared" ca="1" si="60"/>
        <v>-5274971.7583163055</v>
      </c>
      <c r="X171" s="533">
        <f t="shared" ca="1" si="60"/>
        <v>-5347364.9358645715</v>
      </c>
      <c r="Y171" s="533">
        <f t="shared" ca="1" si="60"/>
        <v>-5392558.1453531226</v>
      </c>
      <c r="Z171" s="533">
        <f t="shared" ca="1" si="60"/>
        <v>-5407695.6916023027</v>
      </c>
      <c r="AA171" s="533">
        <f t="shared" ca="1" si="60"/>
        <v>-5389690.0328660645</v>
      </c>
      <c r="AB171" s="533">
        <f t="shared" ca="1" si="60"/>
        <v>-5335204.9161876012</v>
      </c>
      <c r="AC171" s="533">
        <f t="shared" ca="1" si="60"/>
        <v>-5240637.3589799376</v>
      </c>
      <c r="AD171" s="533">
        <f t="shared" ca="1" si="60"/>
        <v>-5102098.4009318044</v>
      </c>
      <c r="AE171" s="533">
        <f t="shared" ca="1" si="60"/>
        <v>-4915392.5454802923</v>
      </c>
      <c r="AF171" s="533">
        <f t="shared" ca="1" si="60"/>
        <v>-4675995.8049281193</v>
      </c>
      <c r="AG171" s="533">
        <f t="shared" ca="1" si="60"/>
        <v>-4379032.257795942</v>
      </c>
      <c r="AH171" s="533">
        <f t="shared" ca="1" si="60"/>
        <v>-4019249.0211691251</v>
      </c>
      <c r="AI171" s="533">
        <f t="shared" ca="1" si="60"/>
        <v>-3590989.5346023208</v>
      </c>
      <c r="AJ171" s="533">
        <f t="shared" ca="1" si="60"/>
        <v>82879.677155486657</v>
      </c>
      <c r="AK171" s="533">
        <f t="shared" ca="1" si="60"/>
        <v>0</v>
      </c>
    </row>
    <row r="172" spans="4:37" x14ac:dyDescent="0.45">
      <c r="E172" s="803" t="str">
        <f>D47</f>
        <v>Total Expenditure</v>
      </c>
      <c r="F172" s="803"/>
      <c r="G172" s="803"/>
      <c r="H172" s="803"/>
      <c r="I172" s="803"/>
      <c r="J172" s="803"/>
      <c r="K172" s="803"/>
      <c r="L172" s="803"/>
      <c r="M172" s="803"/>
      <c r="N172" s="533">
        <f t="shared" ref="N172:AK172" si="61">N47</f>
        <v>6816394.1699999999</v>
      </c>
      <c r="O172" s="533">
        <f t="shared" si="61"/>
        <v>6934326.7449999992</v>
      </c>
      <c r="P172" s="533">
        <f t="shared" si="61"/>
        <v>7200076.9899999993</v>
      </c>
      <c r="Q172" s="579">
        <f t="shared" si="61"/>
        <v>8266934.6838224996</v>
      </c>
      <c r="R172" s="579">
        <f t="shared" si="61"/>
        <v>8299461.4910707241</v>
      </c>
      <c r="S172" s="579">
        <f t="shared" si="61"/>
        <v>8043700.9978195559</v>
      </c>
      <c r="T172" s="533">
        <f t="shared" si="61"/>
        <v>7350620.6261777803</v>
      </c>
      <c r="U172" s="533">
        <f t="shared" si="61"/>
        <v>7372115.8382482547</v>
      </c>
      <c r="V172" s="533">
        <f t="shared" si="61"/>
        <v>7373739.8962522922</v>
      </c>
      <c r="W172" s="533">
        <f t="shared" si="61"/>
        <v>7353241.9502260741</v>
      </c>
      <c r="X172" s="533">
        <f t="shared" si="61"/>
        <v>7308183.6669508098</v>
      </c>
      <c r="Y172" s="533">
        <f t="shared" si="61"/>
        <v>7235925.4156158324</v>
      </c>
      <c r="Z172" s="533">
        <f t="shared" si="61"/>
        <v>7133611.5010414831</v>
      </c>
      <c r="AA172" s="533">
        <f t="shared" si="61"/>
        <v>6998154.3814817155</v>
      </c>
      <c r="AB172" s="533">
        <f t="shared" si="61"/>
        <v>6826217.8039797228</v>
      </c>
      <c r="AC172" s="533">
        <f t="shared" si="61"/>
        <v>6614198.7859485298</v>
      </c>
      <c r="AD172" s="533">
        <f t="shared" si="61"/>
        <v>6358208.3670768673</v>
      </c>
      <c r="AE172" s="533">
        <f t="shared" si="61"/>
        <v>6054051.0508018257</v>
      </c>
      <c r="AF172" s="533">
        <f t="shared" si="61"/>
        <v>5697202.8494261233</v>
      </c>
      <c r="AG172" s="533">
        <f t="shared" si="61"/>
        <v>5282787.8414704166</v>
      </c>
      <c r="AH172" s="533">
        <f t="shared" si="61"/>
        <v>4805553.1440200703</v>
      </c>
      <c r="AI172" s="533">
        <f t="shared" si="61"/>
        <v>4259842.1966297366</v>
      </c>
      <c r="AJ172" s="533">
        <f t="shared" si="61"/>
        <v>154876.22698941137</v>
      </c>
      <c r="AK172" s="533">
        <f t="shared" si="61"/>
        <v>0</v>
      </c>
    </row>
    <row r="173" spans="4:37" x14ac:dyDescent="0.45">
      <c r="E173" s="803" t="str">
        <f>D28</f>
        <v>Total Income</v>
      </c>
      <c r="F173" s="803"/>
      <c r="G173" s="803"/>
      <c r="H173" s="803"/>
      <c r="I173" s="803"/>
      <c r="J173" s="803"/>
      <c r="K173" s="803"/>
      <c r="L173" s="803"/>
      <c r="M173" s="803"/>
      <c r="N173" s="533">
        <f t="shared" ref="N173:AK173" si="62">N28</f>
        <v>10462974.060000001</v>
      </c>
      <c r="O173" s="533">
        <f t="shared" si="62"/>
        <v>12848850.120000001</v>
      </c>
      <c r="P173" s="533">
        <f t="shared" si="62"/>
        <v>10993737.510000002</v>
      </c>
      <c r="Q173" s="579">
        <f t="shared" ca="1" si="62"/>
        <v>7969952.8107711747</v>
      </c>
      <c r="R173" s="579">
        <f t="shared" ca="1" si="62"/>
        <v>7114235.0247711744</v>
      </c>
      <c r="S173" s="579">
        <f t="shared" ca="1" si="62"/>
        <v>5341707.9089064375</v>
      </c>
      <c r="T173" s="533">
        <f t="shared" ca="1" si="62"/>
        <v>2430624.5743803568</v>
      </c>
      <c r="U173" s="533">
        <f t="shared" ca="1" si="62"/>
        <v>2313173.1135568274</v>
      </c>
      <c r="V173" s="533">
        <f t="shared" ca="1" si="62"/>
        <v>2195721.652733298</v>
      </c>
      <c r="W173" s="533">
        <f t="shared" ca="1" si="62"/>
        <v>2078270.1919097686</v>
      </c>
      <c r="X173" s="533">
        <f t="shared" ca="1" si="62"/>
        <v>1960818.7310862388</v>
      </c>
      <c r="Y173" s="533">
        <f t="shared" ca="1" si="62"/>
        <v>1843367.2702627098</v>
      </c>
      <c r="Z173" s="533">
        <f t="shared" ca="1" si="62"/>
        <v>1725915.8094391804</v>
      </c>
      <c r="AA173" s="533">
        <f t="shared" ca="1" si="62"/>
        <v>1608464.348615651</v>
      </c>
      <c r="AB173" s="533">
        <f t="shared" ca="1" si="62"/>
        <v>1491012.8877921216</v>
      </c>
      <c r="AC173" s="533">
        <f t="shared" ca="1" si="62"/>
        <v>1373561.4269685922</v>
      </c>
      <c r="AD173" s="533">
        <f t="shared" ca="1" si="62"/>
        <v>1256109.9661450628</v>
      </c>
      <c r="AE173" s="533">
        <f t="shared" ca="1" si="62"/>
        <v>1138658.5053215334</v>
      </c>
      <c r="AF173" s="533">
        <f t="shared" ca="1" si="62"/>
        <v>1021207.0444980043</v>
      </c>
      <c r="AG173" s="533">
        <f t="shared" ca="1" si="62"/>
        <v>903755.58367447485</v>
      </c>
      <c r="AH173" s="533">
        <f t="shared" ca="1" si="62"/>
        <v>786304.12285094545</v>
      </c>
      <c r="AI173" s="533">
        <f t="shared" ca="1" si="62"/>
        <v>668852.66202741605</v>
      </c>
      <c r="AJ173" s="533">
        <f t="shared" ca="1" si="62"/>
        <v>237755.90414489803</v>
      </c>
      <c r="AK173" s="533">
        <f t="shared" ca="1" si="62"/>
        <v>0</v>
      </c>
    </row>
    <row r="195" spans="5:37" x14ac:dyDescent="0.45">
      <c r="N195" s="536" t="str">
        <f>N$170</f>
        <v>2013/14</v>
      </c>
      <c r="O195" s="536" t="str">
        <f t="shared" ref="O195:AK195" si="63">O$170</f>
        <v>2014/15</v>
      </c>
      <c r="P195" s="536" t="str">
        <f t="shared" si="63"/>
        <v>2015/16</v>
      </c>
      <c r="Q195" s="536" t="str">
        <f t="shared" si="63"/>
        <v>2016/17</v>
      </c>
      <c r="R195" s="536" t="str">
        <f t="shared" si="63"/>
        <v>2017/18</v>
      </c>
      <c r="S195" s="536" t="str">
        <f t="shared" si="63"/>
        <v>2018/19</v>
      </c>
      <c r="T195" s="536" t="str">
        <f t="shared" si="63"/>
        <v>2019/20</v>
      </c>
      <c r="U195" s="536" t="str">
        <f t="shared" si="63"/>
        <v>2020/21</v>
      </c>
      <c r="V195" s="536" t="str">
        <f t="shared" si="63"/>
        <v>2021/22</v>
      </c>
      <c r="W195" s="536" t="str">
        <f t="shared" si="63"/>
        <v>2022/23</v>
      </c>
      <c r="X195" s="536" t="str">
        <f t="shared" si="63"/>
        <v>2023/24</v>
      </c>
      <c r="Y195" s="536" t="str">
        <f t="shared" si="63"/>
        <v>2024/25</v>
      </c>
      <c r="Z195" s="536" t="str">
        <f t="shared" si="63"/>
        <v>2025/26</v>
      </c>
      <c r="AA195" s="536" t="str">
        <f t="shared" si="63"/>
        <v>2026/27</v>
      </c>
      <c r="AB195" s="536" t="str">
        <f t="shared" si="63"/>
        <v>2027/28</v>
      </c>
      <c r="AC195" s="536" t="str">
        <f t="shared" si="63"/>
        <v>2028/29</v>
      </c>
      <c r="AD195" s="536" t="str">
        <f t="shared" si="63"/>
        <v>2029/30</v>
      </c>
      <c r="AE195" s="536" t="str">
        <f t="shared" si="63"/>
        <v>2030/31</v>
      </c>
      <c r="AF195" s="536" t="str">
        <f t="shared" si="63"/>
        <v>2031/32</v>
      </c>
      <c r="AG195" s="536" t="str">
        <f t="shared" si="63"/>
        <v>3032/33</v>
      </c>
      <c r="AH195" s="536" t="str">
        <f t="shared" si="63"/>
        <v>2033/34</v>
      </c>
      <c r="AI195" s="536" t="str">
        <f t="shared" si="63"/>
        <v>2034/35</v>
      </c>
      <c r="AJ195" s="536" t="str">
        <f t="shared" si="63"/>
        <v>2035/36</v>
      </c>
      <c r="AK195" s="536" t="str">
        <f t="shared" si="63"/>
        <v>2036/37</v>
      </c>
    </row>
    <row r="196" spans="5:37" x14ac:dyDescent="0.45">
      <c r="E196" s="803" t="str">
        <f>D104</f>
        <v>Sales &amp; Loans Collections/Sales &amp; Loans Raised</v>
      </c>
      <c r="F196" s="803"/>
      <c r="G196" s="803"/>
      <c r="H196" s="803"/>
      <c r="I196" s="803"/>
      <c r="J196" s="803"/>
      <c r="K196" s="803"/>
      <c r="L196" s="803"/>
      <c r="M196" s="803"/>
      <c r="N196" s="813">
        <f t="shared" ref="N196:AK196" si="64">N104</f>
        <v>0.35548862450798441</v>
      </c>
      <c r="O196" s="813">
        <f t="shared" si="64"/>
        <v>0.71374387922892613</v>
      </c>
      <c r="P196" s="813">
        <f t="shared" si="64"/>
        <v>0.89195679373474301</v>
      </c>
      <c r="Q196" s="813">
        <f t="shared" si="64"/>
        <v>0.57241715694381878</v>
      </c>
      <c r="R196" s="813">
        <f t="shared" si="64"/>
        <v>0.57241715694381878</v>
      </c>
      <c r="S196" s="813">
        <f t="shared" si="64"/>
        <v>0.57241715694381878</v>
      </c>
      <c r="T196" s="813">
        <f t="shared" si="64"/>
        <v>0.57241715694381878</v>
      </c>
      <c r="U196" s="813">
        <f t="shared" si="64"/>
        <v>0.57241715694381878</v>
      </c>
      <c r="V196" s="813">
        <f t="shared" si="64"/>
        <v>0.57241715694381878</v>
      </c>
      <c r="W196" s="813">
        <f t="shared" si="64"/>
        <v>0.57241715694381878</v>
      </c>
      <c r="X196" s="813">
        <f t="shared" si="64"/>
        <v>0.57241715694381878</v>
      </c>
      <c r="Y196" s="813">
        <f t="shared" si="64"/>
        <v>0.57241715694381878</v>
      </c>
      <c r="Z196" s="813">
        <f t="shared" si="64"/>
        <v>0.57241715694381878</v>
      </c>
      <c r="AA196" s="813">
        <f t="shared" si="64"/>
        <v>0.57241715694381878</v>
      </c>
      <c r="AB196" s="813">
        <f t="shared" si="64"/>
        <v>0.57241715694381878</v>
      </c>
      <c r="AC196" s="813">
        <f t="shared" si="64"/>
        <v>0.57241715694381878</v>
      </c>
      <c r="AD196" s="813">
        <f t="shared" si="64"/>
        <v>0.57241715694381878</v>
      </c>
      <c r="AE196" s="813">
        <f t="shared" si="64"/>
        <v>0.57241715694381878</v>
      </c>
      <c r="AF196" s="813">
        <f t="shared" si="64"/>
        <v>0.57241715694381878</v>
      </c>
      <c r="AG196" s="813">
        <f t="shared" si="64"/>
        <v>0.57241715694381878</v>
      </c>
      <c r="AH196" s="813">
        <f t="shared" si="64"/>
        <v>0.57241715694381878</v>
      </c>
      <c r="AI196" s="813">
        <f t="shared" si="64"/>
        <v>0.57241715694381878</v>
      </c>
      <c r="AJ196" s="813">
        <f t="shared" si="64"/>
        <v>0.57241715694381878</v>
      </c>
      <c r="AK196" s="813">
        <f t="shared" si="64"/>
        <v>0</v>
      </c>
    </row>
    <row r="219" spans="5:37" x14ac:dyDescent="0.45">
      <c r="N219" s="536" t="str">
        <f>N$170</f>
        <v>2013/14</v>
      </c>
      <c r="O219" s="536" t="str">
        <f t="shared" ref="O219:AK219" si="65">O$170</f>
        <v>2014/15</v>
      </c>
      <c r="P219" s="536" t="str">
        <f t="shared" si="65"/>
        <v>2015/16</v>
      </c>
      <c r="Q219" s="536" t="str">
        <f t="shared" si="65"/>
        <v>2016/17</v>
      </c>
      <c r="R219" s="536" t="str">
        <f t="shared" si="65"/>
        <v>2017/18</v>
      </c>
      <c r="S219" s="536" t="str">
        <f t="shared" si="65"/>
        <v>2018/19</v>
      </c>
      <c r="T219" s="536" t="str">
        <f t="shared" si="65"/>
        <v>2019/20</v>
      </c>
      <c r="U219" s="536" t="str">
        <f t="shared" si="65"/>
        <v>2020/21</v>
      </c>
      <c r="V219" s="536" t="str">
        <f t="shared" si="65"/>
        <v>2021/22</v>
      </c>
      <c r="W219" s="536" t="str">
        <f t="shared" si="65"/>
        <v>2022/23</v>
      </c>
      <c r="X219" s="536" t="str">
        <f t="shared" si="65"/>
        <v>2023/24</v>
      </c>
      <c r="Y219" s="536" t="str">
        <f t="shared" si="65"/>
        <v>2024/25</v>
      </c>
      <c r="Z219" s="536" t="str">
        <f t="shared" si="65"/>
        <v>2025/26</v>
      </c>
      <c r="AA219" s="536" t="str">
        <f t="shared" si="65"/>
        <v>2026/27</v>
      </c>
      <c r="AB219" s="536" t="str">
        <f t="shared" si="65"/>
        <v>2027/28</v>
      </c>
      <c r="AC219" s="536" t="str">
        <f t="shared" si="65"/>
        <v>2028/29</v>
      </c>
      <c r="AD219" s="536" t="str">
        <f t="shared" si="65"/>
        <v>2029/30</v>
      </c>
      <c r="AE219" s="536" t="str">
        <f t="shared" si="65"/>
        <v>2030/31</v>
      </c>
      <c r="AF219" s="536" t="str">
        <f t="shared" si="65"/>
        <v>2031/32</v>
      </c>
      <c r="AG219" s="536" t="str">
        <f t="shared" si="65"/>
        <v>3032/33</v>
      </c>
      <c r="AH219" s="536" t="str">
        <f t="shared" si="65"/>
        <v>2033/34</v>
      </c>
      <c r="AI219" s="536" t="str">
        <f t="shared" si="65"/>
        <v>2034/35</v>
      </c>
      <c r="AJ219" s="536" t="str">
        <f t="shared" si="65"/>
        <v>2035/36</v>
      </c>
      <c r="AK219" s="536" t="str">
        <f t="shared" si="65"/>
        <v>2036/37</v>
      </c>
    </row>
    <row r="220" spans="5:37" x14ac:dyDescent="0.45">
      <c r="E220" s="803" t="str">
        <f>D105</f>
        <v>Rental Collections/Rentals Raised</v>
      </c>
      <c r="F220" s="803"/>
      <c r="G220" s="803"/>
      <c r="H220" s="803"/>
      <c r="I220" s="803"/>
      <c r="J220" s="803"/>
      <c r="K220" s="803"/>
      <c r="L220" s="803"/>
      <c r="M220" s="803"/>
      <c r="N220" s="813">
        <f>N105</f>
        <v>0.69096967354330041</v>
      </c>
      <c r="O220" s="813">
        <f t="shared" ref="O220:AK220" si="66">O105</f>
        <v>0.69845383818231777</v>
      </c>
      <c r="P220" s="813">
        <f t="shared" si="66"/>
        <v>0.76546080658513083</v>
      </c>
      <c r="Q220" s="813">
        <f t="shared" si="66"/>
        <v>0.76546080658513083</v>
      </c>
      <c r="R220" s="813">
        <f t="shared" si="66"/>
        <v>0.76546080658513083</v>
      </c>
      <c r="S220" s="813">
        <f t="shared" si="66"/>
        <v>0.76546080658513083</v>
      </c>
      <c r="T220" s="813">
        <f t="shared" si="66"/>
        <v>0.76546080658513083</v>
      </c>
      <c r="U220" s="813">
        <f t="shared" si="66"/>
        <v>0.76546080658513083</v>
      </c>
      <c r="V220" s="813">
        <f t="shared" si="66"/>
        <v>0.76546080658513083</v>
      </c>
      <c r="W220" s="813">
        <f t="shared" si="66"/>
        <v>0.76546080658513083</v>
      </c>
      <c r="X220" s="813">
        <f t="shared" si="66"/>
        <v>0.76546080658513072</v>
      </c>
      <c r="Y220" s="813">
        <f t="shared" si="66"/>
        <v>0.76546080658513083</v>
      </c>
      <c r="Z220" s="813">
        <f t="shared" si="66"/>
        <v>0.76546080658513083</v>
      </c>
      <c r="AA220" s="813">
        <f t="shared" si="66"/>
        <v>0.76546080658513083</v>
      </c>
      <c r="AB220" s="813">
        <f t="shared" si="66"/>
        <v>0.76546080658513083</v>
      </c>
      <c r="AC220" s="813">
        <f t="shared" si="66"/>
        <v>0.76546080658513083</v>
      </c>
      <c r="AD220" s="813">
        <f t="shared" si="66"/>
        <v>0.76546080658513083</v>
      </c>
      <c r="AE220" s="813">
        <f t="shared" si="66"/>
        <v>0.76546080658513083</v>
      </c>
      <c r="AF220" s="813">
        <f t="shared" si="66"/>
        <v>0.76546080658513083</v>
      </c>
      <c r="AG220" s="813">
        <f t="shared" si="66"/>
        <v>0.76546080658513083</v>
      </c>
      <c r="AH220" s="813">
        <f t="shared" si="66"/>
        <v>0.76546080658513083</v>
      </c>
      <c r="AI220" s="813">
        <f t="shared" si="66"/>
        <v>0.76546080658513083</v>
      </c>
      <c r="AJ220" s="813">
        <f t="shared" si="66"/>
        <v>0</v>
      </c>
      <c r="AK220" s="813">
        <f t="shared" si="66"/>
        <v>0</v>
      </c>
    </row>
    <row r="243" spans="5:37" x14ac:dyDescent="0.45">
      <c r="N243" s="536" t="str">
        <f>N$170</f>
        <v>2013/14</v>
      </c>
      <c r="O243" s="536" t="str">
        <f t="shared" ref="O243:AK243" si="67">O$170</f>
        <v>2014/15</v>
      </c>
      <c r="P243" s="536" t="str">
        <f t="shared" si="67"/>
        <v>2015/16</v>
      </c>
      <c r="Q243" s="536" t="str">
        <f t="shared" si="67"/>
        <v>2016/17</v>
      </c>
      <c r="R243" s="536" t="str">
        <f t="shared" si="67"/>
        <v>2017/18</v>
      </c>
      <c r="S243" s="536" t="str">
        <f t="shared" si="67"/>
        <v>2018/19</v>
      </c>
      <c r="T243" s="536" t="str">
        <f t="shared" si="67"/>
        <v>2019/20</v>
      </c>
      <c r="U243" s="536" t="str">
        <f t="shared" si="67"/>
        <v>2020/21</v>
      </c>
      <c r="V243" s="536" t="str">
        <f t="shared" si="67"/>
        <v>2021/22</v>
      </c>
      <c r="W243" s="536" t="str">
        <f t="shared" si="67"/>
        <v>2022/23</v>
      </c>
      <c r="X243" s="536" t="str">
        <f t="shared" si="67"/>
        <v>2023/24</v>
      </c>
      <c r="Y243" s="536" t="str">
        <f t="shared" si="67"/>
        <v>2024/25</v>
      </c>
      <c r="Z243" s="536" t="str">
        <f t="shared" si="67"/>
        <v>2025/26</v>
      </c>
      <c r="AA243" s="536" t="str">
        <f t="shared" si="67"/>
        <v>2026/27</v>
      </c>
      <c r="AB243" s="536" t="str">
        <f t="shared" si="67"/>
        <v>2027/28</v>
      </c>
      <c r="AC243" s="536" t="str">
        <f t="shared" si="67"/>
        <v>2028/29</v>
      </c>
      <c r="AD243" s="536" t="str">
        <f t="shared" si="67"/>
        <v>2029/30</v>
      </c>
      <c r="AE243" s="536" t="str">
        <f t="shared" si="67"/>
        <v>2030/31</v>
      </c>
      <c r="AF243" s="536" t="str">
        <f t="shared" si="67"/>
        <v>2031/32</v>
      </c>
      <c r="AG243" s="536" t="str">
        <f t="shared" si="67"/>
        <v>3032/33</v>
      </c>
      <c r="AH243" s="536" t="str">
        <f t="shared" si="67"/>
        <v>2033/34</v>
      </c>
      <c r="AI243" s="536" t="str">
        <f t="shared" si="67"/>
        <v>2034/35</v>
      </c>
      <c r="AJ243" s="536" t="str">
        <f t="shared" si="67"/>
        <v>2035/36</v>
      </c>
      <c r="AK243" s="536" t="str">
        <f t="shared" si="67"/>
        <v>2036/37</v>
      </c>
    </row>
    <row r="244" spans="5:37" x14ac:dyDescent="0.45">
      <c r="E244" s="803" t="str">
        <f>D110</f>
        <v>Cost to Income Ratio</v>
      </c>
      <c r="F244" s="803"/>
      <c r="G244" s="803"/>
      <c r="H244" s="803"/>
      <c r="I244" s="803"/>
      <c r="J244" s="803"/>
      <c r="K244" s="803"/>
      <c r="L244" s="803"/>
      <c r="M244" s="803"/>
      <c r="N244" s="813">
        <f>N110</f>
        <v>0.61708094423988302</v>
      </c>
      <c r="O244" s="813">
        <f t="shared" ref="O244:AK244" si="68">O110</f>
        <v>0.52103972271287047</v>
      </c>
      <c r="P244" s="813">
        <f t="shared" si="68"/>
        <v>0.63914181482022636</v>
      </c>
      <c r="Q244" s="813">
        <f t="shared" ca="1" si="68"/>
        <v>1.0372626890149164</v>
      </c>
      <c r="R244" s="813">
        <f t="shared" ca="1" si="68"/>
        <v>1.1665992846978894</v>
      </c>
      <c r="S244" s="813">
        <f t="shared" ca="1" si="68"/>
        <v>1.505829434141837</v>
      </c>
      <c r="T244" s="813">
        <f t="shared" ca="1" si="68"/>
        <v>3.0241694680683815</v>
      </c>
      <c r="U244" s="813">
        <f t="shared" ca="1" si="68"/>
        <v>3.1870143203041965</v>
      </c>
      <c r="V244" s="813">
        <f t="shared" ca="1" si="68"/>
        <v>3.3582307152062043</v>
      </c>
      <c r="W244" s="813">
        <f t="shared" ca="1" si="68"/>
        <v>3.5381549419563281</v>
      </c>
      <c r="X244" s="813">
        <f t="shared" ca="1" si="68"/>
        <v>3.7271082487580482</v>
      </c>
      <c r="Y244" s="813">
        <f t="shared" ca="1" si="68"/>
        <v>3.9253845570256845</v>
      </c>
      <c r="Z244" s="813">
        <f t="shared" ca="1" si="68"/>
        <v>4.1332326073074679</v>
      </c>
      <c r="AA244" s="813">
        <f t="shared" ca="1" si="68"/>
        <v>4.3508296515895939</v>
      </c>
      <c r="AB244" s="813">
        <f t="shared" ca="1" si="68"/>
        <v>4.5782419856128298</v>
      </c>
      <c r="AC244" s="813">
        <f t="shared" ca="1" si="68"/>
        <v>4.815364392217873</v>
      </c>
      <c r="AD244" s="813">
        <f t="shared" ca="1" si="68"/>
        <v>5.0618246319547033</v>
      </c>
      <c r="AE244" s="813">
        <f t="shared" ca="1" si="68"/>
        <v>5.3168276726587909</v>
      </c>
      <c r="AF244" s="813">
        <f t="shared" ca="1" si="68"/>
        <v>5.5788910584990168</v>
      </c>
      <c r="AG244" s="813">
        <f t="shared" ca="1" si="68"/>
        <v>5.845372285271802</v>
      </c>
      <c r="AH244" s="813">
        <f t="shared" ca="1" si="68"/>
        <v>6.1115705798366111</v>
      </c>
      <c r="AI244" s="813">
        <f t="shared" ca="1" si="68"/>
        <v>6.3688797824581691</v>
      </c>
      <c r="AJ244" s="813">
        <f t="shared" ca="1" si="68"/>
        <v>0.65140854249837499</v>
      </c>
      <c r="AK244" s="813">
        <f t="shared" ca="1" si="68"/>
        <v>0</v>
      </c>
    </row>
    <row r="269" spans="5:37" x14ac:dyDescent="0.45">
      <c r="N269" s="536" t="str">
        <f>N$170</f>
        <v>2013/14</v>
      </c>
      <c r="O269" s="536" t="str">
        <f t="shared" ref="O269:AK269" si="69">O$170</f>
        <v>2014/15</v>
      </c>
      <c r="P269" s="536" t="str">
        <f t="shared" si="69"/>
        <v>2015/16</v>
      </c>
      <c r="Q269" s="536" t="str">
        <f t="shared" si="69"/>
        <v>2016/17</v>
      </c>
      <c r="R269" s="536" t="str">
        <f t="shared" si="69"/>
        <v>2017/18</v>
      </c>
      <c r="S269" s="536" t="str">
        <f t="shared" si="69"/>
        <v>2018/19</v>
      </c>
      <c r="T269" s="536" t="str">
        <f t="shared" si="69"/>
        <v>2019/20</v>
      </c>
      <c r="U269" s="536" t="str">
        <f t="shared" si="69"/>
        <v>2020/21</v>
      </c>
      <c r="V269" s="536" t="str">
        <f t="shared" si="69"/>
        <v>2021/22</v>
      </c>
      <c r="W269" s="536" t="str">
        <f t="shared" si="69"/>
        <v>2022/23</v>
      </c>
      <c r="X269" s="536" t="str">
        <f t="shared" si="69"/>
        <v>2023/24</v>
      </c>
      <c r="Y269" s="536" t="str">
        <f t="shared" si="69"/>
        <v>2024/25</v>
      </c>
      <c r="Z269" s="536" t="str">
        <f t="shared" si="69"/>
        <v>2025/26</v>
      </c>
      <c r="AA269" s="536" t="str">
        <f t="shared" si="69"/>
        <v>2026/27</v>
      </c>
      <c r="AB269" s="536" t="str">
        <f t="shared" si="69"/>
        <v>2027/28</v>
      </c>
      <c r="AC269" s="536" t="str">
        <f t="shared" si="69"/>
        <v>2028/29</v>
      </c>
      <c r="AD269" s="536" t="str">
        <f t="shared" si="69"/>
        <v>2029/30</v>
      </c>
      <c r="AE269" s="536" t="str">
        <f t="shared" si="69"/>
        <v>2030/31</v>
      </c>
      <c r="AF269" s="536" t="str">
        <f t="shared" si="69"/>
        <v>2031/32</v>
      </c>
      <c r="AG269" s="536" t="str">
        <f t="shared" si="69"/>
        <v>3032/33</v>
      </c>
      <c r="AH269" s="536" t="str">
        <f t="shared" si="69"/>
        <v>2033/34</v>
      </c>
      <c r="AI269" s="536" t="str">
        <f t="shared" si="69"/>
        <v>2034/35</v>
      </c>
      <c r="AJ269" s="536" t="str">
        <f t="shared" si="69"/>
        <v>2035/36</v>
      </c>
      <c r="AK269" s="536" t="str">
        <f t="shared" si="69"/>
        <v>2036/37</v>
      </c>
    </row>
    <row r="270" spans="5:37" x14ac:dyDescent="0.45">
      <c r="E270" s="803" t="str">
        <f>D111</f>
        <v>Maintenance as % of Expenses</v>
      </c>
      <c r="F270" s="803"/>
      <c r="G270" s="803"/>
      <c r="H270" s="803"/>
      <c r="I270" s="803"/>
      <c r="J270" s="803"/>
      <c r="K270" s="803"/>
      <c r="L270" s="803"/>
      <c r="M270" s="803"/>
      <c r="N270" s="813">
        <f>N111</f>
        <v>0.12611252644152768</v>
      </c>
      <c r="O270" s="813">
        <f t="shared" ref="O270:AK270" si="70">O111</f>
        <v>9.0960069116270068E-2</v>
      </c>
      <c r="P270" s="813">
        <f t="shared" si="70"/>
        <v>4.1777325494959751E-2</v>
      </c>
      <c r="Q270" s="813">
        <f t="shared" si="70"/>
        <v>3.0709709940832889E-2</v>
      </c>
      <c r="R270" s="813">
        <f t="shared" si="70"/>
        <v>2.4203826417355224E-2</v>
      </c>
      <c r="S270" s="813">
        <f t="shared" si="70"/>
        <v>1.974586856814034E-2</v>
      </c>
      <c r="T270" s="813">
        <f t="shared" si="70"/>
        <v>2.1404480464413768E-2</v>
      </c>
      <c r="U270" s="813">
        <f t="shared" si="70"/>
        <v>2.1052003301728964E-2</v>
      </c>
      <c r="V270" s="813">
        <f t="shared" si="70"/>
        <v>2.0660917456151583E-2</v>
      </c>
      <c r="W270" s="813">
        <f t="shared" si="70"/>
        <v>2.022451185928251E-2</v>
      </c>
      <c r="X270" s="813">
        <f t="shared" si="70"/>
        <v>1.9734424397597879E-2</v>
      </c>
      <c r="Y270" s="813">
        <f t="shared" si="70"/>
        <v>1.9180100903977839E-2</v>
      </c>
      <c r="Z270" s="813">
        <f t="shared" si="70"/>
        <v>1.8548026499305235E-2</v>
      </c>
      <c r="AA270" s="813">
        <f t="shared" si="70"/>
        <v>1.7820609097503291E-2</v>
      </c>
      <c r="AB270" s="813">
        <f t="shared" si="70"/>
        <v>1.6974516455508362E-2</v>
      </c>
      <c r="AC270" s="813">
        <f t="shared" si="70"/>
        <v>1.5978127022226105E-2</v>
      </c>
      <c r="AD270" s="813">
        <f t="shared" si="70"/>
        <v>1.4787489904492373E-2</v>
      </c>
      <c r="AE270" s="813">
        <f t="shared" si="70"/>
        <v>1.3339666805840558E-2</v>
      </c>
      <c r="AF270" s="813">
        <f t="shared" si="70"/>
        <v>1.1541236991083503E-2</v>
      </c>
      <c r="AG270" s="813">
        <f t="shared" si="70"/>
        <v>9.2473008581291285E-3</v>
      </c>
      <c r="AH270" s="813">
        <f t="shared" si="70"/>
        <v>6.220355787900575E-3</v>
      </c>
      <c r="AI270" s="813">
        <f t="shared" si="70"/>
        <v>2.0422530241506628E-3</v>
      </c>
      <c r="AJ270" s="813">
        <f t="shared" si="70"/>
        <v>0</v>
      </c>
      <c r="AK270" s="813">
        <f t="shared" si="70"/>
        <v>0</v>
      </c>
    </row>
    <row r="293" spans="5:37" x14ac:dyDescent="0.45">
      <c r="N293" s="536" t="str">
        <f>N$170</f>
        <v>2013/14</v>
      </c>
      <c r="O293" s="536" t="str">
        <f t="shared" ref="O293:AK293" si="71">O$170</f>
        <v>2014/15</v>
      </c>
      <c r="P293" s="536" t="str">
        <f t="shared" si="71"/>
        <v>2015/16</v>
      </c>
      <c r="Q293" s="536" t="str">
        <f t="shared" si="71"/>
        <v>2016/17</v>
      </c>
      <c r="R293" s="536" t="str">
        <f t="shared" si="71"/>
        <v>2017/18</v>
      </c>
      <c r="S293" s="536" t="str">
        <f t="shared" si="71"/>
        <v>2018/19</v>
      </c>
      <c r="T293" s="536" t="str">
        <f t="shared" si="71"/>
        <v>2019/20</v>
      </c>
      <c r="U293" s="536" t="str">
        <f t="shared" si="71"/>
        <v>2020/21</v>
      </c>
      <c r="V293" s="536" t="str">
        <f t="shared" si="71"/>
        <v>2021/22</v>
      </c>
      <c r="W293" s="536" t="str">
        <f t="shared" si="71"/>
        <v>2022/23</v>
      </c>
      <c r="X293" s="536" t="str">
        <f t="shared" si="71"/>
        <v>2023/24</v>
      </c>
      <c r="Y293" s="536" t="str">
        <f t="shared" si="71"/>
        <v>2024/25</v>
      </c>
      <c r="Z293" s="536" t="str">
        <f t="shared" si="71"/>
        <v>2025/26</v>
      </c>
      <c r="AA293" s="536" t="str">
        <f t="shared" si="71"/>
        <v>2026/27</v>
      </c>
      <c r="AB293" s="536" t="str">
        <f t="shared" si="71"/>
        <v>2027/28</v>
      </c>
      <c r="AC293" s="536" t="str">
        <f t="shared" si="71"/>
        <v>2028/29</v>
      </c>
      <c r="AD293" s="536" t="str">
        <f t="shared" si="71"/>
        <v>2029/30</v>
      </c>
      <c r="AE293" s="536" t="str">
        <f t="shared" si="71"/>
        <v>2030/31</v>
      </c>
      <c r="AF293" s="536" t="str">
        <f t="shared" si="71"/>
        <v>2031/32</v>
      </c>
      <c r="AG293" s="536" t="str">
        <f t="shared" si="71"/>
        <v>3032/33</v>
      </c>
      <c r="AH293" s="536" t="str">
        <f t="shared" si="71"/>
        <v>2033/34</v>
      </c>
      <c r="AI293" s="536" t="str">
        <f t="shared" si="71"/>
        <v>2034/35</v>
      </c>
      <c r="AJ293" s="536" t="str">
        <f t="shared" si="71"/>
        <v>2035/36</v>
      </c>
      <c r="AK293" s="536" t="str">
        <f t="shared" si="71"/>
        <v>2036/37</v>
      </c>
    </row>
    <row r="294" spans="5:37" x14ac:dyDescent="0.45">
      <c r="E294" s="803" t="str">
        <f>D112</f>
        <v>Maintenance Cost per Unit</v>
      </c>
      <c r="F294" s="803"/>
      <c r="G294" s="803"/>
      <c r="H294" s="803"/>
      <c r="I294" s="803"/>
      <c r="J294" s="803"/>
      <c r="K294" s="803"/>
      <c r="L294" s="803"/>
      <c r="M294" s="803"/>
      <c r="N294" s="818">
        <f>N112</f>
        <v>0</v>
      </c>
      <c r="O294" s="818">
        <f t="shared" ref="O294:AK294" si="72">O112</f>
        <v>0</v>
      </c>
      <c r="P294" s="818">
        <f t="shared" si="72"/>
        <v>393.2025620915033</v>
      </c>
      <c r="Q294" s="818">
        <f t="shared" si="72"/>
        <v>414.82870300653599</v>
      </c>
      <c r="R294" s="818">
        <f t="shared" si="72"/>
        <v>437.64428167189538</v>
      </c>
      <c r="S294" s="818">
        <f t="shared" si="72"/>
        <v>461.71471716384963</v>
      </c>
      <c r="T294" s="818">
        <f t="shared" si="72"/>
        <v>487.10902660786127</v>
      </c>
      <c r="U294" s="818">
        <f t="shared" si="72"/>
        <v>513.90002307129362</v>
      </c>
      <c r="V294" s="818">
        <f t="shared" si="72"/>
        <v>542.16452434021471</v>
      </c>
      <c r="W294" s="818">
        <f t="shared" si="72"/>
        <v>571.98357317892646</v>
      </c>
      <c r="X294" s="818">
        <f t="shared" si="72"/>
        <v>603.44266970376736</v>
      </c>
      <c r="Y294" s="818">
        <f t="shared" si="72"/>
        <v>636.63201653747456</v>
      </c>
      <c r="Z294" s="818">
        <f t="shared" si="72"/>
        <v>671.64677744703567</v>
      </c>
      <c r="AA294" s="818">
        <f t="shared" si="72"/>
        <v>708.58735020662255</v>
      </c>
      <c r="AB294" s="818">
        <f t="shared" si="72"/>
        <v>747.55965446798677</v>
      </c>
      <c r="AC294" s="818">
        <f t="shared" si="72"/>
        <v>788.6754354637261</v>
      </c>
      <c r="AD294" s="818">
        <f t="shared" si="72"/>
        <v>832.05258441423098</v>
      </c>
      <c r="AE294" s="818">
        <f t="shared" si="72"/>
        <v>877.81547655701365</v>
      </c>
      <c r="AF294" s="818">
        <f t="shared" si="72"/>
        <v>926.09532776764945</v>
      </c>
      <c r="AG294" s="818">
        <f t="shared" si="72"/>
        <v>977.03057079487019</v>
      </c>
      <c r="AH294" s="818">
        <f t="shared" si="72"/>
        <v>1030.7672521885879</v>
      </c>
      <c r="AI294" s="818">
        <f t="shared" si="72"/>
        <v>1087.4594510589602</v>
      </c>
      <c r="AJ294" s="818">
        <f t="shared" si="72"/>
        <v>0</v>
      </c>
      <c r="AK294" s="818">
        <f t="shared" si="72"/>
        <v>0</v>
      </c>
    </row>
    <row r="316" spans="5:37" x14ac:dyDescent="0.45">
      <c r="N316" s="536" t="str">
        <f>N$170</f>
        <v>2013/14</v>
      </c>
      <c r="O316" s="536" t="str">
        <f t="shared" ref="O316:AK316" si="73">O$170</f>
        <v>2014/15</v>
      </c>
      <c r="P316" s="536" t="str">
        <f t="shared" si="73"/>
        <v>2015/16</v>
      </c>
      <c r="Q316" s="536" t="str">
        <f t="shared" si="73"/>
        <v>2016/17</v>
      </c>
      <c r="R316" s="536" t="str">
        <f t="shared" si="73"/>
        <v>2017/18</v>
      </c>
      <c r="S316" s="536" t="str">
        <f t="shared" si="73"/>
        <v>2018/19</v>
      </c>
      <c r="T316" s="536" t="str">
        <f t="shared" si="73"/>
        <v>2019/20</v>
      </c>
      <c r="U316" s="536" t="str">
        <f t="shared" si="73"/>
        <v>2020/21</v>
      </c>
      <c r="V316" s="536" t="str">
        <f t="shared" si="73"/>
        <v>2021/22</v>
      </c>
      <c r="W316" s="536" t="str">
        <f t="shared" si="73"/>
        <v>2022/23</v>
      </c>
      <c r="X316" s="536" t="str">
        <f t="shared" si="73"/>
        <v>2023/24</v>
      </c>
      <c r="Y316" s="536" t="str">
        <f t="shared" si="73"/>
        <v>2024/25</v>
      </c>
      <c r="Z316" s="536" t="str">
        <f t="shared" si="73"/>
        <v>2025/26</v>
      </c>
      <c r="AA316" s="536" t="str">
        <f t="shared" si="73"/>
        <v>2026/27</v>
      </c>
      <c r="AB316" s="536" t="str">
        <f t="shared" si="73"/>
        <v>2027/28</v>
      </c>
      <c r="AC316" s="536" t="str">
        <f t="shared" si="73"/>
        <v>2028/29</v>
      </c>
      <c r="AD316" s="536" t="str">
        <f t="shared" si="73"/>
        <v>2029/30</v>
      </c>
      <c r="AE316" s="536" t="str">
        <f t="shared" si="73"/>
        <v>2030/31</v>
      </c>
      <c r="AF316" s="536" t="str">
        <f t="shared" si="73"/>
        <v>2031/32</v>
      </c>
      <c r="AG316" s="536" t="str">
        <f t="shared" si="73"/>
        <v>3032/33</v>
      </c>
      <c r="AH316" s="536" t="str">
        <f t="shared" si="73"/>
        <v>2033/34</v>
      </c>
      <c r="AI316" s="536" t="str">
        <f t="shared" si="73"/>
        <v>2034/35</v>
      </c>
      <c r="AJ316" s="536" t="str">
        <f t="shared" si="73"/>
        <v>2035/36</v>
      </c>
      <c r="AK316" s="536" t="str">
        <f t="shared" si="73"/>
        <v>2036/37</v>
      </c>
    </row>
    <row r="317" spans="5:37" x14ac:dyDescent="0.45">
      <c r="E317" s="803" t="str">
        <f>D113</f>
        <v>Net Deficit as % of HSDG Grant -  NDoHS Calc  (excl staff costs)</v>
      </c>
      <c r="F317" s="803"/>
      <c r="G317" s="803"/>
      <c r="H317" s="803"/>
      <c r="I317" s="803"/>
      <c r="J317" s="803"/>
      <c r="K317" s="803"/>
      <c r="L317" s="803"/>
      <c r="M317" s="803"/>
      <c r="N317" s="813">
        <f>N113</f>
        <v>-4.7403497637090357E-3</v>
      </c>
      <c r="O317" s="813">
        <f t="shared" ref="O317:AK317" si="74">O113</f>
        <v>-6.2941309428322179E-3</v>
      </c>
      <c r="P317" s="813">
        <f t="shared" si="74"/>
        <v>0</v>
      </c>
      <c r="Q317" s="813">
        <f t="shared" ca="1" si="74"/>
        <v>1.5036128049372385E-4</v>
      </c>
      <c r="R317" s="813">
        <f t="shared" ca="1" si="74"/>
        <v>6.0007759839622544E-4</v>
      </c>
      <c r="S317" s="813">
        <f t="shared" ca="1" si="74"/>
        <v>1.3680132614153043E-3</v>
      </c>
      <c r="T317" s="813">
        <f t="shared" ca="1" si="74"/>
        <v>2.4909833680134309E-3</v>
      </c>
      <c r="U317" s="813">
        <f t="shared" ca="1" si="74"/>
        <v>2.561331768210484E-3</v>
      </c>
      <c r="V317" s="813">
        <f t="shared" ca="1" si="74"/>
        <v>2.6216194460488992E-3</v>
      </c>
      <c r="W317" s="813">
        <f t="shared" ca="1" si="74"/>
        <v>2.6707068010564943E-3</v>
      </c>
      <c r="X317" s="813">
        <f t="shared" ca="1" si="74"/>
        <v>2.7073593103942801E-3</v>
      </c>
      <c r="Y317" s="813">
        <f t="shared" ca="1" si="74"/>
        <v>2.7302405346875396E-3</v>
      </c>
      <c r="Z317" s="813">
        <f t="shared" ca="1" si="74"/>
        <v>2.7379046416384925E-3</v>
      </c>
      <c r="AA317" s="813">
        <f t="shared" ca="1" si="74"/>
        <v>2.728788415533858E-3</v>
      </c>
      <c r="AB317" s="813">
        <f t="shared" ca="1" si="74"/>
        <v>2.7012027187118572E-3</v>
      </c>
      <c r="AC317" s="813">
        <f t="shared" ca="1" si="74"/>
        <v>2.6533233688754102E-3</v>
      </c>
      <c r="AD317" s="813">
        <f t="shared" ca="1" si="74"/>
        <v>2.583181393823675E-3</v>
      </c>
      <c r="AE317" s="813">
        <f t="shared" ca="1" si="74"/>
        <v>2.4886526227140865E-3</v>
      </c>
      <c r="AF317" s="813">
        <f t="shared" ca="1" si="74"/>
        <v>2.3674465703526766E-3</v>
      </c>
      <c r="AG317" s="813">
        <f t="shared" ca="1" si="74"/>
        <v>2.2170945682322115E-3</v>
      </c>
      <c r="AH317" s="813">
        <f t="shared" ca="1" si="74"/>
        <v>2.0349370930854527E-3</v>
      </c>
      <c r="AI317" s="813">
        <f t="shared" ca="1" si="74"/>
        <v>1.818110240583782E-3</v>
      </c>
      <c r="AJ317" s="813">
        <f t="shared" ca="1" si="74"/>
        <v>-4.1961801425677327E-5</v>
      </c>
      <c r="AK317" s="813">
        <f t="shared" ca="1" si="74"/>
        <v>0</v>
      </c>
    </row>
    <row r="339" spans="5:37" x14ac:dyDescent="0.45">
      <c r="N339" s="536" t="str">
        <f>N$170</f>
        <v>2013/14</v>
      </c>
      <c r="O339" s="536" t="str">
        <f t="shared" ref="O339:AK339" si="75">O$170</f>
        <v>2014/15</v>
      </c>
      <c r="P339" s="536" t="str">
        <f t="shared" si="75"/>
        <v>2015/16</v>
      </c>
      <c r="Q339" s="536" t="str">
        <f t="shared" si="75"/>
        <v>2016/17</v>
      </c>
      <c r="R339" s="536" t="str">
        <f t="shared" si="75"/>
        <v>2017/18</v>
      </c>
      <c r="S339" s="536" t="str">
        <f t="shared" si="75"/>
        <v>2018/19</v>
      </c>
      <c r="T339" s="536" t="str">
        <f t="shared" si="75"/>
        <v>2019/20</v>
      </c>
      <c r="U339" s="536" t="str">
        <f t="shared" si="75"/>
        <v>2020/21</v>
      </c>
      <c r="V339" s="536" t="str">
        <f t="shared" si="75"/>
        <v>2021/22</v>
      </c>
      <c r="W339" s="536" t="str">
        <f t="shared" si="75"/>
        <v>2022/23</v>
      </c>
      <c r="X339" s="536" t="str">
        <f t="shared" si="75"/>
        <v>2023/24</v>
      </c>
      <c r="Y339" s="536" t="str">
        <f t="shared" si="75"/>
        <v>2024/25</v>
      </c>
      <c r="Z339" s="536" t="str">
        <f t="shared" si="75"/>
        <v>2025/26</v>
      </c>
      <c r="AA339" s="536" t="str">
        <f t="shared" si="75"/>
        <v>2026/27</v>
      </c>
      <c r="AB339" s="536" t="str">
        <f t="shared" si="75"/>
        <v>2027/28</v>
      </c>
      <c r="AC339" s="536" t="str">
        <f t="shared" si="75"/>
        <v>2028/29</v>
      </c>
      <c r="AD339" s="536" t="str">
        <f t="shared" si="75"/>
        <v>2029/30</v>
      </c>
      <c r="AE339" s="536" t="str">
        <f t="shared" si="75"/>
        <v>2030/31</v>
      </c>
      <c r="AF339" s="536" t="str">
        <f t="shared" si="75"/>
        <v>2031/32</v>
      </c>
      <c r="AG339" s="536" t="str">
        <f t="shared" si="75"/>
        <v>3032/33</v>
      </c>
      <c r="AH339" s="536" t="str">
        <f t="shared" si="75"/>
        <v>2033/34</v>
      </c>
      <c r="AI339" s="536" t="str">
        <f t="shared" si="75"/>
        <v>2034/35</v>
      </c>
      <c r="AJ339" s="536" t="str">
        <f t="shared" si="75"/>
        <v>2035/36</v>
      </c>
      <c r="AK339" s="536" t="str">
        <f t="shared" si="75"/>
        <v>2036/37</v>
      </c>
    </row>
    <row r="340" spans="5:37" x14ac:dyDescent="0.45">
      <c r="E340" s="803" t="str">
        <f>D115</f>
        <v>EEDBS as % of HSDG</v>
      </c>
      <c r="F340" s="803"/>
      <c r="G340" s="803"/>
      <c r="H340" s="803"/>
      <c r="I340" s="803"/>
      <c r="J340" s="803"/>
      <c r="K340" s="803"/>
      <c r="L340" s="803"/>
      <c r="M340" s="803"/>
      <c r="N340" s="813">
        <f>N115</f>
        <v>2.8727662860593178E-4</v>
      </c>
      <c r="O340" s="813">
        <f t="shared" ref="O340:AK340" si="76">O115</f>
        <v>1.8524592027850017E-4</v>
      </c>
      <c r="P340" s="813">
        <f t="shared" si="76"/>
        <v>1.356665562937378E-4</v>
      </c>
      <c r="Q340" s="813">
        <f t="shared" ca="1" si="76"/>
        <v>1.4234227595844836E-3</v>
      </c>
      <c r="R340" s="813">
        <f t="shared" ca="1" si="76"/>
        <v>1.4234227595844836E-3</v>
      </c>
      <c r="S340" s="813">
        <f t="shared" ca="1" si="76"/>
        <v>1.0698929238706903E-3</v>
      </c>
      <c r="T340" s="813">
        <f t="shared" ca="1" si="76"/>
        <v>1.9537175131551732E-4</v>
      </c>
      <c r="U340" s="813">
        <f t="shared" ca="1" si="76"/>
        <v>1.9537175131551732E-4</v>
      </c>
      <c r="V340" s="813">
        <f t="shared" ca="1" si="76"/>
        <v>1.9537175131551732E-4</v>
      </c>
      <c r="W340" s="813">
        <f t="shared" ca="1" si="76"/>
        <v>1.9537175131551732E-4</v>
      </c>
      <c r="X340" s="813">
        <f t="shared" ca="1" si="76"/>
        <v>1.9537175131551732E-4</v>
      </c>
      <c r="Y340" s="813">
        <f t="shared" ca="1" si="76"/>
        <v>1.9537175131551732E-4</v>
      </c>
      <c r="Z340" s="813">
        <f t="shared" ca="1" si="76"/>
        <v>1.9537175131551732E-4</v>
      </c>
      <c r="AA340" s="813">
        <f t="shared" ca="1" si="76"/>
        <v>1.9537175131551732E-4</v>
      </c>
      <c r="AB340" s="813">
        <f t="shared" ca="1" si="76"/>
        <v>1.9537175131551732E-4</v>
      </c>
      <c r="AC340" s="813">
        <f t="shared" ca="1" si="76"/>
        <v>1.9537175131551732E-4</v>
      </c>
      <c r="AD340" s="813">
        <f t="shared" ca="1" si="76"/>
        <v>1.9537175131551732E-4</v>
      </c>
      <c r="AE340" s="813">
        <f t="shared" ca="1" si="76"/>
        <v>1.9537175131551732E-4</v>
      </c>
      <c r="AF340" s="813">
        <f t="shared" ca="1" si="76"/>
        <v>1.9537175131551732E-4</v>
      </c>
      <c r="AG340" s="813">
        <f t="shared" ca="1" si="76"/>
        <v>1.9537175131551732E-4</v>
      </c>
      <c r="AH340" s="813">
        <f t="shared" ca="1" si="76"/>
        <v>1.9537175131551732E-4</v>
      </c>
      <c r="AI340" s="813">
        <f t="shared" ca="1" si="76"/>
        <v>1.9537175131551732E-4</v>
      </c>
      <c r="AJ340" s="813">
        <f t="shared" ca="1" si="76"/>
        <v>4.3578784209431377E-2</v>
      </c>
      <c r="AK340" s="813">
        <f t="shared" ca="1" si="76"/>
        <v>0</v>
      </c>
    </row>
    <row r="363" spans="5:37" x14ac:dyDescent="0.45">
      <c r="N363" s="536" t="str">
        <f>N$170</f>
        <v>2013/14</v>
      </c>
      <c r="O363" s="536" t="str">
        <f t="shared" ref="O363:AK363" si="77">O$170</f>
        <v>2014/15</v>
      </c>
      <c r="P363" s="536" t="str">
        <f t="shared" si="77"/>
        <v>2015/16</v>
      </c>
      <c r="Q363" s="536" t="str">
        <f t="shared" si="77"/>
        <v>2016/17</v>
      </c>
      <c r="R363" s="536" t="str">
        <f t="shared" si="77"/>
        <v>2017/18</v>
      </c>
      <c r="S363" s="536" t="str">
        <f t="shared" si="77"/>
        <v>2018/19</v>
      </c>
      <c r="T363" s="536" t="str">
        <f t="shared" si="77"/>
        <v>2019/20</v>
      </c>
      <c r="U363" s="536" t="str">
        <f t="shared" si="77"/>
        <v>2020/21</v>
      </c>
      <c r="V363" s="536" t="str">
        <f t="shared" si="77"/>
        <v>2021/22</v>
      </c>
      <c r="W363" s="536" t="str">
        <f t="shared" si="77"/>
        <v>2022/23</v>
      </c>
      <c r="X363" s="536" t="str">
        <f t="shared" si="77"/>
        <v>2023/24</v>
      </c>
      <c r="Y363" s="536" t="str">
        <f t="shared" si="77"/>
        <v>2024/25</v>
      </c>
      <c r="Z363" s="536" t="str">
        <f t="shared" si="77"/>
        <v>2025/26</v>
      </c>
      <c r="AA363" s="536" t="str">
        <f t="shared" si="77"/>
        <v>2026/27</v>
      </c>
      <c r="AB363" s="536" t="str">
        <f t="shared" si="77"/>
        <v>2027/28</v>
      </c>
      <c r="AC363" s="536" t="str">
        <f t="shared" si="77"/>
        <v>2028/29</v>
      </c>
      <c r="AD363" s="536" t="str">
        <f t="shared" si="77"/>
        <v>2029/30</v>
      </c>
      <c r="AE363" s="536" t="str">
        <f t="shared" si="77"/>
        <v>2030/31</v>
      </c>
      <c r="AF363" s="536" t="str">
        <f t="shared" si="77"/>
        <v>2031/32</v>
      </c>
      <c r="AG363" s="536" t="str">
        <f t="shared" si="77"/>
        <v>3032/33</v>
      </c>
      <c r="AH363" s="536" t="str">
        <f t="shared" si="77"/>
        <v>2033/34</v>
      </c>
      <c r="AI363" s="536" t="str">
        <f t="shared" si="77"/>
        <v>2034/35</v>
      </c>
      <c r="AJ363" s="536" t="str">
        <f t="shared" si="77"/>
        <v>2035/36</v>
      </c>
      <c r="AK363" s="536" t="str">
        <f t="shared" si="77"/>
        <v>2036/37</v>
      </c>
    </row>
    <row r="364" spans="5:37" x14ac:dyDescent="0.45">
      <c r="E364" s="803" t="str">
        <f>D117</f>
        <v>Average Expenditure per unit per month</v>
      </c>
      <c r="F364" s="803"/>
      <c r="G364" s="803"/>
      <c r="H364" s="803"/>
      <c r="I364" s="803"/>
      <c r="J364" s="803"/>
      <c r="K364" s="803"/>
      <c r="L364" s="803"/>
      <c r="M364" s="803"/>
      <c r="N364" s="818">
        <f>N117</f>
        <v>0</v>
      </c>
      <c r="O364" s="818">
        <f t="shared" ref="O364:AK364" si="78">O117</f>
        <v>0</v>
      </c>
      <c r="P364" s="818">
        <f t="shared" si="78"/>
        <v>784.32211220043564</v>
      </c>
      <c r="Q364" s="818">
        <f t="shared" si="78"/>
        <v>1125.6719340716911</v>
      </c>
      <c r="R364" s="818">
        <f t="shared" si="78"/>
        <v>1506.8012874129854</v>
      </c>
      <c r="S364" s="818">
        <f t="shared" si="78"/>
        <v>1948.5709781539624</v>
      </c>
      <c r="T364" s="818">
        <f t="shared" si="78"/>
        <v>1896.4449499942675</v>
      </c>
      <c r="U364" s="818">
        <f t="shared" si="78"/>
        <v>2034.2482997373772</v>
      </c>
      <c r="V364" s="818">
        <f t="shared" si="78"/>
        <v>2186.7556038707867</v>
      </c>
      <c r="W364" s="818">
        <f t="shared" si="78"/>
        <v>2356.8083173801519</v>
      </c>
      <c r="X364" s="818">
        <f t="shared" si="78"/>
        <v>2548.1811948921932</v>
      </c>
      <c r="Y364" s="818">
        <f t="shared" si="78"/>
        <v>2766.0265350213426</v>
      </c>
      <c r="Z364" s="818">
        <f t="shared" si="78"/>
        <v>3017.6021578009659</v>
      </c>
      <c r="AA364" s="818">
        <f t="shared" si="78"/>
        <v>3313.5200669894489</v>
      </c>
      <c r="AB364" s="818">
        <f t="shared" si="78"/>
        <v>3670.0095720321092</v>
      </c>
      <c r="AC364" s="818">
        <f t="shared" si="78"/>
        <v>4113.30770270431</v>
      </c>
      <c r="AD364" s="818">
        <f t="shared" si="78"/>
        <v>4688.9442235080141</v>
      </c>
      <c r="AE364" s="818">
        <f t="shared" si="78"/>
        <v>5483.7418938422334</v>
      </c>
      <c r="AF364" s="818">
        <f t="shared" si="78"/>
        <v>6686.8578044907554</v>
      </c>
      <c r="AG364" s="818">
        <f t="shared" si="78"/>
        <v>8804.6464024506949</v>
      </c>
      <c r="AH364" s="818">
        <f t="shared" si="78"/>
        <v>13809.060758678364</v>
      </c>
      <c r="AI364" s="818">
        <f t="shared" si="78"/>
        <v>44373.356214893087</v>
      </c>
      <c r="AJ364" s="818">
        <f t="shared" si="78"/>
        <v>0</v>
      </c>
      <c r="AK364" s="818">
        <f t="shared" si="78"/>
        <v>0</v>
      </c>
    </row>
    <row r="387" spans="5:37" x14ac:dyDescent="0.45">
      <c r="N387" s="536" t="str">
        <f>N$170</f>
        <v>2013/14</v>
      </c>
      <c r="O387" s="536" t="str">
        <f t="shared" ref="O387:AK387" si="79">O$170</f>
        <v>2014/15</v>
      </c>
      <c r="P387" s="536" t="str">
        <f t="shared" si="79"/>
        <v>2015/16</v>
      </c>
      <c r="Q387" s="536" t="str">
        <f t="shared" si="79"/>
        <v>2016/17</v>
      </c>
      <c r="R387" s="536" t="str">
        <f t="shared" si="79"/>
        <v>2017/18</v>
      </c>
      <c r="S387" s="536" t="str">
        <f t="shared" si="79"/>
        <v>2018/19</v>
      </c>
      <c r="T387" s="536" t="str">
        <f t="shared" si="79"/>
        <v>2019/20</v>
      </c>
      <c r="U387" s="536" t="str">
        <f t="shared" si="79"/>
        <v>2020/21</v>
      </c>
      <c r="V387" s="536" t="str">
        <f t="shared" si="79"/>
        <v>2021/22</v>
      </c>
      <c r="W387" s="536" t="str">
        <f t="shared" si="79"/>
        <v>2022/23</v>
      </c>
      <c r="X387" s="536" t="str">
        <f t="shared" si="79"/>
        <v>2023/24</v>
      </c>
      <c r="Y387" s="536" t="str">
        <f t="shared" si="79"/>
        <v>2024/25</v>
      </c>
      <c r="Z387" s="536" t="str">
        <f t="shared" si="79"/>
        <v>2025/26</v>
      </c>
      <c r="AA387" s="536" t="str">
        <f t="shared" si="79"/>
        <v>2026/27</v>
      </c>
      <c r="AB387" s="536" t="str">
        <f t="shared" si="79"/>
        <v>2027/28</v>
      </c>
      <c r="AC387" s="536" t="str">
        <f t="shared" si="79"/>
        <v>2028/29</v>
      </c>
      <c r="AD387" s="536" t="str">
        <f t="shared" si="79"/>
        <v>2029/30</v>
      </c>
      <c r="AE387" s="536" t="str">
        <f t="shared" si="79"/>
        <v>2030/31</v>
      </c>
      <c r="AF387" s="536" t="str">
        <f t="shared" si="79"/>
        <v>2031/32</v>
      </c>
      <c r="AG387" s="536" t="str">
        <f t="shared" si="79"/>
        <v>3032/33</v>
      </c>
      <c r="AH387" s="536" t="str">
        <f t="shared" si="79"/>
        <v>2033/34</v>
      </c>
      <c r="AI387" s="536" t="str">
        <f t="shared" si="79"/>
        <v>2034/35</v>
      </c>
      <c r="AJ387" s="536" t="str">
        <f t="shared" si="79"/>
        <v>2035/36</v>
      </c>
      <c r="AK387" s="536" t="str">
        <f t="shared" si="79"/>
        <v>2036/37</v>
      </c>
    </row>
    <row r="388" spans="5:37" x14ac:dyDescent="0.45">
      <c r="E388" s="803" t="str">
        <f>D118</f>
        <v>Net Surplus/Deficit p.u.p.m.</v>
      </c>
      <c r="F388" s="803"/>
      <c r="G388" s="803"/>
      <c r="H388" s="803"/>
      <c r="I388" s="803"/>
      <c r="J388" s="803"/>
      <c r="K388" s="803"/>
      <c r="L388" s="803"/>
      <c r="M388" s="803"/>
      <c r="N388" s="818">
        <f>N118</f>
        <v>0</v>
      </c>
      <c r="O388" s="818">
        <f t="shared" ref="O388:AK388" si="80">O118</f>
        <v>0</v>
      </c>
      <c r="P388" s="818">
        <f t="shared" si="80"/>
        <v>442.82668954248373</v>
      </c>
      <c r="Q388" s="818">
        <f t="shared" ca="1" si="80"/>
        <v>-40.438708204156434</v>
      </c>
      <c r="R388" s="818">
        <f t="shared" ca="1" si="80"/>
        <v>-215.18272808633799</v>
      </c>
      <c r="S388" s="818">
        <f t="shared" ca="1" si="80"/>
        <v>-654.55258936848793</v>
      </c>
      <c r="T388" s="818">
        <f t="shared" ca="1" si="80"/>
        <v>-1269.3488265731228</v>
      </c>
      <c r="U388" s="818">
        <f t="shared" ca="1" si="80"/>
        <v>-1395.9554979832856</v>
      </c>
      <c r="V388" s="818">
        <f t="shared" ca="1" si="80"/>
        <v>-1535.5925989083614</v>
      </c>
      <c r="W388" s="818">
        <f t="shared" ca="1" si="80"/>
        <v>-1690.6960763834313</v>
      </c>
      <c r="X388" s="818">
        <f t="shared" ca="1" si="80"/>
        <v>-1864.4926554618451</v>
      </c>
      <c r="Y388" s="818">
        <f t="shared" ca="1" si="80"/>
        <v>-2061.3754378261169</v>
      </c>
      <c r="Z388" s="818">
        <f t="shared" ca="1" si="80"/>
        <v>-2287.5193280889603</v>
      </c>
      <c r="AA388" s="818">
        <f t="shared" ca="1" si="80"/>
        <v>-2551.9365685918865</v>
      </c>
      <c r="AB388" s="818">
        <f t="shared" ca="1" si="80"/>
        <v>-2868.3897398858066</v>
      </c>
      <c r="AC388" s="818">
        <f t="shared" ca="1" si="80"/>
        <v>-3259.1028351865284</v>
      </c>
      <c r="AD388" s="818">
        <f t="shared" ca="1" si="80"/>
        <v>-3762.6094402151953</v>
      </c>
      <c r="AE388" s="818">
        <f t="shared" ca="1" si="80"/>
        <v>-4452.3483201814242</v>
      </c>
      <c r="AF388" s="818">
        <f t="shared" ca="1" si="80"/>
        <v>-5488.2579870048348</v>
      </c>
      <c r="AG388" s="818">
        <f t="shared" ca="1" si="80"/>
        <v>-7298.3870963265699</v>
      </c>
      <c r="AH388" s="818">
        <f t="shared" ca="1" si="80"/>
        <v>-11549.566152784842</v>
      </c>
      <c r="AI388" s="818">
        <f t="shared" ca="1" si="80"/>
        <v>-37406.140985440841</v>
      </c>
      <c r="AJ388" s="818">
        <f t="shared" si="80"/>
        <v>0</v>
      </c>
      <c r="AK388" s="818">
        <f t="shared" si="80"/>
        <v>0</v>
      </c>
    </row>
  </sheetData>
  <sheetProtection formatCells="0" formatColumns="0" formatRows="0"/>
  <mergeCells count="4">
    <mergeCell ref="F3:G3"/>
    <mergeCell ref="I3:L3"/>
    <mergeCell ref="N3:P3"/>
    <mergeCell ref="Q3:AL3"/>
  </mergeCells>
  <printOptions headings="1"/>
  <pageMargins left="0.19685039370078741" right="0.23622047244094491" top="0.43307086614173229" bottom="0.31496062992125984" header="0.31496062992125984" footer="0.11811023622047245"/>
  <pageSetup paperSize="9" scale="40" fitToWidth="2" fitToHeight="8" pageOrder="overThenDown" orientation="landscape" r:id="rId1"/>
  <headerFooter>
    <oddFooter>&amp;R&amp;F &amp;A &amp;D Page &amp;P</oddFooter>
  </headerFooter>
  <rowBreaks count="5" manualBreakCount="5">
    <brk id="143" max="29" man="1"/>
    <brk id="217" max="37" man="1"/>
    <brk id="268" max="29" man="1"/>
    <brk id="337" max="37" man="1"/>
    <brk id="386" max="3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Province" prompt="Select province from the list, or select Total to see the national view. " xr:uid="{0FB5E06F-F0FA-485E-9BE4-D2D231D0B8F3}">
          <x14:formula1>
            <xm:f>'14. Permanent Info'!$C$7:$C$12</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AA8F-286C-49E5-A57A-77342B40F209}">
  <sheetPr codeName="Sheet3">
    <tabColor theme="0" tint="-0.14999847407452621"/>
    <pageSetUpPr fitToPage="1"/>
  </sheetPr>
  <dimension ref="A1:AA86"/>
  <sheetViews>
    <sheetView showGridLines="0" zoomScaleNormal="100" zoomScaleSheetLayoutView="75" workbookViewId="0">
      <selection activeCell="B3" sqref="B3"/>
    </sheetView>
  </sheetViews>
  <sheetFormatPr defaultRowHeight="14.25" x14ac:dyDescent="0.45"/>
  <cols>
    <col min="1" max="1" width="3.265625" customWidth="1"/>
    <col min="2" max="2" width="4.73046875" customWidth="1"/>
    <col min="3" max="3" width="4.19921875" customWidth="1"/>
    <col min="4" max="4" width="5" customWidth="1"/>
    <col min="11" max="11" width="10.46484375" customWidth="1"/>
    <col min="20" max="20" width="72.265625" customWidth="1"/>
    <col min="21" max="21" width="18.73046875" customWidth="1"/>
  </cols>
  <sheetData>
    <row r="1" spans="1:27" ht="21" x14ac:dyDescent="0.65">
      <c r="B1" s="912" t="str">
        <f>'1.Cover'!$C$2</f>
        <v xml:space="preserve">Performance and Expenditure Review of Provincial Government Housing Rental Stock </v>
      </c>
    </row>
    <row r="2" spans="1:27" ht="21" x14ac:dyDescent="0.65">
      <c r="B2" s="60" t="s">
        <v>1341</v>
      </c>
    </row>
    <row r="3" spans="1:27" ht="21" x14ac:dyDescent="0.65">
      <c r="B3" s="60"/>
    </row>
    <row r="4" spans="1:27" x14ac:dyDescent="0.45">
      <c r="A4">
        <v>1</v>
      </c>
      <c r="B4" s="928" t="s">
        <v>1589</v>
      </c>
      <c r="C4" s="4"/>
      <c r="D4" s="4"/>
      <c r="E4" s="4"/>
      <c r="F4" s="4"/>
      <c r="G4" s="4"/>
      <c r="H4" s="4"/>
      <c r="I4" s="4"/>
      <c r="J4" s="4"/>
      <c r="K4" s="926"/>
      <c r="L4" s="926"/>
      <c r="M4" s="926"/>
      <c r="N4" s="926"/>
      <c r="O4" s="926"/>
      <c r="P4" s="926"/>
      <c r="Q4" s="926"/>
      <c r="R4" s="926"/>
      <c r="S4" s="926"/>
      <c r="T4" s="926"/>
      <c r="U4" s="926"/>
      <c r="V4" s="926"/>
      <c r="W4" s="926"/>
      <c r="X4" s="4"/>
      <c r="Y4" s="4"/>
      <c r="Z4" s="4"/>
      <c r="AA4" s="4"/>
    </row>
    <row r="5" spans="1:27" ht="18" x14ac:dyDescent="0.55000000000000004">
      <c r="A5">
        <v>2</v>
      </c>
      <c r="B5" s="928" t="s">
        <v>1590</v>
      </c>
      <c r="C5" s="1042"/>
      <c r="D5" s="4"/>
      <c r="E5" s="4"/>
      <c r="F5" s="4"/>
      <c r="G5" s="4"/>
      <c r="H5" s="4"/>
      <c r="I5" s="4"/>
      <c r="J5" s="4"/>
      <c r="K5" s="926"/>
      <c r="L5" s="926"/>
      <c r="M5" s="926"/>
      <c r="N5" s="926"/>
      <c r="O5" s="926"/>
      <c r="P5" s="926"/>
      <c r="Q5" s="926"/>
      <c r="R5" s="926"/>
      <c r="S5" s="926"/>
      <c r="T5" s="926"/>
      <c r="U5" s="926"/>
      <c r="V5" s="926"/>
      <c r="W5" s="926"/>
      <c r="X5" s="4"/>
      <c r="Y5" s="4"/>
      <c r="Z5" s="4"/>
      <c r="AA5" s="4"/>
    </row>
    <row r="6" spans="1:27" x14ac:dyDescent="0.45">
      <c r="A6">
        <v>3</v>
      </c>
      <c r="B6" s="928" t="s">
        <v>1591</v>
      </c>
      <c r="C6" s="4"/>
      <c r="D6" s="4"/>
      <c r="E6" s="4"/>
      <c r="F6" s="4"/>
      <c r="G6" s="4"/>
      <c r="H6" s="4"/>
      <c r="I6" s="4"/>
      <c r="J6" s="4"/>
      <c r="K6" s="926"/>
      <c r="L6" s="926"/>
      <c r="M6" s="926"/>
      <c r="N6" s="926"/>
      <c r="Q6" s="926"/>
      <c r="R6" s="926"/>
      <c r="S6" s="926"/>
      <c r="T6" s="926"/>
      <c r="U6" s="926"/>
      <c r="V6" s="926"/>
      <c r="W6" s="926"/>
      <c r="X6" s="4"/>
      <c r="Y6" s="4"/>
      <c r="Z6" s="4"/>
      <c r="AA6" s="4"/>
    </row>
    <row r="7" spans="1:27" x14ac:dyDescent="0.45">
      <c r="A7">
        <v>4</v>
      </c>
      <c r="B7" s="928" t="s">
        <v>1593</v>
      </c>
      <c r="C7" s="4"/>
      <c r="D7" s="4"/>
      <c r="E7" s="4"/>
      <c r="F7" s="4"/>
      <c r="G7" s="4"/>
      <c r="H7" s="4"/>
      <c r="I7" s="4"/>
      <c r="J7" s="4"/>
      <c r="K7" s="451" t="s">
        <v>1592</v>
      </c>
      <c r="M7" s="926"/>
      <c r="N7" s="926"/>
      <c r="Q7" s="926"/>
      <c r="R7" s="926"/>
      <c r="S7" s="926"/>
      <c r="T7" s="926"/>
      <c r="U7" s="926"/>
      <c r="V7" s="926"/>
      <c r="W7" s="926"/>
      <c r="X7" s="4"/>
      <c r="Y7" s="4"/>
      <c r="Z7" s="4"/>
      <c r="AA7" s="4"/>
    </row>
    <row r="8" spans="1:27" x14ac:dyDescent="0.45">
      <c r="B8" s="926"/>
      <c r="C8" s="4"/>
      <c r="D8" s="4"/>
      <c r="E8" s="4"/>
      <c r="F8" s="4"/>
      <c r="G8" s="4"/>
      <c r="H8" s="4"/>
      <c r="I8" s="4"/>
      <c r="J8" s="4"/>
      <c r="K8" s="1153"/>
      <c r="L8" t="s">
        <v>1586</v>
      </c>
      <c r="M8" s="926"/>
      <c r="N8" s="926"/>
      <c r="Q8" s="926"/>
      <c r="R8" s="926"/>
      <c r="S8" s="926"/>
      <c r="T8" s="926"/>
      <c r="U8" s="926"/>
      <c r="V8" s="926"/>
      <c r="W8" s="926"/>
      <c r="X8" s="4"/>
      <c r="Y8" s="4"/>
      <c r="Z8" s="4"/>
      <c r="AA8" s="4"/>
    </row>
    <row r="9" spans="1:27" x14ac:dyDescent="0.45">
      <c r="K9" s="1151"/>
      <c r="L9" s="747" t="s">
        <v>1680</v>
      </c>
    </row>
    <row r="10" spans="1:27" x14ac:dyDescent="0.45">
      <c r="K10" s="1168"/>
      <c r="L10" s="747" t="s">
        <v>1683</v>
      </c>
    </row>
    <row r="11" spans="1:27" x14ac:dyDescent="0.45">
      <c r="K11" s="1152"/>
      <c r="L11" s="571" t="s">
        <v>1681</v>
      </c>
    </row>
    <row r="12" spans="1:27" x14ac:dyDescent="0.45">
      <c r="K12" s="1166"/>
      <c r="L12" s="747" t="s">
        <v>1682</v>
      </c>
    </row>
    <row r="13" spans="1:27" x14ac:dyDescent="0.45">
      <c r="K13" s="1169"/>
      <c r="L13" s="747" t="s">
        <v>1687</v>
      </c>
    </row>
    <row r="15" spans="1:27" x14ac:dyDescent="0.45">
      <c r="A15">
        <v>5</v>
      </c>
      <c r="B15" t="s">
        <v>1688</v>
      </c>
      <c r="R15" s="1164"/>
      <c r="S15" s="933"/>
    </row>
    <row r="16" spans="1:27" x14ac:dyDescent="0.45">
      <c r="A16">
        <v>6</v>
      </c>
      <c r="B16" t="s">
        <v>1689</v>
      </c>
      <c r="R16" s="1164"/>
      <c r="S16" s="1174"/>
    </row>
    <row r="17" spans="1:19" x14ac:dyDescent="0.45">
      <c r="A17">
        <v>7</v>
      </c>
      <c r="B17" t="s">
        <v>1690</v>
      </c>
      <c r="K17" s="1154"/>
      <c r="L17" s="1175"/>
    </row>
    <row r="18" spans="1:19" x14ac:dyDescent="0.45">
      <c r="A18">
        <v>8</v>
      </c>
      <c r="B18" t="s">
        <v>1594</v>
      </c>
    </row>
    <row r="19" spans="1:19" x14ac:dyDescent="0.45">
      <c r="A19">
        <v>9</v>
      </c>
      <c r="B19" t="s">
        <v>1595</v>
      </c>
    </row>
    <row r="20" spans="1:19" x14ac:dyDescent="0.45">
      <c r="A20">
        <v>10</v>
      </c>
      <c r="B20" t="s">
        <v>1596</v>
      </c>
    </row>
    <row r="21" spans="1:19" x14ac:dyDescent="0.45">
      <c r="A21">
        <v>11</v>
      </c>
      <c r="B21" s="1288" t="s">
        <v>1777</v>
      </c>
    </row>
    <row r="22" spans="1:19" x14ac:dyDescent="0.45">
      <c r="A22">
        <v>12</v>
      </c>
      <c r="B22" s="451" t="s">
        <v>1597</v>
      </c>
    </row>
    <row r="23" spans="1:19" x14ac:dyDescent="0.45">
      <c r="B23" s="794">
        <f>'2.Contents'!B5</f>
        <v>1</v>
      </c>
      <c r="C23" s="1176" t="str">
        <f>'2.Contents'!C5</f>
        <v>Cover</v>
      </c>
      <c r="D23" s="794"/>
    </row>
    <row r="24" spans="1:19" x14ac:dyDescent="0.45">
      <c r="C24" s="1329" t="s">
        <v>1478</v>
      </c>
      <c r="D24" s="1329"/>
      <c r="E24" s="1329"/>
      <c r="F24" s="1329"/>
      <c r="G24" s="1329"/>
      <c r="H24" s="1329"/>
      <c r="I24" s="1329"/>
      <c r="J24" s="1329"/>
      <c r="K24" s="1329"/>
      <c r="L24" s="1329"/>
      <c r="M24" s="1329"/>
      <c r="N24" s="1329"/>
      <c r="O24" s="1329"/>
      <c r="P24" s="1329"/>
      <c r="Q24" s="1329"/>
      <c r="R24" s="1329"/>
      <c r="S24" s="1329"/>
    </row>
    <row r="25" spans="1:19" x14ac:dyDescent="0.45">
      <c r="C25" s="4"/>
      <c r="D25" s="4"/>
      <c r="E25" s="4"/>
      <c r="F25" s="4"/>
      <c r="G25" s="4"/>
      <c r="H25" s="4"/>
      <c r="I25" s="4"/>
      <c r="J25" s="4"/>
      <c r="K25" s="4"/>
      <c r="L25" s="4"/>
      <c r="M25" s="4"/>
      <c r="N25" s="4"/>
      <c r="O25" s="4"/>
      <c r="P25" s="4"/>
      <c r="Q25" s="4"/>
      <c r="R25" s="4"/>
      <c r="S25" s="4"/>
    </row>
    <row r="26" spans="1:19" x14ac:dyDescent="0.45">
      <c r="B26" s="794">
        <f>'2.Contents'!B6</f>
        <v>2</v>
      </c>
      <c r="C26" s="1177" t="str">
        <f>'2.Contents'!C6</f>
        <v>Contents</v>
      </c>
      <c r="D26" s="1101"/>
      <c r="E26" s="4"/>
      <c r="F26" s="4"/>
      <c r="G26" s="4"/>
      <c r="H26" s="4"/>
      <c r="I26" s="4"/>
      <c r="J26" s="4"/>
      <c r="K26" s="4"/>
      <c r="L26" s="4"/>
      <c r="M26" s="4"/>
      <c r="N26" s="4"/>
      <c r="O26" s="4"/>
      <c r="P26" s="4"/>
      <c r="Q26" s="4"/>
      <c r="R26" s="4"/>
      <c r="S26" s="4"/>
    </row>
    <row r="27" spans="1:19" x14ac:dyDescent="0.45">
      <c r="C27" s="1335" t="s">
        <v>1480</v>
      </c>
      <c r="D27" s="1335"/>
      <c r="E27" s="1335"/>
      <c r="F27" s="1335"/>
      <c r="G27" s="1335"/>
      <c r="H27" s="1335"/>
      <c r="I27" s="1335"/>
      <c r="J27" s="1335"/>
      <c r="K27" s="1335"/>
      <c r="L27" s="1335"/>
      <c r="M27" s="1335"/>
      <c r="N27" s="1335"/>
      <c r="O27" s="1335"/>
      <c r="P27" s="1335"/>
      <c r="Q27" s="1335"/>
      <c r="R27" s="1335"/>
      <c r="S27" s="1335"/>
    </row>
    <row r="28" spans="1:19" x14ac:dyDescent="0.45">
      <c r="C28" s="1329" t="s">
        <v>1479</v>
      </c>
      <c r="D28" s="1329"/>
      <c r="E28" s="1329"/>
      <c r="F28" s="1329"/>
      <c r="G28" s="1329"/>
      <c r="H28" s="1329"/>
      <c r="I28" s="1329"/>
      <c r="J28" s="1329"/>
      <c r="K28" s="1329"/>
      <c r="L28" s="1329"/>
      <c r="M28" s="1329"/>
      <c r="N28" s="1329"/>
      <c r="O28" s="1329"/>
      <c r="P28" s="1329"/>
      <c r="Q28" s="1329"/>
      <c r="R28" s="1329"/>
      <c r="S28" s="1329"/>
    </row>
    <row r="29" spans="1:19" x14ac:dyDescent="0.45">
      <c r="C29" s="4"/>
      <c r="D29" s="4"/>
      <c r="E29" s="4"/>
      <c r="F29" s="4"/>
      <c r="G29" s="4"/>
      <c r="H29" s="4"/>
      <c r="I29" s="4"/>
      <c r="J29" s="4"/>
      <c r="K29" s="4"/>
      <c r="L29" s="4"/>
      <c r="M29" s="4"/>
      <c r="N29" s="4"/>
      <c r="O29" s="4"/>
      <c r="P29" s="4"/>
      <c r="Q29" s="4"/>
      <c r="R29" s="4"/>
      <c r="S29" s="4"/>
    </row>
    <row r="30" spans="1:19" x14ac:dyDescent="0.45">
      <c r="B30" s="794">
        <f>'2.Contents'!B7</f>
        <v>3</v>
      </c>
      <c r="C30" s="1177" t="str">
        <f>'2.Contents'!C7</f>
        <v>User Instructions</v>
      </c>
      <c r="D30" s="1101"/>
      <c r="E30" s="1101"/>
      <c r="F30" s="4"/>
      <c r="G30" s="4"/>
      <c r="H30" s="4"/>
      <c r="I30" s="4"/>
      <c r="J30" s="4"/>
      <c r="K30" s="4"/>
      <c r="L30" s="4"/>
      <c r="M30" s="4"/>
      <c r="N30" s="4"/>
      <c r="O30" s="4"/>
      <c r="P30" s="4"/>
      <c r="Q30" s="4"/>
      <c r="R30" s="4"/>
      <c r="S30" s="4"/>
    </row>
    <row r="31" spans="1:19" x14ac:dyDescent="0.45">
      <c r="C31" s="1334" t="s">
        <v>1481</v>
      </c>
      <c r="D31" s="1334"/>
      <c r="E31" s="1334"/>
      <c r="F31" s="1334"/>
      <c r="G31" s="1334"/>
      <c r="H31" s="1334"/>
      <c r="I31" s="1334"/>
      <c r="J31" s="1334"/>
      <c r="K31" s="1334"/>
      <c r="L31" s="1334"/>
      <c r="M31" s="1334"/>
      <c r="N31" s="1334"/>
      <c r="O31" s="1334"/>
      <c r="P31" s="1334"/>
      <c r="Q31" s="1334"/>
      <c r="R31" s="1334"/>
      <c r="S31" s="1334"/>
    </row>
    <row r="32" spans="1:19" x14ac:dyDescent="0.45">
      <c r="C32" s="1329"/>
      <c r="D32" s="1329"/>
      <c r="E32" s="1329"/>
      <c r="F32" s="1329"/>
      <c r="G32" s="1329"/>
      <c r="H32" s="1329"/>
      <c r="I32" s="1329"/>
      <c r="J32" s="1329"/>
      <c r="K32" s="1329"/>
      <c r="L32" s="1329"/>
      <c r="M32" s="1329"/>
      <c r="N32" s="1329"/>
      <c r="O32" s="1329"/>
      <c r="P32" s="1329"/>
      <c r="Q32" s="1329"/>
      <c r="R32" s="1329"/>
      <c r="S32" s="1329"/>
    </row>
    <row r="33" spans="2:19" x14ac:dyDescent="0.45">
      <c r="B33" s="794">
        <f>'2.Contents'!B8</f>
        <v>4</v>
      </c>
      <c r="C33" s="1177" t="str">
        <f>'2.Contents'!C8</f>
        <v>Model Design &amp; Scenario Descriptions</v>
      </c>
      <c r="D33" s="1101"/>
      <c r="E33" s="1101"/>
      <c r="F33" s="1101"/>
      <c r="G33" s="1101"/>
      <c r="H33" s="4"/>
      <c r="I33" s="4"/>
      <c r="J33" s="4"/>
      <c r="K33" s="4"/>
      <c r="L33" s="4"/>
      <c r="M33" s="4"/>
      <c r="N33" s="4"/>
      <c r="O33" s="4"/>
      <c r="P33" s="4"/>
      <c r="Q33" s="4"/>
      <c r="R33" s="4"/>
      <c r="S33" s="4"/>
    </row>
    <row r="34" spans="2:19" x14ac:dyDescent="0.45">
      <c r="C34" s="1329" t="s">
        <v>1488</v>
      </c>
      <c r="D34" s="1329"/>
      <c r="E34" s="1329"/>
      <c r="F34" s="1329"/>
      <c r="G34" s="1329"/>
      <c r="H34" s="1329"/>
      <c r="I34" s="1329"/>
      <c r="J34" s="1329"/>
      <c r="K34" s="1329"/>
      <c r="L34" s="1329"/>
      <c r="M34" s="1329"/>
      <c r="N34" s="1329"/>
      <c r="O34" s="1329"/>
      <c r="P34" s="1329"/>
      <c r="Q34" s="1329"/>
      <c r="R34" s="1329"/>
      <c r="S34" s="1329"/>
    </row>
    <row r="35" spans="2:19" x14ac:dyDescent="0.45">
      <c r="C35" s="1329"/>
      <c r="D35" s="1329"/>
      <c r="E35" s="1329"/>
      <c r="F35" s="1329"/>
      <c r="G35" s="1329"/>
      <c r="H35" s="1329"/>
      <c r="I35" s="1329"/>
      <c r="J35" s="1329"/>
      <c r="K35" s="1329"/>
      <c r="L35" s="1329"/>
      <c r="M35" s="1329"/>
      <c r="N35" s="1329"/>
      <c r="O35" s="1329"/>
      <c r="P35" s="1329"/>
      <c r="Q35" s="1329"/>
      <c r="R35" s="1329"/>
      <c r="S35" s="1329"/>
    </row>
    <row r="36" spans="2:19" x14ac:dyDescent="0.45">
      <c r="B36" s="826">
        <f>'2.Contents'!B9</f>
        <v>5</v>
      </c>
      <c r="C36" s="1178" t="str">
        <f>'2.Contents'!C9</f>
        <v>Dashboard Live</v>
      </c>
      <c r="D36" s="1041"/>
      <c r="E36" s="1041"/>
      <c r="F36" s="4"/>
      <c r="G36" s="4"/>
      <c r="H36" s="4"/>
      <c r="I36" s="4"/>
      <c r="J36" s="4"/>
      <c r="K36" s="4"/>
      <c r="L36" s="4"/>
      <c r="M36" s="4"/>
      <c r="N36" s="4"/>
      <c r="O36" s="4"/>
      <c r="P36" s="4"/>
      <c r="Q36" s="4"/>
      <c r="R36" s="4"/>
      <c r="S36" s="4"/>
    </row>
    <row r="37" spans="2:19" x14ac:dyDescent="0.45">
      <c r="C37" s="1329" t="s">
        <v>1534</v>
      </c>
      <c r="D37" s="1329"/>
      <c r="E37" s="1329"/>
      <c r="F37" s="1329"/>
      <c r="G37" s="1329"/>
      <c r="H37" s="1329"/>
      <c r="I37" s="1329"/>
      <c r="J37" s="1329"/>
      <c r="K37" s="1329"/>
      <c r="L37" s="1329"/>
      <c r="M37" s="1329"/>
      <c r="N37" s="1329"/>
      <c r="O37" s="1329"/>
      <c r="P37" s="1329"/>
      <c r="Q37" s="1329"/>
      <c r="R37" s="1329"/>
      <c r="S37" s="1329"/>
    </row>
    <row r="38" spans="2:19" x14ac:dyDescent="0.45">
      <c r="C38" s="1329"/>
      <c r="D38" s="1329"/>
      <c r="E38" s="1329"/>
      <c r="F38" s="1329"/>
      <c r="G38" s="1329"/>
      <c r="H38" s="1329"/>
      <c r="I38" s="1329"/>
      <c r="J38" s="1329"/>
      <c r="K38" s="1329"/>
      <c r="L38" s="1329"/>
      <c r="M38" s="1329"/>
      <c r="N38" s="1329"/>
      <c r="O38" s="1329"/>
      <c r="P38" s="1329"/>
      <c r="Q38" s="1329"/>
      <c r="R38" s="1329"/>
      <c r="S38" s="1329"/>
    </row>
    <row r="39" spans="2:19" x14ac:dyDescent="0.45">
      <c r="B39" s="1180" t="s">
        <v>1693</v>
      </c>
      <c r="C39" s="1181" t="s">
        <v>1692</v>
      </c>
      <c r="D39" s="1179"/>
      <c r="E39" s="1179"/>
      <c r="F39" s="1179"/>
      <c r="G39" s="1179"/>
      <c r="H39" s="1179"/>
      <c r="I39" s="1126"/>
      <c r="J39" s="1126"/>
      <c r="K39" s="1126"/>
      <c r="L39" s="1126"/>
      <c r="M39" s="1126"/>
      <c r="N39" s="1126"/>
      <c r="O39" s="1126"/>
      <c r="P39" s="1126"/>
      <c r="Q39" s="1126"/>
      <c r="R39" s="1126"/>
      <c r="S39" s="1126"/>
    </row>
    <row r="40" spans="2:19" x14ac:dyDescent="0.45">
      <c r="C40" s="1125" t="s">
        <v>1694</v>
      </c>
      <c r="D40" s="1126"/>
      <c r="E40" s="1126"/>
      <c r="F40" s="1126"/>
      <c r="G40" s="1126"/>
      <c r="H40" s="1126"/>
      <c r="I40" s="1126"/>
      <c r="J40" s="1126"/>
      <c r="K40" s="1126"/>
      <c r="L40" s="1126"/>
      <c r="M40" s="1126"/>
      <c r="N40" s="1126"/>
      <c r="O40" s="1126"/>
      <c r="P40" s="1126"/>
      <c r="Q40" s="1126"/>
      <c r="R40" s="1126"/>
      <c r="S40" s="1126"/>
    </row>
    <row r="41" spans="2:19" x14ac:dyDescent="0.45">
      <c r="C41" s="1126"/>
      <c r="D41" s="1126"/>
      <c r="E41" s="1126"/>
      <c r="F41" s="1126"/>
      <c r="G41" s="1126"/>
      <c r="H41" s="1126"/>
      <c r="I41" s="1126"/>
      <c r="J41" s="1126"/>
      <c r="K41" s="1126"/>
      <c r="L41" s="1126"/>
      <c r="M41" s="1126"/>
      <c r="N41" s="1126"/>
      <c r="O41" s="1126"/>
      <c r="P41" s="1126"/>
      <c r="Q41" s="1126"/>
      <c r="R41" s="1126"/>
      <c r="S41" s="1126"/>
    </row>
    <row r="42" spans="2:19" x14ac:dyDescent="0.45">
      <c r="B42" s="1081">
        <f>'2.Contents'!B20</f>
        <v>6</v>
      </c>
      <c r="C42" s="1182" t="str">
        <f>'2.Contents'!C20</f>
        <v>Scenario Summary</v>
      </c>
      <c r="D42" s="1183"/>
      <c r="E42" s="1183"/>
      <c r="F42" s="4"/>
      <c r="G42" s="4"/>
      <c r="H42" s="4"/>
      <c r="I42" s="4"/>
      <c r="J42" s="4"/>
      <c r="K42" s="4"/>
      <c r="L42" s="4"/>
      <c r="M42" s="4"/>
      <c r="N42" s="4"/>
      <c r="O42" s="4"/>
      <c r="P42" s="4"/>
      <c r="Q42" s="4"/>
      <c r="R42" s="4"/>
      <c r="S42" s="4"/>
    </row>
    <row r="43" spans="2:19" x14ac:dyDescent="0.45">
      <c r="C43" s="1334" t="s">
        <v>1489</v>
      </c>
      <c r="D43" s="1334"/>
      <c r="E43" s="1334"/>
      <c r="F43" s="1334"/>
      <c r="G43" s="1334"/>
      <c r="H43" s="1334"/>
      <c r="I43" s="1334"/>
      <c r="J43" s="1334"/>
      <c r="K43" s="1334"/>
      <c r="L43" s="1334"/>
      <c r="M43" s="1334"/>
      <c r="N43" s="1334"/>
      <c r="O43" s="1334"/>
      <c r="P43" s="1334"/>
      <c r="Q43" s="1334"/>
      <c r="R43" s="1334"/>
      <c r="S43" s="1334"/>
    </row>
    <row r="44" spans="2:19" x14ac:dyDescent="0.45">
      <c r="C44" s="1334" t="s">
        <v>1490</v>
      </c>
      <c r="D44" s="1334"/>
      <c r="E44" s="1334"/>
      <c r="F44" s="1334"/>
      <c r="G44" s="1334"/>
      <c r="H44" s="1334"/>
      <c r="I44" s="1334"/>
      <c r="J44" s="1334"/>
      <c r="K44" s="1334"/>
      <c r="L44" s="1334"/>
      <c r="M44" s="1334"/>
      <c r="N44" s="1334"/>
      <c r="O44" s="1334"/>
      <c r="P44" s="1334"/>
      <c r="Q44" s="1334"/>
      <c r="R44" s="1334"/>
      <c r="S44" s="1334"/>
    </row>
    <row r="45" spans="2:19" x14ac:dyDescent="0.45">
      <c r="C45" s="1334" t="s">
        <v>1491</v>
      </c>
      <c r="D45" s="1334"/>
      <c r="E45" s="1334"/>
      <c r="F45" s="1334"/>
      <c r="G45" s="1334"/>
      <c r="H45" s="1334"/>
      <c r="I45" s="1334"/>
      <c r="J45" s="1334"/>
      <c r="K45" s="1334"/>
      <c r="L45" s="1334"/>
      <c r="M45" s="1334"/>
      <c r="N45" s="1334"/>
      <c r="O45" s="1334"/>
      <c r="P45" s="1334"/>
      <c r="Q45" s="1334"/>
      <c r="R45" s="1334"/>
      <c r="S45" s="1334"/>
    </row>
    <row r="46" spans="2:19" x14ac:dyDescent="0.45">
      <c r="C46" s="4"/>
      <c r="D46" s="4"/>
      <c r="E46" s="4"/>
      <c r="F46" s="4"/>
      <c r="G46" s="4"/>
      <c r="H46" s="4"/>
      <c r="I46" s="4"/>
      <c r="J46" s="4"/>
      <c r="K46" s="4"/>
      <c r="L46" s="4"/>
      <c r="M46" s="4"/>
      <c r="N46" s="4"/>
      <c r="O46" s="4"/>
      <c r="P46" s="4"/>
      <c r="Q46" s="4"/>
      <c r="R46" s="4"/>
      <c r="S46" s="4"/>
    </row>
    <row r="47" spans="2:19" x14ac:dyDescent="0.45">
      <c r="B47" s="1081">
        <f>'2.Contents'!B21</f>
        <v>7</v>
      </c>
      <c r="C47" s="1182" t="str">
        <f>'2.Contents'!C21</f>
        <v>Scenarios Detailed</v>
      </c>
      <c r="D47" s="1183"/>
      <c r="E47" s="1183"/>
      <c r="F47" s="4"/>
      <c r="G47" s="4"/>
      <c r="H47" s="4"/>
      <c r="I47" s="4"/>
      <c r="J47" s="4"/>
      <c r="K47" s="4"/>
      <c r="L47" s="4"/>
      <c r="M47" s="4"/>
      <c r="N47" s="4"/>
      <c r="O47" s="4"/>
      <c r="P47" s="4"/>
      <c r="Q47" s="4"/>
      <c r="R47" s="4"/>
      <c r="S47" s="4"/>
    </row>
    <row r="48" spans="2:19" x14ac:dyDescent="0.45">
      <c r="C48" s="1329" t="s">
        <v>1493</v>
      </c>
      <c r="D48" s="1329"/>
      <c r="E48" s="1329"/>
      <c r="F48" s="1329"/>
      <c r="G48" s="1329"/>
      <c r="H48" s="1329"/>
      <c r="I48" s="1329"/>
      <c r="J48" s="1329"/>
      <c r="K48" s="1329"/>
      <c r="L48" s="1329"/>
      <c r="M48" s="1329"/>
      <c r="N48" s="1329"/>
      <c r="O48" s="1329"/>
      <c r="P48" s="1329"/>
      <c r="Q48" s="1329"/>
      <c r="R48" s="1329"/>
      <c r="S48" s="1329"/>
    </row>
    <row r="49" spans="2:23" x14ac:dyDescent="0.45">
      <c r="C49" s="1334" t="s">
        <v>1492</v>
      </c>
      <c r="D49" s="1334"/>
      <c r="E49" s="1334"/>
      <c r="F49" s="1334"/>
      <c r="G49" s="1334"/>
      <c r="H49" s="1334"/>
      <c r="I49" s="1334"/>
      <c r="J49" s="1334"/>
      <c r="K49" s="1334"/>
      <c r="L49" s="1334"/>
      <c r="M49" s="1334"/>
      <c r="N49" s="1334"/>
      <c r="O49" s="1334"/>
      <c r="P49" s="1334"/>
      <c r="Q49" s="1334"/>
      <c r="R49" s="1334"/>
      <c r="S49" s="1334"/>
    </row>
    <row r="50" spans="2:23" x14ac:dyDescent="0.45">
      <c r="C50" s="1329" t="s">
        <v>1495</v>
      </c>
      <c r="D50" s="1329"/>
      <c r="E50" s="1329"/>
      <c r="F50" s="1329"/>
      <c r="G50" s="1329"/>
      <c r="H50" s="1329"/>
      <c r="I50" s="1329"/>
      <c r="J50" s="1329"/>
      <c r="K50" s="1329"/>
      <c r="L50" s="1329"/>
      <c r="M50" s="1329"/>
      <c r="N50" s="1329"/>
      <c r="O50" s="1329"/>
      <c r="P50" s="1329"/>
      <c r="Q50" s="1329"/>
      <c r="R50" s="1329"/>
      <c r="S50" s="1329"/>
    </row>
    <row r="51" spans="2:23" x14ac:dyDescent="0.45">
      <c r="C51" s="1329" t="s">
        <v>1494</v>
      </c>
      <c r="D51" s="1329"/>
      <c r="E51" s="1329"/>
      <c r="F51" s="1329"/>
      <c r="G51" s="1329"/>
      <c r="H51" s="1329"/>
      <c r="I51" s="1329"/>
      <c r="J51" s="1329"/>
      <c r="K51" s="1329"/>
      <c r="L51" s="1329"/>
      <c r="M51" s="1329"/>
      <c r="N51" s="1329"/>
      <c r="O51" s="1329"/>
      <c r="P51" s="1329"/>
      <c r="Q51" s="1329"/>
      <c r="R51" s="1329"/>
      <c r="S51" s="1329"/>
    </row>
    <row r="52" spans="2:23" x14ac:dyDescent="0.45">
      <c r="C52" s="4"/>
      <c r="D52" s="4"/>
      <c r="E52" s="4"/>
      <c r="F52" s="4"/>
      <c r="G52" s="4"/>
      <c r="H52" s="4"/>
      <c r="I52" s="4"/>
      <c r="J52" s="4"/>
      <c r="K52" s="4"/>
      <c r="L52" s="4"/>
      <c r="M52" s="4"/>
      <c r="N52" s="4"/>
      <c r="O52" s="4"/>
      <c r="P52" s="4"/>
      <c r="Q52" s="4"/>
      <c r="R52" s="4"/>
      <c r="S52" s="4"/>
    </row>
    <row r="53" spans="2:23" x14ac:dyDescent="0.45">
      <c r="B53" s="1081">
        <f>'2.Contents'!B22</f>
        <v>8</v>
      </c>
      <c r="C53" s="1182" t="str">
        <f>'2.Contents'!C22</f>
        <v>Forecast Results National</v>
      </c>
      <c r="D53" s="1183"/>
      <c r="E53" s="1183"/>
      <c r="F53" s="1183"/>
      <c r="G53" s="4"/>
      <c r="H53" s="4"/>
      <c r="I53" s="4"/>
      <c r="J53" s="4"/>
      <c r="K53" s="4"/>
      <c r="L53" s="4"/>
      <c r="M53" s="4"/>
      <c r="N53" s="4"/>
      <c r="O53" s="4"/>
      <c r="P53" s="4"/>
      <c r="Q53" s="4"/>
      <c r="R53" s="4"/>
      <c r="S53" s="4"/>
    </row>
    <row r="54" spans="2:23" x14ac:dyDescent="0.45">
      <c r="C54" s="1334" t="s">
        <v>1525</v>
      </c>
      <c r="D54" s="1334"/>
      <c r="E54" s="1334"/>
      <c r="F54" s="1334"/>
      <c r="G54" s="1334"/>
      <c r="H54" s="1334"/>
      <c r="I54" s="1334"/>
      <c r="J54" s="1334"/>
      <c r="K54" s="1334"/>
      <c r="L54" s="1334"/>
      <c r="M54" s="1334"/>
      <c r="N54" s="1334"/>
      <c r="O54" s="1334"/>
      <c r="P54" s="1334"/>
      <c r="Q54" s="1334"/>
      <c r="R54" s="1334"/>
      <c r="S54" s="1334"/>
      <c r="V54" s="928"/>
      <c r="W54" s="928"/>
    </row>
    <row r="55" spans="2:23" x14ac:dyDescent="0.45">
      <c r="C55" s="1334" t="s">
        <v>1526</v>
      </c>
      <c r="D55" s="1334"/>
      <c r="E55" s="1334"/>
      <c r="F55" s="1334"/>
      <c r="G55" s="1334"/>
      <c r="H55" s="1334"/>
      <c r="I55" s="1334"/>
      <c r="J55" s="1334"/>
      <c r="K55" s="1334"/>
      <c r="L55" s="1334"/>
      <c r="M55" s="1334"/>
      <c r="N55" s="1334"/>
      <c r="O55" s="1334"/>
      <c r="P55" s="1334"/>
      <c r="Q55" s="1334"/>
      <c r="R55" s="1334"/>
      <c r="S55" s="1334"/>
      <c r="V55" s="928"/>
      <c r="W55" s="928"/>
    </row>
    <row r="56" spans="2:23" x14ac:dyDescent="0.45">
      <c r="C56" s="1334"/>
      <c r="D56" s="1334"/>
      <c r="E56" s="1334"/>
      <c r="F56" s="1334"/>
      <c r="G56" s="1334"/>
      <c r="H56" s="1334"/>
      <c r="I56" s="1334"/>
      <c r="J56" s="1334"/>
      <c r="K56" s="1334"/>
      <c r="L56" s="1334"/>
      <c r="M56" s="1334"/>
      <c r="N56" s="1334"/>
      <c r="O56" s="1334"/>
      <c r="P56" s="1334"/>
      <c r="Q56" s="1334"/>
      <c r="R56" s="1334"/>
      <c r="S56" s="1334"/>
      <c r="V56" s="928"/>
      <c r="W56" s="928"/>
    </row>
    <row r="57" spans="2:23" x14ac:dyDescent="0.45">
      <c r="B57" s="1081">
        <f>'2.Contents'!B23</f>
        <v>9</v>
      </c>
      <c r="C57" s="1184" t="str">
        <f>'2.Contents'!C23</f>
        <v>Forecast Results</v>
      </c>
      <c r="D57" s="1185"/>
      <c r="E57" s="1185"/>
      <c r="F57" s="934" t="s">
        <v>1676</v>
      </c>
      <c r="G57" s="928"/>
      <c r="H57" s="928"/>
      <c r="I57" s="928"/>
      <c r="J57" s="928"/>
      <c r="K57" s="928"/>
      <c r="L57" s="928"/>
      <c r="M57" s="928"/>
      <c r="N57" s="928"/>
      <c r="O57" s="928"/>
      <c r="P57" s="928"/>
      <c r="Q57" s="928"/>
      <c r="R57" s="928"/>
      <c r="S57" s="928"/>
      <c r="V57" s="928"/>
      <c r="W57" s="928"/>
    </row>
    <row r="58" spans="2:23" x14ac:dyDescent="0.45">
      <c r="C58" s="1334" t="s">
        <v>1678</v>
      </c>
      <c r="D58" s="1334"/>
      <c r="E58" s="1334"/>
      <c r="F58" s="1334"/>
      <c r="G58" s="1334"/>
      <c r="H58" s="1334"/>
      <c r="I58" s="1334"/>
      <c r="J58" s="1334"/>
      <c r="K58" s="1334"/>
      <c r="L58" s="1334"/>
      <c r="M58" s="1334"/>
      <c r="N58" s="1334"/>
      <c r="O58" s="1334"/>
      <c r="P58" s="1334"/>
      <c r="Q58" s="1334"/>
      <c r="R58" s="1334"/>
      <c r="S58" s="1334"/>
      <c r="V58" s="928"/>
      <c r="W58" s="928"/>
    </row>
    <row r="59" spans="2:23" x14ac:dyDescent="0.45">
      <c r="C59" s="1334" t="s">
        <v>1527</v>
      </c>
      <c r="D59" s="1334"/>
      <c r="E59" s="1334"/>
      <c r="F59" s="1334"/>
      <c r="G59" s="1334"/>
      <c r="H59" s="1334"/>
      <c r="I59" s="1334"/>
      <c r="J59" s="1334"/>
      <c r="K59" s="1334"/>
      <c r="L59" s="1334"/>
      <c r="M59" s="1334"/>
      <c r="N59" s="1334"/>
      <c r="O59" s="1334"/>
      <c r="P59" s="1334"/>
      <c r="Q59" s="1334"/>
      <c r="R59" s="1334"/>
      <c r="S59" s="1334"/>
      <c r="V59" s="928"/>
      <c r="W59" s="928"/>
    </row>
    <row r="60" spans="2:23" x14ac:dyDescent="0.45">
      <c r="C60" s="1122" t="s">
        <v>1679</v>
      </c>
      <c r="D60" s="1122"/>
      <c r="E60" s="1122"/>
      <c r="F60" s="1122"/>
      <c r="G60" s="1122"/>
      <c r="H60" s="1122"/>
      <c r="I60" s="1122"/>
      <c r="J60" s="1122"/>
      <c r="K60" s="1122"/>
      <c r="L60" s="1122"/>
      <c r="M60" s="1122"/>
      <c r="N60" s="1122"/>
      <c r="O60" s="1122"/>
      <c r="P60" s="1122"/>
      <c r="Q60" s="1122"/>
      <c r="R60" s="1122"/>
      <c r="S60" s="1122"/>
      <c r="V60" s="928"/>
      <c r="W60" s="928"/>
    </row>
    <row r="61" spans="2:23" ht="15.75" customHeight="1" x14ac:dyDescent="0.45">
      <c r="C61" s="1334" t="s">
        <v>1677</v>
      </c>
      <c r="D61" s="1334"/>
      <c r="E61" s="1334"/>
      <c r="F61" s="1334"/>
      <c r="G61" s="1334"/>
      <c r="H61" s="1334"/>
      <c r="I61" s="1334"/>
      <c r="J61" s="1334"/>
      <c r="K61" s="1334"/>
      <c r="L61" s="1334"/>
      <c r="M61" s="1334"/>
      <c r="N61" s="1334"/>
      <c r="O61" s="1334"/>
      <c r="P61" s="1334"/>
      <c r="Q61" s="1334"/>
      <c r="R61" s="1334"/>
      <c r="S61" s="1334"/>
      <c r="V61" s="928"/>
      <c r="W61" s="928"/>
    </row>
    <row r="62" spans="2:23" x14ac:dyDescent="0.45">
      <c r="C62" s="935"/>
      <c r="D62" s="935"/>
      <c r="E62" s="935"/>
      <c r="F62" s="935"/>
      <c r="G62" s="935"/>
      <c r="H62" s="935"/>
      <c r="I62" s="935"/>
      <c r="J62" s="935"/>
      <c r="K62" s="935"/>
      <c r="L62" s="935"/>
      <c r="M62" s="935"/>
      <c r="N62" s="935"/>
      <c r="O62" s="935"/>
      <c r="P62" s="935"/>
      <c r="Q62" s="935"/>
      <c r="R62" s="935"/>
      <c r="S62" s="935"/>
      <c r="V62" s="928"/>
      <c r="W62" s="928"/>
    </row>
    <row r="63" spans="2:23" x14ac:dyDescent="0.45">
      <c r="B63" s="1186">
        <f>'2.Contents'!B54</f>
        <v>10</v>
      </c>
      <c r="C63" s="1187" t="str">
        <f>'2.Contents'!C54</f>
        <v>Inputs &amp; Calculations</v>
      </c>
      <c r="D63" s="1188"/>
      <c r="E63" s="1188"/>
      <c r="F63" s="1188"/>
      <c r="G63" s="928"/>
      <c r="H63" s="928"/>
      <c r="I63" s="928"/>
      <c r="J63" s="928"/>
      <c r="K63" s="928"/>
      <c r="L63" s="928"/>
      <c r="M63" s="928"/>
      <c r="N63" s="928"/>
      <c r="O63" s="928"/>
      <c r="P63" s="928"/>
      <c r="Q63" s="928"/>
      <c r="R63" s="928"/>
      <c r="S63" s="928"/>
      <c r="V63" s="928"/>
      <c r="W63" s="928"/>
    </row>
    <row r="64" spans="2:23" x14ac:dyDescent="0.45">
      <c r="C64" s="1334" t="s">
        <v>1529</v>
      </c>
      <c r="D64" s="1334"/>
      <c r="E64" s="1334"/>
      <c r="F64" s="1334"/>
      <c r="G64" s="1334"/>
      <c r="H64" s="1334"/>
      <c r="I64" s="1334"/>
      <c r="J64" s="1334"/>
      <c r="K64" s="1334"/>
      <c r="L64" s="1334"/>
      <c r="M64" s="1334"/>
      <c r="N64" s="1334"/>
      <c r="O64" s="1334"/>
      <c r="P64" s="1334"/>
      <c r="Q64" s="1334"/>
      <c r="R64" s="1334"/>
      <c r="S64" s="1334"/>
      <c r="V64" s="928"/>
      <c r="W64" s="928"/>
    </row>
    <row r="65" spans="2:23" x14ac:dyDescent="0.45">
      <c r="C65" s="1334" t="s">
        <v>1528</v>
      </c>
      <c r="D65" s="1334"/>
      <c r="E65" s="1334"/>
      <c r="F65" s="1334"/>
      <c r="G65" s="1334"/>
      <c r="H65" s="1334"/>
      <c r="I65" s="1334"/>
      <c r="J65" s="1334"/>
      <c r="K65" s="1334"/>
      <c r="L65" s="1334"/>
      <c r="M65" s="1334"/>
      <c r="N65" s="1334"/>
      <c r="O65" s="1334"/>
      <c r="P65" s="1334"/>
      <c r="Q65" s="1334"/>
      <c r="R65" s="1334"/>
      <c r="S65" s="1334"/>
      <c r="V65" s="928"/>
      <c r="W65" s="928"/>
    </row>
    <row r="66" spans="2:23" x14ac:dyDescent="0.45">
      <c r="C66" s="1334"/>
      <c r="D66" s="1334"/>
      <c r="E66" s="1334"/>
      <c r="F66" s="1334"/>
      <c r="G66" s="1334"/>
      <c r="H66" s="1334"/>
      <c r="I66" s="1334"/>
      <c r="J66" s="1334"/>
      <c r="K66" s="1334"/>
      <c r="L66" s="1334"/>
      <c r="M66" s="1334"/>
      <c r="N66" s="1334"/>
      <c r="O66" s="1334"/>
      <c r="P66" s="1334"/>
      <c r="Q66" s="1334"/>
      <c r="R66" s="1334"/>
      <c r="S66" s="1334"/>
      <c r="V66" s="928"/>
      <c r="W66" s="928"/>
    </row>
    <row r="67" spans="2:23" x14ac:dyDescent="0.45">
      <c r="B67" s="1189">
        <f>'2.Contents'!B56</f>
        <v>12</v>
      </c>
      <c r="C67" s="1191" t="str">
        <f>'2.Contents'!C55</f>
        <v>Table - Expenditure Review</v>
      </c>
      <c r="D67" s="1190"/>
      <c r="E67" s="1190"/>
      <c r="F67" s="1190"/>
      <c r="G67" s="928"/>
      <c r="H67" s="928"/>
      <c r="I67" s="928"/>
      <c r="J67" s="928"/>
      <c r="K67" s="928"/>
      <c r="L67" s="928"/>
      <c r="M67" s="928"/>
      <c r="N67" s="928"/>
      <c r="O67" s="928"/>
      <c r="P67" s="928"/>
      <c r="Q67" s="928"/>
      <c r="R67" s="928"/>
      <c r="S67" s="928"/>
      <c r="V67" s="928"/>
      <c r="W67" s="928"/>
    </row>
    <row r="68" spans="2:23" x14ac:dyDescent="0.45">
      <c r="C68" s="1334" t="s">
        <v>1532</v>
      </c>
      <c r="D68" s="1334"/>
      <c r="E68" s="1334"/>
      <c r="F68" s="1334"/>
      <c r="G68" s="1334"/>
      <c r="H68" s="1334"/>
      <c r="I68" s="1334"/>
      <c r="J68" s="1334"/>
      <c r="K68" s="1334"/>
      <c r="L68" s="1334"/>
      <c r="M68" s="1334"/>
      <c r="N68" s="1334"/>
      <c r="O68" s="1334"/>
      <c r="P68" s="1334"/>
      <c r="Q68" s="1334"/>
      <c r="R68" s="1334"/>
      <c r="S68" s="1334"/>
      <c r="V68" s="928"/>
      <c r="W68" s="928"/>
    </row>
    <row r="69" spans="2:23" x14ac:dyDescent="0.45">
      <c r="C69" s="1334" t="s">
        <v>1530</v>
      </c>
      <c r="D69" s="1334"/>
      <c r="E69" s="1334"/>
      <c r="F69" s="1334"/>
      <c r="G69" s="1334"/>
      <c r="H69" s="1334"/>
      <c r="I69" s="1334"/>
      <c r="J69" s="1334"/>
      <c r="K69" s="1334"/>
      <c r="L69" s="1334"/>
      <c r="M69" s="1334"/>
      <c r="N69" s="1334"/>
      <c r="O69" s="1334"/>
      <c r="P69" s="1334"/>
      <c r="Q69" s="1334"/>
      <c r="R69" s="1334"/>
      <c r="S69" s="1334"/>
      <c r="V69" s="928"/>
      <c r="W69" s="928"/>
    </row>
    <row r="70" spans="2:23" x14ac:dyDescent="0.45">
      <c r="C70" s="928"/>
      <c r="D70" s="928"/>
      <c r="E70" s="928"/>
      <c r="F70" s="928"/>
      <c r="G70" s="928"/>
      <c r="H70" s="928"/>
      <c r="I70" s="928"/>
      <c r="J70" s="928"/>
      <c r="K70" s="928"/>
      <c r="L70" s="928"/>
      <c r="M70" s="928"/>
      <c r="N70" s="928"/>
      <c r="O70" s="928"/>
      <c r="P70" s="928"/>
      <c r="Q70" s="928"/>
      <c r="R70" s="928"/>
      <c r="S70" s="928"/>
      <c r="V70" s="928"/>
      <c r="W70" s="928"/>
    </row>
    <row r="71" spans="2:23" x14ac:dyDescent="0.45">
      <c r="B71" s="1189">
        <f>'2.Contents'!B56</f>
        <v>12</v>
      </c>
      <c r="C71" s="1191" t="str">
        <f>'2.Contents'!C56</f>
        <v>Inputs - Properties &amp; Debtors</v>
      </c>
      <c r="D71" s="1190"/>
      <c r="E71" s="1190"/>
      <c r="F71" s="1190"/>
      <c r="G71" s="928"/>
      <c r="H71" s="928"/>
      <c r="I71" s="928"/>
      <c r="J71" s="928"/>
      <c r="K71" s="928"/>
      <c r="L71" s="928"/>
      <c r="M71" s="928"/>
      <c r="N71" s="928"/>
      <c r="O71" s="928"/>
      <c r="P71" s="928"/>
      <c r="Q71" s="928"/>
      <c r="R71" s="928"/>
      <c r="S71" s="928"/>
      <c r="V71" s="928"/>
      <c r="W71" s="928"/>
    </row>
    <row r="72" spans="2:23" x14ac:dyDescent="0.45">
      <c r="C72" s="1334" t="s">
        <v>1531</v>
      </c>
      <c r="D72" s="1334"/>
      <c r="E72" s="1334"/>
      <c r="F72" s="1334"/>
      <c r="G72" s="1334"/>
      <c r="H72" s="1334"/>
      <c r="I72" s="1334"/>
      <c r="J72" s="1334"/>
      <c r="K72" s="1334"/>
      <c r="L72" s="1334"/>
      <c r="M72" s="1334"/>
      <c r="N72" s="1334"/>
      <c r="O72" s="1334"/>
      <c r="P72" s="1334"/>
      <c r="Q72" s="1334"/>
      <c r="R72" s="1334"/>
      <c r="S72" s="1334"/>
      <c r="V72" s="928"/>
      <c r="W72" s="928"/>
    </row>
    <row r="73" spans="2:23" x14ac:dyDescent="0.45">
      <c r="C73" s="1334" t="s">
        <v>1530</v>
      </c>
      <c r="D73" s="1334"/>
      <c r="E73" s="1334"/>
      <c r="F73" s="1334"/>
      <c r="G73" s="1334"/>
      <c r="H73" s="1334"/>
      <c r="I73" s="1334"/>
      <c r="J73" s="1334"/>
      <c r="K73" s="1334"/>
      <c r="L73" s="1334"/>
      <c r="M73" s="1334"/>
      <c r="N73" s="1334"/>
      <c r="O73" s="1334"/>
      <c r="P73" s="1334"/>
      <c r="Q73" s="1334"/>
      <c r="R73" s="1334"/>
      <c r="S73" s="1334"/>
      <c r="V73" s="928"/>
      <c r="W73" s="928"/>
    </row>
    <row r="74" spans="2:23" x14ac:dyDescent="0.45">
      <c r="C74" s="928"/>
      <c r="D74" s="928"/>
      <c r="E74" s="928"/>
      <c r="F74" s="928"/>
      <c r="G74" s="928"/>
      <c r="H74" s="928"/>
      <c r="I74" s="928"/>
      <c r="J74" s="928"/>
      <c r="K74" s="928"/>
      <c r="L74" s="928"/>
      <c r="M74" s="928"/>
      <c r="N74" s="928"/>
      <c r="O74" s="928"/>
      <c r="P74" s="928"/>
      <c r="Q74" s="928"/>
      <c r="R74" s="928"/>
      <c r="S74" s="928"/>
      <c r="V74" s="928"/>
      <c r="W74" s="928"/>
    </row>
    <row r="75" spans="2:23" x14ac:dyDescent="0.45">
      <c r="B75" s="794">
        <f>'2.Contents'!B57</f>
        <v>13</v>
      </c>
      <c r="C75" s="1192" t="str">
        <f>'2.Contents'!C57</f>
        <v>Logframe</v>
      </c>
      <c r="D75" s="1193"/>
      <c r="E75" s="928"/>
      <c r="F75" s="928"/>
      <c r="G75" s="928"/>
      <c r="H75" s="928"/>
      <c r="I75" s="928"/>
      <c r="J75" s="928"/>
      <c r="K75" s="928"/>
      <c r="L75" s="928"/>
      <c r="M75" s="928"/>
      <c r="N75" s="928"/>
      <c r="O75" s="928"/>
      <c r="P75" s="928"/>
      <c r="Q75" s="928"/>
      <c r="R75" s="928"/>
      <c r="S75" s="928"/>
      <c r="V75" s="928"/>
      <c r="W75" s="928"/>
    </row>
    <row r="76" spans="2:23" x14ac:dyDescent="0.45">
      <c r="C76" s="1334" t="s">
        <v>1533</v>
      </c>
      <c r="D76" s="1334"/>
      <c r="E76" s="1334"/>
      <c r="F76" s="1334"/>
      <c r="G76" s="1334"/>
      <c r="H76" s="1334"/>
      <c r="I76" s="1334"/>
      <c r="J76" s="1334"/>
      <c r="K76" s="1334"/>
      <c r="L76" s="1334"/>
      <c r="M76" s="1334"/>
      <c r="N76" s="1334"/>
      <c r="O76" s="1334"/>
      <c r="P76" s="1334"/>
      <c r="Q76" s="1334"/>
      <c r="R76" s="1334"/>
      <c r="S76" s="1334"/>
      <c r="V76" s="928"/>
      <c r="W76" s="928"/>
    </row>
    <row r="77" spans="2:23" x14ac:dyDescent="0.45">
      <c r="C77" s="928"/>
      <c r="D77" s="928"/>
      <c r="E77" s="928"/>
      <c r="F77" s="928"/>
      <c r="G77" s="928"/>
      <c r="H77" s="928"/>
      <c r="I77" s="928"/>
      <c r="J77" s="928"/>
      <c r="K77" s="928"/>
      <c r="L77" s="928"/>
      <c r="M77" s="928"/>
      <c r="N77" s="928"/>
      <c r="O77" s="928"/>
      <c r="P77" s="928"/>
      <c r="Q77" s="928"/>
      <c r="R77" s="928"/>
      <c r="S77" s="928"/>
      <c r="V77" s="928"/>
      <c r="W77" s="928"/>
    </row>
    <row r="78" spans="2:23" x14ac:dyDescent="0.45">
      <c r="B78" s="1189">
        <f>'2.Contents'!B58</f>
        <v>14</v>
      </c>
      <c r="C78" s="1191" t="str">
        <f>'2.Contents'!C58</f>
        <v>Permanent Info</v>
      </c>
      <c r="D78" s="1190"/>
      <c r="E78" s="1190"/>
      <c r="F78" s="928"/>
      <c r="G78" s="928"/>
      <c r="H78" s="928"/>
      <c r="I78" s="928"/>
      <c r="J78" s="928"/>
      <c r="K78" s="928"/>
      <c r="L78" s="928"/>
      <c r="M78" s="928"/>
      <c r="N78" s="928"/>
      <c r="O78" s="928"/>
      <c r="P78" s="928"/>
      <c r="Q78" s="928"/>
      <c r="R78" s="928"/>
      <c r="S78" s="928"/>
      <c r="V78" s="928"/>
      <c r="W78" s="928"/>
    </row>
    <row r="79" spans="2:23" x14ac:dyDescent="0.45">
      <c r="C79" s="1334" t="s">
        <v>1695</v>
      </c>
      <c r="D79" s="1334"/>
      <c r="E79" s="1334"/>
      <c r="F79" s="1334"/>
      <c r="G79" s="1334"/>
      <c r="H79" s="1334"/>
      <c r="I79" s="1334"/>
      <c r="J79" s="1334"/>
      <c r="K79" s="1334"/>
      <c r="L79" s="1334"/>
      <c r="M79" s="1334"/>
      <c r="N79" s="1334"/>
      <c r="O79" s="1334"/>
      <c r="P79" s="1334"/>
      <c r="Q79" s="1334"/>
      <c r="R79" s="1334"/>
      <c r="S79" s="1334"/>
      <c r="V79" s="928"/>
      <c r="W79" s="928"/>
    </row>
    <row r="80" spans="2:23" x14ac:dyDescent="0.45">
      <c r="C80" s="928"/>
      <c r="D80" s="928"/>
      <c r="E80" s="928"/>
      <c r="F80" s="928"/>
      <c r="G80" s="928"/>
      <c r="H80" s="928"/>
      <c r="I80" s="928"/>
      <c r="J80" s="928"/>
      <c r="K80" s="928"/>
      <c r="L80" s="928"/>
      <c r="M80" s="928"/>
      <c r="N80" s="928"/>
      <c r="O80" s="928"/>
      <c r="P80" s="928"/>
      <c r="Q80" s="928"/>
      <c r="R80" s="928"/>
      <c r="S80" s="928"/>
      <c r="T80" s="928"/>
      <c r="U80" s="928"/>
      <c r="V80" s="928"/>
      <c r="W80" s="928"/>
    </row>
    <row r="81" spans="3:20" x14ac:dyDescent="0.45">
      <c r="C81" s="451" t="s">
        <v>1477</v>
      </c>
    </row>
    <row r="82" spans="3:20" ht="14.25" customHeight="1" x14ac:dyDescent="0.45">
      <c r="C82" s="1325" t="s">
        <v>1696</v>
      </c>
      <c r="D82" s="1326"/>
      <c r="E82" s="1326"/>
      <c r="F82" s="1326"/>
      <c r="G82" s="1326"/>
      <c r="H82" s="1326"/>
      <c r="I82" s="1326"/>
      <c r="J82" s="1326"/>
      <c r="K82" s="1326"/>
      <c r="L82" s="1326"/>
      <c r="M82" s="1326"/>
      <c r="N82" s="1326"/>
      <c r="O82" s="1326"/>
      <c r="P82" s="1326"/>
      <c r="Q82" s="1326"/>
      <c r="R82" s="1326"/>
      <c r="S82" s="1326"/>
      <c r="T82" s="1327"/>
    </row>
    <row r="83" spans="3:20" ht="15" customHeight="1" x14ac:dyDescent="0.45">
      <c r="C83" s="1328" t="s">
        <v>1486</v>
      </c>
      <c r="D83" s="1329"/>
      <c r="E83" s="1329"/>
      <c r="F83" s="1329"/>
      <c r="G83" s="1329"/>
      <c r="H83" s="1329"/>
      <c r="I83" s="1329"/>
      <c r="J83" s="1329"/>
      <c r="K83" s="1329"/>
      <c r="L83" s="1329"/>
      <c r="M83" s="1329"/>
      <c r="N83" s="1329"/>
      <c r="O83" s="1329"/>
      <c r="P83" s="1329"/>
      <c r="Q83" s="1329"/>
      <c r="R83" s="1329"/>
      <c r="S83" s="1329"/>
      <c r="T83" s="1330"/>
    </row>
    <row r="84" spans="3:20" ht="15" customHeight="1" x14ac:dyDescent="0.45">
      <c r="C84" s="1331" t="s">
        <v>1487</v>
      </c>
      <c r="D84" s="1332"/>
      <c r="E84" s="1332"/>
      <c r="F84" s="1332"/>
      <c r="G84" s="1332"/>
      <c r="H84" s="1332"/>
      <c r="I84" s="1332"/>
      <c r="J84" s="1332"/>
      <c r="K84" s="1332"/>
      <c r="L84" s="1332"/>
      <c r="M84" s="1332"/>
      <c r="N84" s="1332"/>
      <c r="O84" s="1332"/>
      <c r="P84" s="1332"/>
      <c r="Q84" s="1332"/>
      <c r="R84" s="1332"/>
      <c r="S84" s="1332"/>
      <c r="T84" s="1333"/>
    </row>
    <row r="85" spans="3:20" x14ac:dyDescent="0.45">
      <c r="C85" s="928"/>
      <c r="D85" s="928"/>
      <c r="E85" s="928"/>
      <c r="F85" s="928"/>
      <c r="G85" s="928"/>
      <c r="H85" s="928"/>
      <c r="I85" s="928"/>
      <c r="J85" s="928"/>
      <c r="K85" s="928"/>
      <c r="L85" s="928"/>
      <c r="M85" s="928"/>
      <c r="N85" s="928"/>
      <c r="O85" s="928"/>
      <c r="P85" s="928"/>
      <c r="Q85" s="928"/>
      <c r="R85" s="928"/>
      <c r="S85" s="928"/>
    </row>
    <row r="86" spans="3:20" x14ac:dyDescent="0.45">
      <c r="C86" s="928"/>
      <c r="D86" s="928"/>
      <c r="E86" s="928"/>
      <c r="F86" s="928"/>
      <c r="G86" s="928"/>
      <c r="H86" s="928"/>
      <c r="I86" s="928"/>
      <c r="J86" s="928"/>
      <c r="K86" s="928"/>
      <c r="L86" s="928"/>
      <c r="M86" s="928"/>
      <c r="N86" s="928"/>
      <c r="O86" s="928"/>
      <c r="P86" s="928"/>
      <c r="Q86" s="928"/>
      <c r="R86" s="928"/>
      <c r="S86" s="928"/>
    </row>
  </sheetData>
  <sheetProtection formatCells="0" formatColumns="0" formatRows="0"/>
  <mergeCells count="34">
    <mergeCell ref="C73:S73"/>
    <mergeCell ref="C72:S72"/>
    <mergeCell ref="C56:S56"/>
    <mergeCell ref="C65:S65"/>
    <mergeCell ref="C68:S68"/>
    <mergeCell ref="C69:S69"/>
    <mergeCell ref="C61:S61"/>
    <mergeCell ref="C64:S64"/>
    <mergeCell ref="C58:S58"/>
    <mergeCell ref="C59:S59"/>
    <mergeCell ref="C66:S66"/>
    <mergeCell ref="C24:S24"/>
    <mergeCell ref="C27:S27"/>
    <mergeCell ref="C28:S28"/>
    <mergeCell ref="C31:S31"/>
    <mergeCell ref="C32:S32"/>
    <mergeCell ref="C34:S34"/>
    <mergeCell ref="C35:S35"/>
    <mergeCell ref="C55:S55"/>
    <mergeCell ref="C50:S50"/>
    <mergeCell ref="C51:S51"/>
    <mergeCell ref="C45:S45"/>
    <mergeCell ref="C43:S43"/>
    <mergeCell ref="C44:S44"/>
    <mergeCell ref="C48:S48"/>
    <mergeCell ref="C49:S49"/>
    <mergeCell ref="C54:S54"/>
    <mergeCell ref="C37:S37"/>
    <mergeCell ref="C38:S38"/>
    <mergeCell ref="C82:T82"/>
    <mergeCell ref="C83:T83"/>
    <mergeCell ref="C84:T84"/>
    <mergeCell ref="C76:S76"/>
    <mergeCell ref="C79:S79"/>
  </mergeCells>
  <pageMargins left="0.59055118110236227" right="0.70866141732283472" top="0.43307086614173229" bottom="0.31496062992125984" header="0.31496062992125984" footer="0.11811023622047245"/>
  <pageSetup paperSize="9" scale="58" fitToHeight="2" orientation="landscape" r:id="rId1"/>
  <headerFooter>
    <oddFooter>&amp;R&amp;F &amp;A &amp;D Page &amp;P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93934-398C-42F5-84FD-6C91EA1B1705}">
  <sheetPr codeName="Sheet17">
    <tabColor theme="5" tint="0.39997558519241921"/>
  </sheetPr>
  <dimension ref="A2:AF907"/>
  <sheetViews>
    <sheetView showGridLines="0" view="pageBreakPreview" zoomScale="75" zoomScaleNormal="100" zoomScaleSheetLayoutView="75" workbookViewId="0">
      <selection activeCell="D10" sqref="D10"/>
    </sheetView>
  </sheetViews>
  <sheetFormatPr defaultColWidth="9.19921875" defaultRowHeight="14.25" outlineLevelRow="2" x14ac:dyDescent="0.45"/>
  <cols>
    <col min="1" max="1" width="4.46484375" style="583" customWidth="1"/>
    <col min="2" max="2" width="7.53125" style="583" customWidth="1"/>
    <col min="3" max="3" width="6.53125" style="451" customWidth="1"/>
    <col min="4" max="4" width="81.46484375" style="583" customWidth="1"/>
    <col min="5" max="5" width="21.796875" style="583" customWidth="1"/>
    <col min="6" max="6" width="19" style="583" bestFit="1" customWidth="1"/>
    <col min="7" max="7" width="19.46484375" style="583" bestFit="1" customWidth="1"/>
    <col min="8" max="8" width="19.796875" style="583" bestFit="1" customWidth="1"/>
    <col min="9" max="9" width="22.53125" style="583" customWidth="1"/>
    <col min="10" max="10" width="20.796875" style="583" customWidth="1"/>
    <col min="11" max="12" width="20.46484375" style="583" bestFit="1" customWidth="1"/>
    <col min="13" max="13" width="19.796875" style="583" bestFit="1" customWidth="1"/>
    <col min="14" max="16" width="20.46484375" style="583" bestFit="1" customWidth="1"/>
    <col min="17" max="20" width="19.796875" style="583" bestFit="1" customWidth="1"/>
    <col min="21" max="21" width="20.46484375" style="583" bestFit="1" customWidth="1"/>
    <col min="22" max="22" width="19" style="583" bestFit="1" customWidth="1"/>
    <col min="23" max="23" width="19.796875" style="583" bestFit="1" customWidth="1"/>
    <col min="24" max="26" width="20.46484375" style="583" bestFit="1" customWidth="1"/>
    <col min="27" max="27" width="19.46484375" style="583" bestFit="1" customWidth="1"/>
    <col min="28" max="28" width="19.796875" style="583" bestFit="1" customWidth="1"/>
    <col min="29" max="29" width="16.796875" style="583" bestFit="1" customWidth="1"/>
    <col min="30" max="30" width="21.53125" style="583" bestFit="1" customWidth="1"/>
    <col min="31" max="31" width="16.53125" style="583" customWidth="1"/>
    <col min="32" max="32" width="13.796875" style="583" bestFit="1" customWidth="1"/>
    <col min="33" max="16384" width="9.19921875" style="583"/>
  </cols>
  <sheetData>
    <row r="2" spans="2:30" ht="21" x14ac:dyDescent="0.65">
      <c r="D2" s="584" t="str">
        <f>'1.Cover'!$C$2</f>
        <v xml:space="preserve">Performance and Expenditure Review of Provincial Government Housing Rental Stock </v>
      </c>
    </row>
    <row r="3" spans="2:30" ht="21" x14ac:dyDescent="0.65">
      <c r="D3" s="60" t="s">
        <v>1036</v>
      </c>
    </row>
    <row r="4" spans="2:30" ht="21" x14ac:dyDescent="0.65">
      <c r="D4" s="584"/>
      <c r="F4" s="586">
        <v>-3</v>
      </c>
      <c r="G4" s="586">
        <v>-2</v>
      </c>
      <c r="H4" s="586">
        <v>-1</v>
      </c>
      <c r="I4" s="587">
        <v>0</v>
      </c>
      <c r="J4" s="587">
        <v>1</v>
      </c>
      <c r="K4" s="588">
        <v>2</v>
      </c>
      <c r="L4" s="587">
        <v>3</v>
      </c>
      <c r="M4" s="588">
        <v>4</v>
      </c>
      <c r="N4" s="587">
        <v>5</v>
      </c>
      <c r="O4" s="588">
        <v>6</v>
      </c>
      <c r="P4" s="587">
        <v>7</v>
      </c>
      <c r="Q4" s="588">
        <v>8</v>
      </c>
      <c r="R4" s="529">
        <v>9</v>
      </c>
      <c r="S4" s="530">
        <v>10</v>
      </c>
      <c r="T4" s="529">
        <v>11</v>
      </c>
      <c r="U4" s="529">
        <v>12</v>
      </c>
      <c r="V4" s="530">
        <v>13</v>
      </c>
      <c r="W4" s="529">
        <v>14</v>
      </c>
      <c r="X4" s="529">
        <v>15</v>
      </c>
      <c r="Y4" s="530">
        <v>16</v>
      </c>
      <c r="Z4" s="529">
        <v>17</v>
      </c>
      <c r="AA4" s="529">
        <v>18</v>
      </c>
      <c r="AB4" s="530">
        <v>19</v>
      </c>
      <c r="AC4" s="529">
        <v>20</v>
      </c>
      <c r="AD4" s="536" t="s">
        <v>1420</v>
      </c>
    </row>
    <row r="5" spans="2:30" x14ac:dyDescent="0.45">
      <c r="D5" s="1102" t="s">
        <v>1325</v>
      </c>
      <c r="E5" s="536" t="s">
        <v>1420</v>
      </c>
      <c r="F5" s="806" t="s">
        <v>102</v>
      </c>
      <c r="G5" s="806" t="s">
        <v>103</v>
      </c>
      <c r="H5" s="806" t="s">
        <v>104</v>
      </c>
      <c r="I5" s="807" t="s">
        <v>1345</v>
      </c>
      <c r="J5" s="808" t="s">
        <v>1346</v>
      </c>
      <c r="K5" s="807" t="s">
        <v>1347</v>
      </c>
      <c r="L5" s="808" t="s">
        <v>1348</v>
      </c>
      <c r="M5" s="807" t="s">
        <v>1349</v>
      </c>
      <c r="N5" s="808" t="s">
        <v>1350</v>
      </c>
      <c r="O5" s="807" t="s">
        <v>1351</v>
      </c>
      <c r="P5" s="808" t="s">
        <v>1352</v>
      </c>
      <c r="Q5" s="807" t="s">
        <v>1353</v>
      </c>
      <c r="R5" s="578" t="s">
        <v>1354</v>
      </c>
      <c r="S5" s="536" t="s">
        <v>1355</v>
      </c>
      <c r="T5" s="536" t="s">
        <v>1410</v>
      </c>
      <c r="U5" s="536" t="s">
        <v>1411</v>
      </c>
      <c r="V5" s="536" t="s">
        <v>1412</v>
      </c>
      <c r="W5" s="536" t="s">
        <v>1413</v>
      </c>
      <c r="X5" s="536" t="s">
        <v>1414</v>
      </c>
      <c r="Y5" s="536" t="s">
        <v>1415</v>
      </c>
      <c r="Z5" s="536" t="s">
        <v>1416</v>
      </c>
      <c r="AA5" s="536" t="s">
        <v>1417</v>
      </c>
      <c r="AB5" s="536" t="s">
        <v>1418</v>
      </c>
      <c r="AC5" s="809" t="s">
        <v>1419</v>
      </c>
    </row>
    <row r="6" spans="2:30" x14ac:dyDescent="0.45">
      <c r="D6" s="1102" t="s">
        <v>1323</v>
      </c>
      <c r="E6" s="783">
        <f>'9. Forecast Results'!E6</f>
        <v>-17026220</v>
      </c>
      <c r="F6" s="781">
        <f>'9. Forecast Results'!N6</f>
        <v>-5576064</v>
      </c>
      <c r="G6" s="781">
        <f>'9. Forecast Results'!O6</f>
        <v>-1243913</v>
      </c>
      <c r="H6" s="781">
        <f>'9. Forecast Results'!P6</f>
        <v>-313420</v>
      </c>
      <c r="I6" s="783">
        <f>'9. Forecast Results'!Q6</f>
        <v>-210409.8845669291</v>
      </c>
      <c r="J6" s="783">
        <f>'9. Forecast Results'!R6</f>
        <v>-210409.8845669291</v>
      </c>
      <c r="K6" s="783">
        <f>'9. Forecast Results'!S6</f>
        <v>-210409.8845669291</v>
      </c>
      <c r="L6" s="783">
        <f>'9. Forecast Results'!T6</f>
        <v>-23378.876062992123</v>
      </c>
      <c r="M6" s="783">
        <f>'9. Forecast Results'!U6</f>
        <v>-23378.876062992123</v>
      </c>
      <c r="N6" s="783">
        <f>'9. Forecast Results'!V6</f>
        <v>-23378.876062992123</v>
      </c>
      <c r="O6" s="783">
        <f>'9. Forecast Results'!W6</f>
        <v>-23378.876062992123</v>
      </c>
      <c r="P6" s="783">
        <f>'9. Forecast Results'!X6</f>
        <v>-23378.876062992123</v>
      </c>
      <c r="Q6" s="783">
        <f>'9. Forecast Results'!Y6</f>
        <v>-23378.876062992123</v>
      </c>
      <c r="R6" s="783">
        <f>'9. Forecast Results'!Z6</f>
        <v>-23378.876062992123</v>
      </c>
      <c r="S6" s="783">
        <f>'9. Forecast Results'!AA6</f>
        <v>-23378.876062992123</v>
      </c>
      <c r="T6" s="783">
        <f>'9. Forecast Results'!AB6</f>
        <v>-23378.876062992123</v>
      </c>
      <c r="U6" s="783">
        <f>'9. Forecast Results'!AC6</f>
        <v>-23378.876062992123</v>
      </c>
      <c r="V6" s="783">
        <f>'9. Forecast Results'!AD6</f>
        <v>-23378.876062992123</v>
      </c>
      <c r="W6" s="783">
        <f>'9. Forecast Results'!AE6</f>
        <v>-23378.876062992123</v>
      </c>
      <c r="X6" s="783">
        <f>'9. Forecast Results'!AF6</f>
        <v>-23378.876062992123</v>
      </c>
      <c r="Y6" s="783">
        <f>'9. Forecast Results'!AG6</f>
        <v>-23378.876062992123</v>
      </c>
      <c r="Z6" s="783">
        <f>'9. Forecast Results'!AH6</f>
        <v>-23378.876062992123</v>
      </c>
      <c r="AA6" s="783">
        <f>'9. Forecast Results'!AI6</f>
        <v>-23378.876062992123</v>
      </c>
      <c r="AB6" s="783">
        <f>'9. Forecast Results'!AJ6</f>
        <v>-16020928.030877186</v>
      </c>
      <c r="AC6" s="783">
        <f>'9. Forecast Results'!AK6</f>
        <v>0</v>
      </c>
      <c r="AD6" s="779">
        <f>'8. Forecast Results National'!AL47</f>
        <v>2000795573.3586199</v>
      </c>
    </row>
    <row r="7" spans="2:30" x14ac:dyDescent="0.45">
      <c r="E7" s="783">
        <f>ROUND('9. Forecast Results'!AL51,0)</f>
        <v>-90921270</v>
      </c>
      <c r="F7" s="781">
        <f>'9. Forecast Results'!N7</f>
        <v>-9354796.4700000007</v>
      </c>
      <c r="G7" s="781">
        <f>'9. Forecast Results'!O7</f>
        <v>-10229237.26</v>
      </c>
      <c r="H7" s="781">
        <f>'9. Forecast Results'!P7</f>
        <v>-10415188.16</v>
      </c>
      <c r="I7" s="783">
        <f>'9. Forecast Results'!Q7</f>
        <v>-9050671.484040793</v>
      </c>
      <c r="J7" s="783">
        <f>'9. Forecast Results'!R7</f>
        <v>-7276268.3573198924</v>
      </c>
      <c r="K7" s="783">
        <f>'9. Forecast Results'!S7</f>
        <v>-5272498.0344495559</v>
      </c>
      <c r="L7" s="783">
        <f>'9. Forecast Results'!T7</f>
        <v>-5562124.3240768462</v>
      </c>
      <c r="M7" s="783">
        <f>'9. Forecast Results'!U7</f>
        <v>-5535382.1975866212</v>
      </c>
      <c r="N7" s="783">
        <f>'9. Forecast Results'!V7</f>
        <v>-5487924.873524704</v>
      </c>
      <c r="O7" s="783">
        <f>'9. Forecast Results'!W7</f>
        <v>-5417569.3500243956</v>
      </c>
      <c r="P7" s="783">
        <f>'9. Forecast Results'!X7</f>
        <v>-5321955.1584863178</v>
      </c>
      <c r="Q7" s="783">
        <f>'9. Forecast Results'!Y7</f>
        <v>-5198531.4458184605</v>
      </c>
      <c r="R7" s="783">
        <f>'9. Forecast Results'!Z7</f>
        <v>-5044543.1725595053</v>
      </c>
      <c r="S7" s="783">
        <f>'9. Forecast Results'!AA7</f>
        <v>-4857016.3687088052</v>
      </c>
      <c r="T7" s="783">
        <f>'9. Forecast Results'!AB7</f>
        <v>-4632742.3853614368</v>
      </c>
      <c r="U7" s="783">
        <f>'9. Forecast Results'!AC7</f>
        <v>-4368261.0762879653</v>
      </c>
      <c r="V7" s="783">
        <f>'9. Forecast Results'!AD7</f>
        <v>-4059842.8393917042</v>
      </c>
      <c r="W7" s="783">
        <f>'9. Forecast Results'!AE7</f>
        <v>-3703469.4435056476</v>
      </c>
      <c r="X7" s="783">
        <f>'9. Forecast Results'!AF7</f>
        <v>-3294813.561241088</v>
      </c>
      <c r="Y7" s="783">
        <f>'9. Forecast Results'!AG7</f>
        <v>-2829216.9235524968</v>
      </c>
      <c r="Z7" s="783">
        <f>'9. Forecast Results'!AH7</f>
        <v>-2301667.0063206377</v>
      </c>
      <c r="AA7" s="783">
        <f>'9. Forecast Results'!AI7</f>
        <v>-1706772.1535583164</v>
      </c>
      <c r="AB7" s="783">
        <f>'9. Forecast Results'!AJ7</f>
        <v>0</v>
      </c>
      <c r="AC7" s="783">
        <f>'9. Forecast Results'!AK7</f>
        <v>0</v>
      </c>
      <c r="AD7" s="779">
        <f>'8. Forecast Results National'!AL48</f>
        <v>-1922286167.5833244</v>
      </c>
    </row>
    <row r="8" spans="2:30" x14ac:dyDescent="0.45">
      <c r="D8" s="1102" t="s">
        <v>1311</v>
      </c>
      <c r="E8" s="783">
        <f>'9. Forecast Results'!$AL$20+'9. Forecast Results'!$AL$24</f>
        <v>-5193777.9070538152</v>
      </c>
      <c r="F8" s="781">
        <f>'9. Forecast Results'!N8</f>
        <v>-1790588.56</v>
      </c>
      <c r="G8" s="781">
        <f>'9. Forecast Results'!O8</f>
        <v>-859115.06</v>
      </c>
      <c r="H8" s="781">
        <f>'9. Forecast Results'!P8</f>
        <v>-963366.22</v>
      </c>
      <c r="I8" s="783">
        <f>'9. Forecast Results'!Q8</f>
        <v>-1009764.8169663185</v>
      </c>
      <c r="J8" s="783">
        <f>'9. Forecast Results'!R8</f>
        <v>-985150.0169663186</v>
      </c>
      <c r="K8" s="783">
        <f>'9. Forecast Results'!S8</f>
        <v>-960535.21696631855</v>
      </c>
      <c r="L8" s="783">
        <f>'9. Forecast Results'!T8</f>
        <v>-147750.80188514653</v>
      </c>
      <c r="M8" s="783">
        <f>'9. Forecast Results'!U8</f>
        <v>-145015.82410736874</v>
      </c>
      <c r="N8" s="783">
        <f>'9. Forecast Results'!V8</f>
        <v>-142280.84632959098</v>
      </c>
      <c r="O8" s="783">
        <f>'9. Forecast Results'!W8</f>
        <v>-139545.86855181318</v>
      </c>
      <c r="P8" s="783">
        <f>'9. Forecast Results'!X8</f>
        <v>-136810.89077403542</v>
      </c>
      <c r="Q8" s="783">
        <f>'9. Forecast Results'!Y8</f>
        <v>-134075.91299625763</v>
      </c>
      <c r="R8" s="783">
        <f>'9. Forecast Results'!Z8</f>
        <v>-131340.93521847983</v>
      </c>
      <c r="S8" s="783">
        <f>'9. Forecast Results'!AA8</f>
        <v>-128605.95744070207</v>
      </c>
      <c r="T8" s="783">
        <f>'9. Forecast Results'!AB8</f>
        <v>-125870.97966292429</v>
      </c>
      <c r="U8" s="783">
        <f>'9. Forecast Results'!AC8</f>
        <v>-123136.00188514651</v>
      </c>
      <c r="V8" s="783">
        <f>'9. Forecast Results'!AD8</f>
        <v>-120401.02410736874</v>
      </c>
      <c r="W8" s="783">
        <f>'9. Forecast Results'!AE8</f>
        <v>-117666.04632959096</v>
      </c>
      <c r="X8" s="783">
        <f>'9. Forecast Results'!AF8</f>
        <v>-114931.06855181318</v>
      </c>
      <c r="Y8" s="783">
        <f>'9. Forecast Results'!AG8</f>
        <v>-112196.0907740354</v>
      </c>
      <c r="Z8" s="783">
        <f>'9. Forecast Results'!AH8</f>
        <v>-109461.11299625762</v>
      </c>
      <c r="AA8" s="783">
        <f>'9. Forecast Results'!AI8</f>
        <v>-106726.13521847985</v>
      </c>
      <c r="AB8" s="783">
        <f>'9. Forecast Results'!AJ8</f>
        <v>-202512.35932584858</v>
      </c>
      <c r="AC8" s="783">
        <f>'9. Forecast Results'!AK8</f>
        <v>0</v>
      </c>
      <c r="AD8" s="779">
        <f>'8. Forecast Results National'!AL20+'8. Forecast Results National'!AL24</f>
        <v>-541784615.03935695</v>
      </c>
    </row>
    <row r="9" spans="2:30" x14ac:dyDescent="0.45">
      <c r="D9" s="1102" t="s">
        <v>1322</v>
      </c>
      <c r="E9" s="1029">
        <f>-(AC191+AC633)</f>
        <v>0</v>
      </c>
      <c r="F9" s="780"/>
      <c r="G9" s="780"/>
      <c r="H9" s="781">
        <f t="shared" ref="H9:AC9" si="0">-(H191+H633)</f>
        <v>-105187689.88000001</v>
      </c>
      <c r="I9" s="783">
        <f t="shared" si="0"/>
        <v>-102745526.37029831</v>
      </c>
      <c r="J9" s="783">
        <f t="shared" si="0"/>
        <v>-98985454.249836311</v>
      </c>
      <c r="K9" s="783">
        <f t="shared" si="0"/>
        <v>-94708883.578012705</v>
      </c>
      <c r="L9" s="783">
        <f t="shared" si="0"/>
        <v>-93493862.233054623</v>
      </c>
      <c r="M9" s="783">
        <f t="shared" si="0"/>
        <v>-91762761.584842429</v>
      </c>
      <c r="N9" s="783">
        <f t="shared" si="0"/>
        <v>-89515581.633376107</v>
      </c>
      <c r="O9" s="783">
        <f t="shared" si="0"/>
        <v>-87010362.030282751</v>
      </c>
      <c r="P9" s="783">
        <f t="shared" si="0"/>
        <v>-83989063.123935282</v>
      </c>
      <c r="Q9" s="783">
        <f t="shared" si="0"/>
        <v>-80451684.914333701</v>
      </c>
      <c r="R9" s="783">
        <f t="shared" si="0"/>
        <v>-76398227.401478022</v>
      </c>
      <c r="S9" s="783">
        <f t="shared" si="0"/>
        <v>-71828690.585368231</v>
      </c>
      <c r="T9" s="783">
        <f t="shared" si="0"/>
        <v>-66743074.466004342</v>
      </c>
      <c r="U9" s="783">
        <f t="shared" si="0"/>
        <v>-61141379.04338634</v>
      </c>
      <c r="V9" s="783">
        <f t="shared" si="0"/>
        <v>-55023604.317514233</v>
      </c>
      <c r="W9" s="783">
        <f t="shared" si="0"/>
        <v>-48389750.288388014</v>
      </c>
      <c r="X9" s="783">
        <f t="shared" si="0"/>
        <v>-41239816.956007697</v>
      </c>
      <c r="Y9" s="783">
        <f t="shared" si="0"/>
        <v>-33573804.320373267</v>
      </c>
      <c r="Z9" s="783">
        <f t="shared" si="0"/>
        <v>-25391712.381484732</v>
      </c>
      <c r="AA9" s="783">
        <f t="shared" si="0"/>
        <v>-17064827.314991739</v>
      </c>
      <c r="AB9" s="783">
        <f t="shared" si="0"/>
        <v>0</v>
      </c>
      <c r="AC9" s="783">
        <f t="shared" si="0"/>
        <v>0</v>
      </c>
      <c r="AD9" s="779"/>
    </row>
    <row r="10" spans="2:30" ht="18" x14ac:dyDescent="0.55000000000000004">
      <c r="D10" s="585"/>
      <c r="K10" s="968" t="s">
        <v>1580</v>
      </c>
      <c r="L10" s="968" t="s">
        <v>1580</v>
      </c>
      <c r="M10" s="968" t="s">
        <v>1580</v>
      </c>
      <c r="N10" s="968" t="s">
        <v>1580</v>
      </c>
      <c r="O10" s="968" t="s">
        <v>1580</v>
      </c>
    </row>
    <row r="11" spans="2:30" ht="18" x14ac:dyDescent="0.55000000000000004">
      <c r="D11" s="58" t="s">
        <v>1475</v>
      </c>
    </row>
    <row r="12" spans="2:30" ht="18" x14ac:dyDescent="0.55000000000000004">
      <c r="D12" s="58" t="s">
        <v>1476</v>
      </c>
    </row>
    <row r="13" spans="2:30" ht="18" x14ac:dyDescent="0.55000000000000004">
      <c r="D13" s="645" t="s">
        <v>1078</v>
      </c>
      <c r="E13" s="943" t="str">
        <f>'5. Dashboard Live'!$C$13</f>
        <v>BC</v>
      </c>
      <c r="F13" s="583">
        <f>'7. Scenario Detailed'!F12</f>
        <v>17</v>
      </c>
      <c r="I13" s="644">
        <f>SUMIF($E$14:$E$18,$E13,I$14:I$18)</f>
        <v>1</v>
      </c>
      <c r="J13" s="644">
        <f>SUMIF($E$14:$E$18,$E13,J$14:J$18)</f>
        <v>1</v>
      </c>
      <c r="K13" s="644">
        <f>SUMIF($E$14:$E$18,$E13,K$14:K$18)</f>
        <v>1</v>
      </c>
      <c r="L13" s="1124">
        <f>'5. Dashboard Live'!$AA$16</f>
        <v>17</v>
      </c>
      <c r="M13" s="644">
        <f>SUMIF($E$14:$E$18,$E13,M$14:M$18)</f>
        <v>0</v>
      </c>
      <c r="N13" s="644">
        <f t="shared" ref="N13:AC13" si="1">SUMIF($E$14:$E$18,$E13,N$14:N$18)</f>
        <v>0</v>
      </c>
      <c r="O13" s="644">
        <f t="shared" si="1"/>
        <v>0</v>
      </c>
      <c r="P13" s="644">
        <f t="shared" si="1"/>
        <v>0</v>
      </c>
      <c r="Q13" s="644">
        <f t="shared" si="1"/>
        <v>0</v>
      </c>
      <c r="R13" s="644">
        <f t="shared" si="1"/>
        <v>0</v>
      </c>
      <c r="S13" s="644">
        <f t="shared" si="1"/>
        <v>0</v>
      </c>
      <c r="T13" s="644">
        <f t="shared" si="1"/>
        <v>0</v>
      </c>
      <c r="U13" s="644">
        <f t="shared" si="1"/>
        <v>0</v>
      </c>
      <c r="V13" s="644">
        <f t="shared" si="1"/>
        <v>0</v>
      </c>
      <c r="W13" s="644">
        <f t="shared" si="1"/>
        <v>0</v>
      </c>
      <c r="X13" s="644">
        <f t="shared" si="1"/>
        <v>0</v>
      </c>
      <c r="Y13" s="644">
        <f t="shared" si="1"/>
        <v>0</v>
      </c>
      <c r="Z13" s="644">
        <f t="shared" si="1"/>
        <v>0</v>
      </c>
      <c r="AA13" s="644">
        <f t="shared" si="1"/>
        <v>0</v>
      </c>
      <c r="AB13" s="644">
        <f t="shared" si="1"/>
        <v>0</v>
      </c>
      <c r="AC13" s="644">
        <f t="shared" si="1"/>
        <v>0</v>
      </c>
    </row>
    <row r="14" spans="2:30" x14ac:dyDescent="0.45">
      <c r="B14" s="451"/>
      <c r="C14" s="1147" t="s">
        <v>148</v>
      </c>
      <c r="D14" s="1023" t="str">
        <f>'14. Permanent Info'!E7</f>
        <v>Base Case</v>
      </c>
      <c r="E14" s="747" t="str">
        <f>'14. Permanent Info'!D7</f>
        <v>BC</v>
      </c>
      <c r="F14" s="583">
        <f>'7. Scenario Detailed'!F13</f>
        <v>17</v>
      </c>
      <c r="I14" s="810">
        <v>1</v>
      </c>
      <c r="J14" s="810">
        <v>1</v>
      </c>
      <c r="K14" s="810">
        <v>1</v>
      </c>
      <c r="L14" s="913">
        <f>'7. Scenario Detailed'!F13</f>
        <v>17</v>
      </c>
      <c r="M14" s="810"/>
      <c r="N14" s="810"/>
      <c r="O14" s="810"/>
      <c r="P14" s="810"/>
      <c r="Q14" s="810"/>
      <c r="R14" s="810"/>
      <c r="S14" s="810"/>
      <c r="T14" s="810"/>
      <c r="U14" s="810"/>
      <c r="V14" s="810"/>
      <c r="W14" s="810"/>
      <c r="X14" s="810"/>
      <c r="Y14" s="810"/>
      <c r="Z14" s="810"/>
      <c r="AA14" s="810"/>
      <c r="AB14" s="810"/>
      <c r="AC14" s="810"/>
    </row>
    <row r="15" spans="2:30" x14ac:dyDescent="0.45">
      <c r="B15" s="451">
        <v>1</v>
      </c>
      <c r="C15" s="1147" t="s">
        <v>224</v>
      </c>
      <c r="D15" s="1024" t="str">
        <f>'14. Permanent Info'!E8</f>
        <v>Scenario 1 - Outsource Property Management</v>
      </c>
      <c r="E15" s="747" t="str">
        <f>'14. Permanent Info'!D8</f>
        <v>Sc1</v>
      </c>
      <c r="F15" s="583">
        <f>'7. Scenario Detailed'!F14</f>
        <v>5</v>
      </c>
      <c r="I15" s="810">
        <v>1</v>
      </c>
      <c r="J15" s="810">
        <v>1</v>
      </c>
      <c r="K15" s="810">
        <v>1</v>
      </c>
      <c r="L15" s="913">
        <f>'7. Scenario Detailed'!F14</f>
        <v>5</v>
      </c>
      <c r="M15" s="810"/>
      <c r="N15" s="810"/>
      <c r="O15" s="810"/>
      <c r="P15" s="810"/>
      <c r="Q15" s="810"/>
      <c r="R15" s="810"/>
      <c r="S15" s="810"/>
      <c r="T15" s="810"/>
      <c r="U15" s="810"/>
      <c r="V15" s="810"/>
      <c r="W15" s="810"/>
      <c r="X15" s="810"/>
      <c r="Y15" s="810"/>
      <c r="Z15" s="810"/>
      <c r="AA15" s="810"/>
      <c r="AB15" s="810"/>
      <c r="AC15" s="810"/>
    </row>
    <row r="16" spans="2:30" x14ac:dyDescent="0.45">
      <c r="B16" s="451">
        <v>2</v>
      </c>
      <c r="C16" s="1147" t="s">
        <v>242</v>
      </c>
      <c r="D16" s="1025" t="str">
        <f>'14. Permanent Info'!E9</f>
        <v>Scenario 2 - Accelerate Transfer Voetstoots to Existing Occupants</v>
      </c>
      <c r="E16" s="747" t="str">
        <f>'14. Permanent Info'!D9</f>
        <v>Sc2</v>
      </c>
      <c r="F16" s="583">
        <f>'7. Scenario Detailed'!F15</f>
        <v>2</v>
      </c>
      <c r="I16" s="810">
        <v>1</v>
      </c>
      <c r="J16" s="810">
        <v>1</v>
      </c>
      <c r="K16" s="810">
        <v>1</v>
      </c>
      <c r="L16" s="913">
        <f>'7. Scenario Detailed'!F15</f>
        <v>2</v>
      </c>
      <c r="M16" s="810"/>
      <c r="N16" s="810"/>
      <c r="O16" s="810"/>
      <c r="P16" s="810"/>
      <c r="Q16" s="810"/>
      <c r="R16" s="810"/>
      <c r="S16" s="810"/>
      <c r="T16" s="810"/>
      <c r="U16" s="810"/>
      <c r="V16" s="810"/>
      <c r="W16" s="810"/>
      <c r="X16" s="810"/>
      <c r="Y16" s="810"/>
      <c r="Z16" s="810"/>
      <c r="AA16" s="810"/>
      <c r="AB16" s="810"/>
      <c r="AC16" s="810"/>
    </row>
    <row r="17" spans="1:30" x14ac:dyDescent="0.45">
      <c r="B17" s="451">
        <v>3</v>
      </c>
      <c r="C17" s="1147" t="s">
        <v>18</v>
      </c>
      <c r="D17" s="1026" t="str">
        <f>'14. Permanent Info'!E10</f>
        <v>Scenario 3 - Devolve to Local Municipality</v>
      </c>
      <c r="E17" s="747" t="str">
        <f>'14. Permanent Info'!D10</f>
        <v>Sc3</v>
      </c>
      <c r="F17" s="583">
        <f>'7. Scenario Detailed'!F16</f>
        <v>1</v>
      </c>
      <c r="I17" s="810">
        <v>1</v>
      </c>
      <c r="J17" s="810">
        <v>1</v>
      </c>
      <c r="K17" s="810">
        <v>1</v>
      </c>
      <c r="L17" s="913">
        <f>'7. Scenario Detailed'!F16</f>
        <v>1</v>
      </c>
      <c r="M17" s="810"/>
      <c r="N17" s="810"/>
      <c r="O17" s="810"/>
      <c r="P17" s="810"/>
      <c r="Q17" s="810"/>
      <c r="R17" s="810"/>
      <c r="S17" s="810"/>
      <c r="T17" s="810"/>
      <c r="U17" s="810"/>
      <c r="V17" s="810"/>
      <c r="W17" s="810"/>
      <c r="X17" s="810"/>
      <c r="Y17" s="810"/>
      <c r="Z17" s="810"/>
      <c r="AA17" s="810"/>
      <c r="AB17" s="810"/>
      <c r="AC17" s="810"/>
    </row>
    <row r="18" spans="1:30" x14ac:dyDescent="0.45">
      <c r="B18" s="451">
        <v>4</v>
      </c>
      <c r="C18" s="1147" t="s">
        <v>310</v>
      </c>
      <c r="D18" s="1027" t="str">
        <f>'14. Permanent Info'!E11</f>
        <v>Scenario 4 - User creates own scenario</v>
      </c>
      <c r="E18" s="747" t="str">
        <f>'14. Permanent Info'!D11</f>
        <v>Sc4</v>
      </c>
      <c r="F18" s="583">
        <f>'7. Scenario Detailed'!F17</f>
        <v>0</v>
      </c>
      <c r="I18" s="810">
        <v>1</v>
      </c>
      <c r="J18" s="810">
        <v>1</v>
      </c>
      <c r="K18" s="810">
        <v>1</v>
      </c>
      <c r="L18" s="913">
        <f>'7. Scenario Detailed'!F17</f>
        <v>0</v>
      </c>
      <c r="M18" s="810"/>
      <c r="N18" s="810"/>
      <c r="O18" s="810"/>
      <c r="P18" s="810"/>
      <c r="Q18" s="810"/>
      <c r="R18" s="810"/>
      <c r="S18" s="810"/>
      <c r="T18" s="810"/>
      <c r="U18" s="810"/>
      <c r="V18" s="810"/>
      <c r="W18" s="810"/>
      <c r="X18" s="810"/>
      <c r="Y18" s="810"/>
      <c r="Z18" s="810"/>
      <c r="AA18" s="810"/>
      <c r="AB18" s="810"/>
      <c r="AC18" s="810"/>
    </row>
    <row r="19" spans="1:30" ht="18" x14ac:dyDescent="0.55000000000000004">
      <c r="D19" s="585"/>
    </row>
    <row r="21" spans="1:30" ht="18" x14ac:dyDescent="0.55000000000000004">
      <c r="D21" s="58" t="s">
        <v>1072</v>
      </c>
    </row>
    <row r="22" spans="1:30" ht="18" x14ac:dyDescent="0.55000000000000004">
      <c r="A22" s="911" t="s">
        <v>1463</v>
      </c>
      <c r="D22" s="585" t="s">
        <v>1073</v>
      </c>
      <c r="F22" s="592">
        <v>0</v>
      </c>
      <c r="G22" s="592">
        <v>0</v>
      </c>
      <c r="H22" s="592">
        <v>0</v>
      </c>
      <c r="I22" s="592">
        <v>0</v>
      </c>
      <c r="J22" s="592">
        <v>0</v>
      </c>
      <c r="K22" s="592">
        <v>0</v>
      </c>
      <c r="L22" s="592">
        <v>0</v>
      </c>
      <c r="M22" s="592">
        <v>0</v>
      </c>
      <c r="N22" s="592">
        <v>0</v>
      </c>
      <c r="O22" s="592">
        <v>0</v>
      </c>
      <c r="P22" s="592">
        <v>0</v>
      </c>
      <c r="Q22" s="592">
        <v>0</v>
      </c>
      <c r="R22" s="592">
        <v>0</v>
      </c>
      <c r="S22" s="592">
        <v>0</v>
      </c>
      <c r="T22" s="592">
        <v>0</v>
      </c>
      <c r="U22" s="592">
        <v>0</v>
      </c>
      <c r="V22" s="592">
        <v>0</v>
      </c>
      <c r="W22" s="592">
        <v>0</v>
      </c>
      <c r="X22" s="592">
        <v>0</v>
      </c>
      <c r="Y22" s="592">
        <v>0</v>
      </c>
      <c r="Z22" s="592">
        <v>0</v>
      </c>
      <c r="AA22" s="592">
        <v>0</v>
      </c>
      <c r="AB22" s="592">
        <v>0</v>
      </c>
      <c r="AC22" s="592">
        <v>0</v>
      </c>
    </row>
    <row r="23" spans="1:30" ht="18" x14ac:dyDescent="0.55000000000000004">
      <c r="A23" s="911" t="s">
        <v>1463</v>
      </c>
      <c r="D23" s="585" t="s">
        <v>1074</v>
      </c>
      <c r="F23" s="593">
        <v>0.06</v>
      </c>
      <c r="G23" s="593">
        <v>0.04</v>
      </c>
      <c r="H23" s="593">
        <v>6.3E-2</v>
      </c>
      <c r="I23" s="593">
        <v>5.5E-2</v>
      </c>
      <c r="J23" s="593">
        <v>5.5E-2</v>
      </c>
      <c r="K23" s="593">
        <v>5.5E-2</v>
      </c>
      <c r="L23" s="593">
        <v>5.5E-2</v>
      </c>
      <c r="M23" s="593">
        <v>5.5E-2</v>
      </c>
      <c r="N23" s="593">
        <v>5.5E-2</v>
      </c>
      <c r="O23" s="593">
        <v>5.5E-2</v>
      </c>
      <c r="P23" s="593">
        <v>5.5E-2</v>
      </c>
      <c r="Q23" s="593">
        <v>5.5E-2</v>
      </c>
      <c r="R23" s="593">
        <v>5.5E-2</v>
      </c>
      <c r="S23" s="593">
        <v>5.5E-2</v>
      </c>
      <c r="T23" s="593">
        <v>5.5E-2</v>
      </c>
      <c r="U23" s="593">
        <v>5.5E-2</v>
      </c>
      <c r="V23" s="593">
        <v>5.5E-2</v>
      </c>
      <c r="W23" s="593">
        <v>5.5E-2</v>
      </c>
      <c r="X23" s="593">
        <v>5.5E-2</v>
      </c>
      <c r="Y23" s="593">
        <v>5.5E-2</v>
      </c>
      <c r="Z23" s="593">
        <v>5.5E-2</v>
      </c>
      <c r="AA23" s="593">
        <v>5.5E-2</v>
      </c>
      <c r="AB23" s="593">
        <v>5.5E-2</v>
      </c>
      <c r="AC23" s="593">
        <v>5.5E-2</v>
      </c>
    </row>
    <row r="24" spans="1:30" ht="18" x14ac:dyDescent="0.55000000000000004">
      <c r="D24" s="585"/>
    </row>
    <row r="25" spans="1:30" ht="18" x14ac:dyDescent="0.55000000000000004">
      <c r="D25" s="585"/>
    </row>
    <row r="26" spans="1:30" x14ac:dyDescent="0.45">
      <c r="I26" s="583" t="s">
        <v>1026</v>
      </c>
    </row>
    <row r="28" spans="1:30" ht="15" customHeight="1" x14ac:dyDescent="0.45">
      <c r="B28" s="594" t="s">
        <v>324</v>
      </c>
      <c r="D28" s="595" t="s">
        <v>1068</v>
      </c>
      <c r="E28" s="596"/>
      <c r="F28" s="1368" t="s">
        <v>1057</v>
      </c>
      <c r="G28" s="1368"/>
      <c r="H28" s="1368"/>
      <c r="I28" s="1367" t="s">
        <v>1056</v>
      </c>
      <c r="J28" s="1367"/>
      <c r="K28" s="1367"/>
      <c r="L28" s="1367"/>
      <c r="M28" s="1367"/>
      <c r="N28" s="1367"/>
      <c r="O28" s="1367"/>
      <c r="P28" s="1367"/>
      <c r="Q28" s="1367"/>
      <c r="R28" s="1367"/>
      <c r="S28" s="1367"/>
      <c r="T28" s="1367"/>
      <c r="U28" s="1367"/>
      <c r="V28" s="1367"/>
      <c r="W28" s="1367"/>
      <c r="X28" s="1367"/>
      <c r="Y28" s="1367"/>
      <c r="Z28" s="1367"/>
      <c r="AA28" s="1367"/>
      <c r="AB28" s="1367"/>
      <c r="AC28" s="1367"/>
      <c r="AD28" s="1367"/>
    </row>
    <row r="29" spans="1:30" x14ac:dyDescent="0.45">
      <c r="B29" s="597" t="str">
        <f>B28</f>
        <v>Sales</v>
      </c>
      <c r="D29" s="596"/>
      <c r="E29" s="596"/>
      <c r="F29" s="586">
        <v>-3</v>
      </c>
      <c r="G29" s="586">
        <v>-2</v>
      </c>
      <c r="H29" s="586">
        <v>-1</v>
      </c>
      <c r="I29" s="587">
        <v>0</v>
      </c>
      <c r="J29" s="587">
        <v>1</v>
      </c>
      <c r="K29" s="588">
        <v>2</v>
      </c>
      <c r="L29" s="587">
        <v>3</v>
      </c>
      <c r="M29" s="588">
        <v>4</v>
      </c>
      <c r="N29" s="587">
        <v>5</v>
      </c>
      <c r="O29" s="588">
        <v>6</v>
      </c>
      <c r="P29" s="587">
        <v>7</v>
      </c>
      <c r="Q29" s="588">
        <v>8</v>
      </c>
      <c r="R29" s="529">
        <v>9</v>
      </c>
      <c r="S29" s="530">
        <v>10</v>
      </c>
      <c r="T29" s="529">
        <v>11</v>
      </c>
      <c r="U29" s="529">
        <v>12</v>
      </c>
      <c r="V29" s="530">
        <v>13</v>
      </c>
      <c r="W29" s="529">
        <v>14</v>
      </c>
      <c r="X29" s="529">
        <v>15</v>
      </c>
      <c r="Y29" s="530">
        <v>16</v>
      </c>
      <c r="Z29" s="529">
        <v>17</v>
      </c>
      <c r="AA29" s="529">
        <v>18</v>
      </c>
      <c r="AB29" s="530">
        <v>19</v>
      </c>
      <c r="AC29" s="529">
        <v>20</v>
      </c>
      <c r="AD29" s="536" t="s">
        <v>1420</v>
      </c>
    </row>
    <row r="30" spans="1:30" x14ac:dyDescent="0.45">
      <c r="B30" s="597" t="str">
        <f t="shared" ref="B30:B131" si="2">B29</f>
        <v>Sales</v>
      </c>
      <c r="D30" s="596"/>
      <c r="E30" s="596"/>
      <c r="F30" s="806" t="s">
        <v>102</v>
      </c>
      <c r="G30" s="806" t="s">
        <v>103</v>
      </c>
      <c r="H30" s="806" t="s">
        <v>104</v>
      </c>
      <c r="I30" s="807" t="s">
        <v>1345</v>
      </c>
      <c r="J30" s="808" t="s">
        <v>1346</v>
      </c>
      <c r="K30" s="807" t="s">
        <v>1347</v>
      </c>
      <c r="L30" s="808" t="s">
        <v>1348</v>
      </c>
      <c r="M30" s="807" t="s">
        <v>1349</v>
      </c>
      <c r="N30" s="808" t="s">
        <v>1350</v>
      </c>
      <c r="O30" s="807" t="s">
        <v>1351</v>
      </c>
      <c r="P30" s="808" t="s">
        <v>1352</v>
      </c>
      <c r="Q30" s="807" t="s">
        <v>1353</v>
      </c>
      <c r="R30" s="578" t="s">
        <v>1354</v>
      </c>
      <c r="S30" s="536" t="s">
        <v>1355</v>
      </c>
      <c r="T30" s="536" t="s">
        <v>1410</v>
      </c>
      <c r="U30" s="536" t="s">
        <v>1411</v>
      </c>
      <c r="V30" s="536" t="s">
        <v>1412</v>
      </c>
      <c r="W30" s="536" t="s">
        <v>1413</v>
      </c>
      <c r="X30" s="536" t="s">
        <v>1414</v>
      </c>
      <c r="Y30" s="536" t="s">
        <v>1415</v>
      </c>
      <c r="Z30" s="536" t="s">
        <v>1416</v>
      </c>
      <c r="AA30" s="536" t="s">
        <v>1417</v>
      </c>
      <c r="AB30" s="536" t="s">
        <v>1418</v>
      </c>
      <c r="AC30" s="809" t="s">
        <v>1419</v>
      </c>
    </row>
    <row r="31" spans="1:30" x14ac:dyDescent="0.45">
      <c r="B31" s="597" t="str">
        <f t="shared" si="2"/>
        <v>Sales</v>
      </c>
      <c r="D31" s="596"/>
      <c r="E31" s="596"/>
      <c r="F31" s="589"/>
      <c r="G31" s="589"/>
      <c r="H31" s="589"/>
      <c r="I31" s="590"/>
      <c r="J31" s="591"/>
      <c r="K31" s="590"/>
      <c r="L31" s="591"/>
      <c r="M31" s="590"/>
      <c r="N31" s="591"/>
      <c r="O31" s="590"/>
      <c r="P31" s="591"/>
      <c r="Q31" s="590"/>
      <c r="R31" s="590"/>
      <c r="S31" s="590"/>
      <c r="T31" s="590"/>
      <c r="U31" s="590"/>
      <c r="V31" s="590"/>
      <c r="W31" s="590"/>
      <c r="X31" s="590"/>
      <c r="Y31" s="590"/>
      <c r="Z31" s="590"/>
      <c r="AA31" s="590"/>
      <c r="AB31" s="591"/>
      <c r="AC31" s="590"/>
    </row>
    <row r="32" spans="1:30" x14ac:dyDescent="0.45">
      <c r="B32" s="597" t="str">
        <f t="shared" si="2"/>
        <v>Sales</v>
      </c>
      <c r="C32" s="451">
        <v>1</v>
      </c>
      <c r="D32" s="590" t="s">
        <v>1060</v>
      </c>
      <c r="E32" s="596"/>
      <c r="I32" s="642">
        <f t="shared" ref="I32:AB32" si="3">SUMPRODUCT(I33:I37,$H$520:$H$524)/$H$525</f>
        <v>9.9689922480620155E-2</v>
      </c>
      <c r="J32" s="642">
        <f t="shared" si="3"/>
        <v>9.9689922480620155E-2</v>
      </c>
      <c r="K32" s="642">
        <f t="shared" si="3"/>
        <v>9.2277131782945734E-2</v>
      </c>
      <c r="L32" s="642">
        <f t="shared" si="3"/>
        <v>4.4271438953488368E-2</v>
      </c>
      <c r="M32" s="642">
        <f t="shared" si="3"/>
        <v>4.4271438953488368E-2</v>
      </c>
      <c r="N32" s="642">
        <f t="shared" si="3"/>
        <v>4.4271438953488368E-2</v>
      </c>
      <c r="O32" s="642">
        <f t="shared" si="3"/>
        <v>4.4271438953488368E-2</v>
      </c>
      <c r="P32" s="642">
        <f t="shared" si="3"/>
        <v>4.4271438953488368E-2</v>
      </c>
      <c r="Q32" s="642">
        <f t="shared" si="3"/>
        <v>4.4271438953488368E-2</v>
      </c>
      <c r="R32" s="642">
        <f t="shared" si="3"/>
        <v>4.4271438953488368E-2</v>
      </c>
      <c r="S32" s="642">
        <f t="shared" si="3"/>
        <v>4.4271438953488368E-2</v>
      </c>
      <c r="T32" s="642">
        <f t="shared" si="3"/>
        <v>4.4271438953488368E-2</v>
      </c>
      <c r="U32" s="642">
        <f t="shared" si="3"/>
        <v>4.4271438953488368E-2</v>
      </c>
      <c r="V32" s="642">
        <f t="shared" si="3"/>
        <v>4.4271438953488368E-2</v>
      </c>
      <c r="W32" s="642">
        <f t="shared" si="3"/>
        <v>4.4271438953488368E-2</v>
      </c>
      <c r="X32" s="642">
        <f t="shared" si="3"/>
        <v>4.4271438953488368E-2</v>
      </c>
      <c r="Y32" s="642">
        <f t="shared" si="3"/>
        <v>4.4271438953488368E-2</v>
      </c>
      <c r="Z32" s="642">
        <f t="shared" si="3"/>
        <v>4.4271438953488368E-2</v>
      </c>
      <c r="AA32" s="642">
        <f t="shared" si="3"/>
        <v>4.4271438953488368E-2</v>
      </c>
      <c r="AB32" s="642">
        <f t="shared" si="3"/>
        <v>3.865555593103791E-16</v>
      </c>
      <c r="AC32" s="641">
        <f t="shared" ref="AC32:AC37" si="4">1-SUM(I32:AB32)</f>
        <v>0</v>
      </c>
      <c r="AD32" s="610"/>
    </row>
    <row r="33" spans="2:30" x14ac:dyDescent="0.45">
      <c r="B33" s="597" t="str">
        <f t="shared" si="2"/>
        <v>Sales</v>
      </c>
      <c r="D33" s="583" t="str">
        <f>'12. Inputs-Props &amp; Debtors 2016'!C$77</f>
        <v>EC</v>
      </c>
      <c r="E33" s="596"/>
      <c r="I33" s="954">
        <v>0.2</v>
      </c>
      <c r="J33" s="954">
        <v>0.2</v>
      </c>
      <c r="K33" s="954">
        <v>0.2</v>
      </c>
      <c r="L33" s="954">
        <f t="shared" ref="L33:AA36" si="5">L42</f>
        <v>2.4999999999999994E-2</v>
      </c>
      <c r="M33" s="954">
        <f t="shared" si="5"/>
        <v>2.4999999999999994E-2</v>
      </c>
      <c r="N33" s="954">
        <f t="shared" si="5"/>
        <v>2.4999999999999994E-2</v>
      </c>
      <c r="O33" s="954">
        <f t="shared" si="5"/>
        <v>2.4999999999999994E-2</v>
      </c>
      <c r="P33" s="954">
        <f t="shared" si="5"/>
        <v>2.4999999999999994E-2</v>
      </c>
      <c r="Q33" s="954">
        <f t="shared" si="5"/>
        <v>2.4999999999999994E-2</v>
      </c>
      <c r="R33" s="954">
        <f t="shared" si="5"/>
        <v>2.4999999999999994E-2</v>
      </c>
      <c r="S33" s="954">
        <f t="shared" si="5"/>
        <v>2.4999999999999994E-2</v>
      </c>
      <c r="T33" s="954">
        <f t="shared" si="5"/>
        <v>2.4999999999999994E-2</v>
      </c>
      <c r="U33" s="954">
        <f t="shared" si="5"/>
        <v>2.4999999999999994E-2</v>
      </c>
      <c r="V33" s="954">
        <f t="shared" si="5"/>
        <v>2.4999999999999994E-2</v>
      </c>
      <c r="W33" s="954">
        <f t="shared" si="5"/>
        <v>2.4999999999999994E-2</v>
      </c>
      <c r="X33" s="954">
        <f t="shared" si="5"/>
        <v>2.4999999999999994E-2</v>
      </c>
      <c r="Y33" s="954">
        <f t="shared" si="5"/>
        <v>2.4999999999999994E-2</v>
      </c>
      <c r="Z33" s="954">
        <f t="shared" si="5"/>
        <v>2.4999999999999994E-2</v>
      </c>
      <c r="AA33" s="954">
        <f t="shared" si="5"/>
        <v>2.4999999999999994E-2</v>
      </c>
      <c r="AB33" s="954">
        <f>AB42</f>
        <v>-4.4408920985006262E-16</v>
      </c>
      <c r="AC33" s="955">
        <f t="shared" si="4"/>
        <v>0</v>
      </c>
      <c r="AD33" s="610"/>
    </row>
    <row r="34" spans="2:30" x14ac:dyDescent="0.45">
      <c r="B34" s="597" t="str">
        <f t="shared" si="2"/>
        <v>Sales</v>
      </c>
      <c r="D34" s="583" t="str">
        <f>'12. Inputs-Props &amp; Debtors 2016'!C$78</f>
        <v>FS</v>
      </c>
      <c r="E34" s="596"/>
      <c r="I34" s="954">
        <v>0.05</v>
      </c>
      <c r="J34" s="954">
        <v>0.05</v>
      </c>
      <c r="K34" s="954">
        <v>0.05</v>
      </c>
      <c r="L34" s="954">
        <f t="shared" si="5"/>
        <v>5.3124999999999999E-2</v>
      </c>
      <c r="M34" s="954">
        <f t="shared" si="5"/>
        <v>5.3124999999999999E-2</v>
      </c>
      <c r="N34" s="954">
        <f t="shared" si="5"/>
        <v>5.3124999999999999E-2</v>
      </c>
      <c r="O34" s="954">
        <f t="shared" si="5"/>
        <v>5.3124999999999999E-2</v>
      </c>
      <c r="P34" s="954">
        <f t="shared" si="5"/>
        <v>5.3124999999999999E-2</v>
      </c>
      <c r="Q34" s="954">
        <f t="shared" si="5"/>
        <v>5.3124999999999999E-2</v>
      </c>
      <c r="R34" s="954">
        <f t="shared" si="5"/>
        <v>5.3124999999999999E-2</v>
      </c>
      <c r="S34" s="954">
        <f t="shared" si="5"/>
        <v>5.3124999999999999E-2</v>
      </c>
      <c r="T34" s="954">
        <f t="shared" si="5"/>
        <v>5.3124999999999999E-2</v>
      </c>
      <c r="U34" s="954">
        <f t="shared" si="5"/>
        <v>5.3124999999999999E-2</v>
      </c>
      <c r="V34" s="954">
        <f t="shared" si="5"/>
        <v>5.3124999999999999E-2</v>
      </c>
      <c r="W34" s="954">
        <f t="shared" si="5"/>
        <v>5.3124999999999999E-2</v>
      </c>
      <c r="X34" s="954">
        <f t="shared" si="5"/>
        <v>5.3124999999999999E-2</v>
      </c>
      <c r="Y34" s="954">
        <f t="shared" si="5"/>
        <v>5.3124999999999999E-2</v>
      </c>
      <c r="Z34" s="954">
        <f t="shared" si="5"/>
        <v>5.3124999999999999E-2</v>
      </c>
      <c r="AA34" s="954">
        <f t="shared" si="5"/>
        <v>5.3124999999999999E-2</v>
      </c>
      <c r="AB34" s="954">
        <f>AB43</f>
        <v>2.2204460492503131E-16</v>
      </c>
      <c r="AC34" s="955">
        <f t="shared" si="4"/>
        <v>0</v>
      </c>
      <c r="AD34" s="610"/>
    </row>
    <row r="35" spans="2:30" x14ac:dyDescent="0.45">
      <c r="B35" s="597" t="str">
        <f t="shared" si="2"/>
        <v>Sales</v>
      </c>
      <c r="D35" s="583" t="str">
        <f>'12. Inputs-Props &amp; Debtors 2016'!C$79</f>
        <v>Gau</v>
      </c>
      <c r="E35" s="596"/>
      <c r="I35" s="954">
        <v>0.05</v>
      </c>
      <c r="J35" s="954">
        <v>0.05</v>
      </c>
      <c r="K35" s="954">
        <v>0.05</v>
      </c>
      <c r="L35" s="954">
        <f t="shared" si="5"/>
        <v>5.3124999999999999E-2</v>
      </c>
      <c r="M35" s="954">
        <f t="shared" si="5"/>
        <v>5.3124999999999999E-2</v>
      </c>
      <c r="N35" s="954">
        <f t="shared" si="5"/>
        <v>5.3124999999999999E-2</v>
      </c>
      <c r="O35" s="954">
        <f t="shared" si="5"/>
        <v>5.3124999999999999E-2</v>
      </c>
      <c r="P35" s="954">
        <f t="shared" si="5"/>
        <v>5.3124999999999999E-2</v>
      </c>
      <c r="Q35" s="954">
        <f t="shared" si="5"/>
        <v>5.3124999999999999E-2</v>
      </c>
      <c r="R35" s="954">
        <f t="shared" si="5"/>
        <v>5.3124999999999999E-2</v>
      </c>
      <c r="S35" s="954">
        <f t="shared" si="5"/>
        <v>5.3124999999999999E-2</v>
      </c>
      <c r="T35" s="954">
        <f t="shared" si="5"/>
        <v>5.3124999999999999E-2</v>
      </c>
      <c r="U35" s="954">
        <f t="shared" si="5"/>
        <v>5.3124999999999999E-2</v>
      </c>
      <c r="V35" s="954">
        <f t="shared" si="5"/>
        <v>5.3124999999999999E-2</v>
      </c>
      <c r="W35" s="954">
        <f t="shared" si="5"/>
        <v>5.3124999999999999E-2</v>
      </c>
      <c r="X35" s="954">
        <f t="shared" si="5"/>
        <v>5.3124999999999999E-2</v>
      </c>
      <c r="Y35" s="954">
        <f t="shared" si="5"/>
        <v>5.3124999999999999E-2</v>
      </c>
      <c r="Z35" s="954">
        <f t="shared" si="5"/>
        <v>5.3124999999999999E-2</v>
      </c>
      <c r="AA35" s="954">
        <f t="shared" si="5"/>
        <v>5.3124999999999999E-2</v>
      </c>
      <c r="AB35" s="954">
        <f>AB44</f>
        <v>2.2204460492503131E-16</v>
      </c>
      <c r="AC35" s="955">
        <f t="shared" si="4"/>
        <v>0</v>
      </c>
      <c r="AD35" s="610"/>
    </row>
    <row r="36" spans="2:30" x14ac:dyDescent="0.45">
      <c r="B36" s="597" t="str">
        <f t="shared" si="2"/>
        <v>Sales</v>
      </c>
      <c r="D36" s="583" t="str">
        <f>'12. Inputs-Props &amp; Debtors 2016'!C$80</f>
        <v>KZN</v>
      </c>
      <c r="E36" s="596"/>
      <c r="I36" s="954">
        <v>0.1</v>
      </c>
      <c r="J36" s="954">
        <v>0.1</v>
      </c>
      <c r="K36" s="954">
        <v>0.1</v>
      </c>
      <c r="L36" s="954">
        <f t="shared" si="5"/>
        <v>4.3749999999999997E-2</v>
      </c>
      <c r="M36" s="954">
        <f t="shared" si="5"/>
        <v>4.3749999999999997E-2</v>
      </c>
      <c r="N36" s="954">
        <f t="shared" si="5"/>
        <v>4.3749999999999997E-2</v>
      </c>
      <c r="O36" s="954">
        <f t="shared" si="5"/>
        <v>4.3749999999999997E-2</v>
      </c>
      <c r="P36" s="954">
        <f t="shared" si="5"/>
        <v>4.3749999999999997E-2</v>
      </c>
      <c r="Q36" s="954">
        <f t="shared" si="5"/>
        <v>4.3749999999999997E-2</v>
      </c>
      <c r="R36" s="954">
        <f t="shared" si="5"/>
        <v>4.3749999999999997E-2</v>
      </c>
      <c r="S36" s="954">
        <f t="shared" si="5"/>
        <v>4.3749999999999997E-2</v>
      </c>
      <c r="T36" s="954">
        <f t="shared" si="5"/>
        <v>4.3749999999999997E-2</v>
      </c>
      <c r="U36" s="954">
        <f t="shared" si="5"/>
        <v>4.3749999999999997E-2</v>
      </c>
      <c r="V36" s="954">
        <f t="shared" si="5"/>
        <v>4.3749999999999997E-2</v>
      </c>
      <c r="W36" s="954">
        <f t="shared" si="5"/>
        <v>4.3749999999999997E-2</v>
      </c>
      <c r="X36" s="954">
        <f t="shared" si="5"/>
        <v>4.3749999999999997E-2</v>
      </c>
      <c r="Y36" s="954">
        <f t="shared" si="5"/>
        <v>4.3749999999999997E-2</v>
      </c>
      <c r="Z36" s="954">
        <f t="shared" si="5"/>
        <v>4.3749999999999997E-2</v>
      </c>
      <c r="AA36" s="954">
        <f t="shared" si="5"/>
        <v>4.3749999999999997E-2</v>
      </c>
      <c r="AB36" s="954">
        <f>AB45</f>
        <v>4.4408920985006262E-16</v>
      </c>
      <c r="AC36" s="955">
        <f t="shared" si="4"/>
        <v>0</v>
      </c>
      <c r="AD36" s="610"/>
    </row>
    <row r="37" spans="2:30" x14ac:dyDescent="0.45">
      <c r="B37" s="597" t="str">
        <f t="shared" si="2"/>
        <v>Sales</v>
      </c>
      <c r="D37" s="583" t="str">
        <f>'12. Inputs-Props &amp; Debtors 2016'!C$81</f>
        <v>WC</v>
      </c>
      <c r="E37" s="596"/>
      <c r="I37" s="954">
        <v>0.2</v>
      </c>
      <c r="J37" s="954">
        <v>0.2</v>
      </c>
      <c r="K37" s="954">
        <v>0.15</v>
      </c>
      <c r="L37" s="954">
        <f t="shared" ref="L37:AA37" si="6">L46</f>
        <v>2.8124999999999997E-2</v>
      </c>
      <c r="M37" s="954">
        <f t="shared" si="6"/>
        <v>2.8124999999999997E-2</v>
      </c>
      <c r="N37" s="954">
        <f t="shared" si="6"/>
        <v>2.8124999999999997E-2</v>
      </c>
      <c r="O37" s="954">
        <f t="shared" si="6"/>
        <v>2.8124999999999997E-2</v>
      </c>
      <c r="P37" s="954">
        <f t="shared" si="6"/>
        <v>2.8124999999999997E-2</v>
      </c>
      <c r="Q37" s="954">
        <f t="shared" si="6"/>
        <v>2.8124999999999997E-2</v>
      </c>
      <c r="R37" s="954">
        <f t="shared" si="6"/>
        <v>2.8124999999999997E-2</v>
      </c>
      <c r="S37" s="954">
        <f t="shared" si="6"/>
        <v>2.8124999999999997E-2</v>
      </c>
      <c r="T37" s="954">
        <f t="shared" si="6"/>
        <v>2.8124999999999997E-2</v>
      </c>
      <c r="U37" s="954">
        <f t="shared" si="6"/>
        <v>2.8124999999999997E-2</v>
      </c>
      <c r="V37" s="954">
        <f t="shared" si="6"/>
        <v>2.8124999999999997E-2</v>
      </c>
      <c r="W37" s="954">
        <f t="shared" si="6"/>
        <v>2.8124999999999997E-2</v>
      </c>
      <c r="X37" s="954">
        <f t="shared" si="6"/>
        <v>2.8124999999999997E-2</v>
      </c>
      <c r="Y37" s="954">
        <f t="shared" si="6"/>
        <v>2.8124999999999997E-2</v>
      </c>
      <c r="Z37" s="954">
        <f t="shared" si="6"/>
        <v>2.8124999999999997E-2</v>
      </c>
      <c r="AA37" s="954">
        <f t="shared" si="6"/>
        <v>2.8124999999999997E-2</v>
      </c>
      <c r="AB37" s="954">
        <f>AB46</f>
        <v>6.6613381477509392E-16</v>
      </c>
      <c r="AC37" s="955">
        <f t="shared" si="4"/>
        <v>0</v>
      </c>
      <c r="AD37" s="610"/>
    </row>
    <row r="38" spans="2:30" ht="14.65" thickBot="1" x14ac:dyDescent="0.5">
      <c r="B38" s="597" t="str">
        <f t="shared" si="2"/>
        <v>Sales</v>
      </c>
      <c r="D38" s="583" t="str">
        <f>'12. Inputs-Props &amp; Debtors 2016'!C$82</f>
        <v>Total</v>
      </c>
      <c r="E38" s="596"/>
      <c r="I38" s="956">
        <f t="shared" ref="I38:AC38" si="7">SUMPRODUCT(I33:I37,$H$520:$H$524)/$H$525</f>
        <v>9.9689922480620155E-2</v>
      </c>
      <c r="J38" s="956">
        <f t="shared" si="7"/>
        <v>9.9689922480620155E-2</v>
      </c>
      <c r="K38" s="956">
        <f t="shared" si="7"/>
        <v>9.2277131782945734E-2</v>
      </c>
      <c r="L38" s="956">
        <f t="shared" si="7"/>
        <v>4.4271438953488368E-2</v>
      </c>
      <c r="M38" s="956">
        <f t="shared" si="7"/>
        <v>4.4271438953488368E-2</v>
      </c>
      <c r="N38" s="956">
        <f t="shared" si="7"/>
        <v>4.4271438953488368E-2</v>
      </c>
      <c r="O38" s="956">
        <f t="shared" si="7"/>
        <v>4.4271438953488368E-2</v>
      </c>
      <c r="P38" s="956">
        <f t="shared" si="7"/>
        <v>4.4271438953488368E-2</v>
      </c>
      <c r="Q38" s="956">
        <f t="shared" si="7"/>
        <v>4.4271438953488368E-2</v>
      </c>
      <c r="R38" s="956">
        <f t="shared" si="7"/>
        <v>4.4271438953488368E-2</v>
      </c>
      <c r="S38" s="956">
        <f t="shared" si="7"/>
        <v>4.4271438953488368E-2</v>
      </c>
      <c r="T38" s="956">
        <f t="shared" si="7"/>
        <v>4.4271438953488368E-2</v>
      </c>
      <c r="U38" s="956">
        <f t="shared" si="7"/>
        <v>4.4271438953488368E-2</v>
      </c>
      <c r="V38" s="956">
        <f t="shared" si="7"/>
        <v>4.4271438953488368E-2</v>
      </c>
      <c r="W38" s="956">
        <f t="shared" si="7"/>
        <v>4.4271438953488368E-2</v>
      </c>
      <c r="X38" s="956">
        <f t="shared" si="7"/>
        <v>4.4271438953488368E-2</v>
      </c>
      <c r="Y38" s="956">
        <f t="shared" si="7"/>
        <v>4.4271438953488368E-2</v>
      </c>
      <c r="Z38" s="956">
        <f t="shared" si="7"/>
        <v>4.4271438953488368E-2</v>
      </c>
      <c r="AA38" s="956">
        <f t="shared" si="7"/>
        <v>4.4271438953488368E-2</v>
      </c>
      <c r="AB38" s="956">
        <f t="shared" si="7"/>
        <v>3.865555593103791E-16</v>
      </c>
      <c r="AC38" s="956">
        <f t="shared" si="7"/>
        <v>0</v>
      </c>
      <c r="AD38" s="610"/>
    </row>
    <row r="39" spans="2:30" ht="14.65" outlineLevel="1" thickTop="1" x14ac:dyDescent="0.45">
      <c r="B39" s="597" t="str">
        <f t="shared" si="2"/>
        <v>Sales</v>
      </c>
      <c r="D39" s="596"/>
      <c r="E39" s="596"/>
      <c r="I39" s="590"/>
      <c r="J39" s="591"/>
      <c r="K39" s="590"/>
      <c r="L39" s="591"/>
      <c r="M39" s="590"/>
      <c r="N39" s="591"/>
      <c r="O39" s="590"/>
      <c r="P39" s="591"/>
      <c r="Q39" s="590"/>
      <c r="R39" s="590"/>
      <c r="S39" s="590"/>
      <c r="T39" s="590"/>
      <c r="U39" s="590"/>
      <c r="V39" s="590"/>
      <c r="W39" s="590"/>
      <c r="X39" s="590"/>
      <c r="Y39" s="590"/>
      <c r="Z39" s="590"/>
      <c r="AA39" s="590"/>
      <c r="AB39" s="590"/>
      <c r="AC39" s="590"/>
    </row>
    <row r="40" spans="2:30" outlineLevel="2" x14ac:dyDescent="0.45">
      <c r="B40" s="597" t="str">
        <f t="shared" si="2"/>
        <v>Sales</v>
      </c>
      <c r="D40" s="596"/>
      <c r="E40" s="596"/>
      <c r="I40" s="590"/>
      <c r="J40" s="591"/>
      <c r="K40" s="590"/>
      <c r="L40" s="591"/>
      <c r="M40" s="590"/>
      <c r="N40" s="591"/>
      <c r="O40" s="590"/>
      <c r="P40" s="591"/>
      <c r="Q40" s="590"/>
      <c r="R40" s="590"/>
      <c r="S40" s="590"/>
      <c r="T40" s="590"/>
      <c r="U40" s="590"/>
      <c r="V40" s="590"/>
      <c r="W40" s="590"/>
      <c r="X40" s="590"/>
      <c r="Y40" s="590"/>
      <c r="Z40" s="590"/>
      <c r="AA40" s="590"/>
      <c r="AB40" s="590"/>
      <c r="AC40" s="590"/>
    </row>
    <row r="41" spans="2:30" outlineLevel="2" x14ac:dyDescent="0.45">
      <c r="B41" s="597" t="str">
        <f t="shared" si="2"/>
        <v>Sales</v>
      </c>
      <c r="C41" s="451">
        <f>C32+1</f>
        <v>2</v>
      </c>
      <c r="D41" s="590" t="s">
        <v>1079</v>
      </c>
      <c r="E41" s="596"/>
      <c r="I41" s="642">
        <f t="shared" ref="I41:AB41" si="8">SUMPRODUCT(I42:I46,$H$520:$H$524)/$H$525</f>
        <v>9.9689922480620155E-2</v>
      </c>
      <c r="J41" s="642">
        <f t="shared" si="8"/>
        <v>9.9689922480620155E-2</v>
      </c>
      <c r="K41" s="642">
        <f t="shared" si="8"/>
        <v>9.2277131782945734E-2</v>
      </c>
      <c r="L41" s="642">
        <f t="shared" si="8"/>
        <v>4.4271438953488368E-2</v>
      </c>
      <c r="M41" s="642">
        <f t="shared" si="8"/>
        <v>4.4271438953488368E-2</v>
      </c>
      <c r="N41" s="642">
        <f t="shared" si="8"/>
        <v>4.4271438953488368E-2</v>
      </c>
      <c r="O41" s="642">
        <f t="shared" si="8"/>
        <v>4.4271438953488368E-2</v>
      </c>
      <c r="P41" s="642">
        <f t="shared" si="8"/>
        <v>4.4271438953488368E-2</v>
      </c>
      <c r="Q41" s="642">
        <f t="shared" si="8"/>
        <v>4.4271438953488368E-2</v>
      </c>
      <c r="R41" s="642">
        <f t="shared" si="8"/>
        <v>4.4271438953488368E-2</v>
      </c>
      <c r="S41" s="642">
        <f t="shared" si="8"/>
        <v>4.4271438953488368E-2</v>
      </c>
      <c r="T41" s="642">
        <f t="shared" si="8"/>
        <v>4.4271438953488368E-2</v>
      </c>
      <c r="U41" s="642">
        <f t="shared" si="8"/>
        <v>4.4271438953488368E-2</v>
      </c>
      <c r="V41" s="642">
        <f t="shared" si="8"/>
        <v>4.4271438953488368E-2</v>
      </c>
      <c r="W41" s="642">
        <f t="shared" si="8"/>
        <v>4.4271438953488368E-2</v>
      </c>
      <c r="X41" s="642">
        <f t="shared" si="8"/>
        <v>4.4271438953488368E-2</v>
      </c>
      <c r="Y41" s="642">
        <f t="shared" si="8"/>
        <v>4.4271438953488368E-2</v>
      </c>
      <c r="Z41" s="642">
        <f t="shared" si="8"/>
        <v>4.4271438953488368E-2</v>
      </c>
      <c r="AA41" s="642">
        <f t="shared" si="8"/>
        <v>4.4271438953488368E-2</v>
      </c>
      <c r="AB41" s="642">
        <f t="shared" si="8"/>
        <v>3.865555593103791E-16</v>
      </c>
      <c r="AC41" s="641">
        <f t="shared" ref="AC41:AC46" si="9">1-SUM(I41:AB41)</f>
        <v>0</v>
      </c>
      <c r="AD41" s="610">
        <f t="shared" ref="AD41:AD47" si="10">SUM(I41:AC41)</f>
        <v>1.0000000000000007</v>
      </c>
    </row>
    <row r="42" spans="2:30" outlineLevel="2" x14ac:dyDescent="0.45">
      <c r="B42" s="597" t="str">
        <f t="shared" si="2"/>
        <v>Sales</v>
      </c>
      <c r="D42" s="583" t="str">
        <f>'12. Inputs-Props &amp; Debtors 2016'!C$77</f>
        <v>EC</v>
      </c>
      <c r="E42" s="596"/>
      <c r="I42" s="957">
        <f>MIN(I33*I$13,100%)</f>
        <v>0.2</v>
      </c>
      <c r="J42" s="958">
        <f>IF(SUM($I42:I42)&gt;=100%,0,IF(AND(SUM($I42:I42)&lt;100%,SUM($I42:I42)+J33*J$13&gt;100%),100%-SUM($I42:I42),J33*J$13))</f>
        <v>0.2</v>
      </c>
      <c r="K42" s="958">
        <f>IF(SUM($I42:J42)&gt;=100%,0,IF(AND(SUM($I42:J42)&lt;100%,SUM($I42:J42)+K33*K$13&gt;100%),100%-SUM($I42:J42),K33*K$13))</f>
        <v>0.2</v>
      </c>
      <c r="L42" s="953">
        <f>IF(AND((SUM($I42:K42)+(1-SUM($I42:$K42))/MAX($L$13-1,1))&gt;100%),1-SUM($I42:K42),IF(L$4=($L$13+$L$4),1-SUM($I42:K42),IF(AND(SUM($I42:K42)&lt;100%,L$4&lt;($L$13+$L$4)),(1-SUM($I42:$K42))/MAX($L$13-1,1),0)))</f>
        <v>2.4999999999999994E-2</v>
      </c>
      <c r="M42" s="953">
        <f>IF(AND((SUM($I42:L42)+(1-SUM($I42:$K42))/MAX($L$13-1,1))&gt;100%),1-SUM($I42:L42),IF(M$4=($L$13+$L$4),1-SUM($I42:L42),IF(AND(SUM($I42:L42)&lt;100%,M$4&lt;($L$13+$L$4)),(1-SUM($I42:$K42))/MAX($L$13-1,1),0)))</f>
        <v>2.4999999999999994E-2</v>
      </c>
      <c r="N42" s="953">
        <f>IF(AND((SUM($I42:M42)+(1-SUM($I42:$K42))/MAX($L$13-1,1))&gt;100%),1-SUM($I42:M42),IF(N$4=($L$13+$L$4),1-SUM($I42:M42),IF(AND(SUM($I42:M42)&lt;100%,N$4&lt;($L$13+$L$4)),(1-SUM($I42:$K42))/MAX($L$13-1,1),0)))</f>
        <v>2.4999999999999994E-2</v>
      </c>
      <c r="O42" s="953">
        <f>IF(AND((SUM($I42:N42)+(1-SUM($I42:$K42))/MAX($L$13-1,1))&gt;100%),1-SUM($I42:N42),IF(O$4=($L$13+$L$4),1-SUM($I42:N42),IF(AND(SUM($I42:N42)&lt;100%,O$4&lt;($L$13+$L$4)),(1-SUM($I42:$K42))/MAX($L$13-1,1),0)))</f>
        <v>2.4999999999999994E-2</v>
      </c>
      <c r="P42" s="953">
        <f>IF(AND((SUM($I42:O42)+(1-SUM($I42:$K42))/MAX($L$13-1,1))&gt;100%),1-SUM($I42:O42),IF(P$4=($L$13+$L$4),1-SUM($I42:O42),IF(AND(SUM($I42:O42)&lt;100%,P$4&lt;($L$13+$L$4)),(1-SUM($I42:$K42))/MAX($L$13-1,1),0)))</f>
        <v>2.4999999999999994E-2</v>
      </c>
      <c r="Q42" s="953">
        <f>IF(AND((SUM($I42:P42)+(1-SUM($I42:$K42))/MAX($L$13-1,1))&gt;100%),1-SUM($I42:P42),IF(Q$4=($L$13+$L$4),1-SUM($I42:P42),IF(AND(SUM($I42:P42)&lt;100%,Q$4&lt;($L$13+$L$4)),(1-SUM($I42:$K42))/MAX($L$13-1,1),0)))</f>
        <v>2.4999999999999994E-2</v>
      </c>
      <c r="R42" s="953">
        <f>IF(AND((SUM($I42:Q42)+(1-SUM($I42:$K42))/MAX($L$13-1,1))&gt;100%),1-SUM($I42:Q42),IF(R$4=($L$13+$L$4),1-SUM($I42:Q42),IF(AND(SUM($I42:Q42)&lt;100%,R$4&lt;($L$13+$L$4)),(1-SUM($I42:$K42))/MAX($L$13-1,1),0)))</f>
        <v>2.4999999999999994E-2</v>
      </c>
      <c r="S42" s="953">
        <f>IF(AND((SUM($I42:R42)+(1-SUM($I42:$K42))/MAX($L$13-1,1))&gt;100%),1-SUM($I42:R42),IF(S$4=($L$13+$L$4),1-SUM($I42:R42),IF(AND(SUM($I42:R42)&lt;100%,S$4&lt;($L$13+$L$4)),(1-SUM($I42:$K42))/MAX($L$13-1,1),0)))</f>
        <v>2.4999999999999994E-2</v>
      </c>
      <c r="T42" s="953">
        <f>IF(AND((SUM($I42:S42)+(1-SUM($I42:$K42))/MAX($L$13-1,1))&gt;100%),1-SUM($I42:S42),IF(T$4=($L$13+$L$4),1-SUM($I42:S42),IF(AND(SUM($I42:S42)&lt;100%,T$4&lt;($L$13+$L$4)),(1-SUM($I42:$K42))/MAX($L$13-1,1),0)))</f>
        <v>2.4999999999999994E-2</v>
      </c>
      <c r="U42" s="953">
        <f>IF(AND((SUM($I42:T42)+(1-SUM($I42:$K42))/MAX($L$13-1,1))&gt;100%),1-SUM($I42:T42),IF(U$4=($L$13+$L$4),1-SUM($I42:T42),IF(AND(SUM($I42:T42)&lt;100%,U$4&lt;($L$13+$L$4)),(1-SUM($I42:$K42))/MAX($L$13-1,1),0)))</f>
        <v>2.4999999999999994E-2</v>
      </c>
      <c r="V42" s="953">
        <f>IF(AND((SUM($I42:U42)+(1-SUM($I42:$K42))/MAX($L$13-1,1))&gt;100%),1-SUM($I42:U42),IF(V$4=($L$13+$L$4),1-SUM($I42:U42),IF(AND(SUM($I42:U42)&lt;100%,V$4&lt;($L$13+$L$4)),(1-SUM($I42:$K42))/MAX($L$13-1,1),0)))</f>
        <v>2.4999999999999994E-2</v>
      </c>
      <c r="W42" s="953">
        <f>IF(AND((SUM($I42:V42)+(1-SUM($I42:$K42))/MAX($L$13-1,1))&gt;100%),1-SUM($I42:V42),IF(W$4=($L$13+$L$4),1-SUM($I42:V42),IF(AND(SUM($I42:V42)&lt;100%,W$4&lt;($L$13+$L$4)),(1-SUM($I42:$K42))/MAX($L$13-1,1),0)))</f>
        <v>2.4999999999999994E-2</v>
      </c>
      <c r="X42" s="953">
        <f>IF(AND((SUM($I42:W42)+(1-SUM($I42:$K42))/MAX($L$13-1,1))&gt;100%),1-SUM($I42:W42),IF(X$4=($L$13+$L$4),1-SUM($I42:W42),IF(AND(SUM($I42:W42)&lt;100%,X$4&lt;($L$13+$L$4)),(1-SUM($I42:$K42))/MAX($L$13-1,1),0)))</f>
        <v>2.4999999999999994E-2</v>
      </c>
      <c r="Y42" s="953">
        <f>IF(AND((SUM($I42:X42)+(1-SUM($I42:$K42))/MAX($L$13-1,1))&gt;100%),1-SUM($I42:X42),IF(Y$4=($L$13+$L$4),1-SUM($I42:X42),IF(AND(SUM($I42:X42)&lt;100%,Y$4&lt;($L$13+$L$4)),(1-SUM($I42:$K42))/MAX($L$13-1,1),0)))</f>
        <v>2.4999999999999994E-2</v>
      </c>
      <c r="Z42" s="953">
        <f>IF(AND((SUM($I42:Y42)+(1-SUM($I42:$K42))/MAX($L$13-1,1))&gt;100%),1-SUM($I42:Y42),IF(Z$4=($L$13+$L$4),1-SUM($I42:Y42),IF(AND(SUM($I42:Y42)&lt;100%,Z$4&lt;($L$13+$L$4)),(1-SUM($I42:$K42))/MAX($L$13-1,1),0)))</f>
        <v>2.4999999999999994E-2</v>
      </c>
      <c r="AA42" s="953">
        <f>IF(AND((SUM($I42:Z42)+(1-SUM($I42:$K42))/MAX($L$13-1,1))&gt;100%),1-SUM($I42:Z42),IF(AA$4=($L$13+$L$4),1-SUM($I42:Z42),IF(AND(SUM($I42:Z42)&lt;100%,AA$4&lt;($L$13+$L$4)),(1-SUM($I42:$K42))/MAX($L$13-1,1),0)))</f>
        <v>2.4999999999999994E-2</v>
      </c>
      <c r="AB42" s="953">
        <f>IF(AND((SUM($I42:AA42)+(1-SUM($I42:$K42))/MAX($L$13-1,1))&gt;100%),1-SUM($I42:AA42),IF(AB$4=($L$13+$L$4),1-SUM($I42:AA42),IF(AND(SUM($I42:AA42)&lt;100%,AB$4&lt;($L$13+$L$4)),(1-SUM($I42:$K42))/MAX($L$13-1,1),0)))</f>
        <v>-4.4408920985006262E-16</v>
      </c>
      <c r="AC42" s="955">
        <f t="shared" si="9"/>
        <v>0</v>
      </c>
      <c r="AD42" s="610">
        <f t="shared" si="10"/>
        <v>1</v>
      </c>
    </row>
    <row r="43" spans="2:30" outlineLevel="2" x14ac:dyDescent="0.45">
      <c r="B43" s="597" t="str">
        <f t="shared" si="2"/>
        <v>Sales</v>
      </c>
      <c r="D43" s="583" t="str">
        <f>'12. Inputs-Props &amp; Debtors 2016'!C$78</f>
        <v>FS</v>
      </c>
      <c r="E43" s="596"/>
      <c r="I43" s="957">
        <f>MIN(I34*I$13,100%)</f>
        <v>0.05</v>
      </c>
      <c r="J43" s="958">
        <f>IF(SUM($I43:I43)&gt;=100%,0,IF(AND(SUM($I43:I43)&lt;100%,SUM($I43:I43)+J34*J$13&gt;100%),100%-SUM($I43:I43),J34*J$13))</f>
        <v>0.05</v>
      </c>
      <c r="K43" s="958">
        <f>IF(SUM($I43:J43)&gt;=100%,0,IF(AND(SUM($I43:J43)&lt;100%,SUM($I43:J43)+K34*K$13&gt;100%),100%-SUM($I43:J43),K34*K$13))</f>
        <v>0.05</v>
      </c>
      <c r="L43" s="953">
        <f>IF(AND((SUM($I43:K43)+(1-SUM($I43:$K43))/MAX($L$13-1,1))&gt;100%),1-SUM($I43:K43),IF(L$4=($L$13+$L$4),1-SUM($I43:K43),IF(AND(SUM($I43:K43)&lt;100%,L$4&lt;($L$13+$L$4)),(1-SUM($I43:$K43))/MAX($L$13-1,1),0)))</f>
        <v>5.3124999999999999E-2</v>
      </c>
      <c r="M43" s="953">
        <f>IF(AND((SUM($I43:L43)+(1-SUM($I43:$K43))/MAX($L$13-1,1))&gt;100%),1-SUM($I43:L43),IF(M$4=($L$13+$L$4),1-SUM($I43:L43),IF(AND(SUM($I43:L43)&lt;100%,M$4&lt;($L$13+$L$4)),(1-SUM($I43:$K43))/MAX($L$13-1,1),0)))</f>
        <v>5.3124999999999999E-2</v>
      </c>
      <c r="N43" s="953">
        <f>IF(AND((SUM($I43:M43)+(1-SUM($I43:$K43))/MAX($L$13-1,1))&gt;100%),1-SUM($I43:M43),IF(N$4=($L$13+$L$4),1-SUM($I43:M43),IF(AND(SUM($I43:M43)&lt;100%,N$4&lt;($L$13+$L$4)),(1-SUM($I43:$K43))/MAX($L$13-1,1),0)))</f>
        <v>5.3124999999999999E-2</v>
      </c>
      <c r="O43" s="953">
        <f>IF(AND((SUM($I43:N43)+(1-SUM($I43:$K43))/MAX($L$13-1,1))&gt;100%),1-SUM($I43:N43),IF(O$4=($L$13+$L$4),1-SUM($I43:N43),IF(AND(SUM($I43:N43)&lt;100%,O$4&lt;($L$13+$L$4)),(1-SUM($I43:$K43))/MAX($L$13-1,1),0)))</f>
        <v>5.3124999999999999E-2</v>
      </c>
      <c r="P43" s="953">
        <f>IF(AND((SUM($I43:O43)+(1-SUM($I43:$K43))/MAX($L$13-1,1))&gt;100%),1-SUM($I43:O43),IF(P$4=($L$13+$L$4),1-SUM($I43:O43),IF(AND(SUM($I43:O43)&lt;100%,P$4&lt;($L$13+$L$4)),(1-SUM($I43:$K43))/MAX($L$13-1,1),0)))</f>
        <v>5.3124999999999999E-2</v>
      </c>
      <c r="Q43" s="953">
        <f>IF(AND((SUM($I43:P43)+(1-SUM($I43:$K43))/MAX($L$13-1,1))&gt;100%),1-SUM($I43:P43),IF(Q$4=($L$13+$L$4),1-SUM($I43:P43),IF(AND(SUM($I43:P43)&lt;100%,Q$4&lt;($L$13+$L$4)),(1-SUM($I43:$K43))/MAX($L$13-1,1),0)))</f>
        <v>5.3124999999999999E-2</v>
      </c>
      <c r="R43" s="953">
        <f>IF(AND((SUM($I43:Q43)+(1-SUM($I43:$K43))/MAX($L$13-1,1))&gt;100%),1-SUM($I43:Q43),IF(R$4=($L$13+$L$4),1-SUM($I43:Q43),IF(AND(SUM($I43:Q43)&lt;100%,R$4&lt;($L$13+$L$4)),(1-SUM($I43:$K43))/MAX($L$13-1,1),0)))</f>
        <v>5.3124999999999999E-2</v>
      </c>
      <c r="S43" s="953">
        <f>IF(AND((SUM($I43:R43)+(1-SUM($I43:$K43))/MAX($L$13-1,1))&gt;100%),1-SUM($I43:R43),IF(S$4=($L$13+$L$4),1-SUM($I43:R43),IF(AND(SUM($I43:R43)&lt;100%,S$4&lt;($L$13+$L$4)),(1-SUM($I43:$K43))/MAX($L$13-1,1),0)))</f>
        <v>5.3124999999999999E-2</v>
      </c>
      <c r="T43" s="953">
        <f>IF(AND((SUM($I43:S43)+(1-SUM($I43:$K43))/MAX($L$13-1,1))&gt;100%),1-SUM($I43:S43),IF(T$4=($L$13+$L$4),1-SUM($I43:S43),IF(AND(SUM($I43:S43)&lt;100%,T$4&lt;($L$13+$L$4)),(1-SUM($I43:$K43))/MAX($L$13-1,1),0)))</f>
        <v>5.3124999999999999E-2</v>
      </c>
      <c r="U43" s="953">
        <f>IF(AND((SUM($I43:T43)+(1-SUM($I43:$K43))/MAX($L$13-1,1))&gt;100%),1-SUM($I43:T43),IF(U$4=($L$13+$L$4),1-SUM($I43:T43),IF(AND(SUM($I43:T43)&lt;100%,U$4&lt;($L$13+$L$4)),(1-SUM($I43:$K43))/MAX($L$13-1,1),0)))</f>
        <v>5.3124999999999999E-2</v>
      </c>
      <c r="V43" s="953">
        <f>IF(AND((SUM($I43:U43)+(1-SUM($I43:$K43))/MAX($L$13-1,1))&gt;100%),1-SUM($I43:U43),IF(V$4=($L$13+$L$4),1-SUM($I43:U43),IF(AND(SUM($I43:U43)&lt;100%,V$4&lt;($L$13+$L$4)),(1-SUM($I43:$K43))/MAX($L$13-1,1),0)))</f>
        <v>5.3124999999999999E-2</v>
      </c>
      <c r="W43" s="953">
        <f>IF(AND((SUM($I43:V43)+(1-SUM($I43:$K43))/MAX($L$13-1,1))&gt;100%),1-SUM($I43:V43),IF(W$4=($L$13+$L$4),1-SUM($I43:V43),IF(AND(SUM($I43:V43)&lt;100%,W$4&lt;($L$13+$L$4)),(1-SUM($I43:$K43))/MAX($L$13-1,1),0)))</f>
        <v>5.3124999999999999E-2</v>
      </c>
      <c r="X43" s="953">
        <f>IF(AND((SUM($I43:W43)+(1-SUM($I43:$K43))/MAX($L$13-1,1))&gt;100%),1-SUM($I43:W43),IF(X$4=($L$13+$L$4),1-SUM($I43:W43),IF(AND(SUM($I43:W43)&lt;100%,X$4&lt;($L$13+$L$4)),(1-SUM($I43:$K43))/MAX($L$13-1,1),0)))</f>
        <v>5.3124999999999999E-2</v>
      </c>
      <c r="Y43" s="953">
        <f>IF(AND((SUM($I43:X43)+(1-SUM($I43:$K43))/MAX($L$13-1,1))&gt;100%),1-SUM($I43:X43),IF(Y$4=($L$13+$L$4),1-SUM($I43:X43),IF(AND(SUM($I43:X43)&lt;100%,Y$4&lt;($L$13+$L$4)),(1-SUM($I43:$K43))/MAX($L$13-1,1),0)))</f>
        <v>5.3124999999999999E-2</v>
      </c>
      <c r="Z43" s="953">
        <f>IF(AND((SUM($I43:Y43)+(1-SUM($I43:$K43))/MAX($L$13-1,1))&gt;100%),1-SUM($I43:Y43),IF(Z$4=($L$13+$L$4),1-SUM($I43:Y43),IF(AND(SUM($I43:Y43)&lt;100%,Z$4&lt;($L$13+$L$4)),(1-SUM($I43:$K43))/MAX($L$13-1,1),0)))</f>
        <v>5.3124999999999999E-2</v>
      </c>
      <c r="AA43" s="953">
        <f>IF(AND((SUM($I43:Z43)+(1-SUM($I43:$K43))/MAX($L$13-1,1))&gt;100%),1-SUM($I43:Z43),IF(AA$4=($L$13+$L$4),1-SUM($I43:Z43),IF(AND(SUM($I43:Z43)&lt;100%,AA$4&lt;($L$13+$L$4)),(1-SUM($I43:$K43))/MAX($L$13-1,1),0)))</f>
        <v>5.3124999999999999E-2</v>
      </c>
      <c r="AB43" s="953">
        <f>IF(AND((SUM($I43:AA43)+(1-SUM($I43:$K43))/MAX($L$13-1,1))&gt;100%),1-SUM($I43:AA43),IF(AB$4=($L$13+$L$4),1-SUM($I43:AA43),IF(AND(SUM($I43:AA43)&lt;100%,AB$4&lt;($L$13+$L$4)),(1-SUM($I43:$K43))/MAX($L$13-1,1),0)))</f>
        <v>2.2204460492503131E-16</v>
      </c>
      <c r="AC43" s="955">
        <f t="shared" si="9"/>
        <v>0</v>
      </c>
      <c r="AD43" s="610">
        <f t="shared" si="10"/>
        <v>1</v>
      </c>
    </row>
    <row r="44" spans="2:30" outlineLevel="2" x14ac:dyDescent="0.45">
      <c r="B44" s="597" t="str">
        <f t="shared" si="2"/>
        <v>Sales</v>
      </c>
      <c r="D44" s="583" t="str">
        <f>'12. Inputs-Props &amp; Debtors 2016'!C$79</f>
        <v>Gau</v>
      </c>
      <c r="E44" s="596"/>
      <c r="I44" s="957">
        <f>MIN(I35*I$13,100%)</f>
        <v>0.05</v>
      </c>
      <c r="J44" s="958">
        <f>IF(SUM($I44:I44)&gt;=100%,0,IF(AND(SUM($I44:I44)&lt;100%,SUM($I44:I44)+J35*J$13&gt;100%),100%-SUM($I44:I44),J35*J$13))</f>
        <v>0.05</v>
      </c>
      <c r="K44" s="958">
        <f>IF(SUM($I44:J44)&gt;=100%,0,IF(AND(SUM($I44:J44)&lt;100%,SUM($I44:J44)+K35*K$13&gt;100%),100%-SUM($I44:J44),K35*K$13))</f>
        <v>0.05</v>
      </c>
      <c r="L44" s="953">
        <f>IF(AND((SUM($I44:K44)+(1-SUM($I44:$K44))/MAX($L$13-1,1))&gt;100%),1-SUM($I44:K44),IF(L$4=($L$13+$L$4),1-SUM($I44:K44),IF(AND(SUM($I44:K44)&lt;100%,L$4&lt;($L$13+$L$4)),(1-SUM($I44:$K44))/MAX($L$13-1,1),0)))</f>
        <v>5.3124999999999999E-2</v>
      </c>
      <c r="M44" s="953">
        <f>IF(AND((SUM($I44:L44)+(1-SUM($I44:$K44))/MAX($L$13-1,1))&gt;100%),1-SUM($I44:L44),IF(M$4=($L$13+$L$4),1-SUM($I44:L44),IF(AND(SUM($I44:L44)&lt;100%,M$4&lt;($L$13+$L$4)),(1-SUM($I44:$K44))/MAX($L$13-1,1),0)))</f>
        <v>5.3124999999999999E-2</v>
      </c>
      <c r="N44" s="953">
        <f>IF(AND((SUM($I44:M44)+(1-SUM($I44:$K44))/MAX($L$13-1,1))&gt;100%),1-SUM($I44:M44),IF(N$4=($L$13+$L$4),1-SUM($I44:M44),IF(AND(SUM($I44:M44)&lt;100%,N$4&lt;($L$13+$L$4)),(1-SUM($I44:$K44))/MAX($L$13-1,1),0)))</f>
        <v>5.3124999999999999E-2</v>
      </c>
      <c r="O44" s="953">
        <f>IF(AND((SUM($I44:N44)+(1-SUM($I44:$K44))/MAX($L$13-1,1))&gt;100%),1-SUM($I44:N44),IF(O$4=($L$13+$L$4),1-SUM($I44:N44),IF(AND(SUM($I44:N44)&lt;100%,O$4&lt;($L$13+$L$4)),(1-SUM($I44:$K44))/MAX($L$13-1,1),0)))</f>
        <v>5.3124999999999999E-2</v>
      </c>
      <c r="P44" s="953">
        <f>IF(AND((SUM($I44:O44)+(1-SUM($I44:$K44))/MAX($L$13-1,1))&gt;100%),1-SUM($I44:O44),IF(P$4=($L$13+$L$4),1-SUM($I44:O44),IF(AND(SUM($I44:O44)&lt;100%,P$4&lt;($L$13+$L$4)),(1-SUM($I44:$K44))/MAX($L$13-1,1),0)))</f>
        <v>5.3124999999999999E-2</v>
      </c>
      <c r="Q44" s="953">
        <f>IF(AND((SUM($I44:P44)+(1-SUM($I44:$K44))/MAX($L$13-1,1))&gt;100%),1-SUM($I44:P44),IF(Q$4=($L$13+$L$4),1-SUM($I44:P44),IF(AND(SUM($I44:P44)&lt;100%,Q$4&lt;($L$13+$L$4)),(1-SUM($I44:$K44))/MAX($L$13-1,1),0)))</f>
        <v>5.3124999999999999E-2</v>
      </c>
      <c r="R44" s="953">
        <f>IF(AND((SUM($I44:Q44)+(1-SUM($I44:$K44))/MAX($L$13-1,1))&gt;100%),1-SUM($I44:Q44),IF(R$4=($L$13+$L$4),1-SUM($I44:Q44),IF(AND(SUM($I44:Q44)&lt;100%,R$4&lt;($L$13+$L$4)),(1-SUM($I44:$K44))/MAX($L$13-1,1),0)))</f>
        <v>5.3124999999999999E-2</v>
      </c>
      <c r="S44" s="953">
        <f>IF(AND((SUM($I44:R44)+(1-SUM($I44:$K44))/MAX($L$13-1,1))&gt;100%),1-SUM($I44:R44),IF(S$4=($L$13+$L$4),1-SUM($I44:R44),IF(AND(SUM($I44:R44)&lt;100%,S$4&lt;($L$13+$L$4)),(1-SUM($I44:$K44))/MAX($L$13-1,1),0)))</f>
        <v>5.3124999999999999E-2</v>
      </c>
      <c r="T44" s="953">
        <f>IF(AND((SUM($I44:S44)+(1-SUM($I44:$K44))/MAX($L$13-1,1))&gt;100%),1-SUM($I44:S44),IF(T$4=($L$13+$L$4),1-SUM($I44:S44),IF(AND(SUM($I44:S44)&lt;100%,T$4&lt;($L$13+$L$4)),(1-SUM($I44:$K44))/MAX($L$13-1,1),0)))</f>
        <v>5.3124999999999999E-2</v>
      </c>
      <c r="U44" s="953">
        <f>IF(AND((SUM($I44:T44)+(1-SUM($I44:$K44))/MAX($L$13-1,1))&gt;100%),1-SUM($I44:T44),IF(U$4=($L$13+$L$4),1-SUM($I44:T44),IF(AND(SUM($I44:T44)&lt;100%,U$4&lt;($L$13+$L$4)),(1-SUM($I44:$K44))/MAX($L$13-1,1),0)))</f>
        <v>5.3124999999999999E-2</v>
      </c>
      <c r="V44" s="953">
        <f>IF(AND((SUM($I44:U44)+(1-SUM($I44:$K44))/MAX($L$13-1,1))&gt;100%),1-SUM($I44:U44),IF(V$4=($L$13+$L$4),1-SUM($I44:U44),IF(AND(SUM($I44:U44)&lt;100%,V$4&lt;($L$13+$L$4)),(1-SUM($I44:$K44))/MAX($L$13-1,1),0)))</f>
        <v>5.3124999999999999E-2</v>
      </c>
      <c r="W44" s="953">
        <f>IF(AND((SUM($I44:V44)+(1-SUM($I44:$K44))/MAX($L$13-1,1))&gt;100%),1-SUM($I44:V44),IF(W$4=($L$13+$L$4),1-SUM($I44:V44),IF(AND(SUM($I44:V44)&lt;100%,W$4&lt;($L$13+$L$4)),(1-SUM($I44:$K44))/MAX($L$13-1,1),0)))</f>
        <v>5.3124999999999999E-2</v>
      </c>
      <c r="X44" s="953">
        <f>IF(AND((SUM($I44:W44)+(1-SUM($I44:$K44))/MAX($L$13-1,1))&gt;100%),1-SUM($I44:W44),IF(X$4=($L$13+$L$4),1-SUM($I44:W44),IF(AND(SUM($I44:W44)&lt;100%,X$4&lt;($L$13+$L$4)),(1-SUM($I44:$K44))/MAX($L$13-1,1),0)))</f>
        <v>5.3124999999999999E-2</v>
      </c>
      <c r="Y44" s="953">
        <f>IF(AND((SUM($I44:X44)+(1-SUM($I44:$K44))/MAX($L$13-1,1))&gt;100%),1-SUM($I44:X44),IF(Y$4=($L$13+$L$4),1-SUM($I44:X44),IF(AND(SUM($I44:X44)&lt;100%,Y$4&lt;($L$13+$L$4)),(1-SUM($I44:$K44))/MAX($L$13-1,1),0)))</f>
        <v>5.3124999999999999E-2</v>
      </c>
      <c r="Z44" s="953">
        <f>IF(AND((SUM($I44:Y44)+(1-SUM($I44:$K44))/MAX($L$13-1,1))&gt;100%),1-SUM($I44:Y44),IF(Z$4=($L$13+$L$4),1-SUM($I44:Y44),IF(AND(SUM($I44:Y44)&lt;100%,Z$4&lt;($L$13+$L$4)),(1-SUM($I44:$K44))/MAX($L$13-1,1),0)))</f>
        <v>5.3124999999999999E-2</v>
      </c>
      <c r="AA44" s="953">
        <f>IF(AND((SUM($I44:Z44)+(1-SUM($I44:$K44))/MAX($L$13-1,1))&gt;100%),1-SUM($I44:Z44),IF(AA$4=($L$13+$L$4),1-SUM($I44:Z44),IF(AND(SUM($I44:Z44)&lt;100%,AA$4&lt;($L$13+$L$4)),(1-SUM($I44:$K44))/MAX($L$13-1,1),0)))</f>
        <v>5.3124999999999999E-2</v>
      </c>
      <c r="AB44" s="953">
        <f>IF(AND((SUM($I44:AA44)+(1-SUM($I44:$K44))/MAX($L$13-1,1))&gt;100%),1-SUM($I44:AA44),IF(AB$4=($L$13+$L$4),1-SUM($I44:AA44),IF(AND(SUM($I44:AA44)&lt;100%,AB$4&lt;($L$13+$L$4)),(1-SUM($I44:$K44))/MAX($L$13-1,1),0)))</f>
        <v>2.2204460492503131E-16</v>
      </c>
      <c r="AC44" s="955">
        <f t="shared" si="9"/>
        <v>0</v>
      </c>
      <c r="AD44" s="610">
        <f t="shared" si="10"/>
        <v>1</v>
      </c>
    </row>
    <row r="45" spans="2:30" outlineLevel="2" x14ac:dyDescent="0.45">
      <c r="B45" s="597" t="str">
        <f t="shared" si="2"/>
        <v>Sales</v>
      </c>
      <c r="D45" s="583" t="str">
        <f>'12. Inputs-Props &amp; Debtors 2016'!C$80</f>
        <v>KZN</v>
      </c>
      <c r="E45" s="596"/>
      <c r="I45" s="957">
        <f>MIN(I36*I$13,100%)</f>
        <v>0.1</v>
      </c>
      <c r="J45" s="958">
        <f>IF(SUM($I45:I45)&gt;=100%,0,IF(AND(SUM($I45:I45)&lt;100%,SUM($I45:I45)+J36*J$13&gt;100%),100%-SUM($I45:I45),J36*J$13))</f>
        <v>0.1</v>
      </c>
      <c r="K45" s="958">
        <f>IF(SUM($I45:J45)&gt;=100%,0,IF(AND(SUM($I45:J45)&lt;100%,SUM($I45:J45)+K36*K$13&gt;100%),100%-SUM($I45:J45),K36*K$13))</f>
        <v>0.1</v>
      </c>
      <c r="L45" s="953">
        <f>IF(AND((SUM($I45:K45)+(1-SUM($I45:$K45))/MAX($L$13-1,1))&gt;100%),1-SUM($I45:K45),IF(L$4=($L$13+$L$4),1-SUM($I45:K45),IF(AND(SUM($I45:K45)&lt;100%,L$4&lt;($L$13+$L$4)),(1-SUM($I45:$K45))/MAX($L$13-1,1),0)))</f>
        <v>4.3749999999999997E-2</v>
      </c>
      <c r="M45" s="953">
        <f>IF(AND((SUM($I45:L45)+(1-SUM($I45:$K45))/MAX($L$13-1,1))&gt;100%),1-SUM($I45:L45),IF(M$4=($L$13+$L$4),1-SUM($I45:L45),IF(AND(SUM($I45:L45)&lt;100%,M$4&lt;($L$13+$L$4)),(1-SUM($I45:$K45))/MAX($L$13-1,1),0)))</f>
        <v>4.3749999999999997E-2</v>
      </c>
      <c r="N45" s="953">
        <f>IF(AND((SUM($I45:M45)+(1-SUM($I45:$K45))/MAX($L$13-1,1))&gt;100%),1-SUM($I45:M45),IF(N$4=($L$13+$L$4),1-SUM($I45:M45),IF(AND(SUM($I45:M45)&lt;100%,N$4&lt;($L$13+$L$4)),(1-SUM($I45:$K45))/MAX($L$13-1,1),0)))</f>
        <v>4.3749999999999997E-2</v>
      </c>
      <c r="O45" s="953">
        <f>IF(AND((SUM($I45:N45)+(1-SUM($I45:$K45))/MAX($L$13-1,1))&gt;100%),1-SUM($I45:N45),IF(O$4=($L$13+$L$4),1-SUM($I45:N45),IF(AND(SUM($I45:N45)&lt;100%,O$4&lt;($L$13+$L$4)),(1-SUM($I45:$K45))/MAX($L$13-1,1),0)))</f>
        <v>4.3749999999999997E-2</v>
      </c>
      <c r="P45" s="953">
        <f>IF(AND((SUM($I45:O45)+(1-SUM($I45:$K45))/MAX($L$13-1,1))&gt;100%),1-SUM($I45:O45),IF(P$4=($L$13+$L$4),1-SUM($I45:O45),IF(AND(SUM($I45:O45)&lt;100%,P$4&lt;($L$13+$L$4)),(1-SUM($I45:$K45))/MAX($L$13-1,1),0)))</f>
        <v>4.3749999999999997E-2</v>
      </c>
      <c r="Q45" s="953">
        <f>IF(AND((SUM($I45:P45)+(1-SUM($I45:$K45))/MAX($L$13-1,1))&gt;100%),1-SUM($I45:P45),IF(Q$4=($L$13+$L$4),1-SUM($I45:P45),IF(AND(SUM($I45:P45)&lt;100%,Q$4&lt;($L$13+$L$4)),(1-SUM($I45:$K45))/MAX($L$13-1,1),0)))</f>
        <v>4.3749999999999997E-2</v>
      </c>
      <c r="R45" s="953">
        <f>IF(AND((SUM($I45:Q45)+(1-SUM($I45:$K45))/MAX($L$13-1,1))&gt;100%),1-SUM($I45:Q45),IF(R$4=($L$13+$L$4),1-SUM($I45:Q45),IF(AND(SUM($I45:Q45)&lt;100%,R$4&lt;($L$13+$L$4)),(1-SUM($I45:$K45))/MAX($L$13-1,1),0)))</f>
        <v>4.3749999999999997E-2</v>
      </c>
      <c r="S45" s="953">
        <f>IF(AND((SUM($I45:R45)+(1-SUM($I45:$K45))/MAX($L$13-1,1))&gt;100%),1-SUM($I45:R45),IF(S$4=($L$13+$L$4),1-SUM($I45:R45),IF(AND(SUM($I45:R45)&lt;100%,S$4&lt;($L$13+$L$4)),(1-SUM($I45:$K45))/MAX($L$13-1,1),0)))</f>
        <v>4.3749999999999997E-2</v>
      </c>
      <c r="T45" s="953">
        <f>IF(AND((SUM($I45:S45)+(1-SUM($I45:$K45))/MAX($L$13-1,1))&gt;100%),1-SUM($I45:S45),IF(T$4=($L$13+$L$4),1-SUM($I45:S45),IF(AND(SUM($I45:S45)&lt;100%,T$4&lt;($L$13+$L$4)),(1-SUM($I45:$K45))/MAX($L$13-1,1),0)))</f>
        <v>4.3749999999999997E-2</v>
      </c>
      <c r="U45" s="953">
        <f>IF(AND((SUM($I45:T45)+(1-SUM($I45:$K45))/MAX($L$13-1,1))&gt;100%),1-SUM($I45:T45),IF(U$4=($L$13+$L$4),1-SUM($I45:T45),IF(AND(SUM($I45:T45)&lt;100%,U$4&lt;($L$13+$L$4)),(1-SUM($I45:$K45))/MAX($L$13-1,1),0)))</f>
        <v>4.3749999999999997E-2</v>
      </c>
      <c r="V45" s="953">
        <f>IF(AND((SUM($I45:U45)+(1-SUM($I45:$K45))/MAX($L$13-1,1))&gt;100%),1-SUM($I45:U45),IF(V$4=($L$13+$L$4),1-SUM($I45:U45),IF(AND(SUM($I45:U45)&lt;100%,V$4&lt;($L$13+$L$4)),(1-SUM($I45:$K45))/MAX($L$13-1,1),0)))</f>
        <v>4.3749999999999997E-2</v>
      </c>
      <c r="W45" s="953">
        <f>IF(AND((SUM($I45:V45)+(1-SUM($I45:$K45))/MAX($L$13-1,1))&gt;100%),1-SUM($I45:V45),IF(W$4=($L$13+$L$4),1-SUM($I45:V45),IF(AND(SUM($I45:V45)&lt;100%,W$4&lt;($L$13+$L$4)),(1-SUM($I45:$K45))/MAX($L$13-1,1),0)))</f>
        <v>4.3749999999999997E-2</v>
      </c>
      <c r="X45" s="953">
        <f>IF(AND((SUM($I45:W45)+(1-SUM($I45:$K45))/MAX($L$13-1,1))&gt;100%),1-SUM($I45:W45),IF(X$4=($L$13+$L$4),1-SUM($I45:W45),IF(AND(SUM($I45:W45)&lt;100%,X$4&lt;($L$13+$L$4)),(1-SUM($I45:$K45))/MAX($L$13-1,1),0)))</f>
        <v>4.3749999999999997E-2</v>
      </c>
      <c r="Y45" s="953">
        <f>IF(AND((SUM($I45:X45)+(1-SUM($I45:$K45))/MAX($L$13-1,1))&gt;100%),1-SUM($I45:X45),IF(Y$4=($L$13+$L$4),1-SUM($I45:X45),IF(AND(SUM($I45:X45)&lt;100%,Y$4&lt;($L$13+$L$4)),(1-SUM($I45:$K45))/MAX($L$13-1,1),0)))</f>
        <v>4.3749999999999997E-2</v>
      </c>
      <c r="Z45" s="953">
        <f>IF(AND((SUM($I45:Y45)+(1-SUM($I45:$K45))/MAX($L$13-1,1))&gt;100%),1-SUM($I45:Y45),IF(Z$4=($L$13+$L$4),1-SUM($I45:Y45),IF(AND(SUM($I45:Y45)&lt;100%,Z$4&lt;($L$13+$L$4)),(1-SUM($I45:$K45))/MAX($L$13-1,1),0)))</f>
        <v>4.3749999999999997E-2</v>
      </c>
      <c r="AA45" s="953">
        <f>IF(AND((SUM($I45:Z45)+(1-SUM($I45:$K45))/MAX($L$13-1,1))&gt;100%),1-SUM($I45:Z45),IF(AA$4=($L$13+$L$4),1-SUM($I45:Z45),IF(AND(SUM($I45:Z45)&lt;100%,AA$4&lt;($L$13+$L$4)),(1-SUM($I45:$K45))/MAX($L$13-1,1),0)))</f>
        <v>4.3749999999999997E-2</v>
      </c>
      <c r="AB45" s="953">
        <f>IF(AND((SUM($I45:AA45)+(1-SUM($I45:$K45))/MAX($L$13-1,1))&gt;100%),1-SUM($I45:AA45),IF(AB$4=($L$13+$L$4),1-SUM($I45:AA45),IF(AND(SUM($I45:AA45)&lt;100%,AB$4&lt;($L$13+$L$4)),(1-SUM($I45:$K45))/MAX($L$13-1,1),0)))</f>
        <v>4.4408920985006262E-16</v>
      </c>
      <c r="AC45" s="955">
        <f t="shared" si="9"/>
        <v>0</v>
      </c>
      <c r="AD45" s="610">
        <f t="shared" si="10"/>
        <v>1</v>
      </c>
    </row>
    <row r="46" spans="2:30" outlineLevel="2" x14ac:dyDescent="0.45">
      <c r="B46" s="597" t="str">
        <f t="shared" si="2"/>
        <v>Sales</v>
      </c>
      <c r="D46" s="583" t="str">
        <f>'12. Inputs-Props &amp; Debtors 2016'!C$81</f>
        <v>WC</v>
      </c>
      <c r="E46" s="596"/>
      <c r="I46" s="957">
        <f>MIN(I37*I$13,100%)</f>
        <v>0.2</v>
      </c>
      <c r="J46" s="958">
        <f>IF(SUM($I46:I46)&gt;=100%,0,IF(AND(SUM($I46:I46)&lt;100%,SUM($I46:I46)+J37*J$13&gt;100%),100%-SUM($I46:I46),J37*J$13))</f>
        <v>0.2</v>
      </c>
      <c r="K46" s="958">
        <f>IF(SUM($I46:J46)&gt;=100%,0,IF(AND(SUM($I46:J46)&lt;100%,SUM($I46:J46)+K37*K$13&gt;100%),100%-SUM($I46:J46),K37*K$13))</f>
        <v>0.15</v>
      </c>
      <c r="L46" s="953">
        <f>IF(AND((SUM($I46:K46)+(1-SUM($I46:$K46))/MAX($L$13-1,1))&gt;100%),1-SUM($I46:K46),IF(L$4=($L$13+$L$4),1-SUM($I46:K46),IF(AND(SUM($I46:K46)&lt;100%,L$4&lt;($L$13+$L$4)),(1-SUM($I46:$K46))/MAX($L$13-1,1),0)))</f>
        <v>2.8124999999999997E-2</v>
      </c>
      <c r="M46" s="953">
        <f>IF(AND((SUM($I46:L46)+(1-SUM($I46:$K46))/MAX($L$13-1,1))&gt;100%),1-SUM($I46:L46),IF(M$4=($L$13+$L$4),1-SUM($I46:L46),IF(AND(SUM($I46:L46)&lt;100%,M$4&lt;($L$13+$L$4)),(1-SUM($I46:$K46))/MAX($L$13-1,1),0)))</f>
        <v>2.8124999999999997E-2</v>
      </c>
      <c r="N46" s="953">
        <f>IF(AND((SUM($I46:M46)+(1-SUM($I46:$K46))/MAX($L$13-1,1))&gt;100%),1-SUM($I46:M46),IF(N$4=($L$13+$L$4),1-SUM($I46:M46),IF(AND(SUM($I46:M46)&lt;100%,N$4&lt;($L$13+$L$4)),(1-SUM($I46:$K46))/MAX($L$13-1,1),0)))</f>
        <v>2.8124999999999997E-2</v>
      </c>
      <c r="O46" s="953">
        <f>IF(AND((SUM($I46:N46)+(1-SUM($I46:$K46))/MAX($L$13-1,1))&gt;100%),1-SUM($I46:N46),IF(O$4=($L$13+$L$4),1-SUM($I46:N46),IF(AND(SUM($I46:N46)&lt;100%,O$4&lt;($L$13+$L$4)),(1-SUM($I46:$K46))/MAX($L$13-1,1),0)))</f>
        <v>2.8124999999999997E-2</v>
      </c>
      <c r="P46" s="953">
        <f>IF(AND((SUM($I46:O46)+(1-SUM($I46:$K46))/MAX($L$13-1,1))&gt;100%),1-SUM($I46:O46),IF(P$4=($L$13+$L$4),1-SUM($I46:O46),IF(AND(SUM($I46:O46)&lt;100%,P$4&lt;($L$13+$L$4)),(1-SUM($I46:$K46))/MAX($L$13-1,1),0)))</f>
        <v>2.8124999999999997E-2</v>
      </c>
      <c r="Q46" s="953">
        <f>IF(AND((SUM($I46:P46)+(1-SUM($I46:$K46))/MAX($L$13-1,1))&gt;100%),1-SUM($I46:P46),IF(Q$4=($L$13+$L$4),1-SUM($I46:P46),IF(AND(SUM($I46:P46)&lt;100%,Q$4&lt;($L$13+$L$4)),(1-SUM($I46:$K46))/MAX($L$13-1,1),0)))</f>
        <v>2.8124999999999997E-2</v>
      </c>
      <c r="R46" s="953">
        <f>IF(AND((SUM($I46:Q46)+(1-SUM($I46:$K46))/MAX($L$13-1,1))&gt;100%),1-SUM($I46:Q46),IF(R$4=($L$13+$L$4),1-SUM($I46:Q46),IF(AND(SUM($I46:Q46)&lt;100%,R$4&lt;($L$13+$L$4)),(1-SUM($I46:$K46))/MAX($L$13-1,1),0)))</f>
        <v>2.8124999999999997E-2</v>
      </c>
      <c r="S46" s="953">
        <f>IF(AND((SUM($I46:R46)+(1-SUM($I46:$K46))/MAX($L$13-1,1))&gt;100%),1-SUM($I46:R46),IF(S$4=($L$13+$L$4),1-SUM($I46:R46),IF(AND(SUM($I46:R46)&lt;100%,S$4&lt;($L$13+$L$4)),(1-SUM($I46:$K46))/MAX($L$13-1,1),0)))</f>
        <v>2.8124999999999997E-2</v>
      </c>
      <c r="T46" s="953">
        <f>IF(AND((SUM($I46:S46)+(1-SUM($I46:$K46))/MAX($L$13-1,1))&gt;100%),1-SUM($I46:S46),IF(T$4=($L$13+$L$4),1-SUM($I46:S46),IF(AND(SUM($I46:S46)&lt;100%,T$4&lt;($L$13+$L$4)),(1-SUM($I46:$K46))/MAX($L$13-1,1),0)))</f>
        <v>2.8124999999999997E-2</v>
      </c>
      <c r="U46" s="953">
        <f>IF(AND((SUM($I46:T46)+(1-SUM($I46:$K46))/MAX($L$13-1,1))&gt;100%),1-SUM($I46:T46),IF(U$4=($L$13+$L$4),1-SUM($I46:T46),IF(AND(SUM($I46:T46)&lt;100%,U$4&lt;($L$13+$L$4)),(1-SUM($I46:$K46))/MAX($L$13-1,1),0)))</f>
        <v>2.8124999999999997E-2</v>
      </c>
      <c r="V46" s="953">
        <f>IF(AND((SUM($I46:U46)+(1-SUM($I46:$K46))/MAX($L$13-1,1))&gt;100%),1-SUM($I46:U46),IF(V$4=($L$13+$L$4),1-SUM($I46:U46),IF(AND(SUM($I46:U46)&lt;100%,V$4&lt;($L$13+$L$4)),(1-SUM($I46:$K46))/MAX($L$13-1,1),0)))</f>
        <v>2.8124999999999997E-2</v>
      </c>
      <c r="W46" s="953">
        <f>IF(AND((SUM($I46:V46)+(1-SUM($I46:$K46))/MAX($L$13-1,1))&gt;100%),1-SUM($I46:V46),IF(W$4=($L$13+$L$4),1-SUM($I46:V46),IF(AND(SUM($I46:V46)&lt;100%,W$4&lt;($L$13+$L$4)),(1-SUM($I46:$K46))/MAX($L$13-1,1),0)))</f>
        <v>2.8124999999999997E-2</v>
      </c>
      <c r="X46" s="953">
        <f>IF(AND((SUM($I46:W46)+(1-SUM($I46:$K46))/MAX($L$13-1,1))&gt;100%),1-SUM($I46:W46),IF(X$4=($L$13+$L$4),1-SUM($I46:W46),IF(AND(SUM($I46:W46)&lt;100%,X$4&lt;($L$13+$L$4)),(1-SUM($I46:$K46))/MAX($L$13-1,1),0)))</f>
        <v>2.8124999999999997E-2</v>
      </c>
      <c r="Y46" s="953">
        <f>IF(AND((SUM($I46:X46)+(1-SUM($I46:$K46))/MAX($L$13-1,1))&gt;100%),1-SUM($I46:X46),IF(Y$4=($L$13+$L$4),1-SUM($I46:X46),IF(AND(SUM($I46:X46)&lt;100%,Y$4&lt;($L$13+$L$4)),(1-SUM($I46:$K46))/MAX($L$13-1,1),0)))</f>
        <v>2.8124999999999997E-2</v>
      </c>
      <c r="Z46" s="953">
        <f>IF(AND((SUM($I46:Y46)+(1-SUM($I46:$K46))/MAX($L$13-1,1))&gt;100%),1-SUM($I46:Y46),IF(Z$4=($L$13+$L$4),1-SUM($I46:Y46),IF(AND(SUM($I46:Y46)&lt;100%,Z$4&lt;($L$13+$L$4)),(1-SUM($I46:$K46))/MAX($L$13-1,1),0)))</f>
        <v>2.8124999999999997E-2</v>
      </c>
      <c r="AA46" s="953">
        <f>IF(AND((SUM($I46:Z46)+(1-SUM($I46:$K46))/MAX($L$13-1,1))&gt;100%),1-SUM($I46:Z46),IF(AA$4=($L$13+$L$4),1-SUM($I46:Z46),IF(AND(SUM($I46:Z46)&lt;100%,AA$4&lt;($L$13+$L$4)),(1-SUM($I46:$K46))/MAX($L$13-1,1),0)))</f>
        <v>2.8124999999999997E-2</v>
      </c>
      <c r="AB46" s="953">
        <f>IF(AND((SUM($I46:AA46)+(1-SUM($I46:$K46))/MAX($L$13-1,1))&gt;100%),1-SUM($I46:AA46),IF(AB$4=($L$13+$L$4),1-SUM($I46:AA46),IF(AND(SUM($I46:AA46)&lt;100%,AB$4&lt;($L$13+$L$4)),(1-SUM($I46:$K46))/MAX($L$13-1,1),0)))</f>
        <v>6.6613381477509392E-16</v>
      </c>
      <c r="AC46" s="955">
        <f t="shared" si="9"/>
        <v>0</v>
      </c>
      <c r="AD46" s="610">
        <f t="shared" si="10"/>
        <v>1</v>
      </c>
    </row>
    <row r="47" spans="2:30" ht="14.65" outlineLevel="2" thickBot="1" x14ac:dyDescent="0.5">
      <c r="B47" s="597" t="str">
        <f t="shared" si="2"/>
        <v>Sales</v>
      </c>
      <c r="D47" s="583" t="str">
        <f>'12. Inputs-Props &amp; Debtors 2016'!C$82</f>
        <v>Total</v>
      </c>
      <c r="E47" s="596"/>
      <c r="I47" s="956">
        <f t="shared" ref="I47:AC47" si="11">SUMPRODUCT(I42:I46,$H$520:$H$524)/$H$525</f>
        <v>9.9689922480620155E-2</v>
      </c>
      <c r="J47" s="956">
        <f t="shared" si="11"/>
        <v>9.9689922480620155E-2</v>
      </c>
      <c r="K47" s="956">
        <f t="shared" si="11"/>
        <v>9.2277131782945734E-2</v>
      </c>
      <c r="L47" s="956">
        <f t="shared" si="11"/>
        <v>4.4271438953488368E-2</v>
      </c>
      <c r="M47" s="956">
        <f t="shared" si="11"/>
        <v>4.4271438953488368E-2</v>
      </c>
      <c r="N47" s="956">
        <f t="shared" si="11"/>
        <v>4.4271438953488368E-2</v>
      </c>
      <c r="O47" s="956">
        <f t="shared" si="11"/>
        <v>4.4271438953488368E-2</v>
      </c>
      <c r="P47" s="956">
        <f t="shared" si="11"/>
        <v>4.4271438953488368E-2</v>
      </c>
      <c r="Q47" s="956">
        <f t="shared" si="11"/>
        <v>4.4271438953488368E-2</v>
      </c>
      <c r="R47" s="956">
        <f t="shared" si="11"/>
        <v>4.4271438953488368E-2</v>
      </c>
      <c r="S47" s="956">
        <f t="shared" si="11"/>
        <v>4.4271438953488368E-2</v>
      </c>
      <c r="T47" s="956">
        <f t="shared" si="11"/>
        <v>4.4271438953488368E-2</v>
      </c>
      <c r="U47" s="956">
        <f t="shared" si="11"/>
        <v>4.4271438953488368E-2</v>
      </c>
      <c r="V47" s="956">
        <f t="shared" si="11"/>
        <v>4.4271438953488368E-2</v>
      </c>
      <c r="W47" s="956">
        <f t="shared" si="11"/>
        <v>4.4271438953488368E-2</v>
      </c>
      <c r="X47" s="956">
        <f t="shared" si="11"/>
        <v>4.4271438953488368E-2</v>
      </c>
      <c r="Y47" s="956">
        <f t="shared" si="11"/>
        <v>4.4271438953488368E-2</v>
      </c>
      <c r="Z47" s="956">
        <f t="shared" si="11"/>
        <v>4.4271438953488368E-2</v>
      </c>
      <c r="AA47" s="956">
        <f t="shared" si="11"/>
        <v>4.4271438953488368E-2</v>
      </c>
      <c r="AB47" s="956">
        <f t="shared" si="11"/>
        <v>3.865555593103791E-16</v>
      </c>
      <c r="AC47" s="956">
        <f t="shared" si="11"/>
        <v>0</v>
      </c>
      <c r="AD47" s="610">
        <f t="shared" si="10"/>
        <v>1.0000000000000007</v>
      </c>
    </row>
    <row r="48" spans="2:30" ht="14.65" outlineLevel="2" thickTop="1" x14ac:dyDescent="0.45">
      <c r="B48" s="597" t="str">
        <f t="shared" si="2"/>
        <v>Sales</v>
      </c>
      <c r="D48" s="596"/>
      <c r="E48" s="596"/>
      <c r="I48" s="600"/>
      <c r="J48" s="600"/>
      <c r="K48" s="600"/>
      <c r="L48" s="600"/>
      <c r="M48" s="600"/>
      <c r="N48" s="600"/>
      <c r="O48" s="600"/>
      <c r="P48" s="600"/>
      <c r="Q48" s="600"/>
      <c r="R48" s="600"/>
      <c r="S48" s="600"/>
      <c r="T48" s="600"/>
      <c r="U48" s="600"/>
      <c r="V48" s="600"/>
      <c r="W48" s="600"/>
      <c r="X48" s="600"/>
      <c r="Y48" s="600"/>
      <c r="Z48" s="600"/>
      <c r="AA48" s="600"/>
      <c r="AB48" s="600"/>
      <c r="AC48" s="600"/>
    </row>
    <row r="49" spans="1:30" outlineLevel="2" x14ac:dyDescent="0.45">
      <c r="B49" s="597" t="str">
        <f t="shared" si="2"/>
        <v>Sales</v>
      </c>
      <c r="D49" s="596"/>
      <c r="E49" s="596"/>
      <c r="I49" s="600"/>
      <c r="J49" s="600"/>
      <c r="K49" s="600"/>
      <c r="L49" s="600"/>
      <c r="M49" s="600"/>
      <c r="N49" s="600"/>
      <c r="O49" s="600"/>
      <c r="P49" s="600"/>
      <c r="Q49" s="600"/>
      <c r="R49" s="600"/>
      <c r="S49" s="600"/>
      <c r="T49" s="600"/>
      <c r="U49" s="600"/>
      <c r="V49" s="600"/>
      <c r="W49" s="600"/>
      <c r="X49" s="600"/>
      <c r="Y49" s="600"/>
      <c r="Z49" s="600"/>
      <c r="AA49" s="600"/>
      <c r="AB49" s="600"/>
      <c r="AC49" s="600"/>
    </row>
    <row r="50" spans="1:30" outlineLevel="2" x14ac:dyDescent="0.45">
      <c r="B50" s="597" t="str">
        <f t="shared" si="2"/>
        <v>Sales</v>
      </c>
      <c r="C50" s="451">
        <f>C41+1</f>
        <v>3</v>
      </c>
      <c r="D50" s="532" t="s">
        <v>1614</v>
      </c>
      <c r="E50" s="596"/>
      <c r="I50" s="596"/>
    </row>
    <row r="51" spans="1:30" outlineLevel="2" x14ac:dyDescent="0.45">
      <c r="A51" s="1112">
        <v>1</v>
      </c>
      <c r="B51" s="597" t="str">
        <f t="shared" si="2"/>
        <v>Sales</v>
      </c>
      <c r="D51" s="583" t="str">
        <f>'12. Inputs-Props &amp; Debtors 2016'!C$77</f>
        <v>EC</v>
      </c>
      <c r="E51" s="596"/>
      <c r="F51" s="602">
        <f>'11. Table - Expenditure Review'!I83</f>
        <v>0</v>
      </c>
      <c r="G51" s="602">
        <f>'11. Table - Expenditure Review'!J83</f>
        <v>203</v>
      </c>
      <c r="H51" s="602">
        <f>'11. Table - Expenditure Review'!K83</f>
        <v>88</v>
      </c>
      <c r="I51" s="1133">
        <f>MIN('[1]12. Inputs-Props &amp; Debtors 2016'!$H77,ROUND('[1]12. Inputs-Props &amp; Debtors 2016'!$H77*I$42,0))</f>
        <v>18</v>
      </c>
      <c r="J51" s="1133">
        <f>ROUND('[1]12. Inputs-Props &amp; Debtors 2016'!$H77*J$42,0)</f>
        <v>18</v>
      </c>
      <c r="K51" s="1133">
        <f>ROUND('[1]12. Inputs-Props &amp; Debtors 2016'!$H77*K$42,0)</f>
        <v>18</v>
      </c>
      <c r="L51" s="603">
        <f>IF(L$4='5. Dashboard Live'!$AA$16+'10. Inputs &amp; Calcs'!$K$4,'12. Inputs-Props &amp; Debtors 2016'!$H77-SUM('10. Inputs &amp; Calcs'!$I51:K51),ROUNDDOWN('12. Inputs-Props &amp; Debtors 2016'!$H77*L42,0))</f>
        <v>2</v>
      </c>
      <c r="M51" s="603">
        <f>IF(M$4='5. Dashboard Live'!$AA$16+'10. Inputs &amp; Calcs'!$K$4,'12. Inputs-Props &amp; Debtors 2016'!$H77-SUM('10. Inputs &amp; Calcs'!$I51:L51),ROUNDDOWN('12. Inputs-Props &amp; Debtors 2016'!$H77*M42,0))</f>
        <v>2</v>
      </c>
      <c r="N51" s="603">
        <f>IF(N$4='5. Dashboard Live'!$AA$16+'10. Inputs &amp; Calcs'!$K$4,'12. Inputs-Props &amp; Debtors 2016'!$H77-SUM('10. Inputs &amp; Calcs'!$I51:M51),ROUNDDOWN('12. Inputs-Props &amp; Debtors 2016'!$H77*N42,0))</f>
        <v>2</v>
      </c>
      <c r="O51" s="603">
        <f>IF(O$4='5. Dashboard Live'!$AA$16+'10. Inputs &amp; Calcs'!$K$4,'12. Inputs-Props &amp; Debtors 2016'!$H77-SUM('10. Inputs &amp; Calcs'!$I51:N51),ROUNDDOWN('12. Inputs-Props &amp; Debtors 2016'!$H77*O42,0))</f>
        <v>2</v>
      </c>
      <c r="P51" s="603">
        <f>IF(P$4='5. Dashboard Live'!$AA$16+'10. Inputs &amp; Calcs'!$K$4,'12. Inputs-Props &amp; Debtors 2016'!$H77-SUM('10. Inputs &amp; Calcs'!$I51:O51),ROUNDDOWN('12. Inputs-Props &amp; Debtors 2016'!$H77*P42,0))</f>
        <v>2</v>
      </c>
      <c r="Q51" s="603">
        <f>IF(Q$4='5. Dashboard Live'!$AA$16+'10. Inputs &amp; Calcs'!$K$4,'12. Inputs-Props &amp; Debtors 2016'!$H77-SUM('10. Inputs &amp; Calcs'!$I51:P51),ROUNDDOWN('12. Inputs-Props &amp; Debtors 2016'!$H77*Q42,0))</f>
        <v>2</v>
      </c>
      <c r="R51" s="603">
        <f>IF(R$4='5. Dashboard Live'!$AA$16+'10. Inputs &amp; Calcs'!$K$4,'12. Inputs-Props &amp; Debtors 2016'!$H77-SUM('10. Inputs &amp; Calcs'!$I51:Q51),ROUNDDOWN('12. Inputs-Props &amp; Debtors 2016'!$H77*R42,0))</f>
        <v>2</v>
      </c>
      <c r="S51" s="603">
        <f>IF(S$4='5. Dashboard Live'!$AA$16+'10. Inputs &amp; Calcs'!$K$4,'12. Inputs-Props &amp; Debtors 2016'!$H77-SUM('10. Inputs &amp; Calcs'!$I51:R51),ROUNDDOWN('12. Inputs-Props &amp; Debtors 2016'!$H77*S42,0))</f>
        <v>2</v>
      </c>
      <c r="T51" s="603">
        <f>IF(T$4='5. Dashboard Live'!$AA$16+'10. Inputs &amp; Calcs'!$K$4,'12. Inputs-Props &amp; Debtors 2016'!$H77-SUM('10. Inputs &amp; Calcs'!$I51:S51),ROUNDDOWN('12. Inputs-Props &amp; Debtors 2016'!$H77*T42,0))</f>
        <v>2</v>
      </c>
      <c r="U51" s="603">
        <f>IF(U$4='5. Dashboard Live'!$AA$16+'10. Inputs &amp; Calcs'!$K$4,'12. Inputs-Props &amp; Debtors 2016'!$H77-SUM('10. Inputs &amp; Calcs'!$I51:T51),ROUNDDOWN('12. Inputs-Props &amp; Debtors 2016'!$H77*U42,0))</f>
        <v>2</v>
      </c>
      <c r="V51" s="603">
        <f>IF(V$4='5. Dashboard Live'!$AA$16+'10. Inputs &amp; Calcs'!$K$4,'12. Inputs-Props &amp; Debtors 2016'!$H77-SUM('10. Inputs &amp; Calcs'!$I51:U51),ROUNDDOWN('12. Inputs-Props &amp; Debtors 2016'!$H77*V42,0))</f>
        <v>2</v>
      </c>
      <c r="W51" s="603">
        <f>IF(W$4='5. Dashboard Live'!$AA$16+'10. Inputs &amp; Calcs'!$K$4,'12. Inputs-Props &amp; Debtors 2016'!$H77-SUM('10. Inputs &amp; Calcs'!$I51:V51),ROUNDDOWN('12. Inputs-Props &amp; Debtors 2016'!$H77*W42,0))</f>
        <v>2</v>
      </c>
      <c r="X51" s="603">
        <f>IF(X$4='5. Dashboard Live'!$AA$16+'10. Inputs &amp; Calcs'!$K$4,'12. Inputs-Props &amp; Debtors 2016'!$H77-SUM('10. Inputs &amp; Calcs'!$I51:W51),ROUNDDOWN('12. Inputs-Props &amp; Debtors 2016'!$H77*X42,0))</f>
        <v>2</v>
      </c>
      <c r="Y51" s="603">
        <f>IF(Y$4='5. Dashboard Live'!$AA$16+'10. Inputs &amp; Calcs'!$K$4,'12. Inputs-Props &amp; Debtors 2016'!$H77-SUM('10. Inputs &amp; Calcs'!$I51:X51),ROUNDDOWN('12. Inputs-Props &amp; Debtors 2016'!$H77*Y42,0))</f>
        <v>2</v>
      </c>
      <c r="Z51" s="603">
        <f>IF(Z$4='5. Dashboard Live'!$AA$16+'10. Inputs &amp; Calcs'!$K$4,'12. Inputs-Props &amp; Debtors 2016'!$H77-SUM('10. Inputs &amp; Calcs'!$I51:Y51),ROUNDDOWN('12. Inputs-Props &amp; Debtors 2016'!$H77*Z42,0))</f>
        <v>2</v>
      </c>
      <c r="AA51" s="603">
        <f>IF(AA$4='5. Dashboard Live'!$AA$16+'10. Inputs &amp; Calcs'!$K$4,'12. Inputs-Props &amp; Debtors 2016'!$H77-SUM('10. Inputs &amp; Calcs'!$I51:Z51),ROUNDDOWN('12. Inputs-Props &amp; Debtors 2016'!$H77*AA42,0))</f>
        <v>2</v>
      </c>
      <c r="AB51" s="603">
        <f>IF(AB$4='5. Dashboard Live'!$AA$16+'10. Inputs &amp; Calcs'!$K$4,'12. Inputs-Props &amp; Debtors 2016'!$H77-SUM('10. Inputs &amp; Calcs'!$I51:AA51),ROUNDDOWN('12. Inputs-Props &amp; Debtors 2016'!$H77*AB42,0))</f>
        <v>4</v>
      </c>
      <c r="AC51" s="603">
        <f>IF(AC$4='5. Dashboard Live'!$AA$16+'10. Inputs &amp; Calcs'!$K$4,'12. Inputs-Props &amp; Debtors 2016'!$H77-SUM('10. Inputs &amp; Calcs'!$I51:AB51),ROUNDDOWN('12. Inputs-Props &amp; Debtors 2016'!$H77*AC42,0))</f>
        <v>0</v>
      </c>
      <c r="AD51" s="604">
        <f>SUM(I51:AC51)</f>
        <v>90</v>
      </c>
    </row>
    <row r="52" spans="1:30" outlineLevel="2" x14ac:dyDescent="0.45">
      <c r="A52" s="1112">
        <v>2</v>
      </c>
      <c r="B52" s="597" t="str">
        <f t="shared" si="2"/>
        <v>Sales</v>
      </c>
      <c r="D52" s="583" t="str">
        <f>'12. Inputs-Props &amp; Debtors 2016'!C$78</f>
        <v>FS</v>
      </c>
      <c r="E52" s="596"/>
      <c r="F52" s="602">
        <f>'11. Table - Expenditure Review'!L83</f>
        <v>0</v>
      </c>
      <c r="G52" s="602">
        <f>'11. Table - Expenditure Review'!M83</f>
        <v>0</v>
      </c>
      <c r="H52" s="602">
        <f>'11. Table - Expenditure Review'!N83</f>
        <v>0</v>
      </c>
      <c r="I52" s="1133">
        <f>ROUND('[1]12. Inputs-Props &amp; Debtors 2016'!$H78*I$43,0)</f>
        <v>2</v>
      </c>
      <c r="J52" s="1133">
        <f>ROUND('[1]12. Inputs-Props &amp; Debtors 2016'!$H78*J$43,0)</f>
        <v>2</v>
      </c>
      <c r="K52" s="1133">
        <f>ROUND('[1]12. Inputs-Props &amp; Debtors 2016'!$H78*K$43,0)</f>
        <v>2</v>
      </c>
      <c r="L52" s="603">
        <f>IF(L$4='5. Dashboard Live'!$AA$16+'10. Inputs &amp; Calcs'!$K$4,'12. Inputs-Props &amp; Debtors 2016'!$H78-SUM('10. Inputs &amp; Calcs'!$I52:K52),ROUNDDOWN('12. Inputs-Props &amp; Debtors 2016'!$H78*L43,0))</f>
        <v>2</v>
      </c>
      <c r="M52" s="603">
        <f>IF(M$4='5. Dashboard Live'!$AA$16+'10. Inputs &amp; Calcs'!$K$4,'12. Inputs-Props &amp; Debtors 2016'!$H78-SUM('10. Inputs &amp; Calcs'!$I52:L52),ROUNDDOWN('12. Inputs-Props &amp; Debtors 2016'!$H78*M43,0))</f>
        <v>2</v>
      </c>
      <c r="N52" s="603">
        <f>IF(N$4='5. Dashboard Live'!$AA$16+'10. Inputs &amp; Calcs'!$K$4,'12. Inputs-Props &amp; Debtors 2016'!$H78-SUM('10. Inputs &amp; Calcs'!$I52:M52),ROUNDDOWN('12. Inputs-Props &amp; Debtors 2016'!$H78*N43,0))</f>
        <v>2</v>
      </c>
      <c r="O52" s="603">
        <f>IF(O$4='5. Dashboard Live'!$AA$16+'10. Inputs &amp; Calcs'!$K$4,'12. Inputs-Props &amp; Debtors 2016'!$H78-SUM('10. Inputs &amp; Calcs'!$I52:N52),ROUNDDOWN('12. Inputs-Props &amp; Debtors 2016'!$H78*O43,0))</f>
        <v>2</v>
      </c>
      <c r="P52" s="603">
        <f>IF(P$4='5. Dashboard Live'!$AA$16+'10. Inputs &amp; Calcs'!$K$4,'12. Inputs-Props &amp; Debtors 2016'!$H78-SUM('10. Inputs &amp; Calcs'!$I52:O52),ROUNDDOWN('12. Inputs-Props &amp; Debtors 2016'!$H78*P43,0))</f>
        <v>2</v>
      </c>
      <c r="Q52" s="603">
        <f>IF(Q$4='5. Dashboard Live'!$AA$16+'10. Inputs &amp; Calcs'!$K$4,'12. Inputs-Props &amp; Debtors 2016'!$H78-SUM('10. Inputs &amp; Calcs'!$I52:P52),ROUNDDOWN('12. Inputs-Props &amp; Debtors 2016'!$H78*Q43,0))</f>
        <v>2</v>
      </c>
      <c r="R52" s="603">
        <f>IF(R$4='5. Dashboard Live'!$AA$16+'10. Inputs &amp; Calcs'!$K$4,'12. Inputs-Props &amp; Debtors 2016'!$H78-SUM('10. Inputs &amp; Calcs'!$I52:Q52),ROUNDDOWN('12. Inputs-Props &amp; Debtors 2016'!$H78*R43,0))</f>
        <v>2</v>
      </c>
      <c r="S52" s="603">
        <f>IF(S$4='5. Dashboard Live'!$AA$16+'10. Inputs &amp; Calcs'!$K$4,'12. Inputs-Props &amp; Debtors 2016'!$H78-SUM('10. Inputs &amp; Calcs'!$I52:R52),ROUNDDOWN('12. Inputs-Props &amp; Debtors 2016'!$H78*S43,0))</f>
        <v>2</v>
      </c>
      <c r="T52" s="603">
        <f>IF(T$4='5. Dashboard Live'!$AA$16+'10. Inputs &amp; Calcs'!$K$4,'12. Inputs-Props &amp; Debtors 2016'!$H78-SUM('10. Inputs &amp; Calcs'!$I52:S52),ROUNDDOWN('12. Inputs-Props &amp; Debtors 2016'!$H78*T43,0))</f>
        <v>2</v>
      </c>
      <c r="U52" s="603">
        <f>IF(U$4='5. Dashboard Live'!$AA$16+'10. Inputs &amp; Calcs'!$K$4,'12. Inputs-Props &amp; Debtors 2016'!$H78-SUM('10. Inputs &amp; Calcs'!$I52:T52),ROUNDDOWN('12. Inputs-Props &amp; Debtors 2016'!$H78*U43,0))</f>
        <v>2</v>
      </c>
      <c r="V52" s="603">
        <f>IF(V$4='5. Dashboard Live'!$AA$16+'10. Inputs &amp; Calcs'!$K$4,'12. Inputs-Props &amp; Debtors 2016'!$H78-SUM('10. Inputs &amp; Calcs'!$I52:U52),ROUNDDOWN('12. Inputs-Props &amp; Debtors 2016'!$H78*V43,0))</f>
        <v>2</v>
      </c>
      <c r="W52" s="603">
        <f>IF(W$4='5. Dashboard Live'!$AA$16+'10. Inputs &amp; Calcs'!$K$4,'12. Inputs-Props &amp; Debtors 2016'!$H78-SUM('10. Inputs &amp; Calcs'!$I52:V52),ROUNDDOWN('12. Inputs-Props &amp; Debtors 2016'!$H78*W43,0))</f>
        <v>2</v>
      </c>
      <c r="X52" s="603">
        <f>IF(X$4='5. Dashboard Live'!$AA$16+'10. Inputs &amp; Calcs'!$K$4,'12. Inputs-Props &amp; Debtors 2016'!$H78-SUM('10. Inputs &amp; Calcs'!$I52:W52),ROUNDDOWN('12. Inputs-Props &amp; Debtors 2016'!$H78*X43,0))</f>
        <v>2</v>
      </c>
      <c r="Y52" s="603">
        <f>IF(Y$4='5. Dashboard Live'!$AA$16+'10. Inputs &amp; Calcs'!$K$4,'12. Inputs-Props &amp; Debtors 2016'!$H78-SUM('10. Inputs &amp; Calcs'!$I52:X52),ROUNDDOWN('12. Inputs-Props &amp; Debtors 2016'!$H78*Y43,0))</f>
        <v>2</v>
      </c>
      <c r="Z52" s="603">
        <f>IF(Z$4='5. Dashboard Live'!$AA$16+'10. Inputs &amp; Calcs'!$K$4,'12. Inputs-Props &amp; Debtors 2016'!$H78-SUM('10. Inputs &amp; Calcs'!$I52:Y52),ROUNDDOWN('12. Inputs-Props &amp; Debtors 2016'!$H78*Z43,0))</f>
        <v>2</v>
      </c>
      <c r="AA52" s="603">
        <f>IF(AA$4='5. Dashboard Live'!$AA$16+'10. Inputs &amp; Calcs'!$K$4,'12. Inputs-Props &amp; Debtors 2016'!$H78-SUM('10. Inputs &amp; Calcs'!$I52:Z52),ROUNDDOWN('12. Inputs-Props &amp; Debtors 2016'!$H78*AA43,0))</f>
        <v>2</v>
      </c>
      <c r="AB52" s="603">
        <f>IF(AB$4='5. Dashboard Live'!$AA$16+'10. Inputs &amp; Calcs'!$K$4,'12. Inputs-Props &amp; Debtors 2016'!$H78-SUM('10. Inputs &amp; Calcs'!$I52:AA52),ROUNDDOWN('12. Inputs-Props &amp; Debtors 2016'!$H78*AB43,0))</f>
        <v>10</v>
      </c>
      <c r="AC52" s="603">
        <f>IF(AC$4='5. Dashboard Live'!$AA$16+'10. Inputs &amp; Calcs'!$K$4,'12. Inputs-Props &amp; Debtors 2016'!$H78-SUM('10. Inputs &amp; Calcs'!$I52:AB52),ROUNDDOWN('12. Inputs-Props &amp; Debtors 2016'!$H78*AC43,0))</f>
        <v>0</v>
      </c>
      <c r="AD52" s="604">
        <f>SUM(I52:AC52)</f>
        <v>48</v>
      </c>
    </row>
    <row r="53" spans="1:30" outlineLevel="2" x14ac:dyDescent="0.45">
      <c r="A53" s="1112">
        <v>3</v>
      </c>
      <c r="B53" s="597" t="str">
        <f t="shared" si="2"/>
        <v>Sales</v>
      </c>
      <c r="D53" s="583" t="str">
        <f>'12. Inputs-Props &amp; Debtors 2016'!C$79</f>
        <v>Gau</v>
      </c>
      <c r="E53" s="596"/>
      <c r="F53" s="602">
        <f>'11. Table - Expenditure Review'!O83</f>
        <v>0</v>
      </c>
      <c r="G53" s="602">
        <f>'11. Table - Expenditure Review'!P83</f>
        <v>0</v>
      </c>
      <c r="H53" s="602">
        <f>'11. Table - Expenditure Review'!Q83</f>
        <v>0</v>
      </c>
      <c r="I53" s="1133">
        <f>ROUND('[1]12. Inputs-Props &amp; Debtors 2016'!$H79*I$44,0)</f>
        <v>85</v>
      </c>
      <c r="J53" s="1133">
        <f>ROUND('[1]12. Inputs-Props &amp; Debtors 2016'!$H79*J$44,0)</f>
        <v>85</v>
      </c>
      <c r="K53" s="1133">
        <f>ROUND('[1]12. Inputs-Props &amp; Debtors 2016'!$H79*K$44,0)</f>
        <v>85</v>
      </c>
      <c r="L53" s="603">
        <f>IF(L$4='5. Dashboard Live'!$AA$16+'10. Inputs &amp; Calcs'!$K$4,'12. Inputs-Props &amp; Debtors 2016'!$H79-SUM('10. Inputs &amp; Calcs'!$I53:K53),ROUNDDOWN('12. Inputs-Props &amp; Debtors 2016'!$H79*L44,0))</f>
        <v>89</v>
      </c>
      <c r="M53" s="603">
        <f>IF(M$4='5. Dashboard Live'!$AA$16+'10. Inputs &amp; Calcs'!$K$4,'12. Inputs-Props &amp; Debtors 2016'!$H79-SUM('10. Inputs &amp; Calcs'!$I53:L53),ROUNDDOWN('12. Inputs-Props &amp; Debtors 2016'!$H79*M44,0))</f>
        <v>89</v>
      </c>
      <c r="N53" s="603">
        <f>IF(N$4='5. Dashboard Live'!$AA$16+'10. Inputs &amp; Calcs'!$K$4,'12. Inputs-Props &amp; Debtors 2016'!$H79-SUM('10. Inputs &amp; Calcs'!$I53:M53),ROUNDDOWN('12. Inputs-Props &amp; Debtors 2016'!$H79*N44,0))</f>
        <v>89</v>
      </c>
      <c r="O53" s="603">
        <f>IF(O$4='5. Dashboard Live'!$AA$16+'10. Inputs &amp; Calcs'!$K$4,'12. Inputs-Props &amp; Debtors 2016'!$H79-SUM('10. Inputs &amp; Calcs'!$I53:N53),ROUNDDOWN('12. Inputs-Props &amp; Debtors 2016'!$H79*O44,0))</f>
        <v>89</v>
      </c>
      <c r="P53" s="603">
        <f>IF(P$4='5. Dashboard Live'!$AA$16+'10. Inputs &amp; Calcs'!$K$4,'12. Inputs-Props &amp; Debtors 2016'!$H79-SUM('10. Inputs &amp; Calcs'!$I53:O53),ROUNDDOWN('12. Inputs-Props &amp; Debtors 2016'!$H79*P44,0))</f>
        <v>89</v>
      </c>
      <c r="Q53" s="603">
        <f>IF(Q$4='5. Dashboard Live'!$AA$16+'10. Inputs &amp; Calcs'!$K$4,'12. Inputs-Props &amp; Debtors 2016'!$H79-SUM('10. Inputs &amp; Calcs'!$I53:P53),ROUNDDOWN('12. Inputs-Props &amp; Debtors 2016'!$H79*Q44,0))</f>
        <v>89</v>
      </c>
      <c r="R53" s="603">
        <f>IF(R$4='5. Dashboard Live'!$AA$16+'10. Inputs &amp; Calcs'!$K$4,'12. Inputs-Props &amp; Debtors 2016'!$H79-SUM('10. Inputs &amp; Calcs'!$I53:Q53),ROUNDDOWN('12. Inputs-Props &amp; Debtors 2016'!$H79*R44,0))</f>
        <v>89</v>
      </c>
      <c r="S53" s="603">
        <f>IF(S$4='5. Dashboard Live'!$AA$16+'10. Inputs &amp; Calcs'!$K$4,'12. Inputs-Props &amp; Debtors 2016'!$H79-SUM('10. Inputs &amp; Calcs'!$I53:R53),ROUNDDOWN('12. Inputs-Props &amp; Debtors 2016'!$H79*S44,0))</f>
        <v>89</v>
      </c>
      <c r="T53" s="603">
        <f>IF(T$4='5. Dashboard Live'!$AA$16+'10. Inputs &amp; Calcs'!$K$4,'12. Inputs-Props &amp; Debtors 2016'!$H79-SUM('10. Inputs &amp; Calcs'!$I53:S53),ROUNDDOWN('12. Inputs-Props &amp; Debtors 2016'!$H79*T44,0))</f>
        <v>89</v>
      </c>
      <c r="U53" s="603">
        <f>IF(U$4='5. Dashboard Live'!$AA$16+'10. Inputs &amp; Calcs'!$K$4,'12. Inputs-Props &amp; Debtors 2016'!$H79-SUM('10. Inputs &amp; Calcs'!$I53:T53),ROUNDDOWN('12. Inputs-Props &amp; Debtors 2016'!$H79*U44,0))</f>
        <v>89</v>
      </c>
      <c r="V53" s="603">
        <f>IF(V$4='5. Dashboard Live'!$AA$16+'10. Inputs &amp; Calcs'!$K$4,'12. Inputs-Props &amp; Debtors 2016'!$H79-SUM('10. Inputs &amp; Calcs'!$I53:U53),ROUNDDOWN('12. Inputs-Props &amp; Debtors 2016'!$H79*V44,0))</f>
        <v>89</v>
      </c>
      <c r="W53" s="603">
        <f>IF(W$4='5. Dashboard Live'!$AA$16+'10. Inputs &amp; Calcs'!$K$4,'12. Inputs-Props &amp; Debtors 2016'!$H79-SUM('10. Inputs &amp; Calcs'!$I53:V53),ROUNDDOWN('12. Inputs-Props &amp; Debtors 2016'!$H79*W44,0))</f>
        <v>89</v>
      </c>
      <c r="X53" s="603">
        <f>IF(X$4='5. Dashboard Live'!$AA$16+'10. Inputs &amp; Calcs'!$K$4,'12. Inputs-Props &amp; Debtors 2016'!$H79-SUM('10. Inputs &amp; Calcs'!$I53:W53),ROUNDDOWN('12. Inputs-Props &amp; Debtors 2016'!$H79*X44,0))</f>
        <v>89</v>
      </c>
      <c r="Y53" s="603">
        <f>IF(Y$4='5. Dashboard Live'!$AA$16+'10. Inputs &amp; Calcs'!$K$4,'12. Inputs-Props &amp; Debtors 2016'!$H79-SUM('10. Inputs &amp; Calcs'!$I53:X53),ROUNDDOWN('12. Inputs-Props &amp; Debtors 2016'!$H79*Y44,0))</f>
        <v>89</v>
      </c>
      <c r="Z53" s="603">
        <f>IF(Z$4='5. Dashboard Live'!$AA$16+'10. Inputs &amp; Calcs'!$K$4,'12. Inputs-Props &amp; Debtors 2016'!$H79-SUM('10. Inputs &amp; Calcs'!$I53:Y53),ROUNDDOWN('12. Inputs-Props &amp; Debtors 2016'!$H79*Z44,0))</f>
        <v>89</v>
      </c>
      <c r="AA53" s="603">
        <f>IF(AA$4='5. Dashboard Live'!$AA$16+'10. Inputs &amp; Calcs'!$K$4,'12. Inputs-Props &amp; Debtors 2016'!$H79-SUM('10. Inputs &amp; Calcs'!$I53:Z53),ROUNDDOWN('12. Inputs-Props &amp; Debtors 2016'!$H79*AA44,0))</f>
        <v>89</v>
      </c>
      <c r="AB53" s="603">
        <f>IF(AB$4='5. Dashboard Live'!$AA$16+'10. Inputs &amp; Calcs'!$K$4,'12. Inputs-Props &amp; Debtors 2016'!$H79-SUM('10. Inputs &amp; Calcs'!$I53:AA53),ROUNDDOWN('12. Inputs-Props &amp; Debtors 2016'!$H79*AB44,0))</f>
        <v>15</v>
      </c>
      <c r="AC53" s="603">
        <f>IF(AC$4='5. Dashboard Live'!$AA$16+'10. Inputs &amp; Calcs'!$K$4,'12. Inputs-Props &amp; Debtors 2016'!$H79-SUM('10. Inputs &amp; Calcs'!$I53:AB53),ROUNDDOWN('12. Inputs-Props &amp; Debtors 2016'!$H79*AC44,0))</f>
        <v>0</v>
      </c>
      <c r="AD53" s="604">
        <f>SUM(I53:AC53)</f>
        <v>1694</v>
      </c>
    </row>
    <row r="54" spans="1:30" outlineLevel="2" x14ac:dyDescent="0.45">
      <c r="A54" s="1112">
        <v>4</v>
      </c>
      <c r="B54" s="597" t="str">
        <f t="shared" si="2"/>
        <v>Sales</v>
      </c>
      <c r="D54" s="583" t="str">
        <f>'12. Inputs-Props &amp; Debtors 2016'!C$80</f>
        <v>KZN</v>
      </c>
      <c r="E54" s="596"/>
      <c r="F54" s="602">
        <f>'11. Table - Expenditure Review'!R83</f>
        <v>0</v>
      </c>
      <c r="G54" s="602">
        <f>'11. Table - Expenditure Review'!S83</f>
        <v>0</v>
      </c>
      <c r="H54" s="602">
        <f>'11. Table - Expenditure Review'!T83</f>
        <v>0</v>
      </c>
      <c r="I54" s="1133">
        <f>ROUND('[1]12. Inputs-Props &amp; Debtors 2016'!$H80*I$45,0)</f>
        <v>256</v>
      </c>
      <c r="J54" s="1133">
        <f>ROUND('[1]12. Inputs-Props &amp; Debtors 2016'!$H80*J$45,0)</f>
        <v>256</v>
      </c>
      <c r="K54" s="1133">
        <f>ROUND('[1]12. Inputs-Props &amp; Debtors 2016'!$H80*K$45,0)</f>
        <v>256</v>
      </c>
      <c r="L54" s="603">
        <f>IF(L$4='5. Dashboard Live'!$AA$16+'10. Inputs &amp; Calcs'!$K$4,'12. Inputs-Props &amp; Debtors 2016'!$H80-SUM('10. Inputs &amp; Calcs'!$I54:K54),ROUNDDOWN('12. Inputs-Props &amp; Debtors 2016'!$H80*L45,0))</f>
        <v>112</v>
      </c>
      <c r="M54" s="603">
        <f>IF(M$4='5. Dashboard Live'!$AA$16+'10. Inputs &amp; Calcs'!$K$4,'12. Inputs-Props &amp; Debtors 2016'!$H80-SUM('10. Inputs &amp; Calcs'!$I54:L54),ROUNDDOWN('12. Inputs-Props &amp; Debtors 2016'!$H80*M45,0))</f>
        <v>112</v>
      </c>
      <c r="N54" s="603">
        <f>IF(N$4='5. Dashboard Live'!$AA$16+'10. Inputs &amp; Calcs'!$K$4,'12. Inputs-Props &amp; Debtors 2016'!$H80-SUM('10. Inputs &amp; Calcs'!$I54:M54),ROUNDDOWN('12. Inputs-Props &amp; Debtors 2016'!$H80*N45,0))</f>
        <v>112</v>
      </c>
      <c r="O54" s="603">
        <f>IF(O$4='5. Dashboard Live'!$AA$16+'10. Inputs &amp; Calcs'!$K$4,'12. Inputs-Props &amp; Debtors 2016'!$H80-SUM('10. Inputs &amp; Calcs'!$I54:N54),ROUNDDOWN('12. Inputs-Props &amp; Debtors 2016'!$H80*O45,0))</f>
        <v>112</v>
      </c>
      <c r="P54" s="603">
        <f>IF(P$4='5. Dashboard Live'!$AA$16+'10. Inputs &amp; Calcs'!$K$4,'12. Inputs-Props &amp; Debtors 2016'!$H80-SUM('10. Inputs &amp; Calcs'!$I54:O54),ROUNDDOWN('12. Inputs-Props &amp; Debtors 2016'!$H80*P45,0))</f>
        <v>112</v>
      </c>
      <c r="Q54" s="603">
        <f>IF(Q$4='5. Dashboard Live'!$AA$16+'10. Inputs &amp; Calcs'!$K$4,'12. Inputs-Props &amp; Debtors 2016'!$H80-SUM('10. Inputs &amp; Calcs'!$I54:P54),ROUNDDOWN('12. Inputs-Props &amp; Debtors 2016'!$H80*Q45,0))</f>
        <v>112</v>
      </c>
      <c r="R54" s="603">
        <f>IF(R$4='5. Dashboard Live'!$AA$16+'10. Inputs &amp; Calcs'!$K$4,'12. Inputs-Props &amp; Debtors 2016'!$H80-SUM('10. Inputs &amp; Calcs'!$I54:Q54),ROUNDDOWN('12. Inputs-Props &amp; Debtors 2016'!$H80*R45,0))</f>
        <v>112</v>
      </c>
      <c r="S54" s="603">
        <f>IF(S$4='5. Dashboard Live'!$AA$16+'10. Inputs &amp; Calcs'!$K$4,'12. Inputs-Props &amp; Debtors 2016'!$H80-SUM('10. Inputs &amp; Calcs'!$I54:R54),ROUNDDOWN('12. Inputs-Props &amp; Debtors 2016'!$H80*S45,0))</f>
        <v>112</v>
      </c>
      <c r="T54" s="603">
        <f>IF(T$4='5. Dashboard Live'!$AA$16+'10. Inputs &amp; Calcs'!$K$4,'12. Inputs-Props &amp; Debtors 2016'!$H80-SUM('10. Inputs &amp; Calcs'!$I54:S54),ROUNDDOWN('12. Inputs-Props &amp; Debtors 2016'!$H80*T45,0))</f>
        <v>112</v>
      </c>
      <c r="U54" s="603">
        <f>IF(U$4='5. Dashboard Live'!$AA$16+'10. Inputs &amp; Calcs'!$K$4,'12. Inputs-Props &amp; Debtors 2016'!$H80-SUM('10. Inputs &amp; Calcs'!$I54:T54),ROUNDDOWN('12. Inputs-Props &amp; Debtors 2016'!$H80*U45,0))</f>
        <v>112</v>
      </c>
      <c r="V54" s="603">
        <f>IF(V$4='5. Dashboard Live'!$AA$16+'10. Inputs &amp; Calcs'!$K$4,'12. Inputs-Props &amp; Debtors 2016'!$H80-SUM('10. Inputs &amp; Calcs'!$I54:U54),ROUNDDOWN('12. Inputs-Props &amp; Debtors 2016'!$H80*V45,0))</f>
        <v>112</v>
      </c>
      <c r="W54" s="603">
        <f>IF(W$4='5. Dashboard Live'!$AA$16+'10. Inputs &amp; Calcs'!$K$4,'12. Inputs-Props &amp; Debtors 2016'!$H80-SUM('10. Inputs &amp; Calcs'!$I54:V54),ROUNDDOWN('12. Inputs-Props &amp; Debtors 2016'!$H80*W45,0))</f>
        <v>112</v>
      </c>
      <c r="X54" s="603">
        <f>IF(X$4='5. Dashboard Live'!$AA$16+'10. Inputs &amp; Calcs'!$K$4,'12. Inputs-Props &amp; Debtors 2016'!$H80-SUM('10. Inputs &amp; Calcs'!$I54:W54),ROUNDDOWN('12. Inputs-Props &amp; Debtors 2016'!$H80*X45,0))</f>
        <v>112</v>
      </c>
      <c r="Y54" s="603">
        <f>IF(Y$4='5. Dashboard Live'!$AA$16+'10. Inputs &amp; Calcs'!$K$4,'12. Inputs-Props &amp; Debtors 2016'!$H80-SUM('10. Inputs &amp; Calcs'!$I54:X54),ROUNDDOWN('12. Inputs-Props &amp; Debtors 2016'!$H80*Y45,0))</f>
        <v>112</v>
      </c>
      <c r="Z54" s="603">
        <f>IF(Z$4='5. Dashboard Live'!$AA$16+'10. Inputs &amp; Calcs'!$K$4,'12. Inputs-Props &amp; Debtors 2016'!$H80-SUM('10. Inputs &amp; Calcs'!$I54:Y54),ROUNDDOWN('12. Inputs-Props &amp; Debtors 2016'!$H80*Z45,0))</f>
        <v>112</v>
      </c>
      <c r="AA54" s="603">
        <f>IF(AA$4='5. Dashboard Live'!$AA$16+'10. Inputs &amp; Calcs'!$K$4,'12. Inputs-Props &amp; Debtors 2016'!$H80-SUM('10. Inputs &amp; Calcs'!$I54:Z54),ROUNDDOWN('12. Inputs-Props &amp; Debtors 2016'!$H80*AA45,0))</f>
        <v>112</v>
      </c>
      <c r="AB54" s="603">
        <f>IF(AB$4='5. Dashboard Live'!$AA$16+'10. Inputs &amp; Calcs'!$K$4,'12. Inputs-Props &amp; Debtors 2016'!$H80-SUM('10. Inputs &amp; Calcs'!$I54:AA54),ROUNDDOWN('12. Inputs-Props &amp; Debtors 2016'!$H80*AB45,0))</f>
        <v>3</v>
      </c>
      <c r="AC54" s="603">
        <f>IF(AC$4='5. Dashboard Live'!$AA$16+'10. Inputs &amp; Calcs'!$K$4,'12. Inputs-Props &amp; Debtors 2016'!$H80-SUM('10. Inputs &amp; Calcs'!$I54:AB54),ROUNDDOWN('12. Inputs-Props &amp; Debtors 2016'!$H80*AC45,0))</f>
        <v>0</v>
      </c>
      <c r="AD54" s="604">
        <f>SUM(I54:AC54)</f>
        <v>2563</v>
      </c>
    </row>
    <row r="55" spans="1:30" outlineLevel="2" x14ac:dyDescent="0.45">
      <c r="A55" s="1112">
        <v>5</v>
      </c>
      <c r="B55" s="597" t="str">
        <f t="shared" si="2"/>
        <v>Sales</v>
      </c>
      <c r="D55" s="583" t="str">
        <f>'12. Inputs-Props &amp; Debtors 2016'!C$81</f>
        <v>WC</v>
      </c>
      <c r="E55" s="596"/>
      <c r="F55" s="602">
        <f>'11. Table - Expenditure Review'!U83</f>
        <v>0</v>
      </c>
      <c r="G55" s="602">
        <f>'11. Table - Expenditure Review'!V83</f>
        <v>0</v>
      </c>
      <c r="H55" s="602">
        <f>'11. Table - Expenditure Review'!W83</f>
        <v>0</v>
      </c>
      <c r="I55" s="1133">
        <f>ROUND('[1]12. Inputs-Props &amp; Debtors 2016'!$H81*I$46,0)</f>
        <v>153</v>
      </c>
      <c r="J55" s="1133">
        <f>ROUND('[1]12. Inputs-Props &amp; Debtors 2016'!$H81*J$46,0)</f>
        <v>153</v>
      </c>
      <c r="K55" s="1133">
        <f>ROUND('[1]12. Inputs-Props &amp; Debtors 2016'!$H81*K$46,0)</f>
        <v>115</v>
      </c>
      <c r="L55" s="603">
        <f>IF(L$4='5. Dashboard Live'!$AA$16+'10. Inputs &amp; Calcs'!$K$4,'12. Inputs-Props &amp; Debtors 2016'!$H81-SUM('10. Inputs &amp; Calcs'!$I55:K55),ROUNDDOWN('12. Inputs-Props &amp; Debtors 2016'!$H81*L46,0))</f>
        <v>21</v>
      </c>
      <c r="M55" s="603">
        <f>IF(M$4='5. Dashboard Live'!$AA$16+'10. Inputs &amp; Calcs'!$K$4,'12. Inputs-Props &amp; Debtors 2016'!$H81-SUM('10. Inputs &amp; Calcs'!$I55:L55),ROUNDDOWN('12. Inputs-Props &amp; Debtors 2016'!$H81*M46,0))</f>
        <v>21</v>
      </c>
      <c r="N55" s="603">
        <f>IF(N$4='5. Dashboard Live'!$AA$16+'10. Inputs &amp; Calcs'!$K$4,'12. Inputs-Props &amp; Debtors 2016'!$H81-SUM('10. Inputs &amp; Calcs'!$I55:M55),ROUNDDOWN('12. Inputs-Props &amp; Debtors 2016'!$H81*N46,0))</f>
        <v>21</v>
      </c>
      <c r="O55" s="603">
        <f>IF(O$4='5. Dashboard Live'!$AA$16+'10. Inputs &amp; Calcs'!$K$4,'12. Inputs-Props &amp; Debtors 2016'!$H81-SUM('10. Inputs &amp; Calcs'!$I55:N55),ROUNDDOWN('12. Inputs-Props &amp; Debtors 2016'!$H81*O46,0))</f>
        <v>21</v>
      </c>
      <c r="P55" s="603">
        <f>IF(P$4='5. Dashboard Live'!$AA$16+'10. Inputs &amp; Calcs'!$K$4,'12. Inputs-Props &amp; Debtors 2016'!$H81-SUM('10. Inputs &amp; Calcs'!$I55:O55),ROUNDDOWN('12. Inputs-Props &amp; Debtors 2016'!$H81*P46,0))</f>
        <v>21</v>
      </c>
      <c r="Q55" s="603">
        <f>IF(Q$4='5. Dashboard Live'!$AA$16+'10. Inputs &amp; Calcs'!$K$4,'12. Inputs-Props &amp; Debtors 2016'!$H81-SUM('10. Inputs &amp; Calcs'!$I55:P55),ROUNDDOWN('12. Inputs-Props &amp; Debtors 2016'!$H81*Q46,0))</f>
        <v>21</v>
      </c>
      <c r="R55" s="603">
        <f>IF(R$4='5. Dashboard Live'!$AA$16+'10. Inputs &amp; Calcs'!$K$4,'12. Inputs-Props &amp; Debtors 2016'!$H81-SUM('10. Inputs &amp; Calcs'!$I55:Q55),ROUNDDOWN('12. Inputs-Props &amp; Debtors 2016'!$H81*R46,0))</f>
        <v>21</v>
      </c>
      <c r="S55" s="603">
        <f>IF(S$4='5. Dashboard Live'!$AA$16+'10. Inputs &amp; Calcs'!$K$4,'12. Inputs-Props &amp; Debtors 2016'!$H81-SUM('10. Inputs &amp; Calcs'!$I55:R55),ROUNDDOWN('12. Inputs-Props &amp; Debtors 2016'!$H81*S46,0))</f>
        <v>21</v>
      </c>
      <c r="T55" s="603">
        <f>IF(T$4='5. Dashboard Live'!$AA$16+'10. Inputs &amp; Calcs'!$K$4,'12. Inputs-Props &amp; Debtors 2016'!$H81-SUM('10. Inputs &amp; Calcs'!$I55:S55),ROUNDDOWN('12. Inputs-Props &amp; Debtors 2016'!$H81*T46,0))</f>
        <v>21</v>
      </c>
      <c r="U55" s="603">
        <f>IF(U$4='5. Dashboard Live'!$AA$16+'10. Inputs &amp; Calcs'!$K$4,'12. Inputs-Props &amp; Debtors 2016'!$H81-SUM('10. Inputs &amp; Calcs'!$I55:T55),ROUNDDOWN('12. Inputs-Props &amp; Debtors 2016'!$H81*U46,0))</f>
        <v>21</v>
      </c>
      <c r="V55" s="603">
        <f>IF(V$4='5. Dashboard Live'!$AA$16+'10. Inputs &amp; Calcs'!$K$4,'12. Inputs-Props &amp; Debtors 2016'!$H81-SUM('10. Inputs &amp; Calcs'!$I55:U55),ROUNDDOWN('12. Inputs-Props &amp; Debtors 2016'!$H81*V46,0))</f>
        <v>21</v>
      </c>
      <c r="W55" s="603">
        <f>IF(W$4='5. Dashboard Live'!$AA$16+'10. Inputs &amp; Calcs'!$K$4,'12. Inputs-Props &amp; Debtors 2016'!$H81-SUM('10. Inputs &amp; Calcs'!$I55:V55),ROUNDDOWN('12. Inputs-Props &amp; Debtors 2016'!$H81*W46,0))</f>
        <v>21</v>
      </c>
      <c r="X55" s="603">
        <f>IF(X$4='5. Dashboard Live'!$AA$16+'10. Inputs &amp; Calcs'!$K$4,'12. Inputs-Props &amp; Debtors 2016'!$H81-SUM('10. Inputs &amp; Calcs'!$I55:W55),ROUNDDOWN('12. Inputs-Props &amp; Debtors 2016'!$H81*X46,0))</f>
        <v>21</v>
      </c>
      <c r="Y55" s="603">
        <f>IF(Y$4='5. Dashboard Live'!$AA$16+'10. Inputs &amp; Calcs'!$K$4,'12. Inputs-Props &amp; Debtors 2016'!$H81-SUM('10. Inputs &amp; Calcs'!$I55:X55),ROUNDDOWN('12. Inputs-Props &amp; Debtors 2016'!$H81*Y46,0))</f>
        <v>21</v>
      </c>
      <c r="Z55" s="603">
        <f>IF(Z$4='5. Dashboard Live'!$AA$16+'10. Inputs &amp; Calcs'!$K$4,'12. Inputs-Props &amp; Debtors 2016'!$H81-SUM('10. Inputs &amp; Calcs'!$I55:Y55),ROUNDDOWN('12. Inputs-Props &amp; Debtors 2016'!$H81*Z46,0))</f>
        <v>21</v>
      </c>
      <c r="AA55" s="603">
        <f>IF(AA$4='5. Dashboard Live'!$AA$16+'10. Inputs &amp; Calcs'!$K$4,'12. Inputs-Props &amp; Debtors 2016'!$H81-SUM('10. Inputs &amp; Calcs'!$I55:Z55),ROUNDDOWN('12. Inputs-Props &amp; Debtors 2016'!$H81*AA46,0))</f>
        <v>21</v>
      </c>
      <c r="AB55" s="603">
        <f>IF(AB$4='5. Dashboard Live'!$AA$16+'10. Inputs &amp; Calcs'!$K$4,'12. Inputs-Props &amp; Debtors 2016'!$H81-SUM('10. Inputs &amp; Calcs'!$I55:AA55),ROUNDDOWN('12. Inputs-Props &amp; Debtors 2016'!$H81*AB46,0))</f>
        <v>8</v>
      </c>
      <c r="AC55" s="603">
        <f>IF(AC$4='5. Dashboard Live'!$AA$16+'10. Inputs &amp; Calcs'!$K$4,'12. Inputs-Props &amp; Debtors 2016'!$H81-SUM('10. Inputs &amp; Calcs'!$I55:AB55),ROUNDDOWN('12. Inputs-Props &amp; Debtors 2016'!$H81*AC46,0))</f>
        <v>0</v>
      </c>
      <c r="AD55" s="604">
        <f>SUM(I55:AC55)</f>
        <v>765</v>
      </c>
    </row>
    <row r="56" spans="1:30" outlineLevel="2" x14ac:dyDescent="0.45">
      <c r="A56" s="1112"/>
      <c r="B56" s="597" t="str">
        <f t="shared" si="2"/>
        <v>Sales</v>
      </c>
      <c r="D56" s="583" t="str">
        <f>'12. Inputs-Props &amp; Debtors 2016'!C$82</f>
        <v>Total</v>
      </c>
      <c r="E56" s="596"/>
      <c r="F56" s="605">
        <f t="shared" ref="F56:P56" si="12">SUM(F51:F55)</f>
        <v>0</v>
      </c>
      <c r="G56" s="605">
        <f t="shared" si="12"/>
        <v>203</v>
      </c>
      <c r="H56" s="605">
        <f t="shared" si="12"/>
        <v>88</v>
      </c>
      <c r="I56" s="605">
        <f t="shared" si="12"/>
        <v>514</v>
      </c>
      <c r="J56" s="605">
        <f t="shared" si="12"/>
        <v>514</v>
      </c>
      <c r="K56" s="605">
        <f t="shared" si="12"/>
        <v>476</v>
      </c>
      <c r="L56" s="605">
        <f t="shared" si="12"/>
        <v>226</v>
      </c>
      <c r="M56" s="605">
        <f t="shared" si="12"/>
        <v>226</v>
      </c>
      <c r="N56" s="605">
        <f t="shared" si="12"/>
        <v>226</v>
      </c>
      <c r="O56" s="605">
        <f t="shared" si="12"/>
        <v>226</v>
      </c>
      <c r="P56" s="605">
        <f t="shared" si="12"/>
        <v>226</v>
      </c>
      <c r="Q56" s="605">
        <f t="shared" ref="Q56:AB56" si="13">SUM(Q51:Q55)</f>
        <v>226</v>
      </c>
      <c r="R56" s="605">
        <f t="shared" si="13"/>
        <v>226</v>
      </c>
      <c r="S56" s="605">
        <f t="shared" si="13"/>
        <v>226</v>
      </c>
      <c r="T56" s="605">
        <f t="shared" si="13"/>
        <v>226</v>
      </c>
      <c r="U56" s="605">
        <f t="shared" si="13"/>
        <v>226</v>
      </c>
      <c r="V56" s="605">
        <f t="shared" si="13"/>
        <v>226</v>
      </c>
      <c r="W56" s="605">
        <f t="shared" si="13"/>
        <v>226</v>
      </c>
      <c r="X56" s="605">
        <f t="shared" si="13"/>
        <v>226</v>
      </c>
      <c r="Y56" s="605">
        <f t="shared" si="13"/>
        <v>226</v>
      </c>
      <c r="Z56" s="605">
        <f t="shared" si="13"/>
        <v>226</v>
      </c>
      <c r="AA56" s="605">
        <f t="shared" si="13"/>
        <v>226</v>
      </c>
      <c r="AB56" s="605">
        <f t="shared" si="13"/>
        <v>40</v>
      </c>
      <c r="AC56" s="605">
        <f>SUM(AC51:AC55)</f>
        <v>0</v>
      </c>
      <c r="AD56" s="605">
        <f>SUM(AD51:AD55)</f>
        <v>5160</v>
      </c>
    </row>
    <row r="57" spans="1:30" outlineLevel="2" x14ac:dyDescent="0.45">
      <c r="B57" s="597" t="str">
        <f t="shared" si="2"/>
        <v>Sales</v>
      </c>
      <c r="D57" s="596"/>
      <c r="E57" s="596"/>
      <c r="F57" s="606"/>
      <c r="G57" s="606"/>
      <c r="H57" s="606"/>
      <c r="I57" s="606"/>
      <c r="J57" s="606"/>
      <c r="K57" s="606"/>
      <c r="L57" s="606"/>
      <c r="M57" s="606"/>
      <c r="N57" s="606"/>
      <c r="O57" s="606"/>
      <c r="P57" s="606"/>
      <c r="Q57" s="606"/>
      <c r="R57" s="606"/>
      <c r="S57" s="606"/>
      <c r="T57" s="606"/>
      <c r="U57" s="606"/>
      <c r="V57" s="606"/>
      <c r="W57" s="606"/>
      <c r="X57" s="606"/>
      <c r="Y57" s="606"/>
      <c r="Z57" s="606"/>
      <c r="AA57" s="606"/>
      <c r="AB57" s="606"/>
      <c r="AC57" s="606"/>
      <c r="AD57" s="606"/>
    </row>
    <row r="58" spans="1:30" outlineLevel="2" x14ac:dyDescent="0.45">
      <c r="B58" s="597" t="str">
        <f t="shared" si="2"/>
        <v>Sales</v>
      </c>
      <c r="D58" s="596"/>
      <c r="E58" s="596"/>
      <c r="F58" s="606"/>
      <c r="G58" s="606"/>
      <c r="H58" s="606"/>
      <c r="I58" s="606"/>
      <c r="J58" s="606"/>
      <c r="K58" s="606"/>
      <c r="L58" s="606"/>
      <c r="M58" s="606"/>
      <c r="N58" s="606"/>
      <c r="O58" s="606"/>
      <c r="P58" s="606"/>
      <c r="Q58" s="606"/>
      <c r="R58" s="606"/>
      <c r="S58" s="606"/>
      <c r="T58" s="606"/>
      <c r="U58" s="606"/>
      <c r="V58" s="606"/>
      <c r="W58" s="606"/>
      <c r="X58" s="606"/>
      <c r="Y58" s="606"/>
      <c r="Z58" s="606"/>
      <c r="AA58" s="606"/>
      <c r="AB58" s="606"/>
      <c r="AC58" s="606"/>
      <c r="AD58" s="606"/>
    </row>
    <row r="59" spans="1:30" outlineLevel="2" x14ac:dyDescent="0.45">
      <c r="B59" s="597" t="str">
        <f t="shared" si="2"/>
        <v>Sales</v>
      </c>
      <c r="C59" s="451">
        <f>C50+1</f>
        <v>4</v>
      </c>
      <c r="D59" s="532" t="s">
        <v>1572</v>
      </c>
      <c r="E59" s="596"/>
      <c r="I59" s="596"/>
    </row>
    <row r="60" spans="1:30" outlineLevel="2" x14ac:dyDescent="0.45">
      <c r="A60" s="1113"/>
      <c r="B60" s="597" t="str">
        <f t="shared" si="2"/>
        <v>Sales</v>
      </c>
      <c r="D60" s="583" t="str">
        <f>'12. Inputs-Props &amp; Debtors 2016'!C$77</f>
        <v>EC</v>
      </c>
      <c r="E60" s="596"/>
      <c r="F60" s="602">
        <f>'11. Table - Expenditure Review'!I92</f>
        <v>0</v>
      </c>
      <c r="G60" s="602">
        <f>'11. Table - Expenditure Review'!J92</f>
        <v>0</v>
      </c>
      <c r="H60" s="602">
        <f>'11. Table - Expenditure Review'!K92</f>
        <v>0</v>
      </c>
      <c r="I60" s="1006"/>
      <c r="J60" s="1006"/>
      <c r="K60" s="1006"/>
      <c r="L60" s="603">
        <f>IF('5. Dashboard Live'!$AA$19='14. Permanent Info'!$N$7,-'10. Inputs &amp; Calcs'!L51,0)</f>
        <v>0</v>
      </c>
      <c r="M60" s="603">
        <f>IF('5. Dashboard Live'!$AA$19='14. Permanent Info'!$N$7,-'10. Inputs &amp; Calcs'!M51,0)</f>
        <v>0</v>
      </c>
      <c r="N60" s="603">
        <f>IF('5. Dashboard Live'!$AA$19='14. Permanent Info'!$N$7,-'10. Inputs &amp; Calcs'!N51,0)</f>
        <v>0</v>
      </c>
      <c r="O60" s="603">
        <f>IF('5. Dashboard Live'!$AA$19='14. Permanent Info'!$N$7,-'10. Inputs &amp; Calcs'!O51,0)</f>
        <v>0</v>
      </c>
      <c r="P60" s="603">
        <f>IF('5. Dashboard Live'!$AA$19='14. Permanent Info'!$N$7,-'10. Inputs &amp; Calcs'!P51,0)</f>
        <v>0</v>
      </c>
      <c r="Q60" s="603">
        <f>IF('5. Dashboard Live'!$AA$19='14. Permanent Info'!$N$7,-'10. Inputs &amp; Calcs'!Q51,0)</f>
        <v>0</v>
      </c>
      <c r="R60" s="603">
        <f>IF('5. Dashboard Live'!$AA$19='14. Permanent Info'!$N$7,-'10. Inputs &amp; Calcs'!R51,0)</f>
        <v>0</v>
      </c>
      <c r="S60" s="603">
        <f>IF('5. Dashboard Live'!$AA$19='14. Permanent Info'!$N$7,-'10. Inputs &amp; Calcs'!S51,0)</f>
        <v>0</v>
      </c>
      <c r="T60" s="603">
        <f>IF('5. Dashboard Live'!$AA$19='14. Permanent Info'!$N$7,-'10. Inputs &amp; Calcs'!T51,0)</f>
        <v>0</v>
      </c>
      <c r="U60" s="603">
        <f>IF('5. Dashboard Live'!$AA$19='14. Permanent Info'!$N$7,-'10. Inputs &amp; Calcs'!U51,0)</f>
        <v>0</v>
      </c>
      <c r="V60" s="603">
        <f>IF('5. Dashboard Live'!$AA$19='14. Permanent Info'!$N$7,-'10. Inputs &amp; Calcs'!V51,0)</f>
        <v>0</v>
      </c>
      <c r="W60" s="603">
        <f>IF('5. Dashboard Live'!$AA$19='14. Permanent Info'!$N$7,-'10. Inputs &amp; Calcs'!W51,0)</f>
        <v>0</v>
      </c>
      <c r="X60" s="603">
        <f>IF('5. Dashboard Live'!$AA$19='14. Permanent Info'!$N$7,-'10. Inputs &amp; Calcs'!X51,0)</f>
        <v>0</v>
      </c>
      <c r="Y60" s="603">
        <f>IF('5. Dashboard Live'!$AA$19='14. Permanent Info'!$N$7,-'10. Inputs &amp; Calcs'!Y51,0)</f>
        <v>0</v>
      </c>
      <c r="Z60" s="603">
        <f>IF('5. Dashboard Live'!$AA$19='14. Permanent Info'!$N$7,-'10. Inputs &amp; Calcs'!Z51,0)</f>
        <v>0</v>
      </c>
      <c r="AA60" s="603">
        <f>IF('5. Dashboard Live'!$AA$19='14. Permanent Info'!$N$7,-'10. Inputs &amp; Calcs'!AA51,0)</f>
        <v>0</v>
      </c>
      <c r="AB60" s="603">
        <f>IF('5. Dashboard Live'!$AA$19='14. Permanent Info'!$N$7,-'10. Inputs &amp; Calcs'!AB51,0)</f>
        <v>0</v>
      </c>
      <c r="AC60" s="603">
        <f>IF('5. Dashboard Live'!$AA$19='14. Permanent Info'!$N$7,-'10. Inputs &amp; Calcs'!AC51,0)</f>
        <v>0</v>
      </c>
      <c r="AD60" s="604">
        <f>SUM(I60:AC60)</f>
        <v>0</v>
      </c>
    </row>
    <row r="61" spans="1:30" outlineLevel="2" x14ac:dyDescent="0.45">
      <c r="A61" s="1113"/>
      <c r="B61" s="597" t="str">
        <f t="shared" si="2"/>
        <v>Sales</v>
      </c>
      <c r="D61" s="583" t="str">
        <f>'12. Inputs-Props &amp; Debtors 2016'!C$78</f>
        <v>FS</v>
      </c>
      <c r="E61" s="596"/>
      <c r="F61" s="602">
        <f>'11. Table - Expenditure Review'!L92</f>
        <v>0</v>
      </c>
      <c r="G61" s="602">
        <f>'11. Table - Expenditure Review'!M92</f>
        <v>0</v>
      </c>
      <c r="H61" s="602">
        <f>'11. Table - Expenditure Review'!N92</f>
        <v>0</v>
      </c>
      <c r="I61" s="1006"/>
      <c r="J61" s="1006"/>
      <c r="K61" s="1006"/>
      <c r="L61" s="603">
        <f>IF('5. Dashboard Live'!$AA$19='14. Permanent Info'!$N$7,-'10. Inputs &amp; Calcs'!L52,0)</f>
        <v>0</v>
      </c>
      <c r="M61" s="603">
        <f>IF('5. Dashboard Live'!$AA$19='14. Permanent Info'!$N$7,-'10. Inputs &amp; Calcs'!M52,0)</f>
        <v>0</v>
      </c>
      <c r="N61" s="603">
        <f>IF('5. Dashboard Live'!$AA$19='14. Permanent Info'!$N$7,-'10. Inputs &amp; Calcs'!N52,0)</f>
        <v>0</v>
      </c>
      <c r="O61" s="603">
        <f>IF('5. Dashboard Live'!$AA$19='14. Permanent Info'!$N$7,-'10. Inputs &amp; Calcs'!O52,0)</f>
        <v>0</v>
      </c>
      <c r="P61" s="603">
        <f>IF('5. Dashboard Live'!$AA$19='14. Permanent Info'!$N$7,-'10. Inputs &amp; Calcs'!P52,0)</f>
        <v>0</v>
      </c>
      <c r="Q61" s="603">
        <f>IF('5. Dashboard Live'!$AA$19='14. Permanent Info'!$N$7,-'10. Inputs &amp; Calcs'!Q52,0)</f>
        <v>0</v>
      </c>
      <c r="R61" s="603">
        <f>IF('5. Dashboard Live'!$AA$19='14. Permanent Info'!$N$7,-'10. Inputs &amp; Calcs'!R52,0)</f>
        <v>0</v>
      </c>
      <c r="S61" s="603">
        <f>IF('5. Dashboard Live'!$AA$19='14. Permanent Info'!$N$7,-'10. Inputs &amp; Calcs'!S52,0)</f>
        <v>0</v>
      </c>
      <c r="T61" s="603">
        <f>IF('5. Dashboard Live'!$AA$19='14. Permanent Info'!$N$7,-'10. Inputs &amp; Calcs'!T52,0)</f>
        <v>0</v>
      </c>
      <c r="U61" s="603">
        <f>IF('5. Dashboard Live'!$AA$19='14. Permanent Info'!$N$7,-'10. Inputs &amp; Calcs'!U52,0)</f>
        <v>0</v>
      </c>
      <c r="V61" s="603">
        <f>IF('5. Dashboard Live'!$AA$19='14. Permanent Info'!$N$7,-'10. Inputs &amp; Calcs'!V52,0)</f>
        <v>0</v>
      </c>
      <c r="W61" s="603">
        <f>IF('5. Dashboard Live'!$AA$19='14. Permanent Info'!$N$7,-'10. Inputs &amp; Calcs'!W52,0)</f>
        <v>0</v>
      </c>
      <c r="X61" s="603">
        <f>IF('5. Dashboard Live'!$AA$19='14. Permanent Info'!$N$7,-'10. Inputs &amp; Calcs'!X52,0)</f>
        <v>0</v>
      </c>
      <c r="Y61" s="603">
        <f>IF('5. Dashboard Live'!$AA$19='14. Permanent Info'!$N$7,-'10. Inputs &amp; Calcs'!Y52,0)</f>
        <v>0</v>
      </c>
      <c r="Z61" s="603">
        <f>IF('5. Dashboard Live'!$AA$19='14. Permanent Info'!$N$7,-'10. Inputs &amp; Calcs'!Z52,0)</f>
        <v>0</v>
      </c>
      <c r="AA61" s="603">
        <f>IF('5. Dashboard Live'!$AA$19='14. Permanent Info'!$N$7,-'10. Inputs &amp; Calcs'!AA52,0)</f>
        <v>0</v>
      </c>
      <c r="AB61" s="603">
        <f>IF('5. Dashboard Live'!$AA$19='14. Permanent Info'!$N$7,-'10. Inputs &amp; Calcs'!AB52,0)</f>
        <v>0</v>
      </c>
      <c r="AC61" s="603">
        <f>IF('5. Dashboard Live'!$AA$19='14. Permanent Info'!$N$7,-'10. Inputs &amp; Calcs'!AC52,0)</f>
        <v>0</v>
      </c>
      <c r="AD61" s="604">
        <f>SUM(I61:AC61)</f>
        <v>0</v>
      </c>
    </row>
    <row r="62" spans="1:30" outlineLevel="2" x14ac:dyDescent="0.45">
      <c r="A62" s="1113"/>
      <c r="B62" s="597" t="str">
        <f t="shared" si="2"/>
        <v>Sales</v>
      </c>
      <c r="D62" s="583" t="str">
        <f>'12. Inputs-Props &amp; Debtors 2016'!C$79</f>
        <v>Gau</v>
      </c>
      <c r="E62" s="596"/>
      <c r="F62" s="602">
        <f>'11. Table - Expenditure Review'!O92</f>
        <v>0</v>
      </c>
      <c r="G62" s="602">
        <f>'11. Table - Expenditure Review'!P92</f>
        <v>0</v>
      </c>
      <c r="H62" s="602">
        <f>'11. Table - Expenditure Review'!Q92</f>
        <v>0</v>
      </c>
      <c r="I62" s="1006"/>
      <c r="J62" s="1006"/>
      <c r="K62" s="1006"/>
      <c r="L62" s="603">
        <f>IF('5. Dashboard Live'!$AA$19='14. Permanent Info'!$N$7,-'10. Inputs &amp; Calcs'!L53,0)</f>
        <v>0</v>
      </c>
      <c r="M62" s="603">
        <f>IF('5. Dashboard Live'!$AA$19='14. Permanent Info'!$N$7,-'10. Inputs &amp; Calcs'!M53,0)</f>
        <v>0</v>
      </c>
      <c r="N62" s="603">
        <f>IF('5. Dashboard Live'!$AA$19='14. Permanent Info'!$N$7,-'10. Inputs &amp; Calcs'!N53,0)</f>
        <v>0</v>
      </c>
      <c r="O62" s="603">
        <f>IF('5. Dashboard Live'!$AA$19='14. Permanent Info'!$N$7,-'10. Inputs &amp; Calcs'!O53,0)</f>
        <v>0</v>
      </c>
      <c r="P62" s="603">
        <f>IF('5. Dashboard Live'!$AA$19='14. Permanent Info'!$N$7,-'10. Inputs &amp; Calcs'!P53,0)</f>
        <v>0</v>
      </c>
      <c r="Q62" s="603">
        <f>IF('5. Dashboard Live'!$AA$19='14. Permanent Info'!$N$7,-'10. Inputs &amp; Calcs'!Q53,0)</f>
        <v>0</v>
      </c>
      <c r="R62" s="603">
        <f>IF('5. Dashboard Live'!$AA$19='14. Permanent Info'!$N$7,-'10. Inputs &amp; Calcs'!R53,0)</f>
        <v>0</v>
      </c>
      <c r="S62" s="603">
        <f>IF('5. Dashboard Live'!$AA$19='14. Permanent Info'!$N$7,-'10. Inputs &amp; Calcs'!S53,0)</f>
        <v>0</v>
      </c>
      <c r="T62" s="603">
        <f>IF('5. Dashboard Live'!$AA$19='14. Permanent Info'!$N$7,-'10. Inputs &amp; Calcs'!T53,0)</f>
        <v>0</v>
      </c>
      <c r="U62" s="603">
        <f>IF('5. Dashboard Live'!$AA$19='14. Permanent Info'!$N$7,-'10. Inputs &amp; Calcs'!U53,0)</f>
        <v>0</v>
      </c>
      <c r="V62" s="603">
        <f>IF('5. Dashboard Live'!$AA$19='14. Permanent Info'!$N$7,-'10. Inputs &amp; Calcs'!V53,0)</f>
        <v>0</v>
      </c>
      <c r="W62" s="603">
        <f>IF('5. Dashboard Live'!$AA$19='14. Permanent Info'!$N$7,-'10. Inputs &amp; Calcs'!W53,0)</f>
        <v>0</v>
      </c>
      <c r="X62" s="603">
        <f>IF('5. Dashboard Live'!$AA$19='14. Permanent Info'!$N$7,-'10. Inputs &amp; Calcs'!X53,0)</f>
        <v>0</v>
      </c>
      <c r="Y62" s="603">
        <f>IF('5. Dashboard Live'!$AA$19='14. Permanent Info'!$N$7,-'10. Inputs &amp; Calcs'!Y53,0)</f>
        <v>0</v>
      </c>
      <c r="Z62" s="603">
        <f>IF('5. Dashboard Live'!$AA$19='14. Permanent Info'!$N$7,-'10. Inputs &amp; Calcs'!Z53,0)</f>
        <v>0</v>
      </c>
      <c r="AA62" s="603">
        <f>IF('5. Dashboard Live'!$AA$19='14. Permanent Info'!$N$7,-'10. Inputs &amp; Calcs'!AA53,0)</f>
        <v>0</v>
      </c>
      <c r="AB62" s="603">
        <f>IF('5. Dashboard Live'!$AA$19='14. Permanent Info'!$N$7,-'10. Inputs &amp; Calcs'!AB53,0)</f>
        <v>0</v>
      </c>
      <c r="AC62" s="603">
        <f>IF('5. Dashboard Live'!$AA$19='14. Permanent Info'!$N$7,-'10. Inputs &amp; Calcs'!AC53,0)</f>
        <v>0</v>
      </c>
      <c r="AD62" s="604">
        <f>SUM(I62:AC62)</f>
        <v>0</v>
      </c>
    </row>
    <row r="63" spans="1:30" outlineLevel="2" x14ac:dyDescent="0.45">
      <c r="A63" s="1113"/>
      <c r="B63" s="597" t="str">
        <f t="shared" si="2"/>
        <v>Sales</v>
      </c>
      <c r="D63" s="583" t="str">
        <f>'12. Inputs-Props &amp; Debtors 2016'!C$80</f>
        <v>KZN</v>
      </c>
      <c r="E63" s="596"/>
      <c r="F63" s="602">
        <f>'11. Table - Expenditure Review'!R92</f>
        <v>0</v>
      </c>
      <c r="G63" s="602">
        <f>'11. Table - Expenditure Review'!S92</f>
        <v>0</v>
      </c>
      <c r="H63" s="602">
        <f>'11. Table - Expenditure Review'!T92</f>
        <v>0</v>
      </c>
      <c r="I63" s="1006"/>
      <c r="J63" s="1006"/>
      <c r="K63" s="1006"/>
      <c r="L63" s="603">
        <f>IF('5. Dashboard Live'!$AA$19='14. Permanent Info'!$N$7,-'10. Inputs &amp; Calcs'!L54,0)</f>
        <v>0</v>
      </c>
      <c r="M63" s="603">
        <f>IF('5. Dashboard Live'!$AA$19='14. Permanent Info'!$N$7,-'10. Inputs &amp; Calcs'!M54,0)</f>
        <v>0</v>
      </c>
      <c r="N63" s="603">
        <f>IF('5. Dashboard Live'!$AA$19='14. Permanent Info'!$N$7,-'10. Inputs &amp; Calcs'!N54,0)</f>
        <v>0</v>
      </c>
      <c r="O63" s="603">
        <f>IF('5. Dashboard Live'!$AA$19='14. Permanent Info'!$N$7,-'10. Inputs &amp; Calcs'!O54,0)</f>
        <v>0</v>
      </c>
      <c r="P63" s="603">
        <f>IF('5. Dashboard Live'!$AA$19='14. Permanent Info'!$N$7,-'10. Inputs &amp; Calcs'!P54,0)</f>
        <v>0</v>
      </c>
      <c r="Q63" s="603">
        <f>IF('5. Dashboard Live'!$AA$19='14. Permanent Info'!$N$7,-'10. Inputs &amp; Calcs'!Q54,0)</f>
        <v>0</v>
      </c>
      <c r="R63" s="603">
        <f>IF('5. Dashboard Live'!$AA$19='14. Permanent Info'!$N$7,-'10. Inputs &amp; Calcs'!R54,0)</f>
        <v>0</v>
      </c>
      <c r="S63" s="603">
        <f>IF('5. Dashboard Live'!$AA$19='14. Permanent Info'!$N$7,-'10. Inputs &amp; Calcs'!S54,0)</f>
        <v>0</v>
      </c>
      <c r="T63" s="603">
        <f>IF('5. Dashboard Live'!$AA$19='14. Permanent Info'!$N$7,-'10. Inputs &amp; Calcs'!T54,0)</f>
        <v>0</v>
      </c>
      <c r="U63" s="603">
        <f>IF('5. Dashboard Live'!$AA$19='14. Permanent Info'!$N$7,-'10. Inputs &amp; Calcs'!U54,0)</f>
        <v>0</v>
      </c>
      <c r="V63" s="603">
        <f>IF('5. Dashboard Live'!$AA$19='14. Permanent Info'!$N$7,-'10. Inputs &amp; Calcs'!V54,0)</f>
        <v>0</v>
      </c>
      <c r="W63" s="603">
        <f>IF('5. Dashboard Live'!$AA$19='14. Permanent Info'!$N$7,-'10. Inputs &amp; Calcs'!W54,0)</f>
        <v>0</v>
      </c>
      <c r="X63" s="603">
        <f>IF('5. Dashboard Live'!$AA$19='14. Permanent Info'!$N$7,-'10. Inputs &amp; Calcs'!X54,0)</f>
        <v>0</v>
      </c>
      <c r="Y63" s="603">
        <f>IF('5. Dashboard Live'!$AA$19='14. Permanent Info'!$N$7,-'10. Inputs &amp; Calcs'!Y54,0)</f>
        <v>0</v>
      </c>
      <c r="Z63" s="603">
        <f>IF('5. Dashboard Live'!$AA$19='14. Permanent Info'!$N$7,-'10. Inputs &amp; Calcs'!Z54,0)</f>
        <v>0</v>
      </c>
      <c r="AA63" s="603">
        <f>IF('5. Dashboard Live'!$AA$19='14. Permanent Info'!$N$7,-'10. Inputs &amp; Calcs'!AA54,0)</f>
        <v>0</v>
      </c>
      <c r="AB63" s="603">
        <f>IF('5. Dashboard Live'!$AA$19='14. Permanent Info'!$N$7,-'10. Inputs &amp; Calcs'!AB54,0)</f>
        <v>0</v>
      </c>
      <c r="AC63" s="603">
        <f>IF('5. Dashboard Live'!$AA$19='14. Permanent Info'!$N$7,-'10. Inputs &amp; Calcs'!AC54,0)</f>
        <v>0</v>
      </c>
      <c r="AD63" s="604">
        <f>SUM(I63:AC63)</f>
        <v>0</v>
      </c>
    </row>
    <row r="64" spans="1:30" outlineLevel="2" x14ac:dyDescent="0.45">
      <c r="A64" s="1113"/>
      <c r="B64" s="597" t="str">
        <f t="shared" si="2"/>
        <v>Sales</v>
      </c>
      <c r="D64" s="583" t="str">
        <f>'12. Inputs-Props &amp; Debtors 2016'!C$81</f>
        <v>WC</v>
      </c>
      <c r="E64" s="596"/>
      <c r="F64" s="602">
        <f>'11. Table - Expenditure Review'!U92</f>
        <v>0</v>
      </c>
      <c r="G64" s="602">
        <f>'11. Table - Expenditure Review'!V92</f>
        <v>0</v>
      </c>
      <c r="H64" s="602">
        <f>'11. Table - Expenditure Review'!W92</f>
        <v>0</v>
      </c>
      <c r="I64" s="1006"/>
      <c r="J64" s="1006"/>
      <c r="K64" s="1006"/>
      <c r="L64" s="603">
        <f>IF('5. Dashboard Live'!$AA$19='14. Permanent Info'!$N$7,-'10. Inputs &amp; Calcs'!L55,0)</f>
        <v>0</v>
      </c>
      <c r="M64" s="603">
        <f>IF('5. Dashboard Live'!$AA$19='14. Permanent Info'!$N$7,-'10. Inputs &amp; Calcs'!M55,0)</f>
        <v>0</v>
      </c>
      <c r="N64" s="603">
        <f>IF('5. Dashboard Live'!$AA$19='14. Permanent Info'!$N$7,-'10. Inputs &amp; Calcs'!N55,0)</f>
        <v>0</v>
      </c>
      <c r="O64" s="603">
        <f>IF('5. Dashboard Live'!$AA$19='14. Permanent Info'!$N$7,-'10. Inputs &amp; Calcs'!O55,0)</f>
        <v>0</v>
      </c>
      <c r="P64" s="603">
        <f>IF('5. Dashboard Live'!$AA$19='14. Permanent Info'!$N$7,-'10. Inputs &amp; Calcs'!P55,0)</f>
        <v>0</v>
      </c>
      <c r="Q64" s="603">
        <f>IF('5. Dashboard Live'!$AA$19='14. Permanent Info'!$N$7,-'10. Inputs &amp; Calcs'!Q55,0)</f>
        <v>0</v>
      </c>
      <c r="R64" s="603">
        <f>IF('5. Dashboard Live'!$AA$19='14. Permanent Info'!$N$7,-'10. Inputs &amp; Calcs'!R55,0)</f>
        <v>0</v>
      </c>
      <c r="S64" s="603">
        <f>IF('5. Dashboard Live'!$AA$19='14. Permanent Info'!$N$7,-'10. Inputs &amp; Calcs'!S55,0)</f>
        <v>0</v>
      </c>
      <c r="T64" s="603">
        <f>IF('5. Dashboard Live'!$AA$19='14. Permanent Info'!$N$7,-'10. Inputs &amp; Calcs'!T55,0)</f>
        <v>0</v>
      </c>
      <c r="U64" s="603">
        <f>IF('5. Dashboard Live'!$AA$19='14. Permanent Info'!$N$7,-'10. Inputs &amp; Calcs'!U55,0)</f>
        <v>0</v>
      </c>
      <c r="V64" s="603">
        <f>IF('5. Dashboard Live'!$AA$19='14. Permanent Info'!$N$7,-'10. Inputs &amp; Calcs'!V55,0)</f>
        <v>0</v>
      </c>
      <c r="W64" s="603">
        <f>IF('5. Dashboard Live'!$AA$19='14. Permanent Info'!$N$7,-'10. Inputs &amp; Calcs'!W55,0)</f>
        <v>0</v>
      </c>
      <c r="X64" s="603">
        <f>IF('5. Dashboard Live'!$AA$19='14. Permanent Info'!$N$7,-'10. Inputs &amp; Calcs'!X55,0)</f>
        <v>0</v>
      </c>
      <c r="Y64" s="603">
        <f>IF('5. Dashboard Live'!$AA$19='14. Permanent Info'!$N$7,-'10. Inputs &amp; Calcs'!Y55,0)</f>
        <v>0</v>
      </c>
      <c r="Z64" s="603">
        <f>IF('5. Dashboard Live'!$AA$19='14. Permanent Info'!$N$7,-'10. Inputs &amp; Calcs'!Z55,0)</f>
        <v>0</v>
      </c>
      <c r="AA64" s="603">
        <f>IF('5. Dashboard Live'!$AA$19='14. Permanent Info'!$N$7,-'10. Inputs &amp; Calcs'!AA55,0)</f>
        <v>0</v>
      </c>
      <c r="AB64" s="603">
        <f>IF('5. Dashboard Live'!$AA$19='14. Permanent Info'!$N$7,-'10. Inputs &amp; Calcs'!AB55,0)</f>
        <v>0</v>
      </c>
      <c r="AC64" s="603">
        <f>IF('5. Dashboard Live'!$AA$19='14. Permanent Info'!$N$7,-'10. Inputs &amp; Calcs'!AC55,0)</f>
        <v>0</v>
      </c>
      <c r="AD64" s="604">
        <f>SUM(I64:AC64)</f>
        <v>0</v>
      </c>
    </row>
    <row r="65" spans="1:30" outlineLevel="2" x14ac:dyDescent="0.45">
      <c r="A65" s="1113"/>
      <c r="B65" s="597" t="str">
        <f t="shared" si="2"/>
        <v>Sales</v>
      </c>
      <c r="D65" s="583" t="str">
        <f>'12. Inputs-Props &amp; Debtors 2016'!C$82</f>
        <v>Total</v>
      </c>
      <c r="E65" s="596"/>
      <c r="F65" s="605">
        <f t="shared" ref="F65:L65" si="14">SUM(F60:F64)</f>
        <v>0</v>
      </c>
      <c r="G65" s="605">
        <f t="shared" si="14"/>
        <v>0</v>
      </c>
      <c r="H65" s="605">
        <f t="shared" si="14"/>
        <v>0</v>
      </c>
      <c r="I65" s="605">
        <f t="shared" si="14"/>
        <v>0</v>
      </c>
      <c r="J65" s="605">
        <f t="shared" si="14"/>
        <v>0</v>
      </c>
      <c r="K65" s="605">
        <f t="shared" si="14"/>
        <v>0</v>
      </c>
      <c r="L65" s="605">
        <f t="shared" si="14"/>
        <v>0</v>
      </c>
      <c r="M65" s="605">
        <f t="shared" ref="M65:AC65" si="15">SUM(M60:M64)</f>
        <v>0</v>
      </c>
      <c r="N65" s="605">
        <f t="shared" si="15"/>
        <v>0</v>
      </c>
      <c r="O65" s="605">
        <f t="shared" si="15"/>
        <v>0</v>
      </c>
      <c r="P65" s="605">
        <f t="shared" si="15"/>
        <v>0</v>
      </c>
      <c r="Q65" s="605">
        <f t="shared" si="15"/>
        <v>0</v>
      </c>
      <c r="R65" s="605">
        <f t="shared" si="15"/>
        <v>0</v>
      </c>
      <c r="S65" s="605">
        <f t="shared" si="15"/>
        <v>0</v>
      </c>
      <c r="T65" s="605">
        <f t="shared" si="15"/>
        <v>0</v>
      </c>
      <c r="U65" s="605">
        <f t="shared" si="15"/>
        <v>0</v>
      </c>
      <c r="V65" s="605">
        <f t="shared" si="15"/>
        <v>0</v>
      </c>
      <c r="W65" s="605">
        <f t="shared" si="15"/>
        <v>0</v>
      </c>
      <c r="X65" s="605">
        <f t="shared" si="15"/>
        <v>0</v>
      </c>
      <c r="Y65" s="605">
        <f t="shared" si="15"/>
        <v>0</v>
      </c>
      <c r="Z65" s="605">
        <f t="shared" si="15"/>
        <v>0</v>
      </c>
      <c r="AA65" s="605">
        <f t="shared" si="15"/>
        <v>0</v>
      </c>
      <c r="AB65" s="605">
        <f t="shared" si="15"/>
        <v>0</v>
      </c>
      <c r="AC65" s="605">
        <f t="shared" si="15"/>
        <v>0</v>
      </c>
      <c r="AD65" s="605">
        <f>SUM(AD60:AD64)</f>
        <v>0</v>
      </c>
    </row>
    <row r="66" spans="1:30" outlineLevel="2" x14ac:dyDescent="0.45">
      <c r="B66" s="597" t="str">
        <f t="shared" si="2"/>
        <v>Sales</v>
      </c>
      <c r="D66" s="596"/>
      <c r="E66" s="596"/>
      <c r="F66" s="606"/>
      <c r="G66" s="606"/>
      <c r="H66" s="606"/>
      <c r="I66" s="606"/>
      <c r="J66" s="606"/>
      <c r="K66" s="606"/>
      <c r="L66" s="606"/>
      <c r="M66" s="606"/>
      <c r="N66" s="606"/>
      <c r="O66" s="606"/>
      <c r="P66" s="606"/>
      <c r="Q66" s="606"/>
      <c r="R66" s="606"/>
      <c r="S66" s="606"/>
      <c r="T66" s="606"/>
      <c r="U66" s="606"/>
      <c r="V66" s="606"/>
      <c r="W66" s="606"/>
      <c r="X66" s="606"/>
      <c r="Y66" s="606"/>
      <c r="Z66" s="606"/>
      <c r="AA66" s="606"/>
      <c r="AB66" s="606"/>
      <c r="AC66" s="606"/>
      <c r="AD66" s="606"/>
    </row>
    <row r="67" spans="1:30" outlineLevel="2" x14ac:dyDescent="0.45">
      <c r="B67" s="597" t="str">
        <f t="shared" si="2"/>
        <v>Sales</v>
      </c>
      <c r="D67" s="596"/>
      <c r="E67" s="596"/>
      <c r="F67" s="606"/>
      <c r="G67" s="606"/>
      <c r="H67" s="606"/>
      <c r="I67" s="606"/>
      <c r="J67" s="606"/>
      <c r="K67" s="606"/>
      <c r="L67" s="606"/>
      <c r="M67" s="606"/>
      <c r="N67" s="606"/>
      <c r="O67" s="606"/>
      <c r="P67" s="606"/>
      <c r="Q67" s="606"/>
      <c r="R67" s="606"/>
      <c r="S67" s="606"/>
      <c r="T67" s="606"/>
      <c r="U67" s="606"/>
      <c r="V67" s="606"/>
      <c r="W67" s="606"/>
      <c r="X67" s="606"/>
      <c r="Y67" s="606"/>
      <c r="Z67" s="606"/>
      <c r="AA67" s="606"/>
      <c r="AB67" s="606"/>
      <c r="AC67" s="606"/>
      <c r="AD67" s="606"/>
    </row>
    <row r="68" spans="1:30" outlineLevel="2" x14ac:dyDescent="0.45">
      <c r="B68" s="597" t="str">
        <f t="shared" si="2"/>
        <v>Sales</v>
      </c>
      <c r="C68" s="451">
        <f>C59+1</f>
        <v>5</v>
      </c>
      <c r="D68" s="532" t="s">
        <v>1469</v>
      </c>
      <c r="E68" s="596"/>
      <c r="F68" s="606"/>
      <c r="G68" s="606"/>
      <c r="H68" s="606"/>
      <c r="I68" s="606"/>
      <c r="J68" s="606"/>
      <c r="K68" s="606"/>
      <c r="L68" s="606"/>
      <c r="M68" s="606"/>
      <c r="N68" s="606"/>
      <c r="O68" s="606"/>
      <c r="P68" s="606"/>
      <c r="Q68" s="606"/>
      <c r="R68" s="606"/>
      <c r="S68" s="606"/>
      <c r="T68" s="606"/>
      <c r="U68" s="606"/>
      <c r="V68" s="606"/>
      <c r="W68" s="606"/>
      <c r="X68" s="606"/>
      <c r="Y68" s="606"/>
      <c r="Z68" s="606"/>
      <c r="AA68" s="606"/>
      <c r="AB68" s="606"/>
      <c r="AC68" s="606"/>
      <c r="AD68" s="606"/>
    </row>
    <row r="69" spans="1:30" outlineLevel="2" x14ac:dyDescent="0.45">
      <c r="B69" s="597" t="str">
        <f t="shared" si="2"/>
        <v>Sales</v>
      </c>
      <c r="D69" s="583" t="str">
        <f>'12. Inputs-Props &amp; Debtors 2016'!C$77</f>
        <v>EC</v>
      </c>
      <c r="E69" s="596"/>
      <c r="F69" s="606"/>
      <c r="G69" s="606"/>
      <c r="H69" s="606"/>
      <c r="I69" s="606"/>
      <c r="J69" s="606"/>
      <c r="K69" s="606"/>
      <c r="L69" s="606">
        <f>IF(AND('7. Scenario Detailed'!$E$12='7. Scenario Detailed'!$E$16,'7. Scenario Detailed'!$F$12+$K$4=L$4),ROUND('12. Inputs-Props &amp; Debtors 2016'!$H77*L42,0),0)</f>
        <v>0</v>
      </c>
      <c r="M69" s="606"/>
      <c r="N69" s="606"/>
      <c r="O69" s="606"/>
      <c r="P69" s="606"/>
      <c r="Q69" s="606"/>
      <c r="R69" s="606"/>
      <c r="S69" s="606"/>
      <c r="T69" s="606"/>
      <c r="U69" s="606"/>
      <c r="V69" s="606"/>
      <c r="W69" s="606"/>
      <c r="X69" s="606"/>
      <c r="Y69" s="606"/>
      <c r="Z69" s="606"/>
      <c r="AA69" s="606"/>
      <c r="AB69" s="606"/>
      <c r="AC69" s="606"/>
      <c r="AD69" s="606"/>
    </row>
    <row r="70" spans="1:30" outlineLevel="2" x14ac:dyDescent="0.45">
      <c r="B70" s="597" t="str">
        <f t="shared" si="2"/>
        <v>Sales</v>
      </c>
      <c r="D70" s="583" t="str">
        <f>'12. Inputs-Props &amp; Debtors 2016'!C$78</f>
        <v>FS</v>
      </c>
      <c r="E70" s="596"/>
      <c r="F70" s="606"/>
      <c r="G70" s="606"/>
      <c r="H70" s="606"/>
      <c r="I70" s="606"/>
      <c r="J70" s="606"/>
      <c r="K70" s="606"/>
      <c r="L70" s="606">
        <f>IF(AND('7. Scenario Detailed'!$E$12='7. Scenario Detailed'!$E$16,'7. Scenario Detailed'!$F$12+$K$4=L$4),ROUND('12. Inputs-Props &amp; Debtors 2016'!$H78*L43,0),0)</f>
        <v>0</v>
      </c>
      <c r="M70" s="606"/>
      <c r="N70" s="606"/>
      <c r="O70" s="606"/>
      <c r="P70" s="606"/>
      <c r="Q70" s="606"/>
      <c r="R70" s="606"/>
      <c r="S70" s="606"/>
      <c r="T70" s="606"/>
      <c r="U70" s="606"/>
      <c r="V70" s="606"/>
      <c r="W70" s="606"/>
      <c r="X70" s="606"/>
      <c r="Y70" s="606"/>
      <c r="Z70" s="606"/>
      <c r="AA70" s="606"/>
      <c r="AB70" s="606"/>
      <c r="AC70" s="606"/>
      <c r="AD70" s="606"/>
    </row>
    <row r="71" spans="1:30" outlineLevel="2" x14ac:dyDescent="0.45">
      <c r="B71" s="597" t="str">
        <f t="shared" si="2"/>
        <v>Sales</v>
      </c>
      <c r="D71" s="583" t="str">
        <f>'12. Inputs-Props &amp; Debtors 2016'!C$79</f>
        <v>Gau</v>
      </c>
      <c r="E71" s="596"/>
      <c r="F71" s="606"/>
      <c r="G71" s="606"/>
      <c r="H71" s="606"/>
      <c r="I71" s="606"/>
      <c r="J71" s="606"/>
      <c r="K71" s="606"/>
      <c r="L71" s="606">
        <f>IF(AND('7. Scenario Detailed'!$E$12='7. Scenario Detailed'!$E$16,'7. Scenario Detailed'!$F$12+$K$4=L$4),ROUND('12. Inputs-Props &amp; Debtors 2016'!$H79*L44,0),0)</f>
        <v>0</v>
      </c>
      <c r="M71" s="606"/>
      <c r="N71" s="606"/>
      <c r="O71" s="606"/>
      <c r="P71" s="606"/>
      <c r="Q71" s="606"/>
      <c r="R71" s="606"/>
      <c r="S71" s="606"/>
      <c r="T71" s="606"/>
      <c r="U71" s="606"/>
      <c r="V71" s="606"/>
      <c r="W71" s="606"/>
      <c r="X71" s="606"/>
      <c r="Y71" s="606"/>
      <c r="Z71" s="606"/>
      <c r="AA71" s="606"/>
      <c r="AB71" s="606"/>
      <c r="AC71" s="606"/>
      <c r="AD71" s="606"/>
    </row>
    <row r="72" spans="1:30" outlineLevel="2" x14ac:dyDescent="0.45">
      <c r="B72" s="597" t="str">
        <f t="shared" si="2"/>
        <v>Sales</v>
      </c>
      <c r="D72" s="583" t="str">
        <f>'12. Inputs-Props &amp; Debtors 2016'!C$80</f>
        <v>KZN</v>
      </c>
      <c r="E72" s="596"/>
      <c r="F72" s="606"/>
      <c r="G72" s="606"/>
      <c r="H72" s="606"/>
      <c r="I72" s="606"/>
      <c r="J72" s="606"/>
      <c r="K72" s="606"/>
      <c r="L72" s="606">
        <f>IF(AND('7. Scenario Detailed'!$E$12='7. Scenario Detailed'!$E$16,'7. Scenario Detailed'!$F$12+$K$4=L$4),ROUND('12. Inputs-Props &amp; Debtors 2016'!$H80*L45,0),0)</f>
        <v>0</v>
      </c>
      <c r="M72" s="606"/>
      <c r="N72" s="606"/>
      <c r="O72" s="606"/>
      <c r="P72" s="606"/>
      <c r="Q72" s="606"/>
      <c r="R72" s="606"/>
      <c r="S72" s="606"/>
      <c r="T72" s="606"/>
      <c r="U72" s="606"/>
      <c r="V72" s="606"/>
      <c r="W72" s="606"/>
      <c r="X72" s="606"/>
      <c r="Y72" s="606"/>
      <c r="Z72" s="606"/>
      <c r="AA72" s="606"/>
      <c r="AB72" s="606"/>
      <c r="AC72" s="606"/>
      <c r="AD72" s="606"/>
    </row>
    <row r="73" spans="1:30" outlineLevel="2" x14ac:dyDescent="0.45">
      <c r="B73" s="597" t="str">
        <f t="shared" si="2"/>
        <v>Sales</v>
      </c>
      <c r="D73" s="583" t="str">
        <f>'12. Inputs-Props &amp; Debtors 2016'!C$81</f>
        <v>WC</v>
      </c>
      <c r="E73" s="596"/>
      <c r="F73" s="606"/>
      <c r="G73" s="606"/>
      <c r="H73" s="606"/>
      <c r="I73" s="606"/>
      <c r="J73" s="606"/>
      <c r="K73" s="606"/>
      <c r="L73" s="606">
        <f>IF(AND('7. Scenario Detailed'!$E$12='7. Scenario Detailed'!$E$16,'7. Scenario Detailed'!$F$12+$K$4=L$4),ROUND('12. Inputs-Props &amp; Debtors 2016'!$H81*L46,0),0)</f>
        <v>0</v>
      </c>
      <c r="M73" s="606"/>
      <c r="N73" s="606"/>
      <c r="O73" s="606"/>
      <c r="P73" s="606"/>
      <c r="Q73" s="606"/>
      <c r="R73" s="606"/>
      <c r="S73" s="606"/>
      <c r="T73" s="606"/>
      <c r="U73" s="606"/>
      <c r="V73" s="606"/>
      <c r="W73" s="606"/>
      <c r="X73" s="606"/>
      <c r="Y73" s="606"/>
      <c r="Z73" s="606"/>
      <c r="AA73" s="606"/>
      <c r="AB73" s="606"/>
      <c r="AC73" s="606"/>
      <c r="AD73" s="606"/>
    </row>
    <row r="74" spans="1:30" outlineLevel="2" x14ac:dyDescent="0.45">
      <c r="B74" s="597" t="str">
        <f t="shared" si="2"/>
        <v>Sales</v>
      </c>
      <c r="D74" s="583" t="str">
        <f>'12. Inputs-Props &amp; Debtors 2016'!C$82</f>
        <v>Total</v>
      </c>
      <c r="E74" s="596"/>
      <c r="F74" s="606"/>
      <c r="G74" s="606"/>
      <c r="H74" s="606"/>
      <c r="I74" s="606"/>
      <c r="J74" s="606"/>
      <c r="K74" s="606"/>
      <c r="L74" s="605">
        <f>SUM(L69:L73)</f>
        <v>0</v>
      </c>
      <c r="M74" s="606"/>
      <c r="N74" s="606"/>
      <c r="O74" s="606"/>
      <c r="P74" s="606"/>
      <c r="Q74" s="606"/>
      <c r="R74" s="606"/>
      <c r="S74" s="606"/>
      <c r="T74" s="606"/>
      <c r="U74" s="606"/>
      <c r="V74" s="606"/>
      <c r="W74" s="606"/>
      <c r="X74" s="606"/>
      <c r="Y74" s="606"/>
      <c r="Z74" s="606"/>
      <c r="AA74" s="606"/>
      <c r="AB74" s="606"/>
      <c r="AC74" s="606"/>
      <c r="AD74" s="606"/>
    </row>
    <row r="75" spans="1:30" outlineLevel="2" x14ac:dyDescent="0.45">
      <c r="B75" s="597" t="str">
        <f t="shared" si="2"/>
        <v>Sales</v>
      </c>
      <c r="D75" s="596"/>
      <c r="E75" s="596"/>
      <c r="F75" s="606"/>
      <c r="G75" s="606"/>
      <c r="H75" s="606"/>
      <c r="I75" s="606"/>
      <c r="J75" s="606"/>
      <c r="K75" s="606"/>
      <c r="L75" s="606"/>
      <c r="M75" s="606"/>
      <c r="N75" s="606"/>
      <c r="O75" s="606"/>
      <c r="P75" s="606"/>
      <c r="Q75" s="606"/>
      <c r="R75" s="606"/>
      <c r="S75" s="606"/>
      <c r="T75" s="606"/>
      <c r="U75" s="606"/>
      <c r="V75" s="606"/>
      <c r="W75" s="606"/>
      <c r="X75" s="606"/>
      <c r="Y75" s="606"/>
      <c r="Z75" s="606"/>
      <c r="AA75" s="606"/>
      <c r="AB75" s="606"/>
      <c r="AC75" s="606"/>
      <c r="AD75" s="606"/>
    </row>
    <row r="76" spans="1:30" outlineLevel="2" x14ac:dyDescent="0.45">
      <c r="B76" s="597" t="str">
        <f t="shared" si="2"/>
        <v>Sales</v>
      </c>
      <c r="D76" s="596"/>
      <c r="E76" s="596"/>
      <c r="F76" s="606"/>
      <c r="G76" s="606"/>
      <c r="H76" s="606"/>
      <c r="I76" s="606"/>
      <c r="J76" s="606"/>
      <c r="K76" s="606"/>
      <c r="L76" s="606"/>
      <c r="M76" s="606"/>
      <c r="N76" s="606"/>
      <c r="O76" s="606"/>
      <c r="P76" s="606"/>
      <c r="Q76" s="606"/>
      <c r="R76" s="606"/>
      <c r="S76" s="606"/>
      <c r="T76" s="606"/>
      <c r="U76" s="606"/>
      <c r="V76" s="606"/>
      <c r="W76" s="606"/>
      <c r="X76" s="606"/>
      <c r="Y76" s="606"/>
      <c r="Z76" s="606"/>
      <c r="AA76" s="606"/>
      <c r="AB76" s="606"/>
      <c r="AC76" s="606"/>
      <c r="AD76" s="606"/>
    </row>
    <row r="77" spans="1:30" outlineLevel="2" x14ac:dyDescent="0.45">
      <c r="B77" s="597" t="str">
        <f t="shared" si="2"/>
        <v>Sales</v>
      </c>
      <c r="C77" s="451">
        <f>C68+1</f>
        <v>6</v>
      </c>
      <c r="D77" s="591" t="s">
        <v>1031</v>
      </c>
      <c r="F77" s="596"/>
      <c r="G77" s="596"/>
      <c r="H77" s="596"/>
      <c r="I77" s="596"/>
    </row>
    <row r="78" spans="1:30" outlineLevel="2" x14ac:dyDescent="0.45">
      <c r="B78" s="597" t="str">
        <f t="shared" si="2"/>
        <v>Sales</v>
      </c>
      <c r="D78" s="583" t="str">
        <f>'12. Inputs-Props &amp; Debtors 2016'!C$77</f>
        <v>EC</v>
      </c>
      <c r="F78" s="596"/>
      <c r="G78" s="596"/>
      <c r="H78" s="602">
        <f>'11. Table - Expenditure Review'!K$105</f>
        <v>114</v>
      </c>
      <c r="I78" s="606">
        <f t="shared" ref="I78:AC78" si="16">I51+I60+H78+H106</f>
        <v>132</v>
      </c>
      <c r="J78" s="606">
        <f>J51+J60+I78+I106</f>
        <v>150</v>
      </c>
      <c r="K78" s="606">
        <f t="shared" si="16"/>
        <v>168</v>
      </c>
      <c r="L78" s="606">
        <f>L51+L60+K78+K106</f>
        <v>170</v>
      </c>
      <c r="M78" s="606">
        <f t="shared" si="16"/>
        <v>172</v>
      </c>
      <c r="N78" s="606">
        <f t="shared" si="16"/>
        <v>174</v>
      </c>
      <c r="O78" s="606">
        <f t="shared" si="16"/>
        <v>176</v>
      </c>
      <c r="P78" s="606">
        <f t="shared" si="16"/>
        <v>178</v>
      </c>
      <c r="Q78" s="606">
        <f t="shared" si="16"/>
        <v>180</v>
      </c>
      <c r="R78" s="606">
        <f t="shared" si="16"/>
        <v>182</v>
      </c>
      <c r="S78" s="606">
        <f t="shared" si="16"/>
        <v>184</v>
      </c>
      <c r="T78" s="606">
        <f t="shared" si="16"/>
        <v>186</v>
      </c>
      <c r="U78" s="606">
        <f t="shared" si="16"/>
        <v>188</v>
      </c>
      <c r="V78" s="606">
        <f t="shared" si="16"/>
        <v>190</v>
      </c>
      <c r="W78" s="606">
        <f t="shared" si="16"/>
        <v>192</v>
      </c>
      <c r="X78" s="606">
        <f t="shared" si="16"/>
        <v>194</v>
      </c>
      <c r="Y78" s="606">
        <f t="shared" si="16"/>
        <v>196</v>
      </c>
      <c r="Z78" s="606">
        <f t="shared" si="16"/>
        <v>198</v>
      </c>
      <c r="AA78" s="606">
        <f t="shared" si="16"/>
        <v>200</v>
      </c>
      <c r="AB78" s="606">
        <f t="shared" si="16"/>
        <v>204</v>
      </c>
      <c r="AC78" s="606">
        <f t="shared" si="16"/>
        <v>0</v>
      </c>
    </row>
    <row r="79" spans="1:30" outlineLevel="2" x14ac:dyDescent="0.45">
      <c r="B79" s="597" t="str">
        <f t="shared" si="2"/>
        <v>Sales</v>
      </c>
      <c r="D79" s="583" t="str">
        <f>'12. Inputs-Props &amp; Debtors 2016'!C$78</f>
        <v>FS</v>
      </c>
      <c r="F79" s="596"/>
      <c r="G79" s="596"/>
      <c r="H79" s="602">
        <f>'11. Table - Expenditure Review'!N$105</f>
        <v>1</v>
      </c>
      <c r="I79" s="606">
        <f t="shared" ref="I79:AC79" si="17">I52+I61+H79+H107</f>
        <v>3</v>
      </c>
      <c r="J79" s="606">
        <f t="shared" si="17"/>
        <v>5</v>
      </c>
      <c r="K79" s="606">
        <f t="shared" si="17"/>
        <v>7</v>
      </c>
      <c r="L79" s="606">
        <f t="shared" si="17"/>
        <v>9</v>
      </c>
      <c r="M79" s="606">
        <f t="shared" si="17"/>
        <v>11</v>
      </c>
      <c r="N79" s="606">
        <f t="shared" si="17"/>
        <v>13</v>
      </c>
      <c r="O79" s="606">
        <f t="shared" si="17"/>
        <v>15</v>
      </c>
      <c r="P79" s="606">
        <f t="shared" si="17"/>
        <v>17</v>
      </c>
      <c r="Q79" s="606">
        <f t="shared" si="17"/>
        <v>19</v>
      </c>
      <c r="R79" s="606">
        <f t="shared" si="17"/>
        <v>21</v>
      </c>
      <c r="S79" s="606">
        <f t="shared" si="17"/>
        <v>23</v>
      </c>
      <c r="T79" s="606">
        <f t="shared" si="17"/>
        <v>25</v>
      </c>
      <c r="U79" s="606">
        <f t="shared" si="17"/>
        <v>27</v>
      </c>
      <c r="V79" s="606">
        <f t="shared" si="17"/>
        <v>29</v>
      </c>
      <c r="W79" s="606">
        <f t="shared" si="17"/>
        <v>31</v>
      </c>
      <c r="X79" s="606">
        <f t="shared" si="17"/>
        <v>33</v>
      </c>
      <c r="Y79" s="606">
        <f t="shared" si="17"/>
        <v>35</v>
      </c>
      <c r="Z79" s="606">
        <f t="shared" si="17"/>
        <v>37</v>
      </c>
      <c r="AA79" s="606">
        <f t="shared" si="17"/>
        <v>39</v>
      </c>
      <c r="AB79" s="606">
        <f t="shared" si="17"/>
        <v>49</v>
      </c>
      <c r="AC79" s="606">
        <f t="shared" si="17"/>
        <v>0</v>
      </c>
    </row>
    <row r="80" spans="1:30" outlineLevel="2" x14ac:dyDescent="0.45">
      <c r="B80" s="597" t="str">
        <f t="shared" si="2"/>
        <v>Sales</v>
      </c>
      <c r="D80" s="583" t="str">
        <f>'12. Inputs-Props &amp; Debtors 2016'!C$79</f>
        <v>Gau</v>
      </c>
      <c r="F80" s="596"/>
      <c r="G80" s="596"/>
      <c r="H80" s="602">
        <f>'11. Table - Expenditure Review'!Q$105</f>
        <v>456</v>
      </c>
      <c r="I80" s="606">
        <f t="shared" ref="I80:AC80" si="18">I53+I62+H80+H108</f>
        <v>541</v>
      </c>
      <c r="J80" s="606">
        <f t="shared" si="18"/>
        <v>626</v>
      </c>
      <c r="K80" s="606">
        <f t="shared" si="18"/>
        <v>711</v>
      </c>
      <c r="L80" s="606">
        <f t="shared" si="18"/>
        <v>800</v>
      </c>
      <c r="M80" s="606">
        <f t="shared" si="18"/>
        <v>889</v>
      </c>
      <c r="N80" s="606">
        <f t="shared" si="18"/>
        <v>978</v>
      </c>
      <c r="O80" s="606">
        <f t="shared" si="18"/>
        <v>1067</v>
      </c>
      <c r="P80" s="606">
        <f t="shared" si="18"/>
        <v>1156</v>
      </c>
      <c r="Q80" s="606">
        <f t="shared" si="18"/>
        <v>1245</v>
      </c>
      <c r="R80" s="606">
        <f t="shared" si="18"/>
        <v>1334</v>
      </c>
      <c r="S80" s="606">
        <f t="shared" si="18"/>
        <v>1423</v>
      </c>
      <c r="T80" s="606">
        <f t="shared" si="18"/>
        <v>1512</v>
      </c>
      <c r="U80" s="606">
        <f t="shared" si="18"/>
        <v>1601</v>
      </c>
      <c r="V80" s="606">
        <f t="shared" si="18"/>
        <v>1690</v>
      </c>
      <c r="W80" s="606">
        <f t="shared" si="18"/>
        <v>1779</v>
      </c>
      <c r="X80" s="606">
        <f t="shared" si="18"/>
        <v>1868</v>
      </c>
      <c r="Y80" s="606">
        <f t="shared" si="18"/>
        <v>1957</v>
      </c>
      <c r="Z80" s="606">
        <f t="shared" si="18"/>
        <v>2046</v>
      </c>
      <c r="AA80" s="606">
        <f t="shared" si="18"/>
        <v>2135</v>
      </c>
      <c r="AB80" s="606">
        <f t="shared" si="18"/>
        <v>2150</v>
      </c>
      <c r="AC80" s="606">
        <f t="shared" si="18"/>
        <v>0</v>
      </c>
    </row>
    <row r="81" spans="2:30" outlineLevel="2" x14ac:dyDescent="0.45">
      <c r="B81" s="597" t="str">
        <f t="shared" si="2"/>
        <v>Sales</v>
      </c>
      <c r="D81" s="583" t="str">
        <f>'12. Inputs-Props &amp; Debtors 2016'!C$80</f>
        <v>KZN</v>
      </c>
      <c r="F81" s="596"/>
      <c r="G81" s="596"/>
      <c r="H81" s="602">
        <f>'11. Table - Expenditure Review'!T$105</f>
        <v>778</v>
      </c>
      <c r="I81" s="606">
        <f t="shared" ref="I81:AC81" si="19">I54+I63+H81+H109</f>
        <v>1034</v>
      </c>
      <c r="J81" s="606">
        <f t="shared" si="19"/>
        <v>1290</v>
      </c>
      <c r="K81" s="606">
        <f t="shared" si="19"/>
        <v>1546</v>
      </c>
      <c r="L81" s="606">
        <f>L54+L63+K81+K109</f>
        <v>1658</v>
      </c>
      <c r="M81" s="606">
        <f t="shared" si="19"/>
        <v>1770</v>
      </c>
      <c r="N81" s="606">
        <f t="shared" si="19"/>
        <v>1882</v>
      </c>
      <c r="O81" s="606">
        <f t="shared" si="19"/>
        <v>1994</v>
      </c>
      <c r="P81" s="606">
        <f t="shared" si="19"/>
        <v>2106</v>
      </c>
      <c r="Q81" s="606">
        <f t="shared" si="19"/>
        <v>2218</v>
      </c>
      <c r="R81" s="606">
        <f t="shared" si="19"/>
        <v>2330</v>
      </c>
      <c r="S81" s="606">
        <f t="shared" si="19"/>
        <v>2442</v>
      </c>
      <c r="T81" s="606">
        <f t="shared" si="19"/>
        <v>2554</v>
      </c>
      <c r="U81" s="606">
        <f t="shared" si="19"/>
        <v>2666</v>
      </c>
      <c r="V81" s="606">
        <f t="shared" si="19"/>
        <v>2778</v>
      </c>
      <c r="W81" s="606">
        <f t="shared" si="19"/>
        <v>2890</v>
      </c>
      <c r="X81" s="606">
        <f t="shared" si="19"/>
        <v>3002</v>
      </c>
      <c r="Y81" s="606">
        <f t="shared" si="19"/>
        <v>3114</v>
      </c>
      <c r="Z81" s="606">
        <f t="shared" si="19"/>
        <v>3226</v>
      </c>
      <c r="AA81" s="606">
        <f t="shared" si="19"/>
        <v>3338</v>
      </c>
      <c r="AB81" s="606">
        <f t="shared" si="19"/>
        <v>3341</v>
      </c>
      <c r="AC81" s="606">
        <f t="shared" si="19"/>
        <v>0</v>
      </c>
    </row>
    <row r="82" spans="2:30" outlineLevel="2" x14ac:dyDescent="0.45">
      <c r="B82" s="597" t="str">
        <f t="shared" si="2"/>
        <v>Sales</v>
      </c>
      <c r="D82" s="583" t="str">
        <f>'12. Inputs-Props &amp; Debtors 2016'!C$81</f>
        <v>WC</v>
      </c>
      <c r="F82" s="596"/>
      <c r="G82" s="596"/>
      <c r="H82" s="602">
        <f>'11. Table - Expenditure Review'!W$105</f>
        <v>890</v>
      </c>
      <c r="I82" s="606">
        <f t="shared" ref="I82:AC82" si="20">I55+I64+H82+H110</f>
        <v>1043</v>
      </c>
      <c r="J82" s="606">
        <f t="shared" si="20"/>
        <v>1196</v>
      </c>
      <c r="K82" s="606">
        <f t="shared" si="20"/>
        <v>1311</v>
      </c>
      <c r="L82" s="606">
        <f t="shared" si="20"/>
        <v>1332</v>
      </c>
      <c r="M82" s="606">
        <f t="shared" si="20"/>
        <v>1353</v>
      </c>
      <c r="N82" s="606">
        <f t="shared" si="20"/>
        <v>1374</v>
      </c>
      <c r="O82" s="606">
        <f t="shared" si="20"/>
        <v>1395</v>
      </c>
      <c r="P82" s="606">
        <f t="shared" si="20"/>
        <v>1416</v>
      </c>
      <c r="Q82" s="606">
        <f t="shared" si="20"/>
        <v>1437</v>
      </c>
      <c r="R82" s="606">
        <f t="shared" si="20"/>
        <v>1458</v>
      </c>
      <c r="S82" s="606">
        <f t="shared" si="20"/>
        <v>1479</v>
      </c>
      <c r="T82" s="606">
        <f t="shared" si="20"/>
        <v>1500</v>
      </c>
      <c r="U82" s="606">
        <f t="shared" si="20"/>
        <v>1521</v>
      </c>
      <c r="V82" s="606">
        <f t="shared" si="20"/>
        <v>1542</v>
      </c>
      <c r="W82" s="606">
        <f t="shared" si="20"/>
        <v>1563</v>
      </c>
      <c r="X82" s="606">
        <f t="shared" si="20"/>
        <v>1584</v>
      </c>
      <c r="Y82" s="606">
        <f t="shared" si="20"/>
        <v>1605</v>
      </c>
      <c r="Z82" s="606">
        <f t="shared" si="20"/>
        <v>1626</v>
      </c>
      <c r="AA82" s="606">
        <f t="shared" si="20"/>
        <v>1647</v>
      </c>
      <c r="AB82" s="606">
        <f t="shared" si="20"/>
        <v>1655</v>
      </c>
      <c r="AC82" s="606">
        <f t="shared" si="20"/>
        <v>0</v>
      </c>
    </row>
    <row r="83" spans="2:30" outlineLevel="2" x14ac:dyDescent="0.45">
      <c r="B83" s="597" t="str">
        <f t="shared" si="2"/>
        <v>Sales</v>
      </c>
      <c r="D83" s="583" t="str">
        <f>'12. Inputs-Props &amp; Debtors 2016'!C$82</f>
        <v>Total</v>
      </c>
      <c r="F83" s="596"/>
      <c r="G83" s="596"/>
      <c r="H83" s="607">
        <f>'11. Table - Expenditure Review'!H$105</f>
        <v>2239</v>
      </c>
      <c r="I83" s="605">
        <f t="shared" ref="I83:Q83" si="21">SUM(I78:I82)</f>
        <v>2753</v>
      </c>
      <c r="J83" s="605">
        <f t="shared" si="21"/>
        <v>3267</v>
      </c>
      <c r="K83" s="1118">
        <f t="shared" si="21"/>
        <v>3743</v>
      </c>
      <c r="L83" s="605">
        <f t="shared" si="21"/>
        <v>3969</v>
      </c>
      <c r="M83" s="605">
        <f t="shared" si="21"/>
        <v>4195</v>
      </c>
      <c r="N83" s="605">
        <f t="shared" si="21"/>
        <v>4421</v>
      </c>
      <c r="O83" s="605">
        <f t="shared" si="21"/>
        <v>4647</v>
      </c>
      <c r="P83" s="605">
        <f t="shared" si="21"/>
        <v>4873</v>
      </c>
      <c r="Q83" s="605">
        <f t="shared" si="21"/>
        <v>5099</v>
      </c>
      <c r="R83" s="605">
        <f t="shared" ref="R83:AB83" si="22">SUM(R78:R82)</f>
        <v>5325</v>
      </c>
      <c r="S83" s="605">
        <f t="shared" si="22"/>
        <v>5551</v>
      </c>
      <c r="T83" s="605">
        <f t="shared" si="22"/>
        <v>5777</v>
      </c>
      <c r="U83" s="605">
        <f t="shared" si="22"/>
        <v>6003</v>
      </c>
      <c r="V83" s="605">
        <f t="shared" si="22"/>
        <v>6229</v>
      </c>
      <c r="W83" s="605">
        <f t="shared" si="22"/>
        <v>6455</v>
      </c>
      <c r="X83" s="605">
        <f t="shared" si="22"/>
        <v>6681</v>
      </c>
      <c r="Y83" s="605">
        <f t="shared" si="22"/>
        <v>6907</v>
      </c>
      <c r="Z83" s="605">
        <f t="shared" si="22"/>
        <v>7133</v>
      </c>
      <c r="AA83" s="605">
        <f t="shared" si="22"/>
        <v>7359</v>
      </c>
      <c r="AB83" s="605">
        <f t="shared" si="22"/>
        <v>7399</v>
      </c>
      <c r="AC83" s="605">
        <f>SUM(AC78:AC82)</f>
        <v>0</v>
      </c>
    </row>
    <row r="84" spans="2:30" outlineLevel="2" x14ac:dyDescent="0.45">
      <c r="B84" s="597" t="str">
        <f t="shared" si="2"/>
        <v>Sales</v>
      </c>
      <c r="D84" s="596"/>
      <c r="E84" s="596"/>
      <c r="F84" s="606"/>
      <c r="G84" s="606"/>
      <c r="H84" s="606"/>
      <c r="I84" s="606">
        <f t="shared" ref="I84:T84" si="23">I83-H83</f>
        <v>514</v>
      </c>
      <c r="J84" s="606">
        <f t="shared" si="23"/>
        <v>514</v>
      </c>
      <c r="K84" s="606">
        <f t="shared" si="23"/>
        <v>476</v>
      </c>
      <c r="L84" s="606">
        <f t="shared" si="23"/>
        <v>226</v>
      </c>
      <c r="M84" s="606">
        <f t="shared" si="23"/>
        <v>226</v>
      </c>
      <c r="N84" s="606">
        <f t="shared" si="23"/>
        <v>226</v>
      </c>
      <c r="O84" s="606">
        <f t="shared" si="23"/>
        <v>226</v>
      </c>
      <c r="P84" s="606">
        <f t="shared" si="23"/>
        <v>226</v>
      </c>
      <c r="Q84" s="606">
        <f t="shared" si="23"/>
        <v>226</v>
      </c>
      <c r="R84" s="606">
        <f t="shared" si="23"/>
        <v>226</v>
      </c>
      <c r="S84" s="606">
        <f t="shared" si="23"/>
        <v>226</v>
      </c>
      <c r="T84" s="606">
        <f t="shared" si="23"/>
        <v>226</v>
      </c>
      <c r="U84" s="606">
        <f>U83-T83</f>
        <v>226</v>
      </c>
      <c r="V84" s="606">
        <f>V83-U83</f>
        <v>226</v>
      </c>
      <c r="W84" s="606">
        <f t="shared" ref="W84:AC84" si="24">W83-V83</f>
        <v>226</v>
      </c>
      <c r="X84" s="606">
        <f t="shared" si="24"/>
        <v>226</v>
      </c>
      <c r="Y84" s="606">
        <f t="shared" si="24"/>
        <v>226</v>
      </c>
      <c r="Z84" s="606">
        <f t="shared" si="24"/>
        <v>226</v>
      </c>
      <c r="AA84" s="606">
        <f t="shared" si="24"/>
        <v>226</v>
      </c>
      <c r="AB84" s="606">
        <f t="shared" si="24"/>
        <v>40</v>
      </c>
      <c r="AC84" s="606">
        <f t="shared" si="24"/>
        <v>-7399</v>
      </c>
      <c r="AD84" s="606"/>
    </row>
    <row r="85" spans="2:30" outlineLevel="2" x14ac:dyDescent="0.45">
      <c r="B85" s="597" t="str">
        <f t="shared" si="2"/>
        <v>Sales</v>
      </c>
      <c r="D85" s="596"/>
      <c r="E85" s="596"/>
      <c r="F85" s="606"/>
      <c r="G85" s="606"/>
      <c r="H85" s="606"/>
      <c r="I85" s="606"/>
      <c r="J85" s="606"/>
      <c r="K85" s="606"/>
      <c r="L85" s="606"/>
      <c r="M85" s="606"/>
      <c r="N85" s="606"/>
      <c r="O85" s="606"/>
      <c r="P85" s="606"/>
      <c r="Q85" s="606"/>
      <c r="R85" s="606"/>
      <c r="S85" s="606"/>
      <c r="T85" s="606"/>
      <c r="U85" s="606"/>
      <c r="V85" s="606"/>
      <c r="W85" s="606"/>
      <c r="X85" s="606"/>
      <c r="Y85" s="606"/>
      <c r="Z85" s="606"/>
      <c r="AA85" s="606"/>
      <c r="AB85" s="606"/>
      <c r="AC85" s="606"/>
      <c r="AD85" s="606"/>
    </row>
    <row r="86" spans="2:30" outlineLevel="2" x14ac:dyDescent="0.45">
      <c r="B86" s="1129" t="str">
        <f t="shared" si="2"/>
        <v>Sales</v>
      </c>
      <c r="C86" s="451">
        <f>C77+1</f>
        <v>7</v>
      </c>
      <c r="D86" s="791" t="s">
        <v>1626</v>
      </c>
      <c r="E86" s="596"/>
      <c r="F86" s="606"/>
      <c r="G86" s="606"/>
      <c r="H86" s="606"/>
      <c r="I86" s="606"/>
      <c r="J86" s="606"/>
      <c r="K86" s="606"/>
      <c r="L86" s="606"/>
      <c r="M86" s="606"/>
      <c r="N86" s="606"/>
      <c r="O86" s="606"/>
      <c r="P86" s="606"/>
      <c r="Q86" s="606"/>
      <c r="R86" s="606"/>
      <c r="S86" s="606"/>
      <c r="T86" s="606"/>
      <c r="U86" s="606"/>
      <c r="V86" s="606"/>
      <c r="W86" s="606"/>
      <c r="X86" s="606"/>
      <c r="Y86" s="606"/>
      <c r="Z86" s="606"/>
      <c r="AA86" s="606"/>
      <c r="AB86" s="606"/>
      <c r="AC86" s="606"/>
      <c r="AD86" s="606"/>
    </row>
    <row r="87" spans="2:30" outlineLevel="2" x14ac:dyDescent="0.45">
      <c r="B87" s="1129" t="str">
        <f t="shared" si="2"/>
        <v>Sales</v>
      </c>
      <c r="D87" s="583" t="str">
        <f>'12. Inputs-Props &amp; Debtors 2016'!C$77</f>
        <v>EC</v>
      </c>
      <c r="E87" s="596"/>
      <c r="F87" s="606"/>
      <c r="G87" s="606"/>
      <c r="H87" s="612">
        <f>SUMIF('12. Inputs-Props &amp; Debtors 2016'!$F$49:$K$49,$D87,'12. Inputs-Props &amp; Debtors 2016'!$F$52:$K$52)</f>
        <v>8780700.9399999995</v>
      </c>
      <c r="I87" s="612">
        <f>IF(H87&gt;0,I78/H78*H87,0)</f>
        <v>10167127.404210526</v>
      </c>
      <c r="J87" s="612">
        <f>IF(I87&gt;0,J78/I78*I87,0)</f>
        <v>11553553.868421054</v>
      </c>
      <c r="K87" s="612">
        <f>IF(J87&gt;0,K78/J78*J87,0)</f>
        <v>12939980.332631581</v>
      </c>
      <c r="L87" s="612">
        <f t="shared" ref="L87:AB87" si="25">IF(K87&gt;0,L78/K78*K87,0)</f>
        <v>13094027.717543861</v>
      </c>
      <c r="M87" s="612">
        <f t="shared" si="25"/>
        <v>13248075.102456141</v>
      </c>
      <c r="N87" s="612">
        <f t="shared" si="25"/>
        <v>13402122.487368422</v>
      </c>
      <c r="O87" s="612">
        <f t="shared" si="25"/>
        <v>13556169.872280704</v>
      </c>
      <c r="P87" s="612">
        <f t="shared" si="25"/>
        <v>13710217.257192986</v>
      </c>
      <c r="Q87" s="612">
        <f t="shared" si="25"/>
        <v>13864264.642105266</v>
      </c>
      <c r="R87" s="612">
        <f t="shared" si="25"/>
        <v>14018312.027017547</v>
      </c>
      <c r="S87" s="612">
        <f t="shared" si="25"/>
        <v>14172359.411929827</v>
      </c>
      <c r="T87" s="612">
        <f t="shared" si="25"/>
        <v>14326406.796842109</v>
      </c>
      <c r="U87" s="612">
        <f t="shared" si="25"/>
        <v>14480454.18175439</v>
      </c>
      <c r="V87" s="612">
        <f t="shared" si="25"/>
        <v>14634501.566666672</v>
      </c>
      <c r="W87" s="612">
        <f t="shared" si="25"/>
        <v>14788548.951578952</v>
      </c>
      <c r="X87" s="612">
        <f t="shared" si="25"/>
        <v>14942596.336491235</v>
      </c>
      <c r="Y87" s="612">
        <f t="shared" si="25"/>
        <v>15096643.721403515</v>
      </c>
      <c r="Z87" s="612">
        <f t="shared" si="25"/>
        <v>15250691.106315793</v>
      </c>
      <c r="AA87" s="612">
        <f t="shared" si="25"/>
        <v>15404738.491228076</v>
      </c>
      <c r="AB87" s="612">
        <f t="shared" si="25"/>
        <v>15712833.261052638</v>
      </c>
      <c r="AC87" s="612">
        <f>IF(AB87&gt;0,AC78/AB78*AB87,0)</f>
        <v>0</v>
      </c>
      <c r="AD87" s="606"/>
    </row>
    <row r="88" spans="2:30" outlineLevel="2" x14ac:dyDescent="0.45">
      <c r="B88" s="1129" t="str">
        <f t="shared" si="2"/>
        <v>Sales</v>
      </c>
      <c r="D88" s="583" t="str">
        <f>'12. Inputs-Props &amp; Debtors 2016'!C$78</f>
        <v>FS</v>
      </c>
      <c r="E88" s="596"/>
      <c r="F88" s="606"/>
      <c r="G88" s="606"/>
      <c r="H88" s="612">
        <f>SUMIF('12. Inputs-Props &amp; Debtors 2016'!$F$49:$K$49,$D88,'12. Inputs-Props &amp; Debtors 2016'!$F$52:$K$52)</f>
        <v>35073.449999999997</v>
      </c>
      <c r="I88" s="612">
        <f t="shared" ref="I88:J91" si="26">IF(H88&gt;0,I79/H79*H88,0)</f>
        <v>105220.34999999999</v>
      </c>
      <c r="J88" s="612">
        <f t="shared" si="26"/>
        <v>175367.25</v>
      </c>
      <c r="K88" s="612">
        <f t="shared" ref="K88:AB88" si="27">IF(J88&gt;0,K79/J79*J88,0)</f>
        <v>245514.15</v>
      </c>
      <c r="L88" s="612">
        <f t="shared" si="27"/>
        <v>315661.05</v>
      </c>
      <c r="M88" s="612">
        <f t="shared" si="27"/>
        <v>385807.95</v>
      </c>
      <c r="N88" s="612">
        <f t="shared" si="27"/>
        <v>455954.85000000003</v>
      </c>
      <c r="O88" s="612">
        <f t="shared" si="27"/>
        <v>526101.75</v>
      </c>
      <c r="P88" s="612">
        <f t="shared" si="27"/>
        <v>596248.65</v>
      </c>
      <c r="Q88" s="612">
        <f t="shared" si="27"/>
        <v>666395.55000000005</v>
      </c>
      <c r="R88" s="612">
        <f t="shared" si="27"/>
        <v>736542.45000000007</v>
      </c>
      <c r="S88" s="612">
        <f t="shared" si="27"/>
        <v>806689.35000000021</v>
      </c>
      <c r="T88" s="612">
        <f t="shared" si="27"/>
        <v>876836.25000000023</v>
      </c>
      <c r="U88" s="612">
        <f t="shared" si="27"/>
        <v>946983.15000000026</v>
      </c>
      <c r="V88" s="612">
        <f t="shared" si="27"/>
        <v>1017130.0500000004</v>
      </c>
      <c r="W88" s="612">
        <f t="shared" si="27"/>
        <v>1087276.9500000004</v>
      </c>
      <c r="X88" s="612">
        <f t="shared" si="27"/>
        <v>1157423.8500000003</v>
      </c>
      <c r="Y88" s="612">
        <f t="shared" si="27"/>
        <v>1227570.7500000002</v>
      </c>
      <c r="Z88" s="612">
        <f t="shared" si="27"/>
        <v>1297717.6500000004</v>
      </c>
      <c r="AA88" s="612">
        <f t="shared" si="27"/>
        <v>1367864.5500000003</v>
      </c>
      <c r="AB88" s="612">
        <f t="shared" si="27"/>
        <v>1718599.0500000003</v>
      </c>
      <c r="AC88" s="612">
        <f>IF(AB88&gt;0,AC79/AB79*AB88,0)</f>
        <v>0</v>
      </c>
      <c r="AD88" s="606"/>
    </row>
    <row r="89" spans="2:30" outlineLevel="2" x14ac:dyDescent="0.45">
      <c r="B89" s="1129" t="str">
        <f t="shared" si="2"/>
        <v>Sales</v>
      </c>
      <c r="D89" s="583" t="str">
        <f>'12. Inputs-Props &amp; Debtors 2016'!C$79</f>
        <v>Gau</v>
      </c>
      <c r="E89" s="596"/>
      <c r="F89" s="606"/>
      <c r="G89" s="606"/>
      <c r="H89" s="612">
        <f>SUMIF('12. Inputs-Props &amp; Debtors 2016'!$F$49:$K$49,$D89,'12. Inputs-Props &amp; Debtors 2016'!$F$52:$K$52)</f>
        <v>69531298.599999994</v>
      </c>
      <c r="I89" s="612">
        <f t="shared" si="26"/>
        <v>82492176.628508762</v>
      </c>
      <c r="J89" s="612">
        <f t="shared" si="26"/>
        <v>95453054.657017529</v>
      </c>
      <c r="K89" s="612">
        <f t="shared" ref="K89:AB89" si="28">IF(J89&gt;0,K80/J80*J89,0)</f>
        <v>108413932.6855263</v>
      </c>
      <c r="L89" s="612">
        <f t="shared" si="28"/>
        <v>121984734.38596489</v>
      </c>
      <c r="M89" s="612">
        <f t="shared" si="28"/>
        <v>135555536.08640349</v>
      </c>
      <c r="N89" s="612">
        <f t="shared" si="28"/>
        <v>149126337.78684211</v>
      </c>
      <c r="O89" s="612">
        <f t="shared" si="28"/>
        <v>162697139.4872807</v>
      </c>
      <c r="P89" s="612">
        <f t="shared" si="28"/>
        <v>176267941.18771929</v>
      </c>
      <c r="Q89" s="612">
        <f t="shared" si="28"/>
        <v>189838742.88815787</v>
      </c>
      <c r="R89" s="612">
        <f t="shared" si="28"/>
        <v>203409544.58859646</v>
      </c>
      <c r="S89" s="612">
        <f t="shared" si="28"/>
        <v>216980346.28903508</v>
      </c>
      <c r="T89" s="612">
        <f t="shared" si="28"/>
        <v>230551147.98947364</v>
      </c>
      <c r="U89" s="612">
        <f t="shared" si="28"/>
        <v>244121949.68991226</v>
      </c>
      <c r="V89" s="612">
        <f t="shared" si="28"/>
        <v>257692751.39035085</v>
      </c>
      <c r="W89" s="612">
        <f t="shared" si="28"/>
        <v>271263553.09078944</v>
      </c>
      <c r="X89" s="612">
        <f t="shared" si="28"/>
        <v>284834354.79122806</v>
      </c>
      <c r="Y89" s="612">
        <f t="shared" si="28"/>
        <v>298405156.49166667</v>
      </c>
      <c r="Z89" s="612">
        <f t="shared" si="28"/>
        <v>311975958.19210529</v>
      </c>
      <c r="AA89" s="612">
        <f t="shared" si="28"/>
        <v>325546759.89254385</v>
      </c>
      <c r="AB89" s="612">
        <f t="shared" si="28"/>
        <v>327833973.66228068</v>
      </c>
      <c r="AC89" s="612">
        <f>IF(AB89&gt;0,AC80/AB80*AB89,0)</f>
        <v>0</v>
      </c>
      <c r="AD89" s="606"/>
    </row>
    <row r="90" spans="2:30" outlineLevel="2" x14ac:dyDescent="0.45">
      <c r="B90" s="1129" t="str">
        <f t="shared" si="2"/>
        <v>Sales</v>
      </c>
      <c r="D90" s="583" t="str">
        <f>'12. Inputs-Props &amp; Debtors 2016'!C$80</f>
        <v>KZN</v>
      </c>
      <c r="E90" s="596"/>
      <c r="F90" s="606"/>
      <c r="G90" s="606"/>
      <c r="H90" s="612">
        <f>SUMIF('12. Inputs-Props &amp; Debtors 2016'!$F$49:$K$49,$D90,'12. Inputs-Props &amp; Debtors 2016'!$F$52:$K$52)</f>
        <v>71198252.709999993</v>
      </c>
      <c r="I90" s="612">
        <f t="shared" si="26"/>
        <v>94625955.401208207</v>
      </c>
      <c r="J90" s="612">
        <f t="shared" si="26"/>
        <v>118053658.09241642</v>
      </c>
      <c r="K90" s="612">
        <f t="shared" ref="K90:AB90" si="29">IF(J90&gt;0,K81/J81*J90,0)</f>
        <v>141481360.78362465</v>
      </c>
      <c r="L90" s="612">
        <f t="shared" si="29"/>
        <v>151730980.71102825</v>
      </c>
      <c r="M90" s="612">
        <f t="shared" si="29"/>
        <v>161980600.63843185</v>
      </c>
      <c r="N90" s="612">
        <f t="shared" si="29"/>
        <v>172230220.56583545</v>
      </c>
      <c r="O90" s="612">
        <f t="shared" si="29"/>
        <v>182479840.49323905</v>
      </c>
      <c r="P90" s="612">
        <f t="shared" si="29"/>
        <v>192729460.42064264</v>
      </c>
      <c r="Q90" s="612">
        <f t="shared" si="29"/>
        <v>202979080.34804624</v>
      </c>
      <c r="R90" s="612">
        <f t="shared" si="29"/>
        <v>213228700.27544984</v>
      </c>
      <c r="S90" s="612">
        <f t="shared" si="29"/>
        <v>223478320.20285341</v>
      </c>
      <c r="T90" s="612">
        <f t="shared" si="29"/>
        <v>233727940.13025698</v>
      </c>
      <c r="U90" s="612">
        <f t="shared" si="29"/>
        <v>243977560.05766058</v>
      </c>
      <c r="V90" s="612">
        <f t="shared" si="29"/>
        <v>254227179.98506415</v>
      </c>
      <c r="W90" s="612">
        <f t="shared" si="29"/>
        <v>264476799.91246772</v>
      </c>
      <c r="X90" s="612">
        <f t="shared" si="29"/>
        <v>274726419.83987129</v>
      </c>
      <c r="Y90" s="612">
        <f t="shared" si="29"/>
        <v>284976039.76727486</v>
      </c>
      <c r="Z90" s="612">
        <f t="shared" si="29"/>
        <v>295225659.69467849</v>
      </c>
      <c r="AA90" s="612">
        <f t="shared" si="29"/>
        <v>305475279.62208205</v>
      </c>
      <c r="AB90" s="612">
        <f t="shared" si="29"/>
        <v>305749823.01299465</v>
      </c>
      <c r="AC90" s="612">
        <f>IF(AB90&gt;0,AC81/AB81*AB90,0)</f>
        <v>0</v>
      </c>
      <c r="AD90" s="606"/>
    </row>
    <row r="91" spans="2:30" outlineLevel="2" x14ac:dyDescent="0.45">
      <c r="B91" s="1129" t="str">
        <f t="shared" si="2"/>
        <v>Sales</v>
      </c>
      <c r="D91" s="583" t="str">
        <f>'12. Inputs-Props &amp; Debtors 2016'!C$81</f>
        <v>WC</v>
      </c>
      <c r="E91" s="596"/>
      <c r="F91" s="606"/>
      <c r="G91" s="606"/>
      <c r="H91" s="612">
        <f>SUMIF('12. Inputs-Props &amp; Debtors 2016'!$F$49:$K$49,$D91,'12. Inputs-Props &amp; Debtors 2016'!$F$52:$K$52)</f>
        <v>46208161.329999998</v>
      </c>
      <c r="I91" s="612">
        <f t="shared" si="26"/>
        <v>54151811.536168538</v>
      </c>
      <c r="J91" s="612">
        <f t="shared" si="26"/>
        <v>62095461.742337078</v>
      </c>
      <c r="K91" s="612">
        <f t="shared" ref="K91:AB91" si="30">IF(J91&gt;0,K82/J82*J91,0)</f>
        <v>68066179.217561796</v>
      </c>
      <c r="L91" s="612">
        <f t="shared" si="30"/>
        <v>69156484.147820234</v>
      </c>
      <c r="M91" s="612">
        <f t="shared" si="30"/>
        <v>70246789.078078657</v>
      </c>
      <c r="N91" s="612">
        <f t="shared" si="30"/>
        <v>71337094.008337095</v>
      </c>
      <c r="O91" s="612">
        <f t="shared" si="30"/>
        <v>72427398.938595533</v>
      </c>
      <c r="P91" s="612">
        <f t="shared" si="30"/>
        <v>73517703.868853971</v>
      </c>
      <c r="Q91" s="612">
        <f t="shared" si="30"/>
        <v>74608008.799112409</v>
      </c>
      <c r="R91" s="612">
        <f t="shared" si="30"/>
        <v>75698313.729370847</v>
      </c>
      <c r="S91" s="612">
        <f t="shared" si="30"/>
        <v>76788618.65962927</v>
      </c>
      <c r="T91" s="612">
        <f t="shared" si="30"/>
        <v>77878923.589887708</v>
      </c>
      <c r="U91" s="612">
        <f t="shared" si="30"/>
        <v>78969228.520146132</v>
      </c>
      <c r="V91" s="612">
        <f t="shared" si="30"/>
        <v>80059533.45040457</v>
      </c>
      <c r="W91" s="612">
        <f t="shared" si="30"/>
        <v>81149838.380662993</v>
      </c>
      <c r="X91" s="612">
        <f t="shared" si="30"/>
        <v>82240143.310921416</v>
      </c>
      <c r="Y91" s="612">
        <f t="shared" si="30"/>
        <v>83330448.241179839</v>
      </c>
      <c r="Z91" s="612">
        <f t="shared" si="30"/>
        <v>84420753.171438262</v>
      </c>
      <c r="AA91" s="612">
        <f t="shared" si="30"/>
        <v>85511058.101696685</v>
      </c>
      <c r="AB91" s="612">
        <f t="shared" si="30"/>
        <v>85926412.360842749</v>
      </c>
      <c r="AC91" s="612">
        <f>IF(AB91&gt;0,AC82/AB82*AB91,0)</f>
        <v>0</v>
      </c>
      <c r="AD91" s="606"/>
    </row>
    <row r="92" spans="2:30" outlineLevel="2" x14ac:dyDescent="0.45">
      <c r="B92" s="1129" t="str">
        <f t="shared" si="2"/>
        <v>Sales</v>
      </c>
      <c r="D92" s="583" t="str">
        <f>'12. Inputs-Props &amp; Debtors 2016'!C$82</f>
        <v>Total</v>
      </c>
      <c r="E92" s="596"/>
      <c r="F92" s="606"/>
      <c r="G92" s="606"/>
      <c r="H92" s="613">
        <f>SUMIF('12. Inputs-Props &amp; Debtors 2016'!$F$49:$K$49,$D92,'12. Inputs-Props &amp; Debtors 2016'!$F$52:$K$52)</f>
        <v>195753487.02999997</v>
      </c>
      <c r="I92" s="613">
        <f>SUM(I87:I91)</f>
        <v>241542291.32009605</v>
      </c>
      <c r="J92" s="613">
        <f>SUM(J87:J91)</f>
        <v>287331095.61019206</v>
      </c>
      <c r="K92" s="613">
        <f>SUM(K87:K91)</f>
        <v>331146967.16934431</v>
      </c>
      <c r="L92" s="613">
        <f t="shared" ref="L92:AC92" si="31">SUM(L87:L91)</f>
        <v>356281888.01235723</v>
      </c>
      <c r="M92" s="613">
        <f t="shared" si="31"/>
        <v>381416808.85537016</v>
      </c>
      <c r="N92" s="613">
        <f t="shared" si="31"/>
        <v>406551729.69838303</v>
      </c>
      <c r="O92" s="613">
        <f t="shared" si="31"/>
        <v>431686650.54139602</v>
      </c>
      <c r="P92" s="613">
        <f t="shared" si="31"/>
        <v>456821571.38440889</v>
      </c>
      <c r="Q92" s="613">
        <f t="shared" si="31"/>
        <v>481956492.22742176</v>
      </c>
      <c r="R92" s="613">
        <f t="shared" si="31"/>
        <v>507091413.07043469</v>
      </c>
      <c r="S92" s="613">
        <f t="shared" si="31"/>
        <v>532226333.91344762</v>
      </c>
      <c r="T92" s="613">
        <f t="shared" si="31"/>
        <v>557361254.75646043</v>
      </c>
      <c r="U92" s="613">
        <f t="shared" si="31"/>
        <v>582496175.59947336</v>
      </c>
      <c r="V92" s="613">
        <f t="shared" si="31"/>
        <v>607631096.44248617</v>
      </c>
      <c r="W92" s="613">
        <f t="shared" si="31"/>
        <v>632766017.28549922</v>
      </c>
      <c r="X92" s="613">
        <f t="shared" si="31"/>
        <v>657900938.12851202</v>
      </c>
      <c r="Y92" s="613">
        <f t="shared" si="31"/>
        <v>683035858.97152483</v>
      </c>
      <c r="Z92" s="613">
        <f t="shared" si="31"/>
        <v>708170779.81453776</v>
      </c>
      <c r="AA92" s="613">
        <f t="shared" si="31"/>
        <v>733305700.65755069</v>
      </c>
      <c r="AB92" s="613">
        <f t="shared" si="31"/>
        <v>736941641.34717059</v>
      </c>
      <c r="AC92" s="613">
        <f t="shared" si="31"/>
        <v>0</v>
      </c>
      <c r="AD92" s="606"/>
    </row>
    <row r="93" spans="2:30" outlineLevel="2" x14ac:dyDescent="0.45">
      <c r="B93" s="597" t="str">
        <f t="shared" si="2"/>
        <v>Sales</v>
      </c>
      <c r="D93" s="596"/>
      <c r="E93" s="596"/>
      <c r="F93" s="606"/>
      <c r="G93" s="606"/>
      <c r="H93" s="606"/>
      <c r="I93" s="606"/>
      <c r="J93" s="606"/>
      <c r="K93" s="606"/>
      <c r="L93" s="606"/>
      <c r="M93" s="606"/>
      <c r="N93" s="606"/>
      <c r="O93" s="606"/>
      <c r="P93" s="606"/>
      <c r="Q93" s="606"/>
      <c r="R93" s="606"/>
      <c r="S93" s="606"/>
      <c r="T93" s="606"/>
      <c r="U93" s="606"/>
      <c r="V93" s="606"/>
      <c r="W93" s="606"/>
      <c r="X93" s="606"/>
      <c r="Y93" s="606"/>
      <c r="Z93" s="606"/>
      <c r="AA93" s="606"/>
      <c r="AB93" s="606"/>
      <c r="AC93" s="606"/>
      <c r="AD93" s="606"/>
    </row>
    <row r="94" spans="2:30" outlineLevel="2" x14ac:dyDescent="0.45">
      <c r="B94" s="597" t="str">
        <f t="shared" si="2"/>
        <v>Sales</v>
      </c>
      <c r="D94" s="596"/>
      <c r="E94" s="596"/>
      <c r="F94" s="606"/>
      <c r="G94" s="606"/>
      <c r="H94" s="606"/>
      <c r="I94" s="606"/>
      <c r="J94" s="606"/>
      <c r="K94" s="606"/>
      <c r="L94" s="606"/>
      <c r="M94" s="606"/>
      <c r="N94" s="606"/>
      <c r="O94" s="606"/>
      <c r="P94" s="606"/>
      <c r="Q94" s="606"/>
      <c r="R94" s="606"/>
      <c r="S94" s="606"/>
      <c r="T94" s="606"/>
      <c r="U94" s="606"/>
      <c r="V94" s="606"/>
      <c r="W94" s="606"/>
      <c r="X94" s="606"/>
      <c r="Y94" s="606"/>
      <c r="Z94" s="606"/>
      <c r="AA94" s="606"/>
      <c r="AB94" s="606"/>
      <c r="AC94" s="606"/>
      <c r="AD94" s="606"/>
    </row>
    <row r="95" spans="2:30" outlineLevel="2" x14ac:dyDescent="0.45">
      <c r="B95" s="597" t="str">
        <f t="shared" si="2"/>
        <v>Sales</v>
      </c>
      <c r="D95" s="596"/>
      <c r="E95" s="596"/>
      <c r="F95" s="606"/>
      <c r="G95" s="606"/>
      <c r="H95" s="606"/>
      <c r="I95" s="606"/>
      <c r="J95" s="606"/>
      <c r="K95" s="606"/>
      <c r="L95" s="606"/>
      <c r="M95" s="606"/>
      <c r="N95" s="606"/>
      <c r="O95" s="606"/>
      <c r="P95" s="606"/>
      <c r="Q95" s="606"/>
      <c r="R95" s="606"/>
      <c r="S95" s="606"/>
      <c r="T95" s="606"/>
      <c r="U95" s="606"/>
      <c r="V95" s="606"/>
      <c r="W95" s="606"/>
      <c r="X95" s="606"/>
      <c r="Y95" s="606"/>
      <c r="Z95" s="606"/>
      <c r="AA95" s="606"/>
      <c r="AB95" s="606"/>
      <c r="AC95" s="606"/>
      <c r="AD95" s="606"/>
    </row>
    <row r="96" spans="2:30" outlineLevel="2" x14ac:dyDescent="0.45">
      <c r="B96" s="597" t="str">
        <f t="shared" si="2"/>
        <v>Sales</v>
      </c>
      <c r="C96" s="451">
        <f>C86+1</f>
        <v>8</v>
      </c>
      <c r="D96" s="601" t="s">
        <v>1063</v>
      </c>
      <c r="E96" s="596"/>
      <c r="F96" s="606"/>
      <c r="G96" s="606"/>
      <c r="H96" s="606"/>
      <c r="I96" s="987"/>
      <c r="J96" s="987"/>
      <c r="K96" s="987"/>
      <c r="L96" s="987">
        <f>IF(SUM($I96:K96)&gt;=100%,0,IF(SUM($I96:K96)&lt;100%,(1-SUM($I96:$K96))/$L$13))</f>
        <v>5.8823529411764705E-2</v>
      </c>
      <c r="M96" s="987">
        <f>IF(SUM($I96:L96)&gt;=100%,0,IF(SUM($I96:L96)&lt;100%,(1-SUM($I96:$K96))/$L$13))</f>
        <v>5.8823529411764705E-2</v>
      </c>
      <c r="N96" s="987">
        <f>IF(SUM($I96:M96)&gt;=100%,0,IF(SUM($I96:M96)&lt;100%,(1-SUM($I96:$K96))/$L$13))</f>
        <v>5.8823529411764705E-2</v>
      </c>
      <c r="O96" s="987">
        <f>IF(SUM($I96:N96)&gt;=100%,0,IF(SUM($I96:N96)&lt;100%,(1-SUM($I96:$K96))/$L$13))</f>
        <v>5.8823529411764705E-2</v>
      </c>
      <c r="P96" s="987">
        <f>IF(SUM($I96:O96)&gt;=100%,0,IF(SUM($I96:O96)&lt;100%,(1-SUM($I96:$K96))/$L$13))</f>
        <v>5.8823529411764705E-2</v>
      </c>
      <c r="Q96" s="987">
        <f>IF(SUM($I96:P96)&gt;=100%,0,IF(SUM($I96:P96)&lt;100%,(1-SUM($I96:$K96))/$L$13))</f>
        <v>5.8823529411764705E-2</v>
      </c>
      <c r="R96" s="987">
        <f>IF(SUM($I96:Q96)&gt;=100%,0,IF(SUM($I96:Q96)&lt;100%,(1-SUM($I96:$K96))/$L$13))</f>
        <v>5.8823529411764705E-2</v>
      </c>
      <c r="S96" s="987">
        <f>IF(SUM($I96:R96)&gt;=100%,0,IF(SUM($I96:R96)&lt;100%,(1-SUM($I96:$K96))/$L$13))</f>
        <v>5.8823529411764705E-2</v>
      </c>
      <c r="T96" s="987">
        <f>IF(SUM($I96:S96)&gt;=100%,0,IF(SUM($I96:S96)&lt;100%,(1-SUM($I96:$K96))/$L$13))</f>
        <v>5.8823529411764705E-2</v>
      </c>
      <c r="U96" s="987">
        <f>IF(SUM($I96:T96)&gt;=100%,0,IF(SUM($I96:T96)&lt;100%,(1-SUM($I96:$K96))/$L$13))</f>
        <v>5.8823529411764705E-2</v>
      </c>
      <c r="V96" s="987">
        <f>IF(SUM($I96:U96)&gt;=100%,0,IF(SUM($I96:U96)&lt;100%,(1-SUM($I96:$K96))/$L$13))</f>
        <v>5.8823529411764705E-2</v>
      </c>
      <c r="W96" s="987">
        <f>IF(SUM($I96:V96)&gt;=100%,0,IF(SUM($I96:V96)&lt;100%,(1-SUM($I96:$K96))/$L$13))</f>
        <v>5.8823529411764705E-2</v>
      </c>
      <c r="X96" s="987">
        <f>IF(SUM($I96:W96)&gt;=100%,0,IF(SUM($I96:W96)&lt;100%,(1-SUM($I96:$K96))/$L$13))</f>
        <v>5.8823529411764705E-2</v>
      </c>
      <c r="Y96" s="987">
        <f>IF(SUM($I96:X96)&gt;=100%,0,IF(SUM($I96:X96)&lt;100%,(1-SUM($I96:$K96))/$L$13))</f>
        <v>5.8823529411764705E-2</v>
      </c>
      <c r="Z96" s="987">
        <f>IF(SUM($I96:Y96)&gt;=100%,0,IF(SUM($I96:Y96)&lt;100%,(1-SUM($I96:$K96))/$L$13))</f>
        <v>5.8823529411764705E-2</v>
      </c>
      <c r="AA96" s="987">
        <f>IF(SUM($I96:Z96)&gt;=100%,0,IF(SUM($I96:Z96)&lt;100%,(1-SUM($I96:$K96))/$L$13))</f>
        <v>5.8823529411764705E-2</v>
      </c>
      <c r="AB96" s="987">
        <f>IF(SUM($I96:AA96)&gt;=100%,0,IF(SUM($I96:AA96)&lt;100%,(1-SUM($I96:$K96))/$L$13))</f>
        <v>5.8823529411764705E-2</v>
      </c>
      <c r="AC96" s="987">
        <f>IF(SUM($I96:AB96)&gt;=100%,0,IF(SUM($I96:AB96)&lt;100%,(1-SUM($I96:$K96))/$L$13))</f>
        <v>0</v>
      </c>
      <c r="AD96" s="606"/>
    </row>
    <row r="97" spans="1:30" outlineLevel="2" x14ac:dyDescent="0.45">
      <c r="B97" s="597" t="str">
        <f t="shared" si="2"/>
        <v>Sales</v>
      </c>
      <c r="D97" s="583" t="str">
        <f>'12. Inputs-Props &amp; Debtors 2016'!C$77</f>
        <v>EC</v>
      </c>
      <c r="E97" s="596"/>
      <c r="F97" s="606"/>
      <c r="G97" s="606"/>
      <c r="H97" s="606"/>
      <c r="I97" s="988">
        <f>I$96</f>
        <v>0</v>
      </c>
      <c r="J97" s="988">
        <f t="shared" ref="J97:AC97" si="32">J$96</f>
        <v>0</v>
      </c>
      <c r="K97" s="988">
        <f t="shared" si="32"/>
        <v>0</v>
      </c>
      <c r="L97" s="988">
        <f t="shared" si="32"/>
        <v>5.8823529411764705E-2</v>
      </c>
      <c r="M97" s="988">
        <f t="shared" si="32"/>
        <v>5.8823529411764705E-2</v>
      </c>
      <c r="N97" s="988">
        <f t="shared" si="32"/>
        <v>5.8823529411764705E-2</v>
      </c>
      <c r="O97" s="988">
        <f t="shared" si="32"/>
        <v>5.8823529411764705E-2</v>
      </c>
      <c r="P97" s="988">
        <f t="shared" si="32"/>
        <v>5.8823529411764705E-2</v>
      </c>
      <c r="Q97" s="988">
        <f t="shared" si="32"/>
        <v>5.8823529411764705E-2</v>
      </c>
      <c r="R97" s="988">
        <f t="shared" si="32"/>
        <v>5.8823529411764705E-2</v>
      </c>
      <c r="S97" s="988">
        <f t="shared" si="32"/>
        <v>5.8823529411764705E-2</v>
      </c>
      <c r="T97" s="988">
        <f t="shared" si="32"/>
        <v>5.8823529411764705E-2</v>
      </c>
      <c r="U97" s="988">
        <f t="shared" si="32"/>
        <v>5.8823529411764705E-2</v>
      </c>
      <c r="V97" s="988">
        <f t="shared" si="32"/>
        <v>5.8823529411764705E-2</v>
      </c>
      <c r="W97" s="988">
        <f t="shared" si="32"/>
        <v>5.8823529411764705E-2</v>
      </c>
      <c r="X97" s="988">
        <f t="shared" si="32"/>
        <v>5.8823529411764705E-2</v>
      </c>
      <c r="Y97" s="988">
        <f t="shared" si="32"/>
        <v>5.8823529411764705E-2</v>
      </c>
      <c r="Z97" s="988">
        <f t="shared" si="32"/>
        <v>5.8823529411764705E-2</v>
      </c>
      <c r="AA97" s="988">
        <f t="shared" si="32"/>
        <v>5.8823529411764705E-2</v>
      </c>
      <c r="AB97" s="988">
        <f t="shared" si="32"/>
        <v>5.8823529411764705E-2</v>
      </c>
      <c r="AC97" s="988">
        <f t="shared" si="32"/>
        <v>0</v>
      </c>
      <c r="AD97" s="606"/>
    </row>
    <row r="98" spans="1:30" outlineLevel="2" x14ac:dyDescent="0.45">
      <c r="B98" s="597" t="str">
        <f t="shared" si="2"/>
        <v>Sales</v>
      </c>
      <c r="D98" s="583" t="str">
        <f>'12. Inputs-Props &amp; Debtors 2016'!C$78</f>
        <v>FS</v>
      </c>
      <c r="E98" s="596"/>
      <c r="F98" s="606"/>
      <c r="G98" s="606"/>
      <c r="H98" s="606"/>
      <c r="I98" s="988">
        <f t="shared" ref="I98:AC101" si="33">I$96</f>
        <v>0</v>
      </c>
      <c r="J98" s="988">
        <f t="shared" si="33"/>
        <v>0</v>
      </c>
      <c r="K98" s="988">
        <f t="shared" si="33"/>
        <v>0</v>
      </c>
      <c r="L98" s="988">
        <f t="shared" si="33"/>
        <v>5.8823529411764705E-2</v>
      </c>
      <c r="M98" s="988">
        <f t="shared" si="33"/>
        <v>5.8823529411764705E-2</v>
      </c>
      <c r="N98" s="988">
        <f t="shared" si="33"/>
        <v>5.8823529411764705E-2</v>
      </c>
      <c r="O98" s="988">
        <f t="shared" si="33"/>
        <v>5.8823529411764705E-2</v>
      </c>
      <c r="P98" s="988">
        <f t="shared" si="33"/>
        <v>5.8823529411764705E-2</v>
      </c>
      <c r="Q98" s="988">
        <f t="shared" si="33"/>
        <v>5.8823529411764705E-2</v>
      </c>
      <c r="R98" s="988">
        <f t="shared" si="33"/>
        <v>5.8823529411764705E-2</v>
      </c>
      <c r="S98" s="988">
        <f t="shared" si="33"/>
        <v>5.8823529411764705E-2</v>
      </c>
      <c r="T98" s="988">
        <f t="shared" si="33"/>
        <v>5.8823529411764705E-2</v>
      </c>
      <c r="U98" s="988">
        <f t="shared" si="33"/>
        <v>5.8823529411764705E-2</v>
      </c>
      <c r="V98" s="988">
        <f t="shared" si="33"/>
        <v>5.8823529411764705E-2</v>
      </c>
      <c r="W98" s="988">
        <f t="shared" si="33"/>
        <v>5.8823529411764705E-2</v>
      </c>
      <c r="X98" s="988">
        <f t="shared" si="33"/>
        <v>5.8823529411764705E-2</v>
      </c>
      <c r="Y98" s="988">
        <f t="shared" si="33"/>
        <v>5.8823529411764705E-2</v>
      </c>
      <c r="Z98" s="988">
        <f t="shared" si="33"/>
        <v>5.8823529411764705E-2</v>
      </c>
      <c r="AA98" s="988">
        <f t="shared" si="33"/>
        <v>5.8823529411764705E-2</v>
      </c>
      <c r="AB98" s="988">
        <f t="shared" si="33"/>
        <v>5.8823529411764705E-2</v>
      </c>
      <c r="AC98" s="988">
        <f t="shared" si="33"/>
        <v>0</v>
      </c>
      <c r="AD98" s="606"/>
    </row>
    <row r="99" spans="1:30" outlineLevel="2" x14ac:dyDescent="0.45">
      <c r="B99" s="597" t="str">
        <f t="shared" si="2"/>
        <v>Sales</v>
      </c>
      <c r="D99" s="583" t="str">
        <f>'12. Inputs-Props &amp; Debtors 2016'!C$79</f>
        <v>Gau</v>
      </c>
      <c r="E99" s="596"/>
      <c r="F99" s="606"/>
      <c r="G99" s="606"/>
      <c r="H99" s="606"/>
      <c r="I99" s="988">
        <f t="shared" si="33"/>
        <v>0</v>
      </c>
      <c r="J99" s="988">
        <f t="shared" si="33"/>
        <v>0</v>
      </c>
      <c r="K99" s="988">
        <f t="shared" si="33"/>
        <v>0</v>
      </c>
      <c r="L99" s="988">
        <f t="shared" si="33"/>
        <v>5.8823529411764705E-2</v>
      </c>
      <c r="M99" s="988">
        <f t="shared" si="33"/>
        <v>5.8823529411764705E-2</v>
      </c>
      <c r="N99" s="988">
        <f t="shared" si="33"/>
        <v>5.8823529411764705E-2</v>
      </c>
      <c r="O99" s="988">
        <f t="shared" si="33"/>
        <v>5.8823529411764705E-2</v>
      </c>
      <c r="P99" s="988">
        <f t="shared" si="33"/>
        <v>5.8823529411764705E-2</v>
      </c>
      <c r="Q99" s="988">
        <f t="shared" si="33"/>
        <v>5.8823529411764705E-2</v>
      </c>
      <c r="R99" s="988">
        <f t="shared" si="33"/>
        <v>5.8823529411764705E-2</v>
      </c>
      <c r="S99" s="988">
        <f t="shared" si="33"/>
        <v>5.8823529411764705E-2</v>
      </c>
      <c r="T99" s="988">
        <f t="shared" si="33"/>
        <v>5.8823529411764705E-2</v>
      </c>
      <c r="U99" s="988">
        <f t="shared" si="33"/>
        <v>5.8823529411764705E-2</v>
      </c>
      <c r="V99" s="988">
        <f t="shared" si="33"/>
        <v>5.8823529411764705E-2</v>
      </c>
      <c r="W99" s="988">
        <f t="shared" si="33"/>
        <v>5.8823529411764705E-2</v>
      </c>
      <c r="X99" s="988">
        <f t="shared" si="33"/>
        <v>5.8823529411764705E-2</v>
      </c>
      <c r="Y99" s="988">
        <f t="shared" si="33"/>
        <v>5.8823529411764705E-2</v>
      </c>
      <c r="Z99" s="988">
        <f t="shared" si="33"/>
        <v>5.8823529411764705E-2</v>
      </c>
      <c r="AA99" s="988">
        <f t="shared" si="33"/>
        <v>5.8823529411764705E-2</v>
      </c>
      <c r="AB99" s="988">
        <f t="shared" si="33"/>
        <v>5.8823529411764705E-2</v>
      </c>
      <c r="AC99" s="988">
        <f t="shared" si="33"/>
        <v>0</v>
      </c>
      <c r="AD99" s="606"/>
    </row>
    <row r="100" spans="1:30" outlineLevel="2" x14ac:dyDescent="0.45">
      <c r="B100" s="597" t="str">
        <f t="shared" si="2"/>
        <v>Sales</v>
      </c>
      <c r="D100" s="583" t="str">
        <f>'12. Inputs-Props &amp; Debtors 2016'!C$80</f>
        <v>KZN</v>
      </c>
      <c r="E100" s="596"/>
      <c r="F100" s="606"/>
      <c r="G100" s="606"/>
      <c r="H100" s="606"/>
      <c r="I100" s="988">
        <f t="shared" si="33"/>
        <v>0</v>
      </c>
      <c r="J100" s="988">
        <f t="shared" si="33"/>
        <v>0</v>
      </c>
      <c r="K100" s="988">
        <f t="shared" si="33"/>
        <v>0</v>
      </c>
      <c r="L100" s="988">
        <f t="shared" si="33"/>
        <v>5.8823529411764705E-2</v>
      </c>
      <c r="M100" s="988">
        <f t="shared" si="33"/>
        <v>5.8823529411764705E-2</v>
      </c>
      <c r="N100" s="988">
        <f t="shared" si="33"/>
        <v>5.8823529411764705E-2</v>
      </c>
      <c r="O100" s="988">
        <f t="shared" si="33"/>
        <v>5.8823529411764705E-2</v>
      </c>
      <c r="P100" s="988">
        <f t="shared" si="33"/>
        <v>5.8823529411764705E-2</v>
      </c>
      <c r="Q100" s="988">
        <f t="shared" si="33"/>
        <v>5.8823529411764705E-2</v>
      </c>
      <c r="R100" s="988">
        <f t="shared" si="33"/>
        <v>5.8823529411764705E-2</v>
      </c>
      <c r="S100" s="988">
        <f t="shared" si="33"/>
        <v>5.8823529411764705E-2</v>
      </c>
      <c r="T100" s="988">
        <f t="shared" si="33"/>
        <v>5.8823529411764705E-2</v>
      </c>
      <c r="U100" s="988">
        <f t="shared" si="33"/>
        <v>5.8823529411764705E-2</v>
      </c>
      <c r="V100" s="988">
        <f t="shared" si="33"/>
        <v>5.8823529411764705E-2</v>
      </c>
      <c r="W100" s="988">
        <f t="shared" si="33"/>
        <v>5.8823529411764705E-2</v>
      </c>
      <c r="X100" s="988">
        <f t="shared" si="33"/>
        <v>5.8823529411764705E-2</v>
      </c>
      <c r="Y100" s="988">
        <f t="shared" si="33"/>
        <v>5.8823529411764705E-2</v>
      </c>
      <c r="Z100" s="988">
        <f t="shared" si="33"/>
        <v>5.8823529411764705E-2</v>
      </c>
      <c r="AA100" s="988">
        <f t="shared" si="33"/>
        <v>5.8823529411764705E-2</v>
      </c>
      <c r="AB100" s="988">
        <f t="shared" si="33"/>
        <v>5.8823529411764705E-2</v>
      </c>
      <c r="AC100" s="988">
        <f t="shared" si="33"/>
        <v>0</v>
      </c>
      <c r="AD100" s="606"/>
    </row>
    <row r="101" spans="1:30" outlineLevel="2" x14ac:dyDescent="0.45">
      <c r="B101" s="597" t="str">
        <f t="shared" si="2"/>
        <v>Sales</v>
      </c>
      <c r="D101" s="583" t="str">
        <f>'12. Inputs-Props &amp; Debtors 2016'!C$81</f>
        <v>WC</v>
      </c>
      <c r="E101" s="596"/>
      <c r="F101" s="606"/>
      <c r="G101" s="606"/>
      <c r="H101" s="606"/>
      <c r="I101" s="988">
        <f t="shared" si="33"/>
        <v>0</v>
      </c>
      <c r="J101" s="988">
        <f t="shared" si="33"/>
        <v>0</v>
      </c>
      <c r="K101" s="988">
        <f t="shared" si="33"/>
        <v>0</v>
      </c>
      <c r="L101" s="988">
        <f t="shared" si="33"/>
        <v>5.8823529411764705E-2</v>
      </c>
      <c r="M101" s="988">
        <f t="shared" si="33"/>
        <v>5.8823529411764705E-2</v>
      </c>
      <c r="N101" s="988">
        <f t="shared" si="33"/>
        <v>5.8823529411764705E-2</v>
      </c>
      <c r="O101" s="988">
        <f t="shared" si="33"/>
        <v>5.8823529411764705E-2</v>
      </c>
      <c r="P101" s="988">
        <f t="shared" si="33"/>
        <v>5.8823529411764705E-2</v>
      </c>
      <c r="Q101" s="988">
        <f t="shared" si="33"/>
        <v>5.8823529411764705E-2</v>
      </c>
      <c r="R101" s="988">
        <f t="shared" si="33"/>
        <v>5.8823529411764705E-2</v>
      </c>
      <c r="S101" s="988">
        <f t="shared" si="33"/>
        <v>5.8823529411764705E-2</v>
      </c>
      <c r="T101" s="988">
        <f t="shared" si="33"/>
        <v>5.8823529411764705E-2</v>
      </c>
      <c r="U101" s="988">
        <f t="shared" si="33"/>
        <v>5.8823529411764705E-2</v>
      </c>
      <c r="V101" s="988">
        <f t="shared" si="33"/>
        <v>5.8823529411764705E-2</v>
      </c>
      <c r="W101" s="988">
        <f t="shared" si="33"/>
        <v>5.8823529411764705E-2</v>
      </c>
      <c r="X101" s="988">
        <f t="shared" si="33"/>
        <v>5.8823529411764705E-2</v>
      </c>
      <c r="Y101" s="988">
        <f t="shared" si="33"/>
        <v>5.8823529411764705E-2</v>
      </c>
      <c r="Z101" s="988">
        <f t="shared" si="33"/>
        <v>5.8823529411764705E-2</v>
      </c>
      <c r="AA101" s="988">
        <f t="shared" si="33"/>
        <v>5.8823529411764705E-2</v>
      </c>
      <c r="AB101" s="988">
        <f t="shared" si="33"/>
        <v>5.8823529411764705E-2</v>
      </c>
      <c r="AC101" s="988">
        <f t="shared" si="33"/>
        <v>0</v>
      </c>
      <c r="AD101" s="606"/>
    </row>
    <row r="102" spans="1:30" outlineLevel="2" x14ac:dyDescent="0.45">
      <c r="B102" s="597" t="str">
        <f t="shared" si="2"/>
        <v>Sales</v>
      </c>
      <c r="D102" s="583" t="str">
        <f>'12. Inputs-Props &amp; Debtors 2016'!C$82</f>
        <v>Total</v>
      </c>
      <c r="E102" s="596"/>
      <c r="F102" s="606"/>
      <c r="G102" s="606"/>
      <c r="H102" s="606"/>
      <c r="I102" s="835">
        <f t="shared" ref="I102:Q102" si="34">IF(I83&gt;0,SUMPRODUCT(I97:I101,I78:I82)/I83,0)</f>
        <v>0</v>
      </c>
      <c r="J102" s="835">
        <f t="shared" si="34"/>
        <v>0</v>
      </c>
      <c r="K102" s="835">
        <f t="shared" si="34"/>
        <v>0</v>
      </c>
      <c r="L102" s="835">
        <f t="shared" si="34"/>
        <v>5.8823529411764712E-2</v>
      </c>
      <c r="M102" s="835">
        <f t="shared" si="34"/>
        <v>5.8823529411764712E-2</v>
      </c>
      <c r="N102" s="835">
        <f t="shared" si="34"/>
        <v>5.8823529411764705E-2</v>
      </c>
      <c r="O102" s="835">
        <f t="shared" si="34"/>
        <v>5.8823529411764712E-2</v>
      </c>
      <c r="P102" s="835">
        <f t="shared" si="34"/>
        <v>5.8823529411764705E-2</v>
      </c>
      <c r="Q102" s="835">
        <f t="shared" si="34"/>
        <v>5.8823529411764705E-2</v>
      </c>
      <c r="R102" s="835">
        <f t="shared" ref="R102:AB102" si="35">IF(R83&gt;0,SUMPRODUCT(R97:R101,R78:R82)/R83,0)</f>
        <v>5.8823529411764705E-2</v>
      </c>
      <c r="S102" s="835">
        <f t="shared" si="35"/>
        <v>5.8823529411764698E-2</v>
      </c>
      <c r="T102" s="835">
        <f t="shared" si="35"/>
        <v>5.8823529411764705E-2</v>
      </c>
      <c r="U102" s="835">
        <f t="shared" si="35"/>
        <v>5.8823529411764705E-2</v>
      </c>
      <c r="V102" s="835">
        <f t="shared" si="35"/>
        <v>5.8823529411764698E-2</v>
      </c>
      <c r="W102" s="835">
        <f t="shared" si="35"/>
        <v>5.8823529411764705E-2</v>
      </c>
      <c r="X102" s="835">
        <f t="shared" si="35"/>
        <v>5.8823529411764705E-2</v>
      </c>
      <c r="Y102" s="835">
        <f t="shared" si="35"/>
        <v>5.8823529411764698E-2</v>
      </c>
      <c r="Z102" s="835">
        <f t="shared" si="35"/>
        <v>5.8823529411764691E-2</v>
      </c>
      <c r="AA102" s="835">
        <f t="shared" si="35"/>
        <v>5.8823529411764705E-2</v>
      </c>
      <c r="AB102" s="835">
        <f t="shared" si="35"/>
        <v>5.8823529411764705E-2</v>
      </c>
      <c r="AC102" s="835">
        <f>IF(AC83&gt;0,SUMPRODUCT(AC97:AC101,AC78:AC82)/AC83,0)</f>
        <v>0</v>
      </c>
      <c r="AD102" s="606"/>
    </row>
    <row r="103" spans="1:30" outlineLevel="2" x14ac:dyDescent="0.45">
      <c r="B103" s="597" t="str">
        <f t="shared" si="2"/>
        <v>Sales</v>
      </c>
      <c r="D103" s="596"/>
      <c r="E103" s="596"/>
      <c r="F103" s="606"/>
      <c r="G103" s="606"/>
      <c r="H103" s="606"/>
      <c r="I103" s="606"/>
      <c r="J103" s="606"/>
      <c r="K103" s="606"/>
      <c r="L103" s="606"/>
      <c r="M103" s="606"/>
      <c r="N103" s="606"/>
      <c r="O103" s="606"/>
      <c r="P103" s="606"/>
      <c r="Q103" s="606"/>
      <c r="R103" s="606"/>
      <c r="S103" s="606"/>
      <c r="T103" s="606"/>
      <c r="U103" s="606"/>
      <c r="V103" s="606"/>
      <c r="W103" s="606"/>
      <c r="X103" s="606"/>
      <c r="Y103" s="606"/>
      <c r="Z103" s="606"/>
      <c r="AA103" s="606"/>
      <c r="AB103" s="606"/>
      <c r="AC103" s="606"/>
      <c r="AD103" s="606"/>
    </row>
    <row r="104" spans="1:30" outlineLevel="2" x14ac:dyDescent="0.45">
      <c r="B104" s="597" t="str">
        <f t="shared" si="2"/>
        <v>Sales</v>
      </c>
      <c r="D104" s="596"/>
      <c r="E104" s="596"/>
      <c r="F104" s="606"/>
      <c r="G104" s="606"/>
      <c r="H104" s="606"/>
      <c r="I104" s="606"/>
      <c r="J104" s="606"/>
      <c r="K104" s="606"/>
      <c r="L104" s="606"/>
      <c r="M104" s="606"/>
      <c r="N104" s="606"/>
      <c r="O104" s="606"/>
      <c r="P104" s="606"/>
      <c r="Q104" s="606"/>
      <c r="R104" s="606"/>
      <c r="S104" s="606"/>
      <c r="T104" s="606"/>
      <c r="U104" s="606"/>
      <c r="V104" s="606"/>
      <c r="W104" s="606"/>
      <c r="X104" s="606"/>
      <c r="Y104" s="606"/>
      <c r="Z104" s="606"/>
      <c r="AA104" s="606"/>
      <c r="AB104" s="606"/>
      <c r="AC104" s="606"/>
      <c r="AD104" s="606"/>
    </row>
    <row r="105" spans="1:30" outlineLevel="2" x14ac:dyDescent="0.45">
      <c r="B105" s="597" t="str">
        <f t="shared" si="2"/>
        <v>Sales</v>
      </c>
      <c r="C105" s="451">
        <f>C96+1</f>
        <v>9</v>
      </c>
      <c r="D105" s="601" t="s">
        <v>1029</v>
      </c>
      <c r="E105" s="596"/>
      <c r="AD105" s="606"/>
    </row>
    <row r="106" spans="1:30" outlineLevel="2" x14ac:dyDescent="0.45">
      <c r="A106" s="1114"/>
      <c r="B106" s="597" t="str">
        <f t="shared" si="2"/>
        <v>Sales</v>
      </c>
      <c r="D106" s="583" t="str">
        <f>'12. Inputs-Props &amp; Debtors 2016'!C$77</f>
        <v>EC</v>
      </c>
      <c r="E106" s="596"/>
      <c r="H106" s="604"/>
      <c r="I106" s="1006">
        <f>-(H78+I51)*I$96</f>
        <v>0</v>
      </c>
      <c r="J106" s="1006">
        <f t="shared" ref="J106:K110" si="36">-J78*J$96</f>
        <v>0</v>
      </c>
      <c r="K106" s="1006">
        <f t="shared" si="36"/>
        <v>0</v>
      </c>
      <c r="L106" s="603">
        <f>IF(L$4=$K$4+$L$13,-L78,IF(AND('5. Dashboard Live'!$AA$19='14. Permanent Info'!$M$7,L$4&lt;&gt;$K$4+$L$13),0,IF(AND('5. Dashboard Live'!$AA$19='14. Permanent Info'!$N$7,L$4&lt;$K$4+$L$13),-$K78*L$96,0)))</f>
        <v>0</v>
      </c>
      <c r="M106" s="603">
        <f>IF(M$4=$K$4+$L$13,-M78,IF(AND('5. Dashboard Live'!$AA$19='14. Permanent Info'!$M$7,M$4&lt;&gt;$K$4+$L$13),0,IF(AND('5. Dashboard Live'!$AA$19='14. Permanent Info'!$N$7,M$4&lt;$K$4+$L$13),-$K78*M$96,0)))</f>
        <v>0</v>
      </c>
      <c r="N106" s="603">
        <f>IF(N$4=$K$4+$L$13,-N78,IF(AND('5. Dashboard Live'!$AA$19='14. Permanent Info'!$M$7,N$4&lt;&gt;$K$4+$L$13),0,IF(AND('5. Dashboard Live'!$AA$19='14. Permanent Info'!$N$7,N$4&lt;$K$4+$L$13),-$K78*N$96,0)))</f>
        <v>0</v>
      </c>
      <c r="O106" s="603">
        <f>IF(O$4=$K$4+$L$13,-O78,IF(AND('5. Dashboard Live'!$AA$19='14. Permanent Info'!$M$7,O$4&lt;&gt;$K$4+$L$13),0,IF(AND('5. Dashboard Live'!$AA$19='14. Permanent Info'!$N$7,O$4&lt;$K$4+$L$13),-$K78*O$96,0)))</f>
        <v>0</v>
      </c>
      <c r="P106" s="603">
        <f>IF(P$4=$K$4+$L$13,-P78,IF(AND('5. Dashboard Live'!$AA$19='14. Permanent Info'!$M$7,P$4&lt;&gt;$K$4+$L$13),0,IF(AND('5. Dashboard Live'!$AA$19='14. Permanent Info'!$N$7,P$4&lt;$K$4+$L$13),-$K78*P$96,0)))</f>
        <v>0</v>
      </c>
      <c r="Q106" s="603">
        <f>IF(Q$4=$K$4+$L$13,-Q78,IF(AND('5. Dashboard Live'!$AA$19='14. Permanent Info'!$M$7,Q$4&lt;&gt;$K$4+$L$13),0,IF(AND('5. Dashboard Live'!$AA$19='14. Permanent Info'!$N$7,Q$4&lt;$K$4+$L$13),-$K78*Q$96,0)))</f>
        <v>0</v>
      </c>
      <c r="R106" s="603">
        <f>IF(R$4=$K$4+$L$13,-R78,IF(AND('5. Dashboard Live'!$AA$19='14. Permanent Info'!$M$7,R$4&lt;&gt;$K$4+$L$13),0,IF(AND('5. Dashboard Live'!$AA$19='14. Permanent Info'!$N$7,R$4&lt;$K$4+$L$13),-$K78*R$96,0)))</f>
        <v>0</v>
      </c>
      <c r="S106" s="603">
        <f>IF(S$4=$K$4+$L$13,-S78,IF(AND('5. Dashboard Live'!$AA$19='14. Permanent Info'!$M$7,S$4&lt;&gt;$K$4+$L$13),0,IF(AND('5. Dashboard Live'!$AA$19='14. Permanent Info'!$N$7,S$4&lt;$K$4+$L$13),-$K78*S$96,0)))</f>
        <v>0</v>
      </c>
      <c r="T106" s="603">
        <f>IF(T$4=$K$4+$L$13,-T78,IF(AND('5. Dashboard Live'!$AA$19='14. Permanent Info'!$M$7,T$4&lt;&gt;$K$4+$L$13),0,IF(AND('5. Dashboard Live'!$AA$19='14. Permanent Info'!$N$7,T$4&lt;$K$4+$L$13),-$K78*T$96,0)))</f>
        <v>0</v>
      </c>
      <c r="U106" s="603">
        <f>IF(U$4=$K$4+$L$13,-U78,IF(AND('5. Dashboard Live'!$AA$19='14. Permanent Info'!$M$7,U$4&lt;&gt;$K$4+$L$13),0,IF(AND('5. Dashboard Live'!$AA$19='14. Permanent Info'!$N$7,U$4&lt;$K$4+$L$13),-$K78*U$96,0)))</f>
        <v>0</v>
      </c>
      <c r="V106" s="603">
        <f>IF(V$4=$K$4+$L$13,-V78,IF(AND('5. Dashboard Live'!$AA$19='14. Permanent Info'!$M$7,V$4&lt;&gt;$K$4+$L$13),0,IF(AND('5. Dashboard Live'!$AA$19='14. Permanent Info'!$N$7,V$4&lt;$K$4+$L$13),-$K78*V$96,0)))</f>
        <v>0</v>
      </c>
      <c r="W106" s="603">
        <f>IF(W$4=$K$4+$L$13,-W78,IF(AND('5. Dashboard Live'!$AA$19='14. Permanent Info'!$M$7,W$4&lt;&gt;$K$4+$L$13),0,IF(AND('5. Dashboard Live'!$AA$19='14. Permanent Info'!$N$7,W$4&lt;$K$4+$L$13),-$K78*W$96,0)))</f>
        <v>0</v>
      </c>
      <c r="X106" s="603">
        <f>IF(X$4=$K$4+$L$13,-X78,IF(AND('5. Dashboard Live'!$AA$19='14. Permanent Info'!$M$7,X$4&lt;&gt;$K$4+$L$13),0,IF(AND('5. Dashboard Live'!$AA$19='14. Permanent Info'!$N$7,X$4&lt;$K$4+$L$13),-$K78*X$96,0)))</f>
        <v>0</v>
      </c>
      <c r="Y106" s="603">
        <f>IF(Y$4=$K$4+$L$13,-Y78,IF(AND('5. Dashboard Live'!$AA$19='14. Permanent Info'!$M$7,Y$4&lt;&gt;$K$4+$L$13),0,IF(AND('5. Dashboard Live'!$AA$19='14. Permanent Info'!$N$7,Y$4&lt;$K$4+$L$13),-$K78*Y$96,0)))</f>
        <v>0</v>
      </c>
      <c r="Z106" s="603">
        <f>IF(Z$4=$K$4+$L$13,-Z78,IF(AND('5. Dashboard Live'!$AA$19='14. Permanent Info'!$M$7,Z$4&lt;&gt;$K$4+$L$13),0,IF(AND('5. Dashboard Live'!$AA$19='14. Permanent Info'!$N$7,Z$4&lt;$K$4+$L$13),-$K78*Z$96,0)))</f>
        <v>0</v>
      </c>
      <c r="AA106" s="603">
        <f>IF(AA$4=$K$4+$L$13,-AA78,IF(AND('5. Dashboard Live'!$AA$19='14. Permanent Info'!$M$7,AA$4&lt;&gt;$K$4+$L$13),0,IF(AND('5. Dashboard Live'!$AA$19='14. Permanent Info'!$N$7,AA$4&lt;$K$4+$L$13),-$K78*AA$96,0)))</f>
        <v>0</v>
      </c>
      <c r="AB106" s="603">
        <f>IF(AB$4=$K$4+$L$13,-AB78,IF(AND('5. Dashboard Live'!$AA$19='14. Permanent Info'!$M$7,AB$4&lt;&gt;$K$4+$L$13),0,IF(AND('5. Dashboard Live'!$AA$19='14. Permanent Info'!$N$7,AB$4&lt;$K$4+$L$13),-$K78*AB$96,0)))</f>
        <v>-204</v>
      </c>
      <c r="AC106" s="603">
        <f>IF(AC$4=$K$4+$L$13,-AC78,IF(AND('5. Dashboard Live'!$AA$19='14. Permanent Info'!$M$7,AC$4&lt;&gt;$K$4+$L$13),0,IF(AND('5. Dashboard Live'!$AA$19='14. Permanent Info'!$N$7,AC$4&lt;$K$4+$L$13),-$K78*AC$96,0)))</f>
        <v>0</v>
      </c>
      <c r="AD106" s="606">
        <f>SUM(I106:AC106)</f>
        <v>-204</v>
      </c>
    </row>
    <row r="107" spans="1:30" outlineLevel="2" x14ac:dyDescent="0.45">
      <c r="A107" s="1114"/>
      <c r="B107" s="597" t="str">
        <f t="shared" si="2"/>
        <v>Sales</v>
      </c>
      <c r="D107" s="583" t="str">
        <f>'12. Inputs-Props &amp; Debtors 2016'!C$78</f>
        <v>FS</v>
      </c>
      <c r="E107" s="596"/>
      <c r="H107" s="604"/>
      <c r="I107" s="1006">
        <f>-(H79+I52)*I$96</f>
        <v>0</v>
      </c>
      <c r="J107" s="1006">
        <f t="shared" si="36"/>
        <v>0</v>
      </c>
      <c r="K107" s="1006">
        <f t="shared" si="36"/>
        <v>0</v>
      </c>
      <c r="L107" s="603">
        <f>IF(L$4=$K$4+$L$13,-L79,IF(AND('5. Dashboard Live'!$AA$19='14. Permanent Info'!$M$7,L$4&lt;&gt;$K$4+$L$13),0,IF(AND('5. Dashboard Live'!$AA$19='14. Permanent Info'!$N$7,L$4&lt;$K$4+$L$13),-$K79*L$96,0)))</f>
        <v>0</v>
      </c>
      <c r="M107" s="603">
        <f>IF(M$4=$K$4+$L$13,-M79,IF(AND('5. Dashboard Live'!$AA$19='14. Permanent Info'!$M$7,M$4&lt;&gt;$K$4+$L$13),0,IF(AND('5. Dashboard Live'!$AA$19='14. Permanent Info'!$N$7,M$4&lt;$K$4+$L$13),-$K79*M$96,0)))</f>
        <v>0</v>
      </c>
      <c r="N107" s="603">
        <f>IF(N$4=$K$4+$L$13,-N79,IF(AND('5. Dashboard Live'!$AA$19='14. Permanent Info'!$M$7,N$4&lt;&gt;$K$4+$L$13),0,IF(AND('5. Dashboard Live'!$AA$19='14. Permanent Info'!$N$7,N$4&lt;$K$4+$L$13),-$K79*N$96,0)))</f>
        <v>0</v>
      </c>
      <c r="O107" s="603">
        <f>IF(O$4=$K$4+$L$13,-O79,IF(AND('5. Dashboard Live'!$AA$19='14. Permanent Info'!$M$7,O$4&lt;&gt;$K$4+$L$13),0,IF(AND('5. Dashboard Live'!$AA$19='14. Permanent Info'!$N$7,O$4&lt;$K$4+$L$13),-$K79*O$96,0)))</f>
        <v>0</v>
      </c>
      <c r="P107" s="603">
        <f>IF(P$4=$K$4+$L$13,-P79,IF(AND('5. Dashboard Live'!$AA$19='14. Permanent Info'!$M$7,P$4&lt;&gt;$K$4+$L$13),0,IF(AND('5. Dashboard Live'!$AA$19='14. Permanent Info'!$N$7,P$4&lt;$K$4+$L$13),-$K79*P$96,0)))</f>
        <v>0</v>
      </c>
      <c r="Q107" s="603">
        <f>IF(Q$4=$K$4+$L$13,-Q79,IF(AND('5. Dashboard Live'!$AA$19='14. Permanent Info'!$M$7,Q$4&lt;&gt;$K$4+$L$13),0,IF(AND('5. Dashboard Live'!$AA$19='14. Permanent Info'!$N$7,Q$4&lt;$K$4+$L$13),-$K79*Q$96,0)))</f>
        <v>0</v>
      </c>
      <c r="R107" s="603">
        <f>IF(R$4=$K$4+$L$13,-R79,IF(AND('5. Dashboard Live'!$AA$19='14. Permanent Info'!$M$7,R$4&lt;&gt;$K$4+$L$13),0,IF(AND('5. Dashboard Live'!$AA$19='14. Permanent Info'!$N$7,R$4&lt;$K$4+$L$13),-$K79*R$96,0)))</f>
        <v>0</v>
      </c>
      <c r="S107" s="603">
        <f>IF(S$4=$K$4+$L$13,-S79,IF(AND('5. Dashboard Live'!$AA$19='14. Permanent Info'!$M$7,S$4&lt;&gt;$K$4+$L$13),0,IF(AND('5. Dashboard Live'!$AA$19='14. Permanent Info'!$N$7,S$4&lt;$K$4+$L$13),-$K79*S$96,0)))</f>
        <v>0</v>
      </c>
      <c r="T107" s="603">
        <f>IF(T$4=$K$4+$L$13,-T79,IF(AND('5. Dashboard Live'!$AA$19='14. Permanent Info'!$M$7,T$4&lt;&gt;$K$4+$L$13),0,IF(AND('5. Dashboard Live'!$AA$19='14. Permanent Info'!$N$7,T$4&lt;$K$4+$L$13),-$K79*T$96,0)))</f>
        <v>0</v>
      </c>
      <c r="U107" s="603">
        <f>IF(U$4=$K$4+$L$13,-U79,IF(AND('5. Dashboard Live'!$AA$19='14. Permanent Info'!$M$7,U$4&lt;&gt;$K$4+$L$13),0,IF(AND('5. Dashboard Live'!$AA$19='14. Permanent Info'!$N$7,U$4&lt;$K$4+$L$13),-$K79*U$96,0)))</f>
        <v>0</v>
      </c>
      <c r="V107" s="603">
        <f>IF(V$4=$K$4+$L$13,-V79,IF(AND('5. Dashboard Live'!$AA$19='14. Permanent Info'!$M$7,V$4&lt;&gt;$K$4+$L$13),0,IF(AND('5. Dashboard Live'!$AA$19='14. Permanent Info'!$N$7,V$4&lt;$K$4+$L$13),-$K79*V$96,0)))</f>
        <v>0</v>
      </c>
      <c r="W107" s="603">
        <f>IF(W$4=$K$4+$L$13,-W79,IF(AND('5. Dashboard Live'!$AA$19='14. Permanent Info'!$M$7,W$4&lt;&gt;$K$4+$L$13),0,IF(AND('5. Dashboard Live'!$AA$19='14. Permanent Info'!$N$7,W$4&lt;$K$4+$L$13),-$K79*W$96,0)))</f>
        <v>0</v>
      </c>
      <c r="X107" s="603">
        <f>IF(X$4=$K$4+$L$13,-X79,IF(AND('5. Dashboard Live'!$AA$19='14. Permanent Info'!$M$7,X$4&lt;&gt;$K$4+$L$13),0,IF(AND('5. Dashboard Live'!$AA$19='14. Permanent Info'!$N$7,X$4&lt;$K$4+$L$13),-$K79*X$96,0)))</f>
        <v>0</v>
      </c>
      <c r="Y107" s="603">
        <f>IF(Y$4=$K$4+$L$13,-Y79,IF(AND('5. Dashboard Live'!$AA$19='14. Permanent Info'!$M$7,Y$4&lt;&gt;$K$4+$L$13),0,IF(AND('5. Dashboard Live'!$AA$19='14. Permanent Info'!$N$7,Y$4&lt;$K$4+$L$13),-$K79*Y$96,0)))</f>
        <v>0</v>
      </c>
      <c r="Z107" s="603">
        <f>IF(Z$4=$K$4+$L$13,-Z79,IF(AND('5. Dashboard Live'!$AA$19='14. Permanent Info'!$M$7,Z$4&lt;&gt;$K$4+$L$13),0,IF(AND('5. Dashboard Live'!$AA$19='14. Permanent Info'!$N$7,Z$4&lt;$K$4+$L$13),-$K79*Z$96,0)))</f>
        <v>0</v>
      </c>
      <c r="AA107" s="603">
        <f>IF(AA$4=$K$4+$L$13,-AA79,IF(AND('5. Dashboard Live'!$AA$19='14. Permanent Info'!$M$7,AA$4&lt;&gt;$K$4+$L$13),0,IF(AND('5. Dashboard Live'!$AA$19='14. Permanent Info'!$N$7,AA$4&lt;$K$4+$L$13),-$K79*AA$96,0)))</f>
        <v>0</v>
      </c>
      <c r="AB107" s="603">
        <f>IF(AB$4=$K$4+$L$13,-AB79,IF(AND('5. Dashboard Live'!$AA$19='14. Permanent Info'!$M$7,AB$4&lt;&gt;$K$4+$L$13),0,IF(AND('5. Dashboard Live'!$AA$19='14. Permanent Info'!$N$7,AB$4&lt;$K$4+$L$13),-$K79*AB$96,0)))</f>
        <v>-49</v>
      </c>
      <c r="AC107" s="603">
        <f>IF(AC$4=$K$4+$L$13,-AC79,IF(AND('5. Dashboard Live'!$AA$19='14. Permanent Info'!$M$7,AC$4&lt;&gt;$K$4+$L$13),0,IF(AND('5. Dashboard Live'!$AA$19='14. Permanent Info'!$N$7,AC$4&lt;$K$4+$L$13),-$K79*AC$96,0)))</f>
        <v>0</v>
      </c>
      <c r="AD107" s="606">
        <f>SUM(I107:AC107)</f>
        <v>-49</v>
      </c>
    </row>
    <row r="108" spans="1:30" outlineLevel="2" x14ac:dyDescent="0.45">
      <c r="A108" s="1114"/>
      <c r="B108" s="597" t="str">
        <f t="shared" si="2"/>
        <v>Sales</v>
      </c>
      <c r="D108" s="583" t="str">
        <f>'12. Inputs-Props &amp; Debtors 2016'!C$79</f>
        <v>Gau</v>
      </c>
      <c r="E108" s="596"/>
      <c r="H108" s="604"/>
      <c r="I108" s="1006">
        <f>-(H80+I53)*I$96</f>
        <v>0</v>
      </c>
      <c r="J108" s="1006">
        <f t="shared" si="36"/>
        <v>0</v>
      </c>
      <c r="K108" s="1006">
        <f t="shared" si="36"/>
        <v>0</v>
      </c>
      <c r="L108" s="603">
        <f>IF(L$4=$K$4+$L$13,-L80,IF(AND('5. Dashboard Live'!$AA$19='14. Permanent Info'!$M$7,L$4&lt;&gt;$K$4+$L$13),0,IF(AND('5. Dashboard Live'!$AA$19='14. Permanent Info'!$N$7,L$4&lt;$K$4+$L$13),-$K80*L$96,0)))</f>
        <v>0</v>
      </c>
      <c r="M108" s="603">
        <f>IF(M$4=$K$4+$L$13,-M80,IF(AND('5. Dashboard Live'!$AA$19='14. Permanent Info'!$M$7,M$4&lt;&gt;$K$4+$L$13),0,IF(AND('5. Dashboard Live'!$AA$19='14. Permanent Info'!$N$7,M$4&lt;$K$4+$L$13),-$K80*M$96,0)))</f>
        <v>0</v>
      </c>
      <c r="N108" s="603">
        <f>IF(N$4=$K$4+$L$13,-N80,IF(AND('5. Dashboard Live'!$AA$19='14. Permanent Info'!$M$7,N$4&lt;&gt;$K$4+$L$13),0,IF(AND('5. Dashboard Live'!$AA$19='14. Permanent Info'!$N$7,N$4&lt;$K$4+$L$13),-$K80*N$96,0)))</f>
        <v>0</v>
      </c>
      <c r="O108" s="603">
        <f>IF(O$4=$K$4+$L$13,-O80,IF(AND('5. Dashboard Live'!$AA$19='14. Permanent Info'!$M$7,O$4&lt;&gt;$K$4+$L$13),0,IF(AND('5. Dashboard Live'!$AA$19='14. Permanent Info'!$N$7,O$4&lt;$K$4+$L$13),-$K80*O$96,0)))</f>
        <v>0</v>
      </c>
      <c r="P108" s="603">
        <f>IF(P$4=$K$4+$L$13,-P80,IF(AND('5. Dashboard Live'!$AA$19='14. Permanent Info'!$M$7,P$4&lt;&gt;$K$4+$L$13),0,IF(AND('5. Dashboard Live'!$AA$19='14. Permanent Info'!$N$7,P$4&lt;$K$4+$L$13),-$K80*P$96,0)))</f>
        <v>0</v>
      </c>
      <c r="Q108" s="603">
        <f>IF(Q$4=$K$4+$L$13,-Q80,IF(AND('5. Dashboard Live'!$AA$19='14. Permanent Info'!$M$7,Q$4&lt;&gt;$K$4+$L$13),0,IF(AND('5. Dashboard Live'!$AA$19='14. Permanent Info'!$N$7,Q$4&lt;$K$4+$L$13),-$K80*Q$96,0)))</f>
        <v>0</v>
      </c>
      <c r="R108" s="603">
        <f>IF(R$4=$K$4+$L$13,-R80,IF(AND('5. Dashboard Live'!$AA$19='14. Permanent Info'!$M$7,R$4&lt;&gt;$K$4+$L$13),0,IF(AND('5. Dashboard Live'!$AA$19='14. Permanent Info'!$N$7,R$4&lt;$K$4+$L$13),-$K80*R$96,0)))</f>
        <v>0</v>
      </c>
      <c r="S108" s="603">
        <f>IF(S$4=$K$4+$L$13,-S80,IF(AND('5. Dashboard Live'!$AA$19='14. Permanent Info'!$M$7,S$4&lt;&gt;$K$4+$L$13),0,IF(AND('5. Dashboard Live'!$AA$19='14. Permanent Info'!$N$7,S$4&lt;$K$4+$L$13),-$K80*S$96,0)))</f>
        <v>0</v>
      </c>
      <c r="T108" s="603">
        <f>IF(T$4=$K$4+$L$13,-T80,IF(AND('5. Dashboard Live'!$AA$19='14. Permanent Info'!$M$7,T$4&lt;&gt;$K$4+$L$13),0,IF(AND('5. Dashboard Live'!$AA$19='14. Permanent Info'!$N$7,T$4&lt;$K$4+$L$13),-$K80*T$96,0)))</f>
        <v>0</v>
      </c>
      <c r="U108" s="603">
        <f>IF(U$4=$K$4+$L$13,-U80,IF(AND('5. Dashboard Live'!$AA$19='14. Permanent Info'!$M$7,U$4&lt;&gt;$K$4+$L$13),0,IF(AND('5. Dashboard Live'!$AA$19='14. Permanent Info'!$N$7,U$4&lt;$K$4+$L$13),-$K80*U$96,0)))</f>
        <v>0</v>
      </c>
      <c r="V108" s="603">
        <f>IF(V$4=$K$4+$L$13,-V80,IF(AND('5. Dashboard Live'!$AA$19='14. Permanent Info'!$M$7,V$4&lt;&gt;$K$4+$L$13),0,IF(AND('5. Dashboard Live'!$AA$19='14. Permanent Info'!$N$7,V$4&lt;$K$4+$L$13),-$K80*V$96,0)))</f>
        <v>0</v>
      </c>
      <c r="W108" s="603">
        <f>IF(W$4=$K$4+$L$13,-W80,IF(AND('5. Dashboard Live'!$AA$19='14. Permanent Info'!$M$7,W$4&lt;&gt;$K$4+$L$13),0,IF(AND('5. Dashboard Live'!$AA$19='14. Permanent Info'!$N$7,W$4&lt;$K$4+$L$13),-$K80*W$96,0)))</f>
        <v>0</v>
      </c>
      <c r="X108" s="603">
        <f>IF(X$4=$K$4+$L$13,-X80,IF(AND('5. Dashboard Live'!$AA$19='14. Permanent Info'!$M$7,X$4&lt;&gt;$K$4+$L$13),0,IF(AND('5. Dashboard Live'!$AA$19='14. Permanent Info'!$N$7,X$4&lt;$K$4+$L$13),-$K80*X$96,0)))</f>
        <v>0</v>
      </c>
      <c r="Y108" s="603">
        <f>IF(Y$4=$K$4+$L$13,-Y80,IF(AND('5. Dashboard Live'!$AA$19='14. Permanent Info'!$M$7,Y$4&lt;&gt;$K$4+$L$13),0,IF(AND('5. Dashboard Live'!$AA$19='14. Permanent Info'!$N$7,Y$4&lt;$K$4+$L$13),-$K80*Y$96,0)))</f>
        <v>0</v>
      </c>
      <c r="Z108" s="603">
        <f>IF(Z$4=$K$4+$L$13,-Z80,IF(AND('5. Dashboard Live'!$AA$19='14. Permanent Info'!$M$7,Z$4&lt;&gt;$K$4+$L$13),0,IF(AND('5. Dashboard Live'!$AA$19='14. Permanent Info'!$N$7,Z$4&lt;$K$4+$L$13),-$K80*Z$96,0)))</f>
        <v>0</v>
      </c>
      <c r="AA108" s="603">
        <f>IF(AA$4=$K$4+$L$13,-AA80,IF(AND('5. Dashboard Live'!$AA$19='14. Permanent Info'!$M$7,AA$4&lt;&gt;$K$4+$L$13),0,IF(AND('5. Dashboard Live'!$AA$19='14. Permanent Info'!$N$7,AA$4&lt;$K$4+$L$13),-$K80*AA$96,0)))</f>
        <v>0</v>
      </c>
      <c r="AB108" s="603">
        <f>IF(AB$4=$K$4+$L$13,-AB80,IF(AND('5. Dashboard Live'!$AA$19='14. Permanent Info'!$M$7,AB$4&lt;&gt;$K$4+$L$13),0,IF(AND('5. Dashboard Live'!$AA$19='14. Permanent Info'!$N$7,AB$4&lt;$K$4+$L$13),-$K80*AB$96,0)))</f>
        <v>-2150</v>
      </c>
      <c r="AC108" s="603">
        <f>IF(AC$4=$K$4+$L$13,-AC80,IF(AND('5. Dashboard Live'!$AA$19='14. Permanent Info'!$M$7,AC$4&lt;&gt;$K$4+$L$13),0,IF(AND('5. Dashboard Live'!$AA$19='14. Permanent Info'!$N$7,AC$4&lt;$K$4+$L$13),-$K80*AC$96,0)))</f>
        <v>0</v>
      </c>
      <c r="AD108" s="606">
        <f>SUM(I108:AC108)</f>
        <v>-2150</v>
      </c>
    </row>
    <row r="109" spans="1:30" outlineLevel="2" x14ac:dyDescent="0.45">
      <c r="A109" s="1114"/>
      <c r="B109" s="597" t="str">
        <f t="shared" si="2"/>
        <v>Sales</v>
      </c>
      <c r="D109" s="583" t="str">
        <f>'12. Inputs-Props &amp; Debtors 2016'!C$80</f>
        <v>KZN</v>
      </c>
      <c r="E109" s="596"/>
      <c r="H109" s="604"/>
      <c r="I109" s="1006">
        <f>-(H81+I54)*I$96</f>
        <v>0</v>
      </c>
      <c r="J109" s="1006">
        <f t="shared" si="36"/>
        <v>0</v>
      </c>
      <c r="K109" s="1006">
        <f t="shared" si="36"/>
        <v>0</v>
      </c>
      <c r="L109" s="603">
        <f>IF(L$4=$K$4+$L$13,-L81,IF(AND('5. Dashboard Live'!$AA$19='14. Permanent Info'!$M$7,L$4&lt;&gt;$K$4+$L$13),0,IF(AND('5. Dashboard Live'!$AA$19='14. Permanent Info'!$N$7,L$4&lt;$K$4+$L$13),-$K81*L$96,0)))</f>
        <v>0</v>
      </c>
      <c r="M109" s="603">
        <f>IF(M$4=$K$4+$L$13,-M81,IF(AND('5. Dashboard Live'!$AA$19='14. Permanent Info'!$M$7,M$4&lt;&gt;$K$4+$L$13),0,IF(AND('5. Dashboard Live'!$AA$19='14. Permanent Info'!$N$7,M$4&lt;$K$4+$L$13),-$K81*M$96,0)))</f>
        <v>0</v>
      </c>
      <c r="N109" s="603">
        <f>IF(N$4=$K$4+$L$13,-N81,IF(AND('5. Dashboard Live'!$AA$19='14. Permanent Info'!$M$7,N$4&lt;&gt;$K$4+$L$13),0,IF(AND('5. Dashboard Live'!$AA$19='14. Permanent Info'!$N$7,N$4&lt;$K$4+$L$13),-$K81*N$96,0)))</f>
        <v>0</v>
      </c>
      <c r="O109" s="603">
        <f>IF(O$4=$K$4+$L$13,-O81,IF(AND('5. Dashboard Live'!$AA$19='14. Permanent Info'!$M$7,O$4&lt;&gt;$K$4+$L$13),0,IF(AND('5. Dashboard Live'!$AA$19='14. Permanent Info'!$N$7,O$4&lt;$K$4+$L$13),-$K81*O$96,0)))</f>
        <v>0</v>
      </c>
      <c r="P109" s="603">
        <f>IF(P$4=$K$4+$L$13,-P81,IF(AND('5. Dashboard Live'!$AA$19='14. Permanent Info'!$M$7,P$4&lt;&gt;$K$4+$L$13),0,IF(AND('5. Dashboard Live'!$AA$19='14. Permanent Info'!$N$7,P$4&lt;$K$4+$L$13),-$K81*P$96,0)))</f>
        <v>0</v>
      </c>
      <c r="Q109" s="603">
        <f>IF(Q$4=$K$4+$L$13,-Q81,IF(AND('5. Dashboard Live'!$AA$19='14. Permanent Info'!$M$7,Q$4&lt;&gt;$K$4+$L$13),0,IF(AND('5. Dashboard Live'!$AA$19='14. Permanent Info'!$N$7,Q$4&lt;$K$4+$L$13),-$K81*Q$96,0)))</f>
        <v>0</v>
      </c>
      <c r="R109" s="603">
        <f>IF(R$4=$K$4+$L$13,-R81,IF(AND('5. Dashboard Live'!$AA$19='14. Permanent Info'!$M$7,R$4&lt;&gt;$K$4+$L$13),0,IF(AND('5. Dashboard Live'!$AA$19='14. Permanent Info'!$N$7,R$4&lt;$K$4+$L$13),-$K81*R$96,0)))</f>
        <v>0</v>
      </c>
      <c r="S109" s="603">
        <f>IF(S$4=$K$4+$L$13,-S81,IF(AND('5. Dashboard Live'!$AA$19='14. Permanent Info'!$M$7,S$4&lt;&gt;$K$4+$L$13),0,IF(AND('5. Dashboard Live'!$AA$19='14. Permanent Info'!$N$7,S$4&lt;$K$4+$L$13),-$K81*S$96,0)))</f>
        <v>0</v>
      </c>
      <c r="T109" s="603">
        <f>IF(T$4=$K$4+$L$13,-T81,IF(AND('5. Dashboard Live'!$AA$19='14. Permanent Info'!$M$7,T$4&lt;&gt;$K$4+$L$13),0,IF(AND('5. Dashboard Live'!$AA$19='14. Permanent Info'!$N$7,T$4&lt;$K$4+$L$13),-$K81*T$96,0)))</f>
        <v>0</v>
      </c>
      <c r="U109" s="603">
        <f>IF(U$4=$K$4+$L$13,-U81,IF(AND('5. Dashboard Live'!$AA$19='14. Permanent Info'!$M$7,U$4&lt;&gt;$K$4+$L$13),0,IF(AND('5. Dashboard Live'!$AA$19='14. Permanent Info'!$N$7,U$4&lt;$K$4+$L$13),-$K81*U$96,0)))</f>
        <v>0</v>
      </c>
      <c r="V109" s="603">
        <f>IF(V$4=$K$4+$L$13,-V81,IF(AND('5. Dashboard Live'!$AA$19='14. Permanent Info'!$M$7,V$4&lt;&gt;$K$4+$L$13),0,IF(AND('5. Dashboard Live'!$AA$19='14. Permanent Info'!$N$7,V$4&lt;$K$4+$L$13),-$K81*V$96,0)))</f>
        <v>0</v>
      </c>
      <c r="W109" s="603">
        <f>IF(W$4=$K$4+$L$13,-W81,IF(AND('5. Dashboard Live'!$AA$19='14. Permanent Info'!$M$7,W$4&lt;&gt;$K$4+$L$13),0,IF(AND('5. Dashboard Live'!$AA$19='14. Permanent Info'!$N$7,W$4&lt;$K$4+$L$13),-$K81*W$96,0)))</f>
        <v>0</v>
      </c>
      <c r="X109" s="603">
        <f>IF(X$4=$K$4+$L$13,-X81,IF(AND('5. Dashboard Live'!$AA$19='14. Permanent Info'!$M$7,X$4&lt;&gt;$K$4+$L$13),0,IF(AND('5. Dashboard Live'!$AA$19='14. Permanent Info'!$N$7,X$4&lt;$K$4+$L$13),-$K81*X$96,0)))</f>
        <v>0</v>
      </c>
      <c r="Y109" s="603">
        <f>IF(Y$4=$K$4+$L$13,-Y81,IF(AND('5. Dashboard Live'!$AA$19='14. Permanent Info'!$M$7,Y$4&lt;&gt;$K$4+$L$13),0,IF(AND('5. Dashboard Live'!$AA$19='14. Permanent Info'!$N$7,Y$4&lt;$K$4+$L$13),-$K81*Y$96,0)))</f>
        <v>0</v>
      </c>
      <c r="Z109" s="603">
        <f>IF(Z$4=$K$4+$L$13,-Z81,IF(AND('5. Dashboard Live'!$AA$19='14. Permanent Info'!$M$7,Z$4&lt;&gt;$K$4+$L$13),0,IF(AND('5. Dashboard Live'!$AA$19='14. Permanent Info'!$N$7,Z$4&lt;$K$4+$L$13),-$K81*Z$96,0)))</f>
        <v>0</v>
      </c>
      <c r="AA109" s="603">
        <f>IF(AA$4=$K$4+$L$13,-AA81,IF(AND('5. Dashboard Live'!$AA$19='14. Permanent Info'!$M$7,AA$4&lt;&gt;$K$4+$L$13),0,IF(AND('5. Dashboard Live'!$AA$19='14. Permanent Info'!$N$7,AA$4&lt;$K$4+$L$13),-$K81*AA$96,0)))</f>
        <v>0</v>
      </c>
      <c r="AB109" s="603">
        <f>IF(AB$4=$K$4+$L$13,-AB81,IF(AND('5. Dashboard Live'!$AA$19='14. Permanent Info'!$M$7,AB$4&lt;&gt;$K$4+$L$13),0,IF(AND('5. Dashboard Live'!$AA$19='14. Permanent Info'!$N$7,AB$4&lt;$K$4+$L$13),-$K81*AB$96,0)))</f>
        <v>-3341</v>
      </c>
      <c r="AC109" s="603">
        <f>IF(AC$4=$K$4+$L$13,-AC81,IF(AND('5. Dashboard Live'!$AA$19='14. Permanent Info'!$M$7,AC$4&lt;&gt;$K$4+$L$13),0,IF(AND('5. Dashboard Live'!$AA$19='14. Permanent Info'!$N$7,AC$4&lt;$K$4+$L$13),-$K81*AC$96,0)))</f>
        <v>0</v>
      </c>
      <c r="AD109" s="606">
        <f>SUM(I109:AC109)</f>
        <v>-3341</v>
      </c>
    </row>
    <row r="110" spans="1:30" outlineLevel="2" x14ac:dyDescent="0.45">
      <c r="A110" s="1114"/>
      <c r="B110" s="597" t="str">
        <f t="shared" si="2"/>
        <v>Sales</v>
      </c>
      <c r="D110" s="583" t="str">
        <f>'12. Inputs-Props &amp; Debtors 2016'!C$81</f>
        <v>WC</v>
      </c>
      <c r="E110" s="596"/>
      <c r="H110" s="604"/>
      <c r="I110" s="1006">
        <f>-(H82+I55)*I$96</f>
        <v>0</v>
      </c>
      <c r="J110" s="1006">
        <f t="shared" si="36"/>
        <v>0</v>
      </c>
      <c r="K110" s="1006">
        <f t="shared" si="36"/>
        <v>0</v>
      </c>
      <c r="L110" s="603">
        <f>IF(L$4=$K$4+$L$13,-L82,IF(AND('5. Dashboard Live'!$AA$19='14. Permanent Info'!$M$7,L$4&lt;&gt;$K$4+$L$13),0,IF(AND('5. Dashboard Live'!$AA$19='14. Permanent Info'!$N$7,L$4&lt;$K$4+$L$13),-$K82*L$96,0)))</f>
        <v>0</v>
      </c>
      <c r="M110" s="603">
        <f>IF(M$4=$K$4+$L$13,-M82,IF(AND('5. Dashboard Live'!$AA$19='14. Permanent Info'!$M$7,M$4&lt;&gt;$K$4+$L$13),0,IF(AND('5. Dashboard Live'!$AA$19='14. Permanent Info'!$N$7,M$4&lt;$K$4+$L$13),-$K82*M$96,0)))</f>
        <v>0</v>
      </c>
      <c r="N110" s="603">
        <f>IF(N$4=$K$4+$L$13,-N82,IF(AND('5. Dashboard Live'!$AA$19='14. Permanent Info'!$M$7,N$4&lt;&gt;$K$4+$L$13),0,IF(AND('5. Dashboard Live'!$AA$19='14. Permanent Info'!$N$7,N$4&lt;$K$4+$L$13),-$K82*N$96,0)))</f>
        <v>0</v>
      </c>
      <c r="O110" s="603">
        <f>IF(O$4=$K$4+$L$13,-O82,IF(AND('5. Dashboard Live'!$AA$19='14. Permanent Info'!$M$7,O$4&lt;&gt;$K$4+$L$13),0,IF(AND('5. Dashboard Live'!$AA$19='14. Permanent Info'!$N$7,O$4&lt;$K$4+$L$13),-$K82*O$96,0)))</f>
        <v>0</v>
      </c>
      <c r="P110" s="603">
        <f>IF(P$4=$K$4+$L$13,-P82,IF(AND('5. Dashboard Live'!$AA$19='14. Permanent Info'!$M$7,P$4&lt;&gt;$K$4+$L$13),0,IF(AND('5. Dashboard Live'!$AA$19='14. Permanent Info'!$N$7,P$4&lt;$K$4+$L$13),-$K82*P$96,0)))</f>
        <v>0</v>
      </c>
      <c r="Q110" s="603">
        <f>IF(Q$4=$K$4+$L$13,-Q82,IF(AND('5. Dashboard Live'!$AA$19='14. Permanent Info'!$M$7,Q$4&lt;&gt;$K$4+$L$13),0,IF(AND('5. Dashboard Live'!$AA$19='14. Permanent Info'!$N$7,Q$4&lt;$K$4+$L$13),-$K82*Q$96,0)))</f>
        <v>0</v>
      </c>
      <c r="R110" s="603">
        <f>IF(R$4=$K$4+$L$13,-R82,IF(AND('5. Dashboard Live'!$AA$19='14. Permanent Info'!$M$7,R$4&lt;&gt;$K$4+$L$13),0,IF(AND('5. Dashboard Live'!$AA$19='14. Permanent Info'!$N$7,R$4&lt;$K$4+$L$13),-$K82*R$96,0)))</f>
        <v>0</v>
      </c>
      <c r="S110" s="603">
        <f>IF(S$4=$K$4+$L$13,-S82,IF(AND('5. Dashboard Live'!$AA$19='14. Permanent Info'!$M$7,S$4&lt;&gt;$K$4+$L$13),0,IF(AND('5. Dashboard Live'!$AA$19='14. Permanent Info'!$N$7,S$4&lt;$K$4+$L$13),-$K82*S$96,0)))</f>
        <v>0</v>
      </c>
      <c r="T110" s="603">
        <f>IF(T$4=$K$4+$L$13,-T82,IF(AND('5. Dashboard Live'!$AA$19='14. Permanent Info'!$M$7,T$4&lt;&gt;$K$4+$L$13),0,IF(AND('5. Dashboard Live'!$AA$19='14. Permanent Info'!$N$7,T$4&lt;$K$4+$L$13),-$K82*T$96,0)))</f>
        <v>0</v>
      </c>
      <c r="U110" s="603">
        <f>IF(U$4=$K$4+$L$13,-U82,IF(AND('5. Dashboard Live'!$AA$19='14. Permanent Info'!$M$7,U$4&lt;&gt;$K$4+$L$13),0,IF(AND('5. Dashboard Live'!$AA$19='14. Permanent Info'!$N$7,U$4&lt;$K$4+$L$13),-$K82*U$96,0)))</f>
        <v>0</v>
      </c>
      <c r="V110" s="603">
        <f>IF(V$4=$K$4+$L$13,-V82,IF(AND('5. Dashboard Live'!$AA$19='14. Permanent Info'!$M$7,V$4&lt;&gt;$K$4+$L$13),0,IF(AND('5. Dashboard Live'!$AA$19='14. Permanent Info'!$N$7,V$4&lt;$K$4+$L$13),-$K82*V$96,0)))</f>
        <v>0</v>
      </c>
      <c r="W110" s="603">
        <f>IF(W$4=$K$4+$L$13,-W82,IF(AND('5. Dashboard Live'!$AA$19='14. Permanent Info'!$M$7,W$4&lt;&gt;$K$4+$L$13),0,IF(AND('5. Dashboard Live'!$AA$19='14. Permanent Info'!$N$7,W$4&lt;$K$4+$L$13),-$K82*W$96,0)))</f>
        <v>0</v>
      </c>
      <c r="X110" s="603">
        <f>IF(X$4=$K$4+$L$13,-X82,IF(AND('5. Dashboard Live'!$AA$19='14. Permanent Info'!$M$7,X$4&lt;&gt;$K$4+$L$13),0,IF(AND('5. Dashboard Live'!$AA$19='14. Permanent Info'!$N$7,X$4&lt;$K$4+$L$13),-$K82*X$96,0)))</f>
        <v>0</v>
      </c>
      <c r="Y110" s="603">
        <f>IF(Y$4=$K$4+$L$13,-Y82,IF(AND('5. Dashboard Live'!$AA$19='14. Permanent Info'!$M$7,Y$4&lt;&gt;$K$4+$L$13),0,IF(AND('5. Dashboard Live'!$AA$19='14. Permanent Info'!$N$7,Y$4&lt;$K$4+$L$13),-$K82*Y$96,0)))</f>
        <v>0</v>
      </c>
      <c r="Z110" s="603">
        <f>IF(Z$4=$K$4+$L$13,-Z82,IF(AND('5. Dashboard Live'!$AA$19='14. Permanent Info'!$M$7,Z$4&lt;&gt;$K$4+$L$13),0,IF(AND('5. Dashboard Live'!$AA$19='14. Permanent Info'!$N$7,Z$4&lt;$K$4+$L$13),-$K82*Z$96,0)))</f>
        <v>0</v>
      </c>
      <c r="AA110" s="603">
        <f>IF(AA$4=$K$4+$L$13,-AA82,IF(AND('5. Dashboard Live'!$AA$19='14. Permanent Info'!$M$7,AA$4&lt;&gt;$K$4+$L$13),0,IF(AND('5. Dashboard Live'!$AA$19='14. Permanent Info'!$N$7,AA$4&lt;$K$4+$L$13),-$K82*AA$96,0)))</f>
        <v>0</v>
      </c>
      <c r="AB110" s="603">
        <f>IF(AB$4=$K$4+$L$13,-AB82,IF(AND('5. Dashboard Live'!$AA$19='14. Permanent Info'!$M$7,AB$4&lt;&gt;$K$4+$L$13),0,IF(AND('5. Dashboard Live'!$AA$19='14. Permanent Info'!$N$7,AB$4&lt;$K$4+$L$13),-$K82*AB$96,0)))</f>
        <v>-1655</v>
      </c>
      <c r="AC110" s="603">
        <f>IF(AC$4=$K$4+$L$13,-AC82,IF(AND('5. Dashboard Live'!$AA$19='14. Permanent Info'!$M$7,AC$4&lt;&gt;$K$4+$L$13),0,IF(AND('5. Dashboard Live'!$AA$19='14. Permanent Info'!$N$7,AC$4&lt;$K$4+$L$13),-$K82*AC$96,0)))</f>
        <v>0</v>
      </c>
      <c r="AD110" s="606">
        <f>SUM(I110:AC110)</f>
        <v>-1655</v>
      </c>
    </row>
    <row r="111" spans="1:30" outlineLevel="2" x14ac:dyDescent="0.45">
      <c r="A111" s="1114"/>
      <c r="B111" s="597" t="str">
        <f t="shared" si="2"/>
        <v>Sales</v>
      </c>
      <c r="D111" s="583" t="str">
        <f>'12. Inputs-Props &amp; Debtors 2016'!C$82</f>
        <v>Total</v>
      </c>
      <c r="E111" s="596"/>
      <c r="H111" s="606"/>
      <c r="I111" s="605">
        <f t="shared" ref="I111:Q111" si="37">SUM(I106:I110)</f>
        <v>0</v>
      </c>
      <c r="J111" s="605">
        <f t="shared" si="37"/>
        <v>0</v>
      </c>
      <c r="K111" s="605">
        <f t="shared" si="37"/>
        <v>0</v>
      </c>
      <c r="L111" s="605">
        <f t="shared" si="37"/>
        <v>0</v>
      </c>
      <c r="M111" s="605">
        <f t="shared" si="37"/>
        <v>0</v>
      </c>
      <c r="N111" s="605">
        <f t="shared" si="37"/>
        <v>0</v>
      </c>
      <c r="O111" s="605">
        <f t="shared" si="37"/>
        <v>0</v>
      </c>
      <c r="P111" s="605">
        <f t="shared" si="37"/>
        <v>0</v>
      </c>
      <c r="Q111" s="605">
        <f t="shared" si="37"/>
        <v>0</v>
      </c>
      <c r="R111" s="605">
        <f t="shared" ref="R111:AB111" si="38">SUM(R106:R110)</f>
        <v>0</v>
      </c>
      <c r="S111" s="605">
        <f t="shared" si="38"/>
        <v>0</v>
      </c>
      <c r="T111" s="605">
        <f t="shared" si="38"/>
        <v>0</v>
      </c>
      <c r="U111" s="605">
        <f t="shared" si="38"/>
        <v>0</v>
      </c>
      <c r="V111" s="605">
        <f t="shared" si="38"/>
        <v>0</v>
      </c>
      <c r="W111" s="605">
        <f t="shared" si="38"/>
        <v>0</v>
      </c>
      <c r="X111" s="605">
        <f t="shared" si="38"/>
        <v>0</v>
      </c>
      <c r="Y111" s="605">
        <f t="shared" si="38"/>
        <v>0</v>
      </c>
      <c r="Z111" s="605">
        <f t="shared" si="38"/>
        <v>0</v>
      </c>
      <c r="AA111" s="605">
        <f t="shared" si="38"/>
        <v>0</v>
      </c>
      <c r="AB111" s="605">
        <f t="shared" si="38"/>
        <v>-7399</v>
      </c>
      <c r="AC111" s="605">
        <f>SUM(AC106:AC110)</f>
        <v>0</v>
      </c>
      <c r="AD111" s="605">
        <f>SUM(AD106:AD110)</f>
        <v>-7399</v>
      </c>
    </row>
    <row r="112" spans="1:30" outlineLevel="2" x14ac:dyDescent="0.45">
      <c r="B112" s="597" t="str">
        <f t="shared" si="2"/>
        <v>Sales</v>
      </c>
      <c r="AD112" s="606"/>
    </row>
    <row r="113" spans="1:30" outlineLevel="2" x14ac:dyDescent="0.45">
      <c r="B113" s="597" t="str">
        <f t="shared" si="2"/>
        <v>Sales</v>
      </c>
      <c r="D113" s="596"/>
      <c r="E113" s="596"/>
      <c r="F113" s="606"/>
      <c r="G113" s="606"/>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row>
    <row r="114" spans="1:30" outlineLevel="2" x14ac:dyDescent="0.45">
      <c r="B114" s="597" t="str">
        <f t="shared" si="2"/>
        <v>Sales</v>
      </c>
      <c r="C114" s="451">
        <f>C105+1</f>
        <v>10</v>
      </c>
      <c r="D114" s="601" t="s">
        <v>1032</v>
      </c>
      <c r="E114" s="596"/>
      <c r="F114" s="606"/>
      <c r="G114" s="606"/>
      <c r="H114" s="606"/>
      <c r="I114" s="606"/>
      <c r="J114" s="606"/>
      <c r="K114" s="606"/>
      <c r="L114" s="606"/>
      <c r="M114" s="606"/>
      <c r="N114" s="606"/>
      <c r="O114" s="606"/>
      <c r="P114" s="606"/>
      <c r="Q114" s="606"/>
      <c r="R114" s="606"/>
      <c r="S114" s="606"/>
      <c r="T114" s="606"/>
      <c r="U114" s="606"/>
      <c r="V114" s="606"/>
      <c r="W114" s="606"/>
      <c r="X114" s="606"/>
      <c r="Y114" s="606"/>
      <c r="Z114" s="606"/>
      <c r="AA114" s="606"/>
      <c r="AB114" s="606"/>
      <c r="AC114" s="606"/>
      <c r="AD114" s="606"/>
    </row>
    <row r="115" spans="1:30" outlineLevel="2" x14ac:dyDescent="0.45">
      <c r="B115" s="597" t="str">
        <f t="shared" si="2"/>
        <v>Sales</v>
      </c>
      <c r="D115" s="583" t="str">
        <f>'12. Inputs-Props &amp; Debtors 2016'!C$77</f>
        <v>EC</v>
      </c>
      <c r="E115" s="596"/>
      <c r="F115" s="606"/>
      <c r="G115" s="606"/>
      <c r="H115" s="606"/>
      <c r="I115" s="606">
        <f t="shared" ref="I115:AC115" si="39">I78+I106</f>
        <v>132</v>
      </c>
      <c r="J115" s="606">
        <f t="shared" si="39"/>
        <v>150</v>
      </c>
      <c r="K115" s="606">
        <f t="shared" si="39"/>
        <v>168</v>
      </c>
      <c r="L115" s="606">
        <f t="shared" si="39"/>
        <v>170</v>
      </c>
      <c r="M115" s="606">
        <f t="shared" si="39"/>
        <v>172</v>
      </c>
      <c r="N115" s="606">
        <f t="shared" si="39"/>
        <v>174</v>
      </c>
      <c r="O115" s="606">
        <f t="shared" si="39"/>
        <v>176</v>
      </c>
      <c r="P115" s="606">
        <f t="shared" si="39"/>
        <v>178</v>
      </c>
      <c r="Q115" s="606">
        <f t="shared" si="39"/>
        <v>180</v>
      </c>
      <c r="R115" s="606">
        <f t="shared" ref="R115:AB115" si="40">R78+R106</f>
        <v>182</v>
      </c>
      <c r="S115" s="606">
        <f t="shared" si="40"/>
        <v>184</v>
      </c>
      <c r="T115" s="606">
        <f t="shared" si="40"/>
        <v>186</v>
      </c>
      <c r="U115" s="606">
        <f t="shared" si="40"/>
        <v>188</v>
      </c>
      <c r="V115" s="606">
        <f t="shared" si="40"/>
        <v>190</v>
      </c>
      <c r="W115" s="606">
        <f t="shared" si="40"/>
        <v>192</v>
      </c>
      <c r="X115" s="606">
        <f t="shared" si="40"/>
        <v>194</v>
      </c>
      <c r="Y115" s="606">
        <f t="shared" si="40"/>
        <v>196</v>
      </c>
      <c r="Z115" s="606">
        <f t="shared" si="40"/>
        <v>198</v>
      </c>
      <c r="AA115" s="606">
        <f t="shared" si="40"/>
        <v>200</v>
      </c>
      <c r="AB115" s="606">
        <f t="shared" si="40"/>
        <v>0</v>
      </c>
      <c r="AC115" s="606">
        <f t="shared" si="39"/>
        <v>0</v>
      </c>
      <c r="AD115" s="1117"/>
    </row>
    <row r="116" spans="1:30" outlineLevel="2" x14ac:dyDescent="0.45">
      <c r="B116" s="597" t="str">
        <f t="shared" si="2"/>
        <v>Sales</v>
      </c>
      <c r="D116" s="583" t="str">
        <f>'12. Inputs-Props &amp; Debtors 2016'!C$78</f>
        <v>FS</v>
      </c>
      <c r="E116" s="596"/>
      <c r="F116" s="606"/>
      <c r="G116" s="606"/>
      <c r="H116" s="606"/>
      <c r="I116" s="606">
        <f t="shared" ref="I116:AC116" si="41">I79+I107</f>
        <v>3</v>
      </c>
      <c r="J116" s="606">
        <f t="shared" si="41"/>
        <v>5</v>
      </c>
      <c r="K116" s="606">
        <f t="shared" si="41"/>
        <v>7</v>
      </c>
      <c r="L116" s="606">
        <f t="shared" si="41"/>
        <v>9</v>
      </c>
      <c r="M116" s="606">
        <f t="shared" si="41"/>
        <v>11</v>
      </c>
      <c r="N116" s="606">
        <f t="shared" si="41"/>
        <v>13</v>
      </c>
      <c r="O116" s="606">
        <f t="shared" si="41"/>
        <v>15</v>
      </c>
      <c r="P116" s="606">
        <f t="shared" si="41"/>
        <v>17</v>
      </c>
      <c r="Q116" s="606">
        <f t="shared" si="41"/>
        <v>19</v>
      </c>
      <c r="R116" s="606">
        <f t="shared" ref="R116:AB116" si="42">R79+R107</f>
        <v>21</v>
      </c>
      <c r="S116" s="606">
        <f t="shared" si="42"/>
        <v>23</v>
      </c>
      <c r="T116" s="606">
        <f t="shared" si="42"/>
        <v>25</v>
      </c>
      <c r="U116" s="606">
        <f t="shared" si="42"/>
        <v>27</v>
      </c>
      <c r="V116" s="606">
        <f t="shared" si="42"/>
        <v>29</v>
      </c>
      <c r="W116" s="606">
        <f t="shared" si="42"/>
        <v>31</v>
      </c>
      <c r="X116" s="606">
        <f t="shared" si="42"/>
        <v>33</v>
      </c>
      <c r="Y116" s="606">
        <f t="shared" si="42"/>
        <v>35</v>
      </c>
      <c r="Z116" s="606">
        <f t="shared" si="42"/>
        <v>37</v>
      </c>
      <c r="AA116" s="606">
        <f t="shared" si="42"/>
        <v>39</v>
      </c>
      <c r="AB116" s="606">
        <f t="shared" si="42"/>
        <v>0</v>
      </c>
      <c r="AC116" s="606">
        <f t="shared" si="41"/>
        <v>0</v>
      </c>
      <c r="AD116" s="1117"/>
    </row>
    <row r="117" spans="1:30" outlineLevel="2" x14ac:dyDescent="0.45">
      <c r="B117" s="597" t="str">
        <f t="shared" si="2"/>
        <v>Sales</v>
      </c>
      <c r="D117" s="583" t="str">
        <f>'12. Inputs-Props &amp; Debtors 2016'!C$79</f>
        <v>Gau</v>
      </c>
      <c r="E117" s="596"/>
      <c r="F117" s="606"/>
      <c r="G117" s="606"/>
      <c r="H117" s="606"/>
      <c r="I117" s="606">
        <f t="shared" ref="I117:AC117" si="43">I80+I108</f>
        <v>541</v>
      </c>
      <c r="J117" s="606">
        <f t="shared" si="43"/>
        <v>626</v>
      </c>
      <c r="K117" s="606">
        <f t="shared" si="43"/>
        <v>711</v>
      </c>
      <c r="L117" s="606">
        <f t="shared" si="43"/>
        <v>800</v>
      </c>
      <c r="M117" s="606">
        <f t="shared" si="43"/>
        <v>889</v>
      </c>
      <c r="N117" s="606">
        <f t="shared" si="43"/>
        <v>978</v>
      </c>
      <c r="O117" s="606">
        <f t="shared" si="43"/>
        <v>1067</v>
      </c>
      <c r="P117" s="606">
        <f t="shared" si="43"/>
        <v>1156</v>
      </c>
      <c r="Q117" s="606">
        <f t="shared" si="43"/>
        <v>1245</v>
      </c>
      <c r="R117" s="606">
        <f t="shared" ref="R117:AB117" si="44">R80+R108</f>
        <v>1334</v>
      </c>
      <c r="S117" s="606">
        <f t="shared" si="44"/>
        <v>1423</v>
      </c>
      <c r="T117" s="606">
        <f t="shared" si="44"/>
        <v>1512</v>
      </c>
      <c r="U117" s="606">
        <f t="shared" si="44"/>
        <v>1601</v>
      </c>
      <c r="V117" s="606">
        <f t="shared" si="44"/>
        <v>1690</v>
      </c>
      <c r="W117" s="606">
        <f t="shared" si="44"/>
        <v>1779</v>
      </c>
      <c r="X117" s="606">
        <f t="shared" si="44"/>
        <v>1868</v>
      </c>
      <c r="Y117" s="606">
        <f t="shared" si="44"/>
        <v>1957</v>
      </c>
      <c r="Z117" s="606">
        <f t="shared" si="44"/>
        <v>2046</v>
      </c>
      <c r="AA117" s="606">
        <f t="shared" si="44"/>
        <v>2135</v>
      </c>
      <c r="AB117" s="606">
        <f t="shared" si="44"/>
        <v>0</v>
      </c>
      <c r="AC117" s="606">
        <f t="shared" si="43"/>
        <v>0</v>
      </c>
      <c r="AD117" s="1117"/>
    </row>
    <row r="118" spans="1:30" outlineLevel="2" x14ac:dyDescent="0.45">
      <c r="B118" s="597" t="str">
        <f t="shared" si="2"/>
        <v>Sales</v>
      </c>
      <c r="D118" s="583" t="str">
        <f>'12. Inputs-Props &amp; Debtors 2016'!C$80</f>
        <v>KZN</v>
      </c>
      <c r="E118" s="596"/>
      <c r="F118" s="606"/>
      <c r="G118" s="606"/>
      <c r="H118" s="606"/>
      <c r="I118" s="606">
        <f t="shared" ref="I118:AC118" si="45">I81+I109</f>
        <v>1034</v>
      </c>
      <c r="J118" s="606">
        <f t="shared" si="45"/>
        <v>1290</v>
      </c>
      <c r="K118" s="606">
        <f t="shared" si="45"/>
        <v>1546</v>
      </c>
      <c r="L118" s="606">
        <f t="shared" si="45"/>
        <v>1658</v>
      </c>
      <c r="M118" s="606">
        <f t="shared" si="45"/>
        <v>1770</v>
      </c>
      <c r="N118" s="606">
        <f t="shared" si="45"/>
        <v>1882</v>
      </c>
      <c r="O118" s="606">
        <f t="shared" si="45"/>
        <v>1994</v>
      </c>
      <c r="P118" s="606">
        <f t="shared" si="45"/>
        <v>2106</v>
      </c>
      <c r="Q118" s="606">
        <f t="shared" si="45"/>
        <v>2218</v>
      </c>
      <c r="R118" s="606">
        <f t="shared" ref="R118:AB118" si="46">R81+R109</f>
        <v>2330</v>
      </c>
      <c r="S118" s="606">
        <f t="shared" si="46"/>
        <v>2442</v>
      </c>
      <c r="T118" s="606">
        <f t="shared" si="46"/>
        <v>2554</v>
      </c>
      <c r="U118" s="606">
        <f t="shared" si="46"/>
        <v>2666</v>
      </c>
      <c r="V118" s="606">
        <f t="shared" si="46"/>
        <v>2778</v>
      </c>
      <c r="W118" s="606">
        <f t="shared" si="46"/>
        <v>2890</v>
      </c>
      <c r="X118" s="606">
        <f t="shared" si="46"/>
        <v>3002</v>
      </c>
      <c r="Y118" s="606">
        <f t="shared" si="46"/>
        <v>3114</v>
      </c>
      <c r="Z118" s="606">
        <f t="shared" si="46"/>
        <v>3226</v>
      </c>
      <c r="AA118" s="606">
        <f t="shared" si="46"/>
        <v>3338</v>
      </c>
      <c r="AB118" s="606">
        <f t="shared" si="46"/>
        <v>0</v>
      </c>
      <c r="AC118" s="606">
        <f t="shared" si="45"/>
        <v>0</v>
      </c>
      <c r="AD118" s="1117"/>
    </row>
    <row r="119" spans="1:30" outlineLevel="2" x14ac:dyDescent="0.45">
      <c r="B119" s="597" t="str">
        <f t="shared" si="2"/>
        <v>Sales</v>
      </c>
      <c r="D119" s="583" t="str">
        <f>'12. Inputs-Props &amp; Debtors 2016'!C$81</f>
        <v>WC</v>
      </c>
      <c r="E119" s="596"/>
      <c r="F119" s="606"/>
      <c r="G119" s="606"/>
      <c r="H119" s="606"/>
      <c r="I119" s="606">
        <f t="shared" ref="I119:AC119" si="47">I82+I110</f>
        <v>1043</v>
      </c>
      <c r="J119" s="606">
        <f t="shared" si="47"/>
        <v>1196</v>
      </c>
      <c r="K119" s="606">
        <f t="shared" si="47"/>
        <v>1311</v>
      </c>
      <c r="L119" s="606">
        <f t="shared" si="47"/>
        <v>1332</v>
      </c>
      <c r="M119" s="606">
        <f t="shared" si="47"/>
        <v>1353</v>
      </c>
      <c r="N119" s="606">
        <f t="shared" si="47"/>
        <v>1374</v>
      </c>
      <c r="O119" s="606">
        <f t="shared" si="47"/>
        <v>1395</v>
      </c>
      <c r="P119" s="606">
        <f t="shared" si="47"/>
        <v>1416</v>
      </c>
      <c r="Q119" s="606">
        <f t="shared" si="47"/>
        <v>1437</v>
      </c>
      <c r="R119" s="606">
        <f t="shared" ref="R119:AB119" si="48">R82+R110</f>
        <v>1458</v>
      </c>
      <c r="S119" s="606">
        <f t="shared" si="48"/>
        <v>1479</v>
      </c>
      <c r="T119" s="606">
        <f t="shared" si="48"/>
        <v>1500</v>
      </c>
      <c r="U119" s="606">
        <f t="shared" si="48"/>
        <v>1521</v>
      </c>
      <c r="V119" s="606">
        <f t="shared" si="48"/>
        <v>1542</v>
      </c>
      <c r="W119" s="606">
        <f t="shared" si="48"/>
        <v>1563</v>
      </c>
      <c r="X119" s="606">
        <f t="shared" si="48"/>
        <v>1584</v>
      </c>
      <c r="Y119" s="606">
        <f t="shared" si="48"/>
        <v>1605</v>
      </c>
      <c r="Z119" s="606">
        <f t="shared" si="48"/>
        <v>1626</v>
      </c>
      <c r="AA119" s="606">
        <f t="shared" si="48"/>
        <v>1647</v>
      </c>
      <c r="AB119" s="606">
        <f t="shared" si="48"/>
        <v>0</v>
      </c>
      <c r="AC119" s="606">
        <f t="shared" si="47"/>
        <v>0</v>
      </c>
      <c r="AD119" s="1117"/>
    </row>
    <row r="120" spans="1:30" outlineLevel="2" x14ac:dyDescent="0.45">
      <c r="B120" s="597" t="str">
        <f t="shared" si="2"/>
        <v>Sales</v>
      </c>
      <c r="D120" s="583" t="str">
        <f>'12. Inputs-Props &amp; Debtors 2016'!C$82</f>
        <v>Total</v>
      </c>
      <c r="E120" s="596"/>
      <c r="F120" s="606"/>
      <c r="G120" s="606"/>
      <c r="H120" s="606"/>
      <c r="I120" s="605">
        <f t="shared" ref="I120:P120" si="49">SUM(I115:I119)</f>
        <v>2753</v>
      </c>
      <c r="J120" s="605">
        <f t="shared" si="49"/>
        <v>3267</v>
      </c>
      <c r="K120" s="605">
        <f t="shared" si="49"/>
        <v>3743</v>
      </c>
      <c r="L120" s="605">
        <f t="shared" si="49"/>
        <v>3969</v>
      </c>
      <c r="M120" s="605">
        <f t="shared" si="49"/>
        <v>4195</v>
      </c>
      <c r="N120" s="605">
        <f t="shared" si="49"/>
        <v>4421</v>
      </c>
      <c r="O120" s="605">
        <f t="shared" si="49"/>
        <v>4647</v>
      </c>
      <c r="P120" s="605">
        <f t="shared" si="49"/>
        <v>4873</v>
      </c>
      <c r="Q120" s="605">
        <f t="shared" ref="Q120:AB120" si="50">SUM(Q115:Q119)</f>
        <v>5099</v>
      </c>
      <c r="R120" s="605">
        <f t="shared" si="50"/>
        <v>5325</v>
      </c>
      <c r="S120" s="605">
        <f t="shared" si="50"/>
        <v>5551</v>
      </c>
      <c r="T120" s="605">
        <f t="shared" si="50"/>
        <v>5777</v>
      </c>
      <c r="U120" s="605">
        <f t="shared" si="50"/>
        <v>6003</v>
      </c>
      <c r="V120" s="605">
        <f t="shared" si="50"/>
        <v>6229</v>
      </c>
      <c r="W120" s="605">
        <f t="shared" si="50"/>
        <v>6455</v>
      </c>
      <c r="X120" s="605">
        <f t="shared" si="50"/>
        <v>6681</v>
      </c>
      <c r="Y120" s="605">
        <f t="shared" si="50"/>
        <v>6907</v>
      </c>
      <c r="Z120" s="605">
        <f t="shared" si="50"/>
        <v>7133</v>
      </c>
      <c r="AA120" s="605">
        <f t="shared" si="50"/>
        <v>7359</v>
      </c>
      <c r="AB120" s="605">
        <f t="shared" si="50"/>
        <v>0</v>
      </c>
      <c r="AC120" s="605">
        <f>SUM(AC115:AC119)</f>
        <v>0</v>
      </c>
      <c r="AD120" s="1117"/>
    </row>
    <row r="121" spans="1:30" outlineLevel="2" x14ac:dyDescent="0.45">
      <c r="B121" s="597" t="str">
        <f t="shared" si="2"/>
        <v>Sales</v>
      </c>
      <c r="D121" s="596"/>
      <c r="E121" s="596"/>
      <c r="F121" s="606"/>
      <c r="G121" s="606"/>
      <c r="H121" s="606"/>
      <c r="I121" s="606"/>
      <c r="J121" s="606">
        <f>I120-J120</f>
        <v>-514</v>
      </c>
      <c r="K121" s="606">
        <f>J120-K120</f>
        <v>-476</v>
      </c>
      <c r="L121" s="606">
        <f>K120-L120</f>
        <v>-226</v>
      </c>
      <c r="M121" s="606">
        <f>L120-M120</f>
        <v>-226</v>
      </c>
      <c r="N121" s="606">
        <f t="shared" ref="N121:T121" si="51">M120-N120</f>
        <v>-226</v>
      </c>
      <c r="O121" s="606">
        <f t="shared" si="51"/>
        <v>-226</v>
      </c>
      <c r="P121" s="606">
        <f t="shared" si="51"/>
        <v>-226</v>
      </c>
      <c r="Q121" s="606">
        <f t="shared" si="51"/>
        <v>-226</v>
      </c>
      <c r="R121" s="606">
        <f t="shared" si="51"/>
        <v>-226</v>
      </c>
      <c r="S121" s="606">
        <f t="shared" si="51"/>
        <v>-226</v>
      </c>
      <c r="T121" s="606">
        <f t="shared" si="51"/>
        <v>-226</v>
      </c>
      <c r="U121" s="606">
        <f t="shared" ref="U121:AC121" si="52">T120-U120</f>
        <v>-226</v>
      </c>
      <c r="V121" s="606">
        <f t="shared" si="52"/>
        <v>-226</v>
      </c>
      <c r="W121" s="606">
        <f t="shared" si="52"/>
        <v>-226</v>
      </c>
      <c r="X121" s="606">
        <f t="shared" si="52"/>
        <v>-226</v>
      </c>
      <c r="Y121" s="606">
        <f t="shared" si="52"/>
        <v>-226</v>
      </c>
      <c r="Z121" s="606">
        <f t="shared" si="52"/>
        <v>-226</v>
      </c>
      <c r="AA121" s="606">
        <f t="shared" si="52"/>
        <v>-226</v>
      </c>
      <c r="AB121" s="606">
        <f t="shared" si="52"/>
        <v>7359</v>
      </c>
      <c r="AC121" s="606">
        <f t="shared" si="52"/>
        <v>0</v>
      </c>
      <c r="AD121" s="606"/>
    </row>
    <row r="122" spans="1:30" outlineLevel="2" x14ac:dyDescent="0.45">
      <c r="B122" s="597" t="str">
        <f t="shared" si="2"/>
        <v>Sales</v>
      </c>
      <c r="F122" s="596"/>
      <c r="G122" s="596"/>
      <c r="H122" s="596"/>
      <c r="I122" s="596"/>
    </row>
    <row r="123" spans="1:30" outlineLevel="2" x14ac:dyDescent="0.45">
      <c r="B123" s="597" t="str">
        <f t="shared" si="2"/>
        <v>Sales</v>
      </c>
      <c r="C123" s="451">
        <f>C114+1</f>
        <v>11</v>
      </c>
      <c r="D123" s="532" t="s">
        <v>1338</v>
      </c>
      <c r="F123" s="596"/>
      <c r="G123" s="596"/>
      <c r="H123" s="596"/>
      <c r="I123" s="596"/>
    </row>
    <row r="124" spans="1:30" outlineLevel="2" x14ac:dyDescent="0.45">
      <c r="A124" s="894" t="s">
        <v>1463</v>
      </c>
      <c r="B124" s="597" t="str">
        <f t="shared" si="2"/>
        <v>Sales</v>
      </c>
      <c r="D124" s="583" t="str">
        <f>'12. Inputs-Props &amp; Debtors 2016'!C$77</f>
        <v>EC</v>
      </c>
      <c r="F124" s="596"/>
      <c r="G124" s="596"/>
      <c r="H124" s="596"/>
      <c r="I124" s="609">
        <v>1</v>
      </c>
      <c r="J124" s="610">
        <f t="shared" ref="J124:AC124" si="53">IF(J78&lt;&gt;0,I124,0)</f>
        <v>1</v>
      </c>
      <c r="K124" s="610">
        <f t="shared" si="53"/>
        <v>1</v>
      </c>
      <c r="L124" s="610">
        <f t="shared" si="53"/>
        <v>1</v>
      </c>
      <c r="M124" s="610">
        <f t="shared" si="53"/>
        <v>1</v>
      </c>
      <c r="N124" s="610">
        <f t="shared" si="53"/>
        <v>1</v>
      </c>
      <c r="O124" s="610">
        <f t="shared" si="53"/>
        <v>1</v>
      </c>
      <c r="P124" s="610">
        <f t="shared" si="53"/>
        <v>1</v>
      </c>
      <c r="Q124" s="610">
        <f t="shared" si="53"/>
        <v>1</v>
      </c>
      <c r="R124" s="610">
        <f t="shared" si="53"/>
        <v>1</v>
      </c>
      <c r="S124" s="610">
        <f t="shared" si="53"/>
        <v>1</v>
      </c>
      <c r="T124" s="610">
        <f t="shared" si="53"/>
        <v>1</v>
      </c>
      <c r="U124" s="610">
        <f t="shared" si="53"/>
        <v>1</v>
      </c>
      <c r="V124" s="610">
        <f t="shared" si="53"/>
        <v>1</v>
      </c>
      <c r="W124" s="610">
        <f t="shared" si="53"/>
        <v>1</v>
      </c>
      <c r="X124" s="610">
        <f t="shared" si="53"/>
        <v>1</v>
      </c>
      <c r="Y124" s="610">
        <f t="shared" si="53"/>
        <v>1</v>
      </c>
      <c r="Z124" s="610">
        <f t="shared" si="53"/>
        <v>1</v>
      </c>
      <c r="AA124" s="610">
        <f t="shared" si="53"/>
        <v>1</v>
      </c>
      <c r="AB124" s="610">
        <f t="shared" si="53"/>
        <v>1</v>
      </c>
      <c r="AC124" s="610">
        <f t="shared" si="53"/>
        <v>0</v>
      </c>
    </row>
    <row r="125" spans="1:30" outlineLevel="2" x14ac:dyDescent="0.45">
      <c r="A125" s="894" t="s">
        <v>1463</v>
      </c>
      <c r="B125" s="597" t="str">
        <f t="shared" si="2"/>
        <v>Sales</v>
      </c>
      <c r="D125" s="583" t="str">
        <f>'12. Inputs-Props &amp; Debtors 2016'!C$78</f>
        <v>FS</v>
      </c>
      <c r="F125" s="596"/>
      <c r="G125" s="596"/>
      <c r="H125" s="596"/>
      <c r="I125" s="609">
        <v>1</v>
      </c>
      <c r="J125" s="610">
        <f t="shared" ref="J125:AC125" si="54">IF(J79&lt;&gt;0,I125,0)</f>
        <v>1</v>
      </c>
      <c r="K125" s="610">
        <f t="shared" si="54"/>
        <v>1</v>
      </c>
      <c r="L125" s="610">
        <f t="shared" si="54"/>
        <v>1</v>
      </c>
      <c r="M125" s="610">
        <f t="shared" si="54"/>
        <v>1</v>
      </c>
      <c r="N125" s="610">
        <f t="shared" si="54"/>
        <v>1</v>
      </c>
      <c r="O125" s="610">
        <f t="shared" si="54"/>
        <v>1</v>
      </c>
      <c r="P125" s="610">
        <f t="shared" si="54"/>
        <v>1</v>
      </c>
      <c r="Q125" s="610">
        <f t="shared" si="54"/>
        <v>1</v>
      </c>
      <c r="R125" s="610">
        <f t="shared" si="54"/>
        <v>1</v>
      </c>
      <c r="S125" s="610">
        <f t="shared" si="54"/>
        <v>1</v>
      </c>
      <c r="T125" s="610">
        <f t="shared" si="54"/>
        <v>1</v>
      </c>
      <c r="U125" s="610">
        <f t="shared" si="54"/>
        <v>1</v>
      </c>
      <c r="V125" s="610">
        <f t="shared" si="54"/>
        <v>1</v>
      </c>
      <c r="W125" s="610">
        <f t="shared" si="54"/>
        <v>1</v>
      </c>
      <c r="X125" s="610">
        <f t="shared" si="54"/>
        <v>1</v>
      </c>
      <c r="Y125" s="610">
        <f t="shared" si="54"/>
        <v>1</v>
      </c>
      <c r="Z125" s="610">
        <f t="shared" si="54"/>
        <v>1</v>
      </c>
      <c r="AA125" s="610">
        <f t="shared" si="54"/>
        <v>1</v>
      </c>
      <c r="AB125" s="610">
        <f t="shared" si="54"/>
        <v>1</v>
      </c>
      <c r="AC125" s="610">
        <f t="shared" si="54"/>
        <v>0</v>
      </c>
    </row>
    <row r="126" spans="1:30" outlineLevel="2" x14ac:dyDescent="0.45">
      <c r="A126" s="894" t="s">
        <v>1463</v>
      </c>
      <c r="B126" s="597" t="str">
        <f t="shared" si="2"/>
        <v>Sales</v>
      </c>
      <c r="D126" s="583" t="str">
        <f>'12. Inputs-Props &amp; Debtors 2016'!C$79</f>
        <v>Gau</v>
      </c>
      <c r="F126" s="596"/>
      <c r="G126" s="596"/>
      <c r="H126" s="596"/>
      <c r="I126" s="609">
        <v>1</v>
      </c>
      <c r="J126" s="610">
        <f t="shared" ref="J126:AC126" si="55">IF(J80&lt;&gt;0,I126,0)</f>
        <v>1</v>
      </c>
      <c r="K126" s="610">
        <f t="shared" si="55"/>
        <v>1</v>
      </c>
      <c r="L126" s="610">
        <f t="shared" si="55"/>
        <v>1</v>
      </c>
      <c r="M126" s="610">
        <f t="shared" si="55"/>
        <v>1</v>
      </c>
      <c r="N126" s="610">
        <f t="shared" si="55"/>
        <v>1</v>
      </c>
      <c r="O126" s="610">
        <f t="shared" si="55"/>
        <v>1</v>
      </c>
      <c r="P126" s="610">
        <f t="shared" si="55"/>
        <v>1</v>
      </c>
      <c r="Q126" s="610">
        <f t="shared" si="55"/>
        <v>1</v>
      </c>
      <c r="R126" s="610">
        <f t="shared" si="55"/>
        <v>1</v>
      </c>
      <c r="S126" s="610">
        <f t="shared" si="55"/>
        <v>1</v>
      </c>
      <c r="T126" s="610">
        <f t="shared" si="55"/>
        <v>1</v>
      </c>
      <c r="U126" s="610">
        <f t="shared" si="55"/>
        <v>1</v>
      </c>
      <c r="V126" s="610">
        <f t="shared" si="55"/>
        <v>1</v>
      </c>
      <c r="W126" s="610">
        <f t="shared" si="55"/>
        <v>1</v>
      </c>
      <c r="X126" s="610">
        <f t="shared" si="55"/>
        <v>1</v>
      </c>
      <c r="Y126" s="610">
        <f t="shared" si="55"/>
        <v>1</v>
      </c>
      <c r="Z126" s="610">
        <f t="shared" si="55"/>
        <v>1</v>
      </c>
      <c r="AA126" s="610">
        <f t="shared" si="55"/>
        <v>1</v>
      </c>
      <c r="AB126" s="610">
        <f t="shared" si="55"/>
        <v>1</v>
      </c>
      <c r="AC126" s="610">
        <f t="shared" si="55"/>
        <v>0</v>
      </c>
    </row>
    <row r="127" spans="1:30" outlineLevel="2" x14ac:dyDescent="0.45">
      <c r="A127" s="894" t="s">
        <v>1463</v>
      </c>
      <c r="B127" s="597" t="str">
        <f t="shared" si="2"/>
        <v>Sales</v>
      </c>
      <c r="D127" s="583" t="str">
        <f>'12. Inputs-Props &amp; Debtors 2016'!C$80</f>
        <v>KZN</v>
      </c>
      <c r="F127" s="596"/>
      <c r="G127" s="596"/>
      <c r="H127" s="596"/>
      <c r="I127" s="609">
        <v>1</v>
      </c>
      <c r="J127" s="610">
        <f t="shared" ref="J127:AC127" si="56">IF(J81&lt;&gt;0,I127,0)</f>
        <v>1</v>
      </c>
      <c r="K127" s="610">
        <f t="shared" si="56"/>
        <v>1</v>
      </c>
      <c r="L127" s="610">
        <f t="shared" si="56"/>
        <v>1</v>
      </c>
      <c r="M127" s="610">
        <f t="shared" si="56"/>
        <v>1</v>
      </c>
      <c r="N127" s="610">
        <f t="shared" si="56"/>
        <v>1</v>
      </c>
      <c r="O127" s="610">
        <f t="shared" si="56"/>
        <v>1</v>
      </c>
      <c r="P127" s="610">
        <f t="shared" si="56"/>
        <v>1</v>
      </c>
      <c r="Q127" s="610">
        <f t="shared" si="56"/>
        <v>1</v>
      </c>
      <c r="R127" s="610">
        <f t="shared" si="56"/>
        <v>1</v>
      </c>
      <c r="S127" s="610">
        <f t="shared" si="56"/>
        <v>1</v>
      </c>
      <c r="T127" s="610">
        <f t="shared" si="56"/>
        <v>1</v>
      </c>
      <c r="U127" s="610">
        <f t="shared" si="56"/>
        <v>1</v>
      </c>
      <c r="V127" s="610">
        <f t="shared" si="56"/>
        <v>1</v>
      </c>
      <c r="W127" s="610">
        <f t="shared" si="56"/>
        <v>1</v>
      </c>
      <c r="X127" s="610">
        <f t="shared" si="56"/>
        <v>1</v>
      </c>
      <c r="Y127" s="610">
        <f t="shared" si="56"/>
        <v>1</v>
      </c>
      <c r="Z127" s="610">
        <f t="shared" si="56"/>
        <v>1</v>
      </c>
      <c r="AA127" s="610">
        <f t="shared" si="56"/>
        <v>1</v>
      </c>
      <c r="AB127" s="610">
        <f t="shared" si="56"/>
        <v>1</v>
      </c>
      <c r="AC127" s="610">
        <f t="shared" si="56"/>
        <v>0</v>
      </c>
    </row>
    <row r="128" spans="1:30" outlineLevel="2" x14ac:dyDescent="0.45">
      <c r="A128" s="894" t="s">
        <v>1463</v>
      </c>
      <c r="B128" s="597" t="str">
        <f t="shared" si="2"/>
        <v>Sales</v>
      </c>
      <c r="D128" s="583" t="str">
        <f>'12. Inputs-Props &amp; Debtors 2016'!C$81</f>
        <v>WC</v>
      </c>
      <c r="F128" s="596"/>
      <c r="G128" s="596"/>
      <c r="H128" s="596"/>
      <c r="I128" s="609">
        <v>1</v>
      </c>
      <c r="J128" s="610">
        <f t="shared" ref="J128:AC128" si="57">IF(J82&lt;&gt;0,I128,0)</f>
        <v>1</v>
      </c>
      <c r="K128" s="610">
        <f t="shared" si="57"/>
        <v>1</v>
      </c>
      <c r="L128" s="610">
        <f t="shared" si="57"/>
        <v>1</v>
      </c>
      <c r="M128" s="610">
        <f t="shared" si="57"/>
        <v>1</v>
      </c>
      <c r="N128" s="610">
        <f t="shared" si="57"/>
        <v>1</v>
      </c>
      <c r="O128" s="610">
        <f t="shared" si="57"/>
        <v>1</v>
      </c>
      <c r="P128" s="610">
        <f t="shared" si="57"/>
        <v>1</v>
      </c>
      <c r="Q128" s="610">
        <f t="shared" si="57"/>
        <v>1</v>
      </c>
      <c r="R128" s="610">
        <f t="shared" si="57"/>
        <v>1</v>
      </c>
      <c r="S128" s="610">
        <f t="shared" si="57"/>
        <v>1</v>
      </c>
      <c r="T128" s="610">
        <f t="shared" si="57"/>
        <v>1</v>
      </c>
      <c r="U128" s="610">
        <f t="shared" si="57"/>
        <v>1</v>
      </c>
      <c r="V128" s="610">
        <f t="shared" si="57"/>
        <v>1</v>
      </c>
      <c r="W128" s="610">
        <f t="shared" si="57"/>
        <v>1</v>
      </c>
      <c r="X128" s="610">
        <f t="shared" si="57"/>
        <v>1</v>
      </c>
      <c r="Y128" s="610">
        <f t="shared" si="57"/>
        <v>1</v>
      </c>
      <c r="Z128" s="610">
        <f t="shared" si="57"/>
        <v>1</v>
      </c>
      <c r="AA128" s="610">
        <f t="shared" si="57"/>
        <v>1</v>
      </c>
      <c r="AB128" s="610">
        <f t="shared" si="57"/>
        <v>1</v>
      </c>
      <c r="AC128" s="610">
        <f t="shared" si="57"/>
        <v>0</v>
      </c>
    </row>
    <row r="129" spans="1:30" outlineLevel="2" x14ac:dyDescent="0.45">
      <c r="B129" s="597" t="str">
        <f t="shared" si="2"/>
        <v>Sales</v>
      </c>
      <c r="D129" s="583" t="str">
        <f>'12. Inputs-Props &amp; Debtors 2016'!C$82</f>
        <v>Total</v>
      </c>
      <c r="F129" s="596"/>
      <c r="G129" s="596"/>
      <c r="H129" s="596"/>
      <c r="I129" s="608">
        <f t="shared" ref="I129:Q129" si="58">IF(I$56&gt;0,SUMPRODUCT(I124:I128,I$51:I$55)/I$56,0)</f>
        <v>1</v>
      </c>
      <c r="J129" s="608">
        <f t="shared" si="58"/>
        <v>1</v>
      </c>
      <c r="K129" s="608">
        <f t="shared" si="58"/>
        <v>1</v>
      </c>
      <c r="L129" s="608">
        <f t="shared" si="58"/>
        <v>1</v>
      </c>
      <c r="M129" s="608">
        <f t="shared" si="58"/>
        <v>1</v>
      </c>
      <c r="N129" s="608">
        <f t="shared" si="58"/>
        <v>1</v>
      </c>
      <c r="O129" s="608">
        <f t="shared" si="58"/>
        <v>1</v>
      </c>
      <c r="P129" s="608">
        <f t="shared" si="58"/>
        <v>1</v>
      </c>
      <c r="Q129" s="608">
        <f t="shared" si="58"/>
        <v>1</v>
      </c>
      <c r="R129" s="608">
        <f t="shared" ref="R129:AB129" si="59">IF(R$56&gt;0,SUMPRODUCT(R124:R128,R$51:R$55)/R$56,0)</f>
        <v>1</v>
      </c>
      <c r="S129" s="608">
        <f t="shared" si="59"/>
        <v>1</v>
      </c>
      <c r="T129" s="608">
        <f t="shared" si="59"/>
        <v>1</v>
      </c>
      <c r="U129" s="608">
        <f t="shared" si="59"/>
        <v>1</v>
      </c>
      <c r="V129" s="608">
        <f t="shared" si="59"/>
        <v>1</v>
      </c>
      <c r="W129" s="608">
        <f t="shared" si="59"/>
        <v>1</v>
      </c>
      <c r="X129" s="608">
        <f t="shared" si="59"/>
        <v>1</v>
      </c>
      <c r="Y129" s="608">
        <f t="shared" si="59"/>
        <v>1</v>
      </c>
      <c r="Z129" s="608">
        <f t="shared" si="59"/>
        <v>1</v>
      </c>
      <c r="AA129" s="608">
        <f t="shared" si="59"/>
        <v>1</v>
      </c>
      <c r="AB129" s="608">
        <f t="shared" si="59"/>
        <v>1</v>
      </c>
      <c r="AC129" s="608">
        <f>IF(AC$56&gt;0,SUMPRODUCT(AC124:AC128,AC$51:AC$55)/AC$56,0)</f>
        <v>0</v>
      </c>
    </row>
    <row r="130" spans="1:30" outlineLevel="2" x14ac:dyDescent="0.45">
      <c r="B130" s="597" t="str">
        <f t="shared" si="2"/>
        <v>Sales</v>
      </c>
      <c r="F130" s="596"/>
      <c r="G130" s="596"/>
      <c r="H130" s="596"/>
      <c r="I130" s="596"/>
    </row>
    <row r="131" spans="1:30" outlineLevel="2" x14ac:dyDescent="0.45">
      <c r="B131" s="597" t="str">
        <f t="shared" si="2"/>
        <v>Sales</v>
      </c>
      <c r="F131" s="596"/>
      <c r="G131" s="596"/>
      <c r="H131" s="596"/>
      <c r="I131" s="596"/>
    </row>
    <row r="132" spans="1:30" outlineLevel="2" x14ac:dyDescent="0.45">
      <c r="B132" s="597" t="str">
        <f t="shared" ref="B132:B450" si="60">B131</f>
        <v>Sales</v>
      </c>
      <c r="C132" s="451">
        <f>C123+1</f>
        <v>12</v>
      </c>
      <c r="D132" s="591" t="s">
        <v>1017</v>
      </c>
      <c r="F132" s="596"/>
      <c r="G132" s="596"/>
      <c r="H132" s="596"/>
      <c r="I132" s="596"/>
    </row>
    <row r="133" spans="1:30" outlineLevel="2" x14ac:dyDescent="0.45">
      <c r="B133" s="597" t="str">
        <f t="shared" si="60"/>
        <v>Sales</v>
      </c>
      <c r="D133" s="451" t="s">
        <v>1568</v>
      </c>
      <c r="E133" s="583" t="s">
        <v>1021</v>
      </c>
      <c r="F133" s="596"/>
      <c r="G133" s="596"/>
      <c r="H133" s="596"/>
      <c r="I133" s="596"/>
    </row>
    <row r="134" spans="1:30" outlineLevel="2" x14ac:dyDescent="0.45">
      <c r="A134" s="894" t="s">
        <v>1463</v>
      </c>
      <c r="B134" s="597" t="str">
        <f t="shared" si="60"/>
        <v>Sales</v>
      </c>
      <c r="D134" s="583" t="str">
        <f>'12. Inputs-Props &amp; Debtors 2016'!C$77</f>
        <v>EC</v>
      </c>
      <c r="F134" s="596"/>
      <c r="G134" s="596"/>
      <c r="H134" s="596"/>
      <c r="I134" s="611">
        <f>MIN('14. Permanent Info'!$M$9,SUMIF('12. Inputs-Props &amp; Debtors 2016'!$F$26:K26,$D204,'12. Inputs-Props &amp; Debtors 2016'!$F$38:$K$38))</f>
        <v>11689.438031496062</v>
      </c>
      <c r="J134" s="991">
        <f t="shared" ref="J134:K138" si="61">IF(J51&lt;&gt;0,I134,0)</f>
        <v>11689.438031496062</v>
      </c>
      <c r="K134" s="991">
        <f t="shared" si="61"/>
        <v>11689.438031496062</v>
      </c>
      <c r="L134" s="612">
        <f>IF(L51&lt;&gt;0,IF(L$4=$K$4+'5. Dashboard Live'!$AA$16,L405,IF('5. Dashboard Live'!$AA$19='14. Permanent Info'!$M$7,$I134,IF('5. Dashboard Live'!$AA$19='14. Permanent Info'!$N$7,'10. Inputs &amp; Calcs'!L405+$I134))),0)</f>
        <v>11689.438031496062</v>
      </c>
      <c r="M134" s="612">
        <f>IF(M51&lt;&gt;0,IF(M$4=$K$4+'5. Dashboard Live'!$AA$16,M405,IF('5. Dashboard Live'!$AA$19='14. Permanent Info'!$M$7,$I134,IF('5. Dashboard Live'!$AA$19='14. Permanent Info'!$N$7,'10. Inputs &amp; Calcs'!M405+$I134))),0)</f>
        <v>11689.438031496062</v>
      </c>
      <c r="N134" s="612">
        <f>IF(N51&lt;&gt;0,IF(N$4=$K$4+'5. Dashboard Live'!$AA$16,N405,IF('5. Dashboard Live'!$AA$19='14. Permanent Info'!$M$7,$I134,IF('5. Dashboard Live'!$AA$19='14. Permanent Info'!$N$7,'10. Inputs &amp; Calcs'!N405+$I134))),0)</f>
        <v>11689.438031496062</v>
      </c>
      <c r="O134" s="612">
        <f>IF(O51&lt;&gt;0,IF(O$4=$K$4+'5. Dashboard Live'!$AA$16,O405,IF('5. Dashboard Live'!$AA$19='14. Permanent Info'!$M$7,$I134,IF('5. Dashboard Live'!$AA$19='14. Permanent Info'!$N$7,'10. Inputs &amp; Calcs'!O405+$I134))),0)</f>
        <v>11689.438031496062</v>
      </c>
      <c r="P134" s="612">
        <f>IF(P51&lt;&gt;0,IF(P$4=$K$4+'5. Dashboard Live'!$AA$16,P405,IF('5. Dashboard Live'!$AA$19='14. Permanent Info'!$M$7,$I134,IF('5. Dashboard Live'!$AA$19='14. Permanent Info'!$N$7,'10. Inputs &amp; Calcs'!P405+$I134))),0)</f>
        <v>11689.438031496062</v>
      </c>
      <c r="Q134" s="612">
        <f>IF(Q51&lt;&gt;0,IF(Q$4=$K$4+'5. Dashboard Live'!$AA$16,Q405,IF('5. Dashboard Live'!$AA$19='14. Permanent Info'!$M$7,$I134,IF('5. Dashboard Live'!$AA$19='14. Permanent Info'!$N$7,'10. Inputs &amp; Calcs'!Q405+$I134))),0)</f>
        <v>11689.438031496062</v>
      </c>
      <c r="R134" s="612">
        <f>IF(R51&lt;&gt;0,IF(R$4=$K$4+'5. Dashboard Live'!$AA$16,R405,IF('5. Dashboard Live'!$AA$19='14. Permanent Info'!$M$7,$I134,IF('5. Dashboard Live'!$AA$19='14. Permanent Info'!$N$7,'10. Inputs &amp; Calcs'!R405+$I134))),0)</f>
        <v>11689.438031496062</v>
      </c>
      <c r="S134" s="612">
        <f>IF(S51&lt;&gt;0,IF(S$4=$K$4+'5. Dashboard Live'!$AA$16,S405,IF('5. Dashboard Live'!$AA$19='14. Permanent Info'!$M$7,$I134,IF('5. Dashboard Live'!$AA$19='14. Permanent Info'!$N$7,'10. Inputs &amp; Calcs'!S405+$I134))),0)</f>
        <v>11689.438031496062</v>
      </c>
      <c r="T134" s="612">
        <f>IF(T51&lt;&gt;0,IF(T$4=$K$4+'5. Dashboard Live'!$AA$16,T405,IF('5. Dashboard Live'!$AA$19='14. Permanent Info'!$M$7,$I134,IF('5. Dashboard Live'!$AA$19='14. Permanent Info'!$N$7,'10. Inputs &amp; Calcs'!T405+$I134))),0)</f>
        <v>11689.438031496062</v>
      </c>
      <c r="U134" s="612">
        <f>IF(U51&lt;&gt;0,IF(U$4=$K$4+'5. Dashboard Live'!$AA$16,U405,IF('5. Dashboard Live'!$AA$19='14. Permanent Info'!$M$7,$I134,IF('5. Dashboard Live'!$AA$19='14. Permanent Info'!$N$7,'10. Inputs &amp; Calcs'!U405+$I134))),0)</f>
        <v>11689.438031496062</v>
      </c>
      <c r="V134" s="612">
        <f>IF(V51&lt;&gt;0,IF(V$4=$K$4+'5. Dashboard Live'!$AA$16,V405,IF('5. Dashboard Live'!$AA$19='14. Permanent Info'!$M$7,$I134,IF('5. Dashboard Live'!$AA$19='14. Permanent Info'!$N$7,'10. Inputs &amp; Calcs'!V405+$I134))),0)</f>
        <v>11689.438031496062</v>
      </c>
      <c r="W134" s="612">
        <f>IF(W51&lt;&gt;0,IF(W$4=$K$4+'5. Dashboard Live'!$AA$16,W405,IF('5. Dashboard Live'!$AA$19='14. Permanent Info'!$M$7,$I134,IF('5. Dashboard Live'!$AA$19='14. Permanent Info'!$N$7,'10. Inputs &amp; Calcs'!W405+$I134))),0)</f>
        <v>11689.438031496062</v>
      </c>
      <c r="X134" s="612">
        <f>IF(X51&lt;&gt;0,IF(X$4=$K$4+'5. Dashboard Live'!$AA$16,X405,IF('5. Dashboard Live'!$AA$19='14. Permanent Info'!$M$7,$I134,IF('5. Dashboard Live'!$AA$19='14. Permanent Info'!$N$7,'10. Inputs &amp; Calcs'!X405+$I134))),0)</f>
        <v>11689.438031496062</v>
      </c>
      <c r="Y134" s="612">
        <f>IF(Y51&lt;&gt;0,IF(Y$4=$K$4+'5. Dashboard Live'!$AA$16,Y405,IF('5. Dashboard Live'!$AA$19='14. Permanent Info'!$M$7,$I134,IF('5. Dashboard Live'!$AA$19='14. Permanent Info'!$N$7,'10. Inputs &amp; Calcs'!Y405+$I134))),0)</f>
        <v>11689.438031496062</v>
      </c>
      <c r="Z134" s="612">
        <f>IF(Z51&lt;&gt;0,IF(Z$4=$K$4+'5. Dashboard Live'!$AA$16,Z405,IF('5. Dashboard Live'!$AA$19='14. Permanent Info'!$M$7,$I134,IF('5. Dashboard Live'!$AA$19='14. Permanent Info'!$N$7,'10. Inputs &amp; Calcs'!Z405+$I134))),0)</f>
        <v>11689.438031496062</v>
      </c>
      <c r="AA134" s="612">
        <f>IF(AA51&lt;&gt;0,IF(AA$4=$K$4+'5. Dashboard Live'!$AA$16,AA405,IF('5. Dashboard Live'!$AA$19='14. Permanent Info'!$M$7,$I134,IF('5. Dashboard Live'!$AA$19='14. Permanent Info'!$N$7,'10. Inputs &amp; Calcs'!AA405+$I134))),0)</f>
        <v>11689.438031496062</v>
      </c>
      <c r="AB134" s="612">
        <f>IF(AB51&lt;&gt;0,IF(AB$4=$K$4+'5. Dashboard Live'!$AA$16,AB405,IF('5. Dashboard Live'!$AA$19='14. Permanent Info'!$M$7,$I134,IF('5. Dashboard Live'!$AA$19='14. Permanent Info'!$N$7,'10. Inputs &amp; Calcs'!AB405+$I134))),0)</f>
        <v>77023.692456140343</v>
      </c>
      <c r="AC134" s="612">
        <f>IF(AC51&lt;&gt;0,IF(AC$4=$K$4+'5. Dashboard Live'!$AA$16,AC405,IF('5. Dashboard Live'!$AA$19='14. Permanent Info'!$M$7,$I134,IF('5. Dashboard Live'!$AA$19='14. Permanent Info'!$N$7,'10. Inputs &amp; Calcs'!AC405+$I134))),0)</f>
        <v>0</v>
      </c>
    </row>
    <row r="135" spans="1:30" outlineLevel="2" x14ac:dyDescent="0.45">
      <c r="A135" s="894" t="s">
        <v>1463</v>
      </c>
      <c r="B135" s="597" t="str">
        <f t="shared" si="60"/>
        <v>Sales</v>
      </c>
      <c r="D135" s="583" t="str">
        <f>'12. Inputs-Props &amp; Debtors 2016'!C$78</f>
        <v>FS</v>
      </c>
      <c r="F135" s="596"/>
      <c r="G135" s="596"/>
      <c r="H135" s="596"/>
      <c r="I135" s="611">
        <f ca="1">MIN('14. Permanent Info'!$M$9,SUMIF('12. Inputs-Props &amp; Debtors 2016'!$F$26:K27,$D205,'12. Inputs-Props &amp; Debtors 2016'!$F$38:$K$38))</f>
        <v>19714.5</v>
      </c>
      <c r="J135" s="991">
        <f t="shared" ca="1" si="61"/>
        <v>19714.5</v>
      </c>
      <c r="K135" s="991">
        <f t="shared" ca="1" si="61"/>
        <v>19714.5</v>
      </c>
      <c r="L135" s="612">
        <f ca="1">IF(L52&lt;&gt;0,IF(L$4=$K$4+'5. Dashboard Live'!$AA$16,L406,IF('5. Dashboard Live'!$AA$19='14. Permanent Info'!$M$7,$I135,IF('5. Dashboard Live'!$AA$19='14. Permanent Info'!$N$7,'10. Inputs &amp; Calcs'!L406+$I135))),0)</f>
        <v>19714.5</v>
      </c>
      <c r="M135" s="612">
        <f ca="1">IF(M52&lt;&gt;0,IF(M$4=$K$4+'5. Dashboard Live'!$AA$16,M406,IF('5. Dashboard Live'!$AA$19='14. Permanent Info'!$M$7,$I135,IF('5. Dashboard Live'!$AA$19='14. Permanent Info'!$N$7,'10. Inputs &amp; Calcs'!M406+$I135))),0)</f>
        <v>19714.5</v>
      </c>
      <c r="N135" s="612">
        <f ca="1">IF(N52&lt;&gt;0,IF(N$4=$K$4+'5. Dashboard Live'!$AA$16,N406,IF('5. Dashboard Live'!$AA$19='14. Permanent Info'!$M$7,$I135,IF('5. Dashboard Live'!$AA$19='14. Permanent Info'!$N$7,'10. Inputs &amp; Calcs'!N406+$I135))),0)</f>
        <v>19714.5</v>
      </c>
      <c r="O135" s="612">
        <f ca="1">IF(O52&lt;&gt;0,IF(O$4=$K$4+'5. Dashboard Live'!$AA$16,O406,IF('5. Dashboard Live'!$AA$19='14. Permanent Info'!$M$7,$I135,IF('5. Dashboard Live'!$AA$19='14. Permanent Info'!$N$7,'10. Inputs &amp; Calcs'!O406+$I135))),0)</f>
        <v>19714.5</v>
      </c>
      <c r="P135" s="612">
        <f ca="1">IF(P52&lt;&gt;0,IF(P$4=$K$4+'5. Dashboard Live'!$AA$16,P406,IF('5. Dashboard Live'!$AA$19='14. Permanent Info'!$M$7,$I135,IF('5. Dashboard Live'!$AA$19='14. Permanent Info'!$N$7,'10. Inputs &amp; Calcs'!P406+$I135))),0)</f>
        <v>19714.5</v>
      </c>
      <c r="Q135" s="612">
        <f ca="1">IF(Q52&lt;&gt;0,IF(Q$4=$K$4+'5. Dashboard Live'!$AA$16,Q406,IF('5. Dashboard Live'!$AA$19='14. Permanent Info'!$M$7,$I135,IF('5. Dashboard Live'!$AA$19='14. Permanent Info'!$N$7,'10. Inputs &amp; Calcs'!Q406+$I135))),0)</f>
        <v>19714.5</v>
      </c>
      <c r="R135" s="612">
        <f ca="1">IF(R52&lt;&gt;0,IF(R$4=$K$4+'5. Dashboard Live'!$AA$16,R406,IF('5. Dashboard Live'!$AA$19='14. Permanent Info'!$M$7,$I135,IF('5. Dashboard Live'!$AA$19='14. Permanent Info'!$N$7,'10. Inputs &amp; Calcs'!R406+$I135))),0)</f>
        <v>19714.5</v>
      </c>
      <c r="S135" s="612">
        <f ca="1">IF(S52&lt;&gt;0,IF(S$4=$K$4+'5. Dashboard Live'!$AA$16,S406,IF('5. Dashboard Live'!$AA$19='14. Permanent Info'!$M$7,$I135,IF('5. Dashboard Live'!$AA$19='14. Permanent Info'!$N$7,'10. Inputs &amp; Calcs'!S406+$I135))),0)</f>
        <v>19714.5</v>
      </c>
      <c r="T135" s="612">
        <f ca="1">IF(T52&lt;&gt;0,IF(T$4=$K$4+'5. Dashboard Live'!$AA$16,T406,IF('5. Dashboard Live'!$AA$19='14. Permanent Info'!$M$7,$I135,IF('5. Dashboard Live'!$AA$19='14. Permanent Info'!$N$7,'10. Inputs &amp; Calcs'!T406+$I135))),0)</f>
        <v>19714.5</v>
      </c>
      <c r="U135" s="612">
        <f ca="1">IF(U52&lt;&gt;0,IF(U$4=$K$4+'5. Dashboard Live'!$AA$16,U406,IF('5. Dashboard Live'!$AA$19='14. Permanent Info'!$M$7,$I135,IF('5. Dashboard Live'!$AA$19='14. Permanent Info'!$N$7,'10. Inputs &amp; Calcs'!U406+$I135))),0)</f>
        <v>19714.5</v>
      </c>
      <c r="V135" s="612">
        <f ca="1">IF(V52&lt;&gt;0,IF(V$4=$K$4+'5. Dashboard Live'!$AA$16,V406,IF('5. Dashboard Live'!$AA$19='14. Permanent Info'!$M$7,$I135,IF('5. Dashboard Live'!$AA$19='14. Permanent Info'!$N$7,'10. Inputs &amp; Calcs'!V406+$I135))),0)</f>
        <v>19714.5</v>
      </c>
      <c r="W135" s="612">
        <f ca="1">IF(W52&lt;&gt;0,IF(W$4=$K$4+'5. Dashboard Live'!$AA$16,W406,IF('5. Dashboard Live'!$AA$19='14. Permanent Info'!$M$7,$I135,IF('5. Dashboard Live'!$AA$19='14. Permanent Info'!$N$7,'10. Inputs &amp; Calcs'!W406+$I135))),0)</f>
        <v>19714.5</v>
      </c>
      <c r="X135" s="612">
        <f ca="1">IF(X52&lt;&gt;0,IF(X$4=$K$4+'5. Dashboard Live'!$AA$16,X406,IF('5. Dashboard Live'!$AA$19='14. Permanent Info'!$M$7,$I135,IF('5. Dashboard Live'!$AA$19='14. Permanent Info'!$N$7,'10. Inputs &amp; Calcs'!X406+$I135))),0)</f>
        <v>19714.5</v>
      </c>
      <c r="Y135" s="612">
        <f ca="1">IF(Y52&lt;&gt;0,IF(Y$4=$K$4+'5. Dashboard Live'!$AA$16,Y406,IF('5. Dashboard Live'!$AA$19='14. Permanent Info'!$M$7,$I135,IF('5. Dashboard Live'!$AA$19='14. Permanent Info'!$N$7,'10. Inputs &amp; Calcs'!Y406+$I135))),0)</f>
        <v>19714.5</v>
      </c>
      <c r="Z135" s="612">
        <f ca="1">IF(Z52&lt;&gt;0,IF(Z$4=$K$4+'5. Dashboard Live'!$AA$16,Z406,IF('5. Dashboard Live'!$AA$19='14. Permanent Info'!$M$7,$I135,IF('5. Dashboard Live'!$AA$19='14. Permanent Info'!$N$7,'10. Inputs &amp; Calcs'!Z406+$I135))),0)</f>
        <v>19714.5</v>
      </c>
      <c r="AA135" s="612">
        <f ca="1">IF(AA52&lt;&gt;0,IF(AA$4=$K$4+'5. Dashboard Live'!$AA$16,AA406,IF('5. Dashboard Live'!$AA$19='14. Permanent Info'!$M$7,$I135,IF('5. Dashboard Live'!$AA$19='14. Permanent Info'!$N$7,'10. Inputs &amp; Calcs'!AA406+$I135))),0)</f>
        <v>19714.5</v>
      </c>
      <c r="AB135" s="612">
        <f>IF(AB52&lt;&gt;0,IF(AB$4=$K$4+'5. Dashboard Live'!$AA$16,AB406,IF('5. Dashboard Live'!$AA$19='14. Permanent Info'!$M$7,$I135,IF('5. Dashboard Live'!$AA$19='14. Permanent Info'!$N$7,'10. Inputs &amp; Calcs'!AB406+$I135))),0)</f>
        <v>35073.449999999997</v>
      </c>
      <c r="AC135" s="612">
        <f>IF(AC52&lt;&gt;0,IF(AC$4=$K$4+'5. Dashboard Live'!$AA$16,AC406,IF('5. Dashboard Live'!$AA$19='14. Permanent Info'!$M$7,$I135,IF('5. Dashboard Live'!$AA$19='14. Permanent Info'!$N$7,'10. Inputs &amp; Calcs'!AC406+$I135))),0)</f>
        <v>0</v>
      </c>
    </row>
    <row r="136" spans="1:30" outlineLevel="2" x14ac:dyDescent="0.45">
      <c r="A136" s="894" t="s">
        <v>1463</v>
      </c>
      <c r="B136" s="597" t="str">
        <f t="shared" si="60"/>
        <v>Sales</v>
      </c>
      <c r="D136" s="583" t="str">
        <f>'12. Inputs-Props &amp; Debtors 2016'!C$79</f>
        <v>Gau</v>
      </c>
      <c r="F136" s="596"/>
      <c r="G136" s="596"/>
      <c r="H136" s="596"/>
      <c r="I136" s="611">
        <f ca="1">MIN('14. Permanent Info'!$M$9,SUMIF('12. Inputs-Props &amp; Debtors 2016'!$F$26:K28,$D206,'12. Inputs-Props &amp; Debtors 2016'!$F$38:$K$38))</f>
        <v>17888.392634228188</v>
      </c>
      <c r="J136" s="991">
        <f t="shared" ca="1" si="61"/>
        <v>17888.392634228188</v>
      </c>
      <c r="K136" s="991">
        <f t="shared" ca="1" si="61"/>
        <v>17888.392634228188</v>
      </c>
      <c r="L136" s="612">
        <f ca="1">IF(L53&lt;&gt;0,IF(L$4=$K$4+'5. Dashboard Live'!$AA$16,L407,IF('5. Dashboard Live'!$AA$19='14. Permanent Info'!$M$7,$I136,IF('5. Dashboard Live'!$AA$19='14. Permanent Info'!$N$7,'10. Inputs &amp; Calcs'!L407+$I136))),0)</f>
        <v>17888.392634228188</v>
      </c>
      <c r="M136" s="612">
        <f ca="1">IF(M53&lt;&gt;0,IF(M$4=$K$4+'5. Dashboard Live'!$AA$16,M407,IF('5. Dashboard Live'!$AA$19='14. Permanent Info'!$M$7,$I136,IF('5. Dashboard Live'!$AA$19='14. Permanent Info'!$N$7,'10. Inputs &amp; Calcs'!M407+$I136))),0)</f>
        <v>17888.392634228188</v>
      </c>
      <c r="N136" s="612">
        <f ca="1">IF(N53&lt;&gt;0,IF(N$4=$K$4+'5. Dashboard Live'!$AA$16,N407,IF('5. Dashboard Live'!$AA$19='14. Permanent Info'!$M$7,$I136,IF('5. Dashboard Live'!$AA$19='14. Permanent Info'!$N$7,'10. Inputs &amp; Calcs'!N407+$I136))),0)</f>
        <v>17888.392634228188</v>
      </c>
      <c r="O136" s="612">
        <f ca="1">IF(O53&lt;&gt;0,IF(O$4=$K$4+'5. Dashboard Live'!$AA$16,O407,IF('5. Dashboard Live'!$AA$19='14. Permanent Info'!$M$7,$I136,IF('5. Dashboard Live'!$AA$19='14. Permanent Info'!$N$7,'10. Inputs &amp; Calcs'!O407+$I136))),0)</f>
        <v>17888.392634228188</v>
      </c>
      <c r="P136" s="612">
        <f ca="1">IF(P53&lt;&gt;0,IF(P$4=$K$4+'5. Dashboard Live'!$AA$16,P407,IF('5. Dashboard Live'!$AA$19='14. Permanent Info'!$M$7,$I136,IF('5. Dashboard Live'!$AA$19='14. Permanent Info'!$N$7,'10. Inputs &amp; Calcs'!P407+$I136))),0)</f>
        <v>17888.392634228188</v>
      </c>
      <c r="Q136" s="612">
        <f ca="1">IF(Q53&lt;&gt;0,IF(Q$4=$K$4+'5. Dashboard Live'!$AA$16,Q407,IF('5. Dashboard Live'!$AA$19='14. Permanent Info'!$M$7,$I136,IF('5. Dashboard Live'!$AA$19='14. Permanent Info'!$N$7,'10. Inputs &amp; Calcs'!Q407+$I136))),0)</f>
        <v>17888.392634228188</v>
      </c>
      <c r="R136" s="612">
        <f ca="1">IF(R53&lt;&gt;0,IF(R$4=$K$4+'5. Dashboard Live'!$AA$16,R407,IF('5. Dashboard Live'!$AA$19='14. Permanent Info'!$M$7,$I136,IF('5. Dashboard Live'!$AA$19='14. Permanent Info'!$N$7,'10. Inputs &amp; Calcs'!R407+$I136))),0)</f>
        <v>17888.392634228188</v>
      </c>
      <c r="S136" s="612">
        <f ca="1">IF(S53&lt;&gt;0,IF(S$4=$K$4+'5. Dashboard Live'!$AA$16,S407,IF('5. Dashboard Live'!$AA$19='14. Permanent Info'!$M$7,$I136,IF('5. Dashboard Live'!$AA$19='14. Permanent Info'!$N$7,'10. Inputs &amp; Calcs'!S407+$I136))),0)</f>
        <v>17888.392634228188</v>
      </c>
      <c r="T136" s="612">
        <f ca="1">IF(T53&lt;&gt;0,IF(T$4=$K$4+'5. Dashboard Live'!$AA$16,T407,IF('5. Dashboard Live'!$AA$19='14. Permanent Info'!$M$7,$I136,IF('5. Dashboard Live'!$AA$19='14. Permanent Info'!$N$7,'10. Inputs &amp; Calcs'!T407+$I136))),0)</f>
        <v>17888.392634228188</v>
      </c>
      <c r="U136" s="612">
        <f ca="1">IF(U53&lt;&gt;0,IF(U$4=$K$4+'5. Dashboard Live'!$AA$16,U407,IF('5. Dashboard Live'!$AA$19='14. Permanent Info'!$M$7,$I136,IF('5. Dashboard Live'!$AA$19='14. Permanent Info'!$N$7,'10. Inputs &amp; Calcs'!U407+$I136))),0)</f>
        <v>17888.392634228188</v>
      </c>
      <c r="V136" s="612">
        <f ca="1">IF(V53&lt;&gt;0,IF(V$4=$K$4+'5. Dashboard Live'!$AA$16,V407,IF('5. Dashboard Live'!$AA$19='14. Permanent Info'!$M$7,$I136,IF('5. Dashboard Live'!$AA$19='14. Permanent Info'!$N$7,'10. Inputs &amp; Calcs'!V407+$I136))),0)</f>
        <v>17888.392634228188</v>
      </c>
      <c r="W136" s="612">
        <f ca="1">IF(W53&lt;&gt;0,IF(W$4=$K$4+'5. Dashboard Live'!$AA$16,W407,IF('5. Dashboard Live'!$AA$19='14. Permanent Info'!$M$7,$I136,IF('5. Dashboard Live'!$AA$19='14. Permanent Info'!$N$7,'10. Inputs &amp; Calcs'!W407+$I136))),0)</f>
        <v>17888.392634228188</v>
      </c>
      <c r="X136" s="612">
        <f ca="1">IF(X53&lt;&gt;0,IF(X$4=$K$4+'5. Dashboard Live'!$AA$16,X407,IF('5. Dashboard Live'!$AA$19='14. Permanent Info'!$M$7,$I136,IF('5. Dashboard Live'!$AA$19='14. Permanent Info'!$N$7,'10. Inputs &amp; Calcs'!X407+$I136))),0)</f>
        <v>17888.392634228188</v>
      </c>
      <c r="Y136" s="612">
        <f ca="1">IF(Y53&lt;&gt;0,IF(Y$4=$K$4+'5. Dashboard Live'!$AA$16,Y407,IF('5. Dashboard Live'!$AA$19='14. Permanent Info'!$M$7,$I136,IF('5. Dashboard Live'!$AA$19='14. Permanent Info'!$N$7,'10. Inputs &amp; Calcs'!Y407+$I136))),0)</f>
        <v>17888.392634228188</v>
      </c>
      <c r="Z136" s="612">
        <f ca="1">IF(Z53&lt;&gt;0,IF(Z$4=$K$4+'5. Dashboard Live'!$AA$16,Z407,IF('5. Dashboard Live'!$AA$19='14. Permanent Info'!$M$7,$I136,IF('5. Dashboard Live'!$AA$19='14. Permanent Info'!$N$7,'10. Inputs &amp; Calcs'!Z407+$I136))),0)</f>
        <v>17888.392634228188</v>
      </c>
      <c r="AA136" s="612">
        <f ca="1">IF(AA53&lt;&gt;0,IF(AA$4=$K$4+'5. Dashboard Live'!$AA$16,AA407,IF('5. Dashboard Live'!$AA$19='14. Permanent Info'!$M$7,$I136,IF('5. Dashboard Live'!$AA$19='14. Permanent Info'!$N$7,'10. Inputs &amp; Calcs'!AA407+$I136))),0)</f>
        <v>17888.392634228188</v>
      </c>
      <c r="AB136" s="612">
        <f>IF(AB53&lt;&gt;0,IF(AB$4=$K$4+'5. Dashboard Live'!$AA$16,AB407,IF('5. Dashboard Live'!$AA$19='14. Permanent Info'!$M$7,$I136,IF('5. Dashboard Live'!$AA$19='14. Permanent Info'!$N$7,'10. Inputs &amp; Calcs'!AB407+$I136))),0)</f>
        <v>152480.91798245613</v>
      </c>
      <c r="AC136" s="612">
        <f>IF(AC53&lt;&gt;0,IF(AC$4=$K$4+'5. Dashboard Live'!$AA$16,AC407,IF('5. Dashboard Live'!$AA$19='14. Permanent Info'!$M$7,$I136,IF('5. Dashboard Live'!$AA$19='14. Permanent Info'!$N$7,'10. Inputs &amp; Calcs'!AC407+$I136))),0)</f>
        <v>0</v>
      </c>
    </row>
    <row r="137" spans="1:30" outlineLevel="2" x14ac:dyDescent="0.45">
      <c r="A137" s="894" t="s">
        <v>1463</v>
      </c>
      <c r="B137" s="597" t="str">
        <f t="shared" si="60"/>
        <v>Sales</v>
      </c>
      <c r="D137" s="583" t="str">
        <f>'12. Inputs-Props &amp; Debtors 2016'!C$80</f>
        <v>KZN</v>
      </c>
      <c r="F137" s="596"/>
      <c r="G137" s="596"/>
      <c r="H137" s="596"/>
      <c r="I137" s="611">
        <f ca="1">MIN('14. Permanent Info'!$M$9,SUMIF('12. Inputs-Props &amp; Debtors 2016'!$F$26:K29,$D207,'12. Inputs-Props &amp; Debtors 2016'!$F$38:$K$38))</f>
        <v>19714.5</v>
      </c>
      <c r="J137" s="991">
        <f t="shared" ca="1" si="61"/>
        <v>19714.5</v>
      </c>
      <c r="K137" s="991">
        <f t="shared" ca="1" si="61"/>
        <v>19714.5</v>
      </c>
      <c r="L137" s="612">
        <f ca="1">IF(L54&lt;&gt;0,IF(L$4=$K$4+'5. Dashboard Live'!$AA$16,L408,IF('5. Dashboard Live'!$AA$19='14. Permanent Info'!$M$7,$I137,IF('5. Dashboard Live'!$AA$19='14. Permanent Info'!$N$7,'10. Inputs &amp; Calcs'!L408+$I137))),0)</f>
        <v>19714.5</v>
      </c>
      <c r="M137" s="612">
        <f ca="1">IF(M54&lt;&gt;0,IF(M$4=$K$4+'5. Dashboard Live'!$AA$16,M408,IF('5. Dashboard Live'!$AA$19='14. Permanent Info'!$M$7,$I137,IF('5. Dashboard Live'!$AA$19='14. Permanent Info'!$N$7,'10. Inputs &amp; Calcs'!M408+$I137))),0)</f>
        <v>19714.5</v>
      </c>
      <c r="N137" s="612">
        <f ca="1">IF(N54&lt;&gt;0,IF(N$4=$K$4+'5. Dashboard Live'!$AA$16,N408,IF('5. Dashboard Live'!$AA$19='14. Permanent Info'!$M$7,$I137,IF('5. Dashboard Live'!$AA$19='14. Permanent Info'!$N$7,'10. Inputs &amp; Calcs'!N408+$I137))),0)</f>
        <v>19714.5</v>
      </c>
      <c r="O137" s="612">
        <f ca="1">IF(O54&lt;&gt;0,IF(O$4=$K$4+'5. Dashboard Live'!$AA$16,O408,IF('5. Dashboard Live'!$AA$19='14. Permanent Info'!$M$7,$I137,IF('5. Dashboard Live'!$AA$19='14. Permanent Info'!$N$7,'10. Inputs &amp; Calcs'!O408+$I137))),0)</f>
        <v>19714.5</v>
      </c>
      <c r="P137" s="612">
        <f ca="1">IF(P54&lt;&gt;0,IF(P$4=$K$4+'5. Dashboard Live'!$AA$16,P408,IF('5. Dashboard Live'!$AA$19='14. Permanent Info'!$M$7,$I137,IF('5. Dashboard Live'!$AA$19='14. Permanent Info'!$N$7,'10. Inputs &amp; Calcs'!P408+$I137))),0)</f>
        <v>19714.5</v>
      </c>
      <c r="Q137" s="612">
        <f ca="1">IF(Q54&lt;&gt;0,IF(Q$4=$K$4+'5. Dashboard Live'!$AA$16,Q408,IF('5. Dashboard Live'!$AA$19='14. Permanent Info'!$M$7,$I137,IF('5. Dashboard Live'!$AA$19='14. Permanent Info'!$N$7,'10. Inputs &amp; Calcs'!Q408+$I137))),0)</f>
        <v>19714.5</v>
      </c>
      <c r="R137" s="612">
        <f ca="1">IF(R54&lt;&gt;0,IF(R$4=$K$4+'5. Dashboard Live'!$AA$16,R408,IF('5. Dashboard Live'!$AA$19='14. Permanent Info'!$M$7,$I137,IF('5. Dashboard Live'!$AA$19='14. Permanent Info'!$N$7,'10. Inputs &amp; Calcs'!R408+$I137))),0)</f>
        <v>19714.5</v>
      </c>
      <c r="S137" s="612">
        <f ca="1">IF(S54&lt;&gt;0,IF(S$4=$K$4+'5. Dashboard Live'!$AA$16,S408,IF('5. Dashboard Live'!$AA$19='14. Permanent Info'!$M$7,$I137,IF('5. Dashboard Live'!$AA$19='14. Permanent Info'!$N$7,'10. Inputs &amp; Calcs'!S408+$I137))),0)</f>
        <v>19714.5</v>
      </c>
      <c r="T137" s="612">
        <f ca="1">IF(T54&lt;&gt;0,IF(T$4=$K$4+'5. Dashboard Live'!$AA$16,T408,IF('5. Dashboard Live'!$AA$19='14. Permanent Info'!$M$7,$I137,IF('5. Dashboard Live'!$AA$19='14. Permanent Info'!$N$7,'10. Inputs &amp; Calcs'!T408+$I137))),0)</f>
        <v>19714.5</v>
      </c>
      <c r="U137" s="612">
        <f ca="1">IF(U54&lt;&gt;0,IF(U$4=$K$4+'5. Dashboard Live'!$AA$16,U408,IF('5. Dashboard Live'!$AA$19='14. Permanent Info'!$M$7,$I137,IF('5. Dashboard Live'!$AA$19='14. Permanent Info'!$N$7,'10. Inputs &amp; Calcs'!U408+$I137))),0)</f>
        <v>19714.5</v>
      </c>
      <c r="V137" s="612">
        <f ca="1">IF(V54&lt;&gt;0,IF(V$4=$K$4+'5. Dashboard Live'!$AA$16,V408,IF('5. Dashboard Live'!$AA$19='14. Permanent Info'!$M$7,$I137,IF('5. Dashboard Live'!$AA$19='14. Permanent Info'!$N$7,'10. Inputs &amp; Calcs'!V408+$I137))),0)</f>
        <v>19714.5</v>
      </c>
      <c r="W137" s="612">
        <f ca="1">IF(W54&lt;&gt;0,IF(W$4=$K$4+'5. Dashboard Live'!$AA$16,W408,IF('5. Dashboard Live'!$AA$19='14. Permanent Info'!$M$7,$I137,IF('5. Dashboard Live'!$AA$19='14. Permanent Info'!$N$7,'10. Inputs &amp; Calcs'!W408+$I137))),0)</f>
        <v>19714.5</v>
      </c>
      <c r="X137" s="612">
        <f ca="1">IF(X54&lt;&gt;0,IF(X$4=$K$4+'5. Dashboard Live'!$AA$16,X408,IF('5. Dashboard Live'!$AA$19='14. Permanent Info'!$M$7,$I137,IF('5. Dashboard Live'!$AA$19='14. Permanent Info'!$N$7,'10. Inputs &amp; Calcs'!X408+$I137))),0)</f>
        <v>19714.5</v>
      </c>
      <c r="Y137" s="612">
        <f ca="1">IF(Y54&lt;&gt;0,IF(Y$4=$K$4+'5. Dashboard Live'!$AA$16,Y408,IF('5. Dashboard Live'!$AA$19='14. Permanent Info'!$M$7,$I137,IF('5. Dashboard Live'!$AA$19='14. Permanent Info'!$N$7,'10. Inputs &amp; Calcs'!Y408+$I137))),0)</f>
        <v>19714.5</v>
      </c>
      <c r="Z137" s="612">
        <f ca="1">IF(Z54&lt;&gt;0,IF(Z$4=$K$4+'5. Dashboard Live'!$AA$16,Z408,IF('5. Dashboard Live'!$AA$19='14. Permanent Info'!$M$7,$I137,IF('5. Dashboard Live'!$AA$19='14. Permanent Info'!$N$7,'10. Inputs &amp; Calcs'!Z408+$I137))),0)</f>
        <v>19714.5</v>
      </c>
      <c r="AA137" s="612">
        <f ca="1">IF(AA54&lt;&gt;0,IF(AA$4=$K$4+'5. Dashboard Live'!$AA$16,AA408,IF('5. Dashboard Live'!$AA$19='14. Permanent Info'!$M$7,$I137,IF('5. Dashboard Live'!$AA$19='14. Permanent Info'!$N$7,'10. Inputs &amp; Calcs'!AA408+$I137))),0)</f>
        <v>19714.5</v>
      </c>
      <c r="AB137" s="612">
        <f>IF(AB54&lt;&gt;0,IF(AB$4=$K$4+'5. Dashboard Live'!$AA$16,AB408,IF('5. Dashboard Live'!$AA$19='14. Permanent Info'!$M$7,$I137,IF('5. Dashboard Live'!$AA$19='14. Permanent Info'!$N$7,'10. Inputs &amp; Calcs'!AB408+$I137))),0)</f>
        <v>91514.463637532128</v>
      </c>
      <c r="AC137" s="612">
        <f>IF(AC54&lt;&gt;0,IF(AC$4=$K$4+'5. Dashboard Live'!$AA$16,AC408,IF('5. Dashboard Live'!$AA$19='14. Permanent Info'!$M$7,$I137,IF('5. Dashboard Live'!$AA$19='14. Permanent Info'!$N$7,'10. Inputs &amp; Calcs'!AC408+$I137))),0)</f>
        <v>0</v>
      </c>
    </row>
    <row r="138" spans="1:30" outlineLevel="2" x14ac:dyDescent="0.45">
      <c r="A138" s="894" t="s">
        <v>1463</v>
      </c>
      <c r="B138" s="597" t="str">
        <f t="shared" si="60"/>
        <v>Sales</v>
      </c>
      <c r="D138" s="583" t="str">
        <f>'12. Inputs-Props &amp; Debtors 2016'!C$81</f>
        <v>WC</v>
      </c>
      <c r="F138" s="596"/>
      <c r="G138" s="596"/>
      <c r="H138" s="596"/>
      <c r="I138" s="611">
        <f ca="1">MIN('14. Permanent Info'!$M$9,SUMIF('12. Inputs-Props &amp; Debtors 2016'!$F$26:K30,$D208,'12. Inputs-Props &amp; Debtors 2016'!$F$38:$K$38))</f>
        <v>18375.383057228915</v>
      </c>
      <c r="J138" s="991">
        <f t="shared" ca="1" si="61"/>
        <v>18375.383057228915</v>
      </c>
      <c r="K138" s="991">
        <f t="shared" ca="1" si="61"/>
        <v>18375.383057228915</v>
      </c>
      <c r="L138" s="612">
        <f ca="1">IF(L55&lt;&gt;0,IF(L$4=$K$4+'5. Dashboard Live'!$AA$16,L409,IF('5. Dashboard Live'!$AA$19='14. Permanent Info'!$M$7,$I138,IF('5. Dashboard Live'!$AA$19='14. Permanent Info'!$N$7,'10. Inputs &amp; Calcs'!L409+$I138))),0)</f>
        <v>18375.383057228915</v>
      </c>
      <c r="M138" s="612">
        <f ca="1">IF(M55&lt;&gt;0,IF(M$4=$K$4+'5. Dashboard Live'!$AA$16,M409,IF('5. Dashboard Live'!$AA$19='14. Permanent Info'!$M$7,$I138,IF('5. Dashboard Live'!$AA$19='14. Permanent Info'!$N$7,'10. Inputs &amp; Calcs'!M409+$I138))),0)</f>
        <v>18375.383057228915</v>
      </c>
      <c r="N138" s="612">
        <f ca="1">IF(N55&lt;&gt;0,IF(N$4=$K$4+'5. Dashboard Live'!$AA$16,N409,IF('5. Dashboard Live'!$AA$19='14. Permanent Info'!$M$7,$I138,IF('5. Dashboard Live'!$AA$19='14. Permanent Info'!$N$7,'10. Inputs &amp; Calcs'!N409+$I138))),0)</f>
        <v>18375.383057228915</v>
      </c>
      <c r="O138" s="612">
        <f ca="1">IF(O55&lt;&gt;0,IF(O$4=$K$4+'5. Dashboard Live'!$AA$16,O409,IF('5. Dashboard Live'!$AA$19='14. Permanent Info'!$M$7,$I138,IF('5. Dashboard Live'!$AA$19='14. Permanent Info'!$N$7,'10. Inputs &amp; Calcs'!O409+$I138))),0)</f>
        <v>18375.383057228915</v>
      </c>
      <c r="P138" s="612">
        <f ca="1">IF(P55&lt;&gt;0,IF(P$4=$K$4+'5. Dashboard Live'!$AA$16,P409,IF('5. Dashboard Live'!$AA$19='14. Permanent Info'!$M$7,$I138,IF('5. Dashboard Live'!$AA$19='14. Permanent Info'!$N$7,'10. Inputs &amp; Calcs'!P409+$I138))),0)</f>
        <v>18375.383057228915</v>
      </c>
      <c r="Q138" s="612">
        <f ca="1">IF(Q55&lt;&gt;0,IF(Q$4=$K$4+'5. Dashboard Live'!$AA$16,Q409,IF('5. Dashboard Live'!$AA$19='14. Permanent Info'!$M$7,$I138,IF('5. Dashboard Live'!$AA$19='14. Permanent Info'!$N$7,'10. Inputs &amp; Calcs'!Q409+$I138))),0)</f>
        <v>18375.383057228915</v>
      </c>
      <c r="R138" s="612">
        <f ca="1">IF(R55&lt;&gt;0,IF(R$4=$K$4+'5. Dashboard Live'!$AA$16,R409,IF('5. Dashboard Live'!$AA$19='14. Permanent Info'!$M$7,$I138,IF('5. Dashboard Live'!$AA$19='14. Permanent Info'!$N$7,'10. Inputs &amp; Calcs'!R409+$I138))),0)</f>
        <v>18375.383057228915</v>
      </c>
      <c r="S138" s="612">
        <f ca="1">IF(S55&lt;&gt;0,IF(S$4=$K$4+'5. Dashboard Live'!$AA$16,S409,IF('5. Dashboard Live'!$AA$19='14. Permanent Info'!$M$7,$I138,IF('5. Dashboard Live'!$AA$19='14. Permanent Info'!$N$7,'10. Inputs &amp; Calcs'!S409+$I138))),0)</f>
        <v>18375.383057228915</v>
      </c>
      <c r="T138" s="612">
        <f ca="1">IF(T55&lt;&gt;0,IF(T$4=$K$4+'5. Dashboard Live'!$AA$16,T409,IF('5. Dashboard Live'!$AA$19='14. Permanent Info'!$M$7,$I138,IF('5. Dashboard Live'!$AA$19='14. Permanent Info'!$N$7,'10. Inputs &amp; Calcs'!T409+$I138))),0)</f>
        <v>18375.383057228915</v>
      </c>
      <c r="U138" s="612">
        <f ca="1">IF(U55&lt;&gt;0,IF(U$4=$K$4+'5. Dashboard Live'!$AA$16,U409,IF('5. Dashboard Live'!$AA$19='14. Permanent Info'!$M$7,$I138,IF('5. Dashboard Live'!$AA$19='14. Permanent Info'!$N$7,'10. Inputs &amp; Calcs'!U409+$I138))),0)</f>
        <v>18375.383057228915</v>
      </c>
      <c r="V138" s="612">
        <f ca="1">IF(V55&lt;&gt;0,IF(V$4=$K$4+'5. Dashboard Live'!$AA$16,V409,IF('5. Dashboard Live'!$AA$19='14. Permanent Info'!$M$7,$I138,IF('5. Dashboard Live'!$AA$19='14. Permanent Info'!$N$7,'10. Inputs &amp; Calcs'!V409+$I138))),0)</f>
        <v>18375.383057228915</v>
      </c>
      <c r="W138" s="612">
        <f ca="1">IF(W55&lt;&gt;0,IF(W$4=$K$4+'5. Dashboard Live'!$AA$16,W409,IF('5. Dashboard Live'!$AA$19='14. Permanent Info'!$M$7,$I138,IF('5. Dashboard Live'!$AA$19='14. Permanent Info'!$N$7,'10. Inputs &amp; Calcs'!W409+$I138))),0)</f>
        <v>18375.383057228915</v>
      </c>
      <c r="X138" s="612">
        <f ca="1">IF(X55&lt;&gt;0,IF(X$4=$K$4+'5. Dashboard Live'!$AA$16,X409,IF('5. Dashboard Live'!$AA$19='14. Permanent Info'!$M$7,$I138,IF('5. Dashboard Live'!$AA$19='14. Permanent Info'!$N$7,'10. Inputs &amp; Calcs'!X409+$I138))),0)</f>
        <v>18375.383057228915</v>
      </c>
      <c r="Y138" s="612">
        <f ca="1">IF(Y55&lt;&gt;0,IF(Y$4=$K$4+'5. Dashboard Live'!$AA$16,Y409,IF('5. Dashboard Live'!$AA$19='14. Permanent Info'!$M$7,$I138,IF('5. Dashboard Live'!$AA$19='14. Permanent Info'!$N$7,'10. Inputs &amp; Calcs'!Y409+$I138))),0)</f>
        <v>18375.383057228915</v>
      </c>
      <c r="Z138" s="612">
        <f ca="1">IF(Z55&lt;&gt;0,IF(Z$4=$K$4+'5. Dashboard Live'!$AA$16,Z409,IF('5. Dashboard Live'!$AA$19='14. Permanent Info'!$M$7,$I138,IF('5. Dashboard Live'!$AA$19='14. Permanent Info'!$N$7,'10. Inputs &amp; Calcs'!Z409+$I138))),0)</f>
        <v>18375.383057228915</v>
      </c>
      <c r="AA138" s="612">
        <f ca="1">IF(AA55&lt;&gt;0,IF(AA$4=$K$4+'5. Dashboard Live'!$AA$16,AA409,IF('5. Dashboard Live'!$AA$19='14. Permanent Info'!$M$7,$I138,IF('5. Dashboard Live'!$AA$19='14. Permanent Info'!$N$7,'10. Inputs &amp; Calcs'!AA409+$I138))),0)</f>
        <v>18375.383057228915</v>
      </c>
      <c r="AB138" s="612">
        <f>IF(AB55&lt;&gt;0,IF(AB$4=$K$4+'5. Dashboard Live'!$AA$16,AB409,IF('5. Dashboard Live'!$AA$19='14. Permanent Info'!$M$7,$I138,IF('5. Dashboard Live'!$AA$19='14. Permanent Info'!$N$7,'10. Inputs &amp; Calcs'!AB409+$I138))),0)</f>
        <v>51919.282393258422</v>
      </c>
      <c r="AC138" s="612">
        <f>IF(AC55&lt;&gt;0,IF(AC$4=$K$4+'5. Dashboard Live'!$AA$16,AC409,IF('5. Dashboard Live'!$AA$19='14. Permanent Info'!$M$7,$I138,IF('5. Dashboard Live'!$AA$19='14. Permanent Info'!$N$7,'10. Inputs &amp; Calcs'!AC409+$I138))),0)</f>
        <v>0</v>
      </c>
    </row>
    <row r="139" spans="1:30" outlineLevel="2" x14ac:dyDescent="0.45">
      <c r="B139" s="597" t="str">
        <f t="shared" si="60"/>
        <v>Sales</v>
      </c>
      <c r="D139" s="596" t="str">
        <f>'12. Inputs-Props &amp; Debtors 2016'!C$82</f>
        <v>Total</v>
      </c>
      <c r="F139" s="596"/>
      <c r="G139" s="596"/>
      <c r="H139" s="596"/>
      <c r="I139" s="613">
        <f ca="1">IF(I$56&gt;0,SUMPRODUCT(I134:I138,I$51:I$55)/I$56,IF(AND(I$56=0,I$83&gt;0),SUMPRODUCT(I134:I138,I$78:I$82)/I$83,0))</f>
        <v>18732.875226132979</v>
      </c>
      <c r="J139" s="613">
        <f ca="1">IF(J$56&gt;0,SUMPRODUCT(J134:J138,J$51:J$55)/J$56,IF(AND(J$56=0,J$83&gt;0),SUMPRODUCT(J134:J138,J$78:J$82)/J$83,0))</f>
        <v>18732.875226132979</v>
      </c>
      <c r="K139" s="613">
        <f ca="1">IF(K$56&gt;0,SUMPRODUCT(K134:K138,K$51:K$55)/K$56,IF(AND(K$56=0,K$83&gt;0),SUMPRODUCT(K134:K138,K$78:K$82)/K$83,0))</f>
        <v>18761.414516927838</v>
      </c>
      <c r="L139" s="613">
        <f ca="1">IF(L$56&gt;0,SUMPRODUCT(L134:L138,L$51:L$55)/L$56,0)</f>
        <v>18799.919755358882</v>
      </c>
      <c r="M139" s="613">
        <f t="shared" ref="M139:AC139" ca="1" si="62">IF(M$56&gt;0,SUMPRODUCT(M134:M138,M$51:M$55)/M$56,0)</f>
        <v>18799.919755358882</v>
      </c>
      <c r="N139" s="613">
        <f t="shared" ca="1" si="62"/>
        <v>18799.919755358882</v>
      </c>
      <c r="O139" s="613">
        <f t="shared" ca="1" si="62"/>
        <v>18799.919755358882</v>
      </c>
      <c r="P139" s="613">
        <f t="shared" ca="1" si="62"/>
        <v>18799.919755358882</v>
      </c>
      <c r="Q139" s="613">
        <f t="shared" ca="1" si="62"/>
        <v>18799.919755358882</v>
      </c>
      <c r="R139" s="613">
        <f t="shared" ca="1" si="62"/>
        <v>18799.919755358882</v>
      </c>
      <c r="S139" s="613">
        <f t="shared" ca="1" si="62"/>
        <v>18799.919755358882</v>
      </c>
      <c r="T139" s="613">
        <f t="shared" ca="1" si="62"/>
        <v>18799.919755358882</v>
      </c>
      <c r="U139" s="613">
        <f t="shared" ca="1" si="62"/>
        <v>18799.919755358882</v>
      </c>
      <c r="V139" s="613">
        <f t="shared" ca="1" si="62"/>
        <v>18799.919755358882</v>
      </c>
      <c r="W139" s="613">
        <f t="shared" ca="1" si="62"/>
        <v>18799.919755358882</v>
      </c>
      <c r="X139" s="613">
        <f t="shared" ca="1" si="62"/>
        <v>18799.919755358882</v>
      </c>
      <c r="Y139" s="613">
        <f t="shared" ca="1" si="62"/>
        <v>18799.919755358882</v>
      </c>
      <c r="Z139" s="613">
        <f t="shared" ca="1" si="62"/>
        <v>18799.919755358882</v>
      </c>
      <c r="AA139" s="613">
        <f t="shared" ca="1" si="62"/>
        <v>18799.919755358882</v>
      </c>
      <c r="AB139" s="613">
        <f t="shared" si="62"/>
        <v>90898.517240501664</v>
      </c>
      <c r="AC139" s="613">
        <f t="shared" si="62"/>
        <v>0</v>
      </c>
    </row>
    <row r="140" spans="1:30" outlineLevel="2" x14ac:dyDescent="0.45">
      <c r="B140" s="597" t="str">
        <f t="shared" si="60"/>
        <v>Sales</v>
      </c>
      <c r="F140" s="596"/>
      <c r="G140" s="596"/>
      <c r="H140" s="596"/>
      <c r="I140" s="612"/>
      <c r="J140" s="612"/>
      <c r="K140" s="612"/>
      <c r="L140" s="612"/>
      <c r="M140" s="612"/>
      <c r="N140" s="612"/>
      <c r="O140" s="612"/>
      <c r="P140" s="612"/>
      <c r="Q140" s="612"/>
      <c r="R140" s="612"/>
      <c r="S140" s="612"/>
      <c r="T140" s="612"/>
      <c r="U140" s="612"/>
      <c r="V140" s="612"/>
      <c r="W140" s="612"/>
      <c r="X140" s="612"/>
      <c r="Y140" s="612"/>
      <c r="Z140" s="612"/>
      <c r="AA140" s="612"/>
      <c r="AB140" s="612"/>
      <c r="AC140" s="612"/>
    </row>
    <row r="141" spans="1:30" outlineLevel="2" x14ac:dyDescent="0.45">
      <c r="B141" s="597" t="str">
        <f t="shared" si="60"/>
        <v>Sales</v>
      </c>
      <c r="F141" s="596"/>
      <c r="G141" s="596"/>
      <c r="H141" s="596"/>
      <c r="I141" s="596"/>
    </row>
    <row r="142" spans="1:30" outlineLevel="2" x14ac:dyDescent="0.45">
      <c r="A142" s="1113"/>
      <c r="B142" s="597" t="str">
        <f t="shared" si="60"/>
        <v>Sales</v>
      </c>
      <c r="C142" s="1146">
        <f>C132+1</f>
        <v>13</v>
      </c>
      <c r="D142" s="451" t="s">
        <v>1566</v>
      </c>
      <c r="F142" s="596"/>
      <c r="G142" s="596"/>
      <c r="H142" s="596"/>
      <c r="I142" s="596"/>
      <c r="L142" s="747" t="s">
        <v>55</v>
      </c>
    </row>
    <row r="143" spans="1:30" outlineLevel="2" x14ac:dyDescent="0.45">
      <c r="A143" s="1113"/>
      <c r="B143" s="597" t="str">
        <f t="shared" si="60"/>
        <v>Sales</v>
      </c>
      <c r="C143" s="1146"/>
      <c r="D143" s="583" t="str">
        <f>'12. Inputs-Props &amp; Debtors 2016'!C$77</f>
        <v>EC</v>
      </c>
      <c r="F143" s="614">
        <f>'11. Table - Expenditure Review'!I74</f>
        <v>5576064</v>
      </c>
      <c r="G143" s="614">
        <f>'11. Table - Expenditure Review'!J74</f>
        <v>1243913</v>
      </c>
      <c r="H143" s="614">
        <f>'11. Table - Expenditure Review'!K74</f>
        <v>313420</v>
      </c>
      <c r="I143" s="947">
        <f>IF(I$4=$K$4+'5. Dashboard Live'!$AA$16,-I106*I124*I134,I51*I124*I134)</f>
        <v>210409.8845669291</v>
      </c>
      <c r="J143" s="947">
        <f>IF(J$4=$K$4+'5. Dashboard Live'!$AA$16,-J106*J124*J134,J51*J124*J134)</f>
        <v>210409.8845669291</v>
      </c>
      <c r="K143" s="947">
        <f>IF(K$4=$K$4+'5. Dashboard Live'!$AA$16,-K106*K124*K134,K51*K124*K134)</f>
        <v>210409.8845669291</v>
      </c>
      <c r="L143" s="947">
        <f>IF(L$4=$K$4+'5. Dashboard Live'!$AA$16,-L106*L124*L134,L51*L124*L134)</f>
        <v>23378.876062992123</v>
      </c>
      <c r="M143" s="947">
        <f>IF(M$4=$K$4+'5. Dashboard Live'!$AA$16,-M106*M124*M134,M51*M124*M134)</f>
        <v>23378.876062992123</v>
      </c>
      <c r="N143" s="947">
        <f>IF(N$4=$K$4+'5. Dashboard Live'!$AA$16,-N106*N124*N134,N51*N124*N134)</f>
        <v>23378.876062992123</v>
      </c>
      <c r="O143" s="947">
        <f>IF(O$4=$K$4+'5. Dashboard Live'!$AA$16,-O106*O124*O134,O51*O124*O134)</f>
        <v>23378.876062992123</v>
      </c>
      <c r="P143" s="947">
        <f>IF(P$4=$K$4+'5. Dashboard Live'!$AA$16,-P106*P124*P134,P51*P124*P134)</f>
        <v>23378.876062992123</v>
      </c>
      <c r="Q143" s="947">
        <f>IF(Q$4=$K$4+'5. Dashboard Live'!$AA$16,-Q106*Q124*Q134,Q51*Q124*Q134)</f>
        <v>23378.876062992123</v>
      </c>
      <c r="R143" s="947">
        <f>IF(R$4=$K$4+'5. Dashboard Live'!$AA$16,-R106*R124*R134,R51*R124*R134)</f>
        <v>23378.876062992123</v>
      </c>
      <c r="S143" s="947">
        <f>IF(S$4=$K$4+'5. Dashboard Live'!$AA$16,-S106*S124*S134,S51*S124*S134)</f>
        <v>23378.876062992123</v>
      </c>
      <c r="T143" s="947">
        <f>IF(T$4=$K$4+'5. Dashboard Live'!$AA$16,-T106*T124*T134,T51*T124*T134)</f>
        <v>23378.876062992123</v>
      </c>
      <c r="U143" s="947">
        <f>IF(U$4=$K$4+'5. Dashboard Live'!$AA$16,-U106*U124*U134,U51*U124*U134)</f>
        <v>23378.876062992123</v>
      </c>
      <c r="V143" s="947">
        <f>IF(V$4=$K$4+'5. Dashboard Live'!$AA$16,-V106*V124*V134,V51*V124*V134)</f>
        <v>23378.876062992123</v>
      </c>
      <c r="W143" s="947">
        <f>IF(W$4=$K$4+'5. Dashboard Live'!$AA$16,-W106*W124*W134,W51*W124*W134)</f>
        <v>23378.876062992123</v>
      </c>
      <c r="X143" s="947">
        <f>IF(X$4=$K$4+'5. Dashboard Live'!$AA$16,-X106*X124*X134,X51*X124*X134)</f>
        <v>23378.876062992123</v>
      </c>
      <c r="Y143" s="947">
        <f>IF(Y$4=$K$4+'5. Dashboard Live'!$AA$16,-Y106*Y124*Y134,Y51*Y124*Y134)</f>
        <v>23378.876062992123</v>
      </c>
      <c r="Z143" s="947">
        <f>IF(Z$4=$K$4+'5. Dashboard Live'!$AA$16,-Z106*Z124*Z134,Z51*Z124*Z134)</f>
        <v>23378.876062992123</v>
      </c>
      <c r="AA143" s="947">
        <f>IF(AA$4=$K$4+'5. Dashboard Live'!$AA$16,-AA106*AA124*AA134,AA51*AA124*AA134)</f>
        <v>23378.876062992123</v>
      </c>
      <c r="AB143" s="1173">
        <f>IF(AB$4=$K$4+'5. Dashboard Live'!$AA$16,-AB106*AB124*AB134+AB51*AB124*$I134,AB51*AB124*AB134)</f>
        <v>15759591.013178615</v>
      </c>
      <c r="AC143" s="947">
        <f>IF(AC$4=$K$4+'5. Dashboard Live'!$AA$16,-AC106*AC124*AC134,AC51*AC124*AC134)</f>
        <v>0</v>
      </c>
      <c r="AD143" s="612">
        <f>SUM(I143:AC143)</f>
        <v>16764882.683887277</v>
      </c>
    </row>
    <row r="144" spans="1:30" outlineLevel="2" x14ac:dyDescent="0.45">
      <c r="A144" s="1113"/>
      <c r="B144" s="597" t="str">
        <f t="shared" si="60"/>
        <v>Sales</v>
      </c>
      <c r="C144" s="1146"/>
      <c r="D144" s="583" t="str">
        <f>'12. Inputs-Props &amp; Debtors 2016'!C$78</f>
        <v>FS</v>
      </c>
      <c r="F144" s="614">
        <f>'11. Table - Expenditure Review'!L74</f>
        <v>157500</v>
      </c>
      <c r="G144" s="614">
        <f>'11. Table - Expenditure Review'!M74</f>
        <v>135000</v>
      </c>
      <c r="H144" s="614">
        <f>'11. Table - Expenditure Review'!N74</f>
        <v>0</v>
      </c>
      <c r="I144" s="947">
        <f ca="1">IF(I$4=$K$4+'5. Dashboard Live'!$AA$16,-I107*I125*I135,I52*I125*I135)</f>
        <v>39429</v>
      </c>
      <c r="J144" s="947">
        <f ca="1">IF(J$4=$K$4+'5. Dashboard Live'!$AA$16,-J107*J125*J135,J52*J125*J135)</f>
        <v>39429</v>
      </c>
      <c r="K144" s="947">
        <f ca="1">IF(K$4=$K$4+'5. Dashboard Live'!$AA$16,-K107*K125*K135,K52*K125*K135)</f>
        <v>39429</v>
      </c>
      <c r="L144" s="947">
        <f ca="1">IF(L$4=$K$4+'5. Dashboard Live'!$AA$16,-L107*L125*L135,L52*L125*L135)</f>
        <v>39429</v>
      </c>
      <c r="M144" s="947">
        <f ca="1">IF(M$4=$K$4+'5. Dashboard Live'!$AA$16,-M107*M125*M135,M52*M125*M135)</f>
        <v>39429</v>
      </c>
      <c r="N144" s="947">
        <f ca="1">IF(N$4=$K$4+'5. Dashboard Live'!$AA$16,-N107*N125*N135,N52*N125*N135)</f>
        <v>39429</v>
      </c>
      <c r="O144" s="947">
        <f ca="1">IF(O$4=$K$4+'5. Dashboard Live'!$AA$16,-O107*O125*O135,O52*O125*O135)</f>
        <v>39429</v>
      </c>
      <c r="P144" s="947">
        <f ca="1">IF(P$4=$K$4+'5. Dashboard Live'!$AA$16,-P107*P125*P135,P52*P125*P135)</f>
        <v>39429</v>
      </c>
      <c r="Q144" s="947">
        <f ca="1">IF(Q$4=$K$4+'5. Dashboard Live'!$AA$16,-Q107*Q125*Q135,Q52*Q125*Q135)</f>
        <v>39429</v>
      </c>
      <c r="R144" s="947">
        <f ca="1">IF(R$4=$K$4+'5. Dashboard Live'!$AA$16,-R107*R125*R135,R52*R125*R135)</f>
        <v>39429</v>
      </c>
      <c r="S144" s="947">
        <f ca="1">IF(S$4=$K$4+'5. Dashboard Live'!$AA$16,-S107*S125*S135,S52*S125*S135)</f>
        <v>39429</v>
      </c>
      <c r="T144" s="947">
        <f ca="1">IF(T$4=$K$4+'5. Dashboard Live'!$AA$16,-T107*T125*T135,T52*T125*T135)</f>
        <v>39429</v>
      </c>
      <c r="U144" s="947">
        <f ca="1">IF(U$4=$K$4+'5. Dashboard Live'!$AA$16,-U107*U125*U135,U52*U125*U135)</f>
        <v>39429</v>
      </c>
      <c r="V144" s="947">
        <f ca="1">IF(V$4=$K$4+'5. Dashboard Live'!$AA$16,-V107*V125*V135,V52*V125*V135)</f>
        <v>39429</v>
      </c>
      <c r="W144" s="947">
        <f ca="1">IF(W$4=$K$4+'5. Dashboard Live'!$AA$16,-W107*W125*W135,W52*W125*W135)</f>
        <v>39429</v>
      </c>
      <c r="X144" s="947">
        <f ca="1">IF(X$4=$K$4+'5. Dashboard Live'!$AA$16,-X107*X125*X135,X52*X125*X135)</f>
        <v>39429</v>
      </c>
      <c r="Y144" s="947">
        <f ca="1">IF(Y$4=$K$4+'5. Dashboard Live'!$AA$16,-Y107*Y125*Y135,Y52*Y125*Y135)</f>
        <v>39429</v>
      </c>
      <c r="Z144" s="947">
        <f ca="1">IF(Z$4=$K$4+'5. Dashboard Live'!$AA$16,-Z107*Z125*Z135,Z52*Z125*Z135)</f>
        <v>39429</v>
      </c>
      <c r="AA144" s="947">
        <f ca="1">IF(AA$4=$K$4+'5. Dashboard Live'!$AA$16,-AA107*AA125*AA135,AA52*AA125*AA135)</f>
        <v>39429</v>
      </c>
      <c r="AB144" s="1173">
        <f ca="1">IF(AB$4=$K$4+'5. Dashboard Live'!$AA$16,-AB107*AB125*AB135+AB52*AB125*$I135,AB52*AB125*AB135)</f>
        <v>1915744.0499999998</v>
      </c>
      <c r="AC144" s="947">
        <f>IF(AC$4=$K$4+'5. Dashboard Live'!$AA$16,-AC107*AC125*AC135,AC52*AC125*AC135)</f>
        <v>0</v>
      </c>
      <c r="AD144" s="612">
        <f ca="1">SUM(I144:AC144)</f>
        <v>2664895.0499999998</v>
      </c>
    </row>
    <row r="145" spans="1:30" outlineLevel="2" x14ac:dyDescent="0.45">
      <c r="A145" s="1113"/>
      <c r="B145" s="597" t="str">
        <f t="shared" si="60"/>
        <v>Sales</v>
      </c>
      <c r="C145" s="1146"/>
      <c r="D145" s="583" t="str">
        <f>'12. Inputs-Props &amp; Debtors 2016'!C$79</f>
        <v>Gau</v>
      </c>
      <c r="F145" s="614">
        <f>'11. Table - Expenditure Review'!O74</f>
        <v>1522381</v>
      </c>
      <c r="G145" s="614">
        <f>'11. Table - Expenditure Review'!P74</f>
        <v>2645202</v>
      </c>
      <c r="H145" s="614">
        <f>'11. Table - Expenditure Review'!Q74</f>
        <v>1475617</v>
      </c>
      <c r="I145" s="947">
        <f ca="1">IF(I$4=$K$4+'5. Dashboard Live'!$AA$16,-I108*I126*I136,I53*I126*I136)</f>
        <v>1520513.3739093961</v>
      </c>
      <c r="J145" s="947">
        <f ca="1">IF(J$4=$K$4+'5. Dashboard Live'!$AA$16,-J108*J126*J136,J53*J126*J136)</f>
        <v>1520513.3739093961</v>
      </c>
      <c r="K145" s="947">
        <f ca="1">IF(K$4=$K$4+'5. Dashboard Live'!$AA$16,-K108*K126*K136,K53*K126*K136)</f>
        <v>1520513.3739093961</v>
      </c>
      <c r="L145" s="947">
        <f ca="1">IF(L$4=$K$4+'5. Dashboard Live'!$AA$16,-L108*L126*L136,L53*L126*L136)</f>
        <v>1592066.9444463088</v>
      </c>
      <c r="M145" s="947">
        <f ca="1">IF(M$4=$K$4+'5. Dashboard Live'!$AA$16,-M108*M126*M136,M53*M126*M136)</f>
        <v>1592066.9444463088</v>
      </c>
      <c r="N145" s="947">
        <f ca="1">IF(N$4=$K$4+'5. Dashboard Live'!$AA$16,-N108*N126*N136,N53*N126*N136)</f>
        <v>1592066.9444463088</v>
      </c>
      <c r="O145" s="947">
        <f ca="1">IF(O$4=$K$4+'5. Dashboard Live'!$AA$16,-O108*O126*O136,O53*O126*O136)</f>
        <v>1592066.9444463088</v>
      </c>
      <c r="P145" s="947">
        <f ca="1">IF(P$4=$K$4+'5. Dashboard Live'!$AA$16,-P108*P126*P136,P53*P126*P136)</f>
        <v>1592066.9444463088</v>
      </c>
      <c r="Q145" s="947">
        <f ca="1">IF(Q$4=$K$4+'5. Dashboard Live'!$AA$16,-Q108*Q126*Q136,Q53*Q126*Q136)</f>
        <v>1592066.9444463088</v>
      </c>
      <c r="R145" s="947">
        <f ca="1">IF(R$4=$K$4+'5. Dashboard Live'!$AA$16,-R108*R126*R136,R53*R126*R136)</f>
        <v>1592066.9444463088</v>
      </c>
      <c r="S145" s="947">
        <f ca="1">IF(S$4=$K$4+'5. Dashboard Live'!$AA$16,-S108*S126*S136,S53*S126*S136)</f>
        <v>1592066.9444463088</v>
      </c>
      <c r="T145" s="947">
        <f ca="1">IF(T$4=$K$4+'5. Dashboard Live'!$AA$16,-T108*T126*T136,T53*T126*T136)</f>
        <v>1592066.9444463088</v>
      </c>
      <c r="U145" s="947">
        <f ca="1">IF(U$4=$K$4+'5. Dashboard Live'!$AA$16,-U108*U126*U136,U53*U126*U136)</f>
        <v>1592066.9444463088</v>
      </c>
      <c r="V145" s="947">
        <f ca="1">IF(V$4=$K$4+'5. Dashboard Live'!$AA$16,-V108*V126*V136,V53*V126*V136)</f>
        <v>1592066.9444463088</v>
      </c>
      <c r="W145" s="947">
        <f ca="1">IF(W$4=$K$4+'5. Dashboard Live'!$AA$16,-W108*W126*W136,W53*W126*W136)</f>
        <v>1592066.9444463088</v>
      </c>
      <c r="X145" s="947">
        <f ca="1">IF(X$4=$K$4+'5. Dashboard Live'!$AA$16,-X108*X126*X136,X53*X126*X136)</f>
        <v>1592066.9444463088</v>
      </c>
      <c r="Y145" s="947">
        <f ca="1">IF(Y$4=$K$4+'5. Dashboard Live'!$AA$16,-Y108*Y126*Y136,Y53*Y126*Y136)</f>
        <v>1592066.9444463088</v>
      </c>
      <c r="Z145" s="947">
        <f ca="1">IF(Z$4=$K$4+'5. Dashboard Live'!$AA$16,-Z108*Z126*Z136,Z53*Z126*Z136)</f>
        <v>1592066.9444463088</v>
      </c>
      <c r="AA145" s="947">
        <f ca="1">IF(AA$4=$K$4+'5. Dashboard Live'!$AA$16,-AA108*AA126*AA136,AA53*AA126*AA136)</f>
        <v>1592066.9444463088</v>
      </c>
      <c r="AB145" s="1173">
        <f>IF(AB$4=$K$4+'5. Dashboard Live'!$AA$16,-AB108*AB126*AB136,AB53*AB126*AB136)</f>
        <v>327833973.66228068</v>
      </c>
      <c r="AC145" s="947">
        <f>IF(AC$4=$K$4+'5. Dashboard Live'!$AA$16,-AC108*AC126*AC136,AC53*AC126*AC136)</f>
        <v>0</v>
      </c>
      <c r="AD145" s="612">
        <f ca="1">SUM(I145:AC145)</f>
        <v>357868584.89514983</v>
      </c>
    </row>
    <row r="146" spans="1:30" outlineLevel="2" x14ac:dyDescent="0.45">
      <c r="A146" s="1113"/>
      <c r="B146" s="597" t="str">
        <f t="shared" si="60"/>
        <v>Sales</v>
      </c>
      <c r="C146" s="1146"/>
      <c r="D146" s="583" t="str">
        <f>'12. Inputs-Props &amp; Debtors 2016'!C$80</f>
        <v>KZN</v>
      </c>
      <c r="F146" s="614">
        <f>'11. Table - Expenditure Review'!R74</f>
        <v>10104396</v>
      </c>
      <c r="G146" s="614">
        <f>'11. Table - Expenditure Review'!S74</f>
        <v>13221991</v>
      </c>
      <c r="H146" s="614">
        <f>'11. Table - Expenditure Review'!T74</f>
        <v>8660989</v>
      </c>
      <c r="I146" s="947">
        <f ca="1">IF(I$4=$K$4+'5. Dashboard Live'!$AA$16,-I109*I127*I137,I54*I127*I137)</f>
        <v>5046912</v>
      </c>
      <c r="J146" s="947">
        <f ca="1">IF(J$4=$K$4+'5. Dashboard Live'!$AA$16,-J109*J127*J137,J54*J127*J137)</f>
        <v>5046912</v>
      </c>
      <c r="K146" s="947">
        <f ca="1">IF(K$4=$K$4+'5. Dashboard Live'!$AA$16,-K109*K127*K137,K54*K127*K137)</f>
        <v>5046912</v>
      </c>
      <c r="L146" s="947">
        <f ca="1">IF(L$4=$K$4+'5. Dashboard Live'!$AA$16,-L109*L127*L137,L54*L127*L137)</f>
        <v>2208024</v>
      </c>
      <c r="M146" s="947">
        <f ca="1">IF(M$4=$K$4+'5. Dashboard Live'!$AA$16,-M109*M127*M137,M54*M127*M137)</f>
        <v>2208024</v>
      </c>
      <c r="N146" s="947">
        <f ca="1">IF(N$4=$K$4+'5. Dashboard Live'!$AA$16,-N109*N127*N137,N54*N127*N137)</f>
        <v>2208024</v>
      </c>
      <c r="O146" s="947">
        <f ca="1">IF(O$4=$K$4+'5. Dashboard Live'!$AA$16,-O109*O127*O137,O54*O127*O137)</f>
        <v>2208024</v>
      </c>
      <c r="P146" s="947">
        <f ca="1">IF(P$4=$K$4+'5. Dashboard Live'!$AA$16,-P109*P127*P137,P54*P127*P137)</f>
        <v>2208024</v>
      </c>
      <c r="Q146" s="947">
        <f ca="1">IF(Q$4=$K$4+'5. Dashboard Live'!$AA$16,-Q109*Q127*Q137,Q54*Q127*Q137)</f>
        <v>2208024</v>
      </c>
      <c r="R146" s="947">
        <f ca="1">IF(R$4=$K$4+'5. Dashboard Live'!$AA$16,-R109*R127*R137,R54*R127*R137)</f>
        <v>2208024</v>
      </c>
      <c r="S146" s="947">
        <f ca="1">IF(S$4=$K$4+'5. Dashboard Live'!$AA$16,-S109*S127*S137,S54*S127*S137)</f>
        <v>2208024</v>
      </c>
      <c r="T146" s="947">
        <f ca="1">IF(T$4=$K$4+'5. Dashboard Live'!$AA$16,-T109*T127*T137,T54*T127*T137)</f>
        <v>2208024</v>
      </c>
      <c r="U146" s="947">
        <f ca="1">IF(U$4=$K$4+'5. Dashboard Live'!$AA$16,-U109*U127*U137,U54*U127*U137)</f>
        <v>2208024</v>
      </c>
      <c r="V146" s="947">
        <f ca="1">IF(V$4=$K$4+'5. Dashboard Live'!$AA$16,-V109*V127*V137,V54*V127*V137)</f>
        <v>2208024</v>
      </c>
      <c r="W146" s="947">
        <f ca="1">IF(W$4=$K$4+'5. Dashboard Live'!$AA$16,-W109*W127*W137,W54*W127*W137)</f>
        <v>2208024</v>
      </c>
      <c r="X146" s="947">
        <f ca="1">IF(X$4=$K$4+'5. Dashboard Live'!$AA$16,-X109*X127*X137,X54*X127*X137)</f>
        <v>2208024</v>
      </c>
      <c r="Y146" s="947">
        <f ca="1">IF(Y$4=$K$4+'5. Dashboard Live'!$AA$16,-Y109*Y127*Y137,Y54*Y127*Y137)</f>
        <v>2208024</v>
      </c>
      <c r="Z146" s="947">
        <f ca="1">IF(Z$4=$K$4+'5. Dashboard Live'!$AA$16,-Z109*Z127*Z137,Z54*Z127*Z137)</f>
        <v>2208024</v>
      </c>
      <c r="AA146" s="947">
        <f ca="1">IF(AA$4=$K$4+'5. Dashboard Live'!$AA$16,-AA109*AA127*AA137,AA54*AA127*AA137)</f>
        <v>2208024</v>
      </c>
      <c r="AB146" s="1173">
        <f ca="1">IF(AB$4=$K$4+'5. Dashboard Live'!$AA$16,-AB109*AB127*AB137+AB54*AB127*$I137,AB54*AB127*AB137)</f>
        <v>305808966.51299483</v>
      </c>
      <c r="AC146" s="947">
        <f>IF(AC$4=$K$4+'5. Dashboard Live'!$AA$16,-AC109*AC127*AC137,AC54*AC127*AC137)</f>
        <v>0</v>
      </c>
      <c r="AD146" s="612">
        <f ca="1">SUM(I146:AC146)</f>
        <v>356278086.51299483</v>
      </c>
    </row>
    <row r="147" spans="1:30" outlineLevel="2" x14ac:dyDescent="0.45">
      <c r="A147" s="1113"/>
      <c r="B147" s="597" t="str">
        <f t="shared" si="60"/>
        <v>Sales</v>
      </c>
      <c r="C147" s="1146"/>
      <c r="D147" s="583" t="str">
        <f>'12. Inputs-Props &amp; Debtors 2016'!C$81</f>
        <v>WC</v>
      </c>
      <c r="F147" s="614">
        <f>'11. Table - Expenditure Review'!U74</f>
        <v>562843</v>
      </c>
      <c r="G147" s="614">
        <f>'11. Table - Expenditure Review'!V74</f>
        <v>358439</v>
      </c>
      <c r="H147" s="614">
        <f>'11. Table - Expenditure Review'!W74</f>
        <v>267958</v>
      </c>
      <c r="I147" s="947">
        <f ca="1">IF(I$4=$K$4+'5. Dashboard Live'!$AA$16,-I110*I128*I138,I55*I128*I138)</f>
        <v>2811433.6077560242</v>
      </c>
      <c r="J147" s="947">
        <f ca="1">IF(J$4=$K$4+'5. Dashboard Live'!$AA$16,-J110*J128*J138,J55*J128*J138)</f>
        <v>2811433.6077560242</v>
      </c>
      <c r="K147" s="947">
        <f ca="1">IF(K$4=$K$4+'5. Dashboard Live'!$AA$16,-K110*K128*K138,K55*K128*K138)</f>
        <v>2113169.0515813255</v>
      </c>
      <c r="L147" s="947">
        <f ca="1">IF(L$4=$K$4+'5. Dashboard Live'!$AA$16,-L110*L128*L138,L55*L128*L138)</f>
        <v>385883.04420180724</v>
      </c>
      <c r="M147" s="947">
        <f ca="1">IF(M$4=$K$4+'5. Dashboard Live'!$AA$16,-M110*M128*M138,M55*M128*M138)</f>
        <v>385883.04420180724</v>
      </c>
      <c r="N147" s="947">
        <f ca="1">IF(N$4=$K$4+'5. Dashboard Live'!$AA$16,-N110*N128*N138,N55*N128*N138)</f>
        <v>385883.04420180724</v>
      </c>
      <c r="O147" s="947">
        <f ca="1">IF(O$4=$K$4+'5. Dashboard Live'!$AA$16,-O110*O128*O138,O55*O128*O138)</f>
        <v>385883.04420180724</v>
      </c>
      <c r="P147" s="947">
        <f ca="1">IF(P$4=$K$4+'5. Dashboard Live'!$AA$16,-P110*P128*P138,P55*P128*P138)</f>
        <v>385883.04420180724</v>
      </c>
      <c r="Q147" s="947">
        <f ca="1">IF(Q$4=$K$4+'5. Dashboard Live'!$AA$16,-Q110*Q128*Q138,Q55*Q128*Q138)</f>
        <v>385883.04420180724</v>
      </c>
      <c r="R147" s="947">
        <f ca="1">IF(R$4=$K$4+'5. Dashboard Live'!$AA$16,-R110*R128*R138,R55*R128*R138)</f>
        <v>385883.04420180724</v>
      </c>
      <c r="S147" s="947">
        <f ca="1">IF(S$4=$K$4+'5. Dashboard Live'!$AA$16,-S110*S128*S138,S55*S128*S138)</f>
        <v>385883.04420180724</v>
      </c>
      <c r="T147" s="947">
        <f ca="1">IF(T$4=$K$4+'5. Dashboard Live'!$AA$16,-T110*T128*T138,T55*T128*T138)</f>
        <v>385883.04420180724</v>
      </c>
      <c r="U147" s="947">
        <f ca="1">IF(U$4=$K$4+'5. Dashboard Live'!$AA$16,-U110*U128*U138,U55*U128*U138)</f>
        <v>385883.04420180724</v>
      </c>
      <c r="V147" s="947">
        <f ca="1">IF(V$4=$K$4+'5. Dashboard Live'!$AA$16,-V110*V128*V138,V55*V128*V138)</f>
        <v>385883.04420180724</v>
      </c>
      <c r="W147" s="947">
        <f ca="1">IF(W$4=$K$4+'5. Dashboard Live'!$AA$16,-W110*W128*W138,W55*W128*W138)</f>
        <v>385883.04420180724</v>
      </c>
      <c r="X147" s="947">
        <f ca="1">IF(X$4=$K$4+'5. Dashboard Live'!$AA$16,-X110*X128*X138,X55*X128*X138)</f>
        <v>385883.04420180724</v>
      </c>
      <c r="Y147" s="947">
        <f ca="1">IF(Y$4=$K$4+'5. Dashboard Live'!$AA$16,-Y110*Y128*Y138,Y55*Y128*Y138)</f>
        <v>385883.04420180724</v>
      </c>
      <c r="Z147" s="947">
        <f ca="1">IF(Z$4=$K$4+'5. Dashboard Live'!$AA$16,-Z110*Z128*Z138,Z55*Z128*Z138)</f>
        <v>385883.04420180724</v>
      </c>
      <c r="AA147" s="947">
        <f ca="1">IF(AA$4=$K$4+'5. Dashboard Live'!$AA$16,-AA110*AA128*AA138,AA55*AA128*AA138)</f>
        <v>385883.04420180724</v>
      </c>
      <c r="AB147" s="1173">
        <f ca="1">IF(AB$4=$K$4+'5. Dashboard Live'!$AA$16,-AB110*AB128*AB138+AB55*AB128*$I138,AB55*AB128*AB138)</f>
        <v>86073415.425300524</v>
      </c>
      <c r="AC147" s="947">
        <f>IF(AC$4=$K$4+'5. Dashboard Live'!$AA$16,-AC110*AC128*AC138,AC55*AC128*AC138)</f>
        <v>0</v>
      </c>
      <c r="AD147" s="612">
        <f ca="1">SUM(I147:AC147)</f>
        <v>99983580.399622828</v>
      </c>
    </row>
    <row r="148" spans="1:30" outlineLevel="2" x14ac:dyDescent="0.45">
      <c r="A148" s="1113"/>
      <c r="B148" s="597" t="str">
        <f t="shared" si="60"/>
        <v>Sales</v>
      </c>
      <c r="C148" s="1146"/>
      <c r="D148" s="596" t="str">
        <f>'12. Inputs-Props &amp; Debtors 2016'!C$82</f>
        <v>Total</v>
      </c>
      <c r="F148" s="613">
        <f t="shared" ref="F148:P148" si="63">SUM(F143:F147)</f>
        <v>17923184</v>
      </c>
      <c r="G148" s="613">
        <f t="shared" si="63"/>
        <v>17604545</v>
      </c>
      <c r="H148" s="613">
        <f t="shared" si="63"/>
        <v>10717984</v>
      </c>
      <c r="I148" s="985">
        <f t="shared" ca="1" si="63"/>
        <v>9628697.8662323505</v>
      </c>
      <c r="J148" s="985">
        <f t="shared" ca="1" si="63"/>
        <v>9628697.8662323505</v>
      </c>
      <c r="K148" s="985">
        <f t="shared" ca="1" si="63"/>
        <v>8930433.3100576513</v>
      </c>
      <c r="L148" s="613">
        <f t="shared" ca="1" si="63"/>
        <v>4248781.8647111077</v>
      </c>
      <c r="M148" s="613">
        <f t="shared" ca="1" si="63"/>
        <v>4248781.8647111077</v>
      </c>
      <c r="N148" s="613">
        <f t="shared" ca="1" si="63"/>
        <v>4248781.8647111077</v>
      </c>
      <c r="O148" s="613">
        <f t="shared" ca="1" si="63"/>
        <v>4248781.8647111077</v>
      </c>
      <c r="P148" s="613">
        <f t="shared" ca="1" si="63"/>
        <v>4248781.8647111077</v>
      </c>
      <c r="Q148" s="613">
        <f t="shared" ref="Q148:AB148" ca="1" si="64">SUM(Q143:Q147)</f>
        <v>4248781.8647111077</v>
      </c>
      <c r="R148" s="613">
        <f t="shared" ca="1" si="64"/>
        <v>4248781.8647111077</v>
      </c>
      <c r="S148" s="613">
        <f t="shared" ca="1" si="64"/>
        <v>4248781.8647111077</v>
      </c>
      <c r="T148" s="613">
        <f t="shared" ca="1" si="64"/>
        <v>4248781.8647111077</v>
      </c>
      <c r="U148" s="613">
        <f t="shared" ca="1" si="64"/>
        <v>4248781.8647111077</v>
      </c>
      <c r="V148" s="613">
        <f t="shared" ca="1" si="64"/>
        <v>4248781.8647111077</v>
      </c>
      <c r="W148" s="613">
        <f t="shared" ca="1" si="64"/>
        <v>4248781.8647111077</v>
      </c>
      <c r="X148" s="613">
        <f t="shared" ca="1" si="64"/>
        <v>4248781.8647111077</v>
      </c>
      <c r="Y148" s="613">
        <f t="shared" ca="1" si="64"/>
        <v>4248781.8647111077</v>
      </c>
      <c r="Z148" s="613">
        <f t="shared" ca="1" si="64"/>
        <v>4248781.8647111077</v>
      </c>
      <c r="AA148" s="613">
        <f t="shared" ca="1" si="64"/>
        <v>4248781.8647111077</v>
      </c>
      <c r="AB148" s="613">
        <f t="shared" ca="1" si="64"/>
        <v>737391690.66375458</v>
      </c>
      <c r="AC148" s="613">
        <f>SUM(AC143:AC147)</f>
        <v>0</v>
      </c>
      <c r="AD148" s="613">
        <f ca="1">SUM(AD143:AD147)</f>
        <v>833560029.54165471</v>
      </c>
    </row>
    <row r="149" spans="1:30" outlineLevel="2" x14ac:dyDescent="0.45">
      <c r="B149" s="597" t="str">
        <f t="shared" si="60"/>
        <v>Sales</v>
      </c>
      <c r="F149" s="615"/>
      <c r="G149" s="615"/>
      <c r="H149" s="615"/>
      <c r="I149" s="615"/>
      <c r="J149" s="615"/>
      <c r="K149" s="615"/>
      <c r="L149" s="615"/>
      <c r="M149" s="615"/>
      <c r="N149" s="615"/>
      <c r="O149" s="615"/>
      <c r="P149" s="615"/>
      <c r="Q149" s="615"/>
      <c r="R149" s="615"/>
      <c r="S149" s="615"/>
      <c r="T149" s="615"/>
      <c r="U149" s="615"/>
      <c r="V149" s="615"/>
      <c r="W149" s="615"/>
      <c r="X149" s="615"/>
      <c r="Y149" s="615"/>
      <c r="Z149" s="615"/>
      <c r="AA149" s="615"/>
      <c r="AB149" s="648"/>
      <c r="AC149" s="615"/>
      <c r="AD149" s="615"/>
    </row>
    <row r="150" spans="1:30" outlineLevel="2" x14ac:dyDescent="0.45">
      <c r="A150" s="1115"/>
      <c r="B150" s="597" t="str">
        <f t="shared" si="60"/>
        <v>Sales</v>
      </c>
      <c r="F150" s="615"/>
      <c r="G150" s="615"/>
      <c r="H150" s="615"/>
      <c r="I150" s="615"/>
      <c r="J150" s="615"/>
      <c r="K150" s="615"/>
      <c r="L150" s="615"/>
      <c r="M150" s="615"/>
      <c r="N150" s="615"/>
      <c r="O150" s="615"/>
      <c r="P150" s="615"/>
      <c r="Q150" s="615"/>
      <c r="R150" s="615"/>
      <c r="S150" s="615"/>
      <c r="T150" s="615"/>
      <c r="U150" s="615"/>
      <c r="V150" s="615"/>
      <c r="W150" s="615"/>
      <c r="X150" s="615"/>
      <c r="Y150" s="615"/>
      <c r="Z150" s="615"/>
      <c r="AA150" s="648"/>
      <c r="AB150" s="615"/>
      <c r="AC150" s="615"/>
      <c r="AD150" s="615"/>
    </row>
    <row r="151" spans="1:30" outlineLevel="2" x14ac:dyDescent="0.45">
      <c r="A151" s="1115"/>
      <c r="B151" s="597" t="str">
        <f t="shared" si="60"/>
        <v>Sales</v>
      </c>
      <c r="C151" s="451">
        <f>C142+1</f>
        <v>14</v>
      </c>
      <c r="D151" s="451" t="s">
        <v>1535</v>
      </c>
      <c r="F151" s="615"/>
      <c r="G151" s="615"/>
      <c r="H151" s="615"/>
      <c r="I151" s="615"/>
      <c r="J151" s="615"/>
      <c r="K151" s="615"/>
      <c r="L151" s="615"/>
      <c r="M151" s="615"/>
      <c r="N151" s="615"/>
      <c r="O151" s="615"/>
      <c r="P151" s="615"/>
      <c r="Q151" s="615"/>
      <c r="R151" s="615"/>
      <c r="S151" s="615"/>
      <c r="T151" s="615"/>
      <c r="U151" s="615"/>
      <c r="V151" s="615"/>
      <c r="W151" s="615"/>
      <c r="X151" s="615"/>
      <c r="Y151" s="615"/>
      <c r="Z151" s="615"/>
      <c r="AA151" s="615"/>
      <c r="AB151" s="615"/>
      <c r="AC151" s="615"/>
      <c r="AD151" s="615"/>
    </row>
    <row r="152" spans="1:30" outlineLevel="2" x14ac:dyDescent="0.45">
      <c r="A152" s="1115"/>
      <c r="B152" s="597" t="str">
        <f t="shared" si="60"/>
        <v>Sales</v>
      </c>
      <c r="D152" s="583" t="str">
        <f>'12. Inputs-Props &amp; Debtors 2016'!C$77</f>
        <v>EC</v>
      </c>
      <c r="F152" s="615"/>
      <c r="G152" s="615"/>
      <c r="H152" s="615"/>
      <c r="I152" s="1116"/>
      <c r="J152" s="615">
        <f>IF(AND('5. Dashboard Live'!$AA$19='14. Permanent Info'!$M$7,J$4&lt;($K$4+'5. Dashboard Live'!$AA$16)),0,IF(AND('5. Dashboard Live'!$AA$19='14. Permanent Info'!$N$7,J$4&lt;($K$4+'5. Dashboard Live'!$AA$16)),J106*J124*J170,IF(J$4=($K$4+'5. Dashboard Live'!$AA$16),SUMPRODUCT($J170:J170,$J106:J106),IF(J$4&gt;=+'5. Dashboard Live'!$C$203,0))))</f>
        <v>0</v>
      </c>
      <c r="K152" s="615">
        <f>IF(AND('5. Dashboard Live'!$AA$19='14. Permanent Info'!$M$7,K$4&lt;($K$4+'5. Dashboard Live'!$AA$16)),0,IF(AND('5. Dashboard Live'!$AA$19='14. Permanent Info'!$N$7,K$4&lt;($K$4+'5. Dashboard Live'!$AA$16)),K106*K124*K170,IF(K$4=($K$4+'5. Dashboard Live'!$AA$16),SUMPRODUCT($J170:K170,$J106:K106),IF(K$4&gt;=+'5. Dashboard Live'!$C$203,0))))</f>
        <v>0</v>
      </c>
      <c r="L152" s="615">
        <f>IF(AND('5. Dashboard Live'!$AA$19='14. Permanent Info'!$M$7,L$4&lt;($K$4+'5. Dashboard Live'!$AA$16)),0,IF(AND('5. Dashboard Live'!$AA$19='14. Permanent Info'!$N$7,L$4&lt;($K$4+'5. Dashboard Live'!$AA$16)),L106*L124*L170,IF(L$4=($K$4+'5. Dashboard Live'!$AA$16),SUMPRODUCT($J170:L170,$J106:L106),IF(L$4&gt;=+'5. Dashboard Live'!$C$203,0))))</f>
        <v>0</v>
      </c>
      <c r="M152" s="615">
        <f>IF(AND('5. Dashboard Live'!$AA$19='14. Permanent Info'!$M$7,M$4&lt;($K$4+'5. Dashboard Live'!$AA$16)),0,IF(AND('5. Dashboard Live'!$AA$19='14. Permanent Info'!$N$7,M$4&lt;($K$4+'5. Dashboard Live'!$AA$16)),M106*M124*M170,IF(M$4=($K$4+'5. Dashboard Live'!$AA$16),SUMPRODUCT($J170:M170,$J106:M106),IF(M$4&gt;=+'5. Dashboard Live'!$C$203,0))))</f>
        <v>0</v>
      </c>
      <c r="N152" s="615">
        <f>IF(AND('5. Dashboard Live'!$AA$19='14. Permanent Info'!$M$7,N$4&lt;($K$4+'5. Dashboard Live'!$AA$16)),0,IF(AND('5. Dashboard Live'!$AA$19='14. Permanent Info'!$N$7,N$4&lt;($K$4+'5. Dashboard Live'!$AA$16)),N106*N124*N170,IF(N$4=($K$4+'5. Dashboard Live'!$AA$16),SUMPRODUCT($J170:N170,$J106:N106),IF(N$4&gt;=+'5. Dashboard Live'!$C$203,0))))</f>
        <v>0</v>
      </c>
      <c r="O152" s="615">
        <f>IF(AND('5. Dashboard Live'!$AA$19='14. Permanent Info'!$M$7,O$4&lt;($K$4+'5. Dashboard Live'!$AA$16)),0,IF(AND('5. Dashboard Live'!$AA$19='14. Permanent Info'!$N$7,O$4&lt;($K$4+'5. Dashboard Live'!$AA$16)),O106*O124*O170,IF(O$4=($K$4+'5. Dashboard Live'!$AA$16),SUMPRODUCT($J170:O170,$J106:O106),IF(O$4&gt;=+'5. Dashboard Live'!$C$203,0))))</f>
        <v>0</v>
      </c>
      <c r="P152" s="615">
        <f>IF(AND('5. Dashboard Live'!$AA$19='14. Permanent Info'!$M$7,P$4&lt;($K$4+'5. Dashboard Live'!$AA$16)),0,IF(AND('5. Dashboard Live'!$AA$19='14. Permanent Info'!$N$7,P$4&lt;($K$4+'5. Dashboard Live'!$AA$16)),P106*P124*P170,IF(P$4=($K$4+'5. Dashboard Live'!$AA$16),SUMPRODUCT($J170:P170,$J106:P106),IF(P$4&gt;=+'5. Dashboard Live'!$C$203,0))))</f>
        <v>0</v>
      </c>
      <c r="Q152" s="615">
        <f>IF(AND('5. Dashboard Live'!$AA$19='14. Permanent Info'!$M$7,Q$4&lt;($K$4+'5. Dashboard Live'!$AA$16)),0,IF(AND('5. Dashboard Live'!$AA$19='14. Permanent Info'!$N$7,Q$4&lt;($K$4+'5. Dashboard Live'!$AA$16)),Q106*Q124*Q170,IF(Q$4=($K$4+'5. Dashboard Live'!$AA$16),SUMPRODUCT($J170:Q170,$J106:Q106),IF(Q$4&gt;=+'5. Dashboard Live'!$C$203,0))))</f>
        <v>0</v>
      </c>
      <c r="R152" s="615">
        <f>IF(AND('5. Dashboard Live'!$AA$19='14. Permanent Info'!$M$7,R$4&lt;($K$4+'5. Dashboard Live'!$AA$16)),0,IF(AND('5. Dashboard Live'!$AA$19='14. Permanent Info'!$N$7,R$4&lt;($K$4+'5. Dashboard Live'!$AA$16)),R106*R124*R170,IF(R$4=($K$4+'5. Dashboard Live'!$AA$16),SUMPRODUCT($J170:R170,$J106:R106),IF(R$4&gt;=+'5. Dashboard Live'!$C$203,0))))</f>
        <v>0</v>
      </c>
      <c r="S152" s="615">
        <f>IF(AND('5. Dashboard Live'!$AA$19='14. Permanent Info'!$M$7,S$4&lt;($K$4+'5. Dashboard Live'!$AA$16)),0,IF(AND('5. Dashboard Live'!$AA$19='14. Permanent Info'!$N$7,S$4&lt;($K$4+'5. Dashboard Live'!$AA$16)),S106*S124*S170,IF(S$4=($K$4+'5. Dashboard Live'!$AA$16),SUMPRODUCT($J170:S170,$J106:S106),IF(S$4&gt;=+'5. Dashboard Live'!$C$203,0))))</f>
        <v>0</v>
      </c>
      <c r="T152" s="615">
        <f>IF(AND('5. Dashboard Live'!$AA$19='14. Permanent Info'!$M$7,T$4&lt;($K$4+'5. Dashboard Live'!$AA$16)),0,IF(AND('5. Dashboard Live'!$AA$19='14. Permanent Info'!$N$7,T$4&lt;($K$4+'5. Dashboard Live'!$AA$16)),T106*T124*T170,IF(T$4=($K$4+'5. Dashboard Live'!$AA$16),SUMPRODUCT($J170:T170,$J106:T106),IF(T$4&gt;=+'5. Dashboard Live'!$C$203,0))))</f>
        <v>0</v>
      </c>
      <c r="U152" s="615">
        <f>IF(AND('5. Dashboard Live'!$AA$19='14. Permanent Info'!$M$7,U$4&lt;($K$4+'5. Dashboard Live'!$AA$16)),0,IF(AND('5. Dashboard Live'!$AA$19='14. Permanent Info'!$N$7,U$4&lt;($K$4+'5. Dashboard Live'!$AA$16)),U106*U124*U170,IF(U$4=($K$4+'5. Dashboard Live'!$AA$16),SUMPRODUCT($J170:U170,$J106:U106),IF(U$4&gt;=+'5. Dashboard Live'!$C$203,0))))</f>
        <v>0</v>
      </c>
      <c r="V152" s="615">
        <f>IF(AND('5. Dashboard Live'!$AA$19='14. Permanent Info'!$M$7,V$4&lt;($K$4+'5. Dashboard Live'!$AA$16)),0,IF(AND('5. Dashboard Live'!$AA$19='14. Permanent Info'!$N$7,V$4&lt;($K$4+'5. Dashboard Live'!$AA$16)),V106*V124*V170,IF(V$4=($K$4+'5. Dashboard Live'!$AA$16),SUMPRODUCT($J170:V170,$J106:V106),IF(V$4&gt;=+'5. Dashboard Live'!$C$203,0))))</f>
        <v>0</v>
      </c>
      <c r="W152" s="615">
        <f>IF(AND('5. Dashboard Live'!$AA$19='14. Permanent Info'!$M$7,W$4&lt;($K$4+'5. Dashboard Live'!$AA$16)),0,IF(AND('5. Dashboard Live'!$AA$19='14. Permanent Info'!$N$7,W$4&lt;($K$4+'5. Dashboard Live'!$AA$16)),W106*W124*W170,IF(W$4=($K$4+'5. Dashboard Live'!$AA$16),SUMPRODUCT($J170:W170,$J106:W106),IF(W$4&gt;=+'5. Dashboard Live'!$C$203,0))))</f>
        <v>0</v>
      </c>
      <c r="X152" s="615">
        <f>IF(AND('5. Dashboard Live'!$AA$19='14. Permanent Info'!$M$7,X$4&lt;($K$4+'5. Dashboard Live'!$AA$16)),0,IF(AND('5. Dashboard Live'!$AA$19='14. Permanent Info'!$N$7,X$4&lt;($K$4+'5. Dashboard Live'!$AA$16)),X106*X124*X170,IF(X$4=($K$4+'5. Dashboard Live'!$AA$16),SUMPRODUCT($J170:X170,$J106:X106),IF(X$4&gt;=+'5. Dashboard Live'!$C$203,0))))</f>
        <v>0</v>
      </c>
      <c r="Y152" s="615">
        <f>IF(AND('5. Dashboard Live'!$AA$19='14. Permanent Info'!$M$7,Y$4&lt;($K$4+'5. Dashboard Live'!$AA$16)),0,IF(AND('5. Dashboard Live'!$AA$19='14. Permanent Info'!$N$7,Y$4&lt;($K$4+'5. Dashboard Live'!$AA$16)),Y106*Y124*Y170,IF(Y$4=($K$4+'5. Dashboard Live'!$AA$16),SUMPRODUCT($J170:Y170,$J106:Y106),IF(Y$4&gt;=+'5. Dashboard Live'!$C$203,0))))</f>
        <v>0</v>
      </c>
      <c r="Z152" s="615">
        <f>IF(AND('5. Dashboard Live'!$AA$19='14. Permanent Info'!$M$7,Z$4&lt;($K$4+'5. Dashboard Live'!$AA$16)),0,IF(AND('5. Dashboard Live'!$AA$19='14. Permanent Info'!$N$7,Z$4&lt;($K$4+'5. Dashboard Live'!$AA$16)),Z106*Z124*Z170,IF(Z$4=($K$4+'5. Dashboard Live'!$AA$16),SUMPRODUCT($J170:Z170,$J106:Z106),IF(Z$4&gt;=+'5. Dashboard Live'!$C$203,0))))</f>
        <v>0</v>
      </c>
      <c r="AA152" s="615">
        <f>IF(AND('5. Dashboard Live'!$AA$19='14. Permanent Info'!$M$7,AA$4&lt;($K$4+'5. Dashboard Live'!$AA$16)),0,IF(AND('5. Dashboard Live'!$AA$19='14. Permanent Info'!$N$7,AA$4&lt;($K$4+'5. Dashboard Live'!$AA$16)),AA106*AA124*AA170,IF(AA$4=($K$4+'5. Dashboard Live'!$AA$16),SUMPRODUCT($J170:AA170,$J106:AA106),IF(AA$4&gt;=+'5. Dashboard Live'!$C$203,0))))</f>
        <v>0</v>
      </c>
      <c r="AB152" s="615">
        <f>IF(AND('5. Dashboard Live'!$AA$19='14. Permanent Info'!$M$7,AB$4&lt;($K$4+'5. Dashboard Live'!$AA$16)),0,IF(AND('5. Dashboard Live'!$AA$19='14. Permanent Info'!$N$7,AB$4&lt;($K$4+'5. Dashboard Live'!$AA$16)),AB106*AB124*AB170,IF(AB$4=($K$4+'5. Dashboard Live'!$AA$16),SUMPRODUCT($J170:AB170,$J106:AB106),IF(AB$4&gt;=+'5. Dashboard Live'!$C$203,0))))</f>
        <v>-15712833.261052631</v>
      </c>
      <c r="AC152" s="615">
        <f>IF(AND('5. Dashboard Live'!$AA$19='14. Permanent Info'!$M$7,AC$4&lt;($K$4+'5. Dashboard Live'!$AA$16)),0,IF(AND('5. Dashboard Live'!$AA$19='14. Permanent Info'!$N$7,AC$4&lt;($K$4+'5. Dashboard Live'!$AA$16)),AC106*AC124*AC170,IF(AC$4=($K$4+'5. Dashboard Live'!$AA$16),SUMPRODUCT($J170:AC170,$J106:AC106),IF(AC$4&gt;=+'5. Dashboard Live'!$C$203,0))))</f>
        <v>0</v>
      </c>
      <c r="AD152" s="615">
        <f>SUM(J152:AC152)</f>
        <v>-15712833.261052631</v>
      </c>
    </row>
    <row r="153" spans="1:30" outlineLevel="2" x14ac:dyDescent="0.45">
      <c r="A153" s="1115"/>
      <c r="B153" s="597" t="str">
        <f t="shared" si="60"/>
        <v>Sales</v>
      </c>
      <c r="D153" s="583" t="str">
        <f>'12. Inputs-Props &amp; Debtors 2016'!C$78</f>
        <v>FS</v>
      </c>
      <c r="F153" s="615"/>
      <c r="G153" s="615"/>
      <c r="H153" s="615"/>
      <c r="I153" s="1116"/>
      <c r="J153" s="615">
        <f>IF(AND('5. Dashboard Live'!$AA$19='14. Permanent Info'!$M$7,J$4&lt;($K$4+'5. Dashboard Live'!$AA$16)),0,IF(AND('5. Dashboard Live'!$AA$19='14. Permanent Info'!$N$7,J$4&lt;($K$4+'5. Dashboard Live'!$AA$16)),J107*J125*J171,IF(J$4=($K$4+'5. Dashboard Live'!$AA$16),SUMPRODUCT($J171:J171,$J107:J107),IF(J$4&gt;=+'5. Dashboard Live'!$C$203,0))))</f>
        <v>0</v>
      </c>
      <c r="K153" s="615">
        <f>IF(AND('5. Dashboard Live'!$AA$19='14. Permanent Info'!$M$7,K$4&lt;($K$4+'5. Dashboard Live'!$AA$16)),0,IF(AND('5. Dashboard Live'!$AA$19='14. Permanent Info'!$N$7,K$4&lt;($K$4+'5. Dashboard Live'!$AA$16)),K107*K125*K171,IF(K$4=($K$4+'5. Dashboard Live'!$AA$16),SUMPRODUCT($J171:K171,$J107:K107),IF(K$4&gt;=+'5. Dashboard Live'!$C$203,0))))</f>
        <v>0</v>
      </c>
      <c r="L153" s="615">
        <f>IF(AND('5. Dashboard Live'!$AA$19='14. Permanent Info'!$M$7,L$4&lt;($K$4+'5. Dashboard Live'!$AA$16)),0,IF(AND('5. Dashboard Live'!$AA$19='14. Permanent Info'!$N$7,L$4&lt;($K$4+'5. Dashboard Live'!$AA$16)),L107*L125*L171,IF(L$4=($K$4+'5. Dashboard Live'!$AA$16),SUMPRODUCT($J171:L171,$J107:L107),IF(L$4&gt;=+'5. Dashboard Live'!$C$203,0))))</f>
        <v>0</v>
      </c>
      <c r="M153" s="615">
        <f>IF(AND('5. Dashboard Live'!$AA$19='14. Permanent Info'!$M$7,M$4&lt;($K$4+'5. Dashboard Live'!$AA$16)),0,IF(AND('5. Dashboard Live'!$AA$19='14. Permanent Info'!$N$7,M$4&lt;($K$4+'5. Dashboard Live'!$AA$16)),M107*M125*M171,IF(M$4=($K$4+'5. Dashboard Live'!$AA$16),SUMPRODUCT($J171:M171,$J107:M107),IF(M$4&gt;=+'5. Dashboard Live'!$C$203,0))))</f>
        <v>0</v>
      </c>
      <c r="N153" s="615">
        <f>IF(AND('5. Dashboard Live'!$AA$19='14. Permanent Info'!$M$7,N$4&lt;($K$4+'5. Dashboard Live'!$AA$16)),0,IF(AND('5. Dashboard Live'!$AA$19='14. Permanent Info'!$N$7,N$4&lt;($K$4+'5. Dashboard Live'!$AA$16)),N107*N125*N171,IF(N$4=($K$4+'5. Dashboard Live'!$AA$16),SUMPRODUCT($J171:N171,$J107:N107),IF(N$4&gt;=+'5. Dashboard Live'!$C$203,0))))</f>
        <v>0</v>
      </c>
      <c r="O153" s="615">
        <f>IF(AND('5. Dashboard Live'!$AA$19='14. Permanent Info'!$M$7,O$4&lt;($K$4+'5. Dashboard Live'!$AA$16)),0,IF(AND('5. Dashboard Live'!$AA$19='14. Permanent Info'!$N$7,O$4&lt;($K$4+'5. Dashboard Live'!$AA$16)),O107*O125*O171,IF(O$4=($K$4+'5. Dashboard Live'!$AA$16),SUMPRODUCT($J171:O171,$J107:O107),IF(O$4&gt;=+'5. Dashboard Live'!$C$203,0))))</f>
        <v>0</v>
      </c>
      <c r="P153" s="615">
        <f>IF(AND('5. Dashboard Live'!$AA$19='14. Permanent Info'!$M$7,P$4&lt;($K$4+'5. Dashboard Live'!$AA$16)),0,IF(AND('5. Dashboard Live'!$AA$19='14. Permanent Info'!$N$7,P$4&lt;($K$4+'5. Dashboard Live'!$AA$16)),P107*P125*P171,IF(P$4=($K$4+'5. Dashboard Live'!$AA$16),SUMPRODUCT($J171:P171,$J107:P107),IF(P$4&gt;=+'5. Dashboard Live'!$C$203,0))))</f>
        <v>0</v>
      </c>
      <c r="Q153" s="615">
        <f>IF(AND('5. Dashboard Live'!$AA$19='14. Permanent Info'!$M$7,Q$4&lt;($K$4+'5. Dashboard Live'!$AA$16)),0,IF(AND('5. Dashboard Live'!$AA$19='14. Permanent Info'!$N$7,Q$4&lt;($K$4+'5. Dashboard Live'!$AA$16)),Q107*Q125*Q171,IF(Q$4=($K$4+'5. Dashboard Live'!$AA$16),SUMPRODUCT($J171:Q171,$J107:Q107),IF(Q$4&gt;=+'5. Dashboard Live'!$C$203,0))))</f>
        <v>0</v>
      </c>
      <c r="R153" s="615">
        <f>IF(AND('5. Dashboard Live'!$AA$19='14. Permanent Info'!$M$7,R$4&lt;($K$4+'5. Dashboard Live'!$AA$16)),0,IF(AND('5. Dashboard Live'!$AA$19='14. Permanent Info'!$N$7,R$4&lt;($K$4+'5. Dashboard Live'!$AA$16)),R107*R125*R171,IF(R$4=($K$4+'5. Dashboard Live'!$AA$16),SUMPRODUCT($J171:R171,$J107:R107),IF(R$4&gt;=+'5. Dashboard Live'!$C$203,0))))</f>
        <v>0</v>
      </c>
      <c r="S153" s="615">
        <f>IF(AND('5. Dashboard Live'!$AA$19='14. Permanent Info'!$M$7,S$4&lt;($K$4+'5. Dashboard Live'!$AA$16)),0,IF(AND('5. Dashboard Live'!$AA$19='14. Permanent Info'!$N$7,S$4&lt;($K$4+'5. Dashboard Live'!$AA$16)),S107*S125*S171,IF(S$4=($K$4+'5. Dashboard Live'!$AA$16),SUMPRODUCT($J171:S171,$J107:S107),IF(S$4&gt;=+'5. Dashboard Live'!$C$203,0))))</f>
        <v>0</v>
      </c>
      <c r="T153" s="615">
        <f>IF(AND('5. Dashboard Live'!$AA$19='14. Permanent Info'!$M$7,T$4&lt;($K$4+'5. Dashboard Live'!$AA$16)),0,IF(AND('5. Dashboard Live'!$AA$19='14. Permanent Info'!$N$7,T$4&lt;($K$4+'5. Dashboard Live'!$AA$16)),T107*T125*T171,IF(T$4=($K$4+'5. Dashboard Live'!$AA$16),SUMPRODUCT($J171:T171,$J107:T107),IF(T$4&gt;=+'5. Dashboard Live'!$C$203,0))))</f>
        <v>0</v>
      </c>
      <c r="U153" s="615">
        <f>IF(AND('5. Dashboard Live'!$AA$19='14. Permanent Info'!$M$7,U$4&lt;($K$4+'5. Dashboard Live'!$AA$16)),0,IF(AND('5. Dashboard Live'!$AA$19='14. Permanent Info'!$N$7,U$4&lt;($K$4+'5. Dashboard Live'!$AA$16)),U107*U125*U171,IF(U$4=($K$4+'5. Dashboard Live'!$AA$16),SUMPRODUCT($J171:U171,$J107:U107),IF(U$4&gt;=+'5. Dashboard Live'!$C$203,0))))</f>
        <v>0</v>
      </c>
      <c r="V153" s="615">
        <f>IF(AND('5. Dashboard Live'!$AA$19='14. Permanent Info'!$M$7,V$4&lt;($K$4+'5. Dashboard Live'!$AA$16)),0,IF(AND('5. Dashboard Live'!$AA$19='14. Permanent Info'!$N$7,V$4&lt;($K$4+'5. Dashboard Live'!$AA$16)),V107*V125*V171,IF(V$4=($K$4+'5. Dashboard Live'!$AA$16),SUMPRODUCT($J171:V171,$J107:V107),IF(V$4&gt;=+'5. Dashboard Live'!$C$203,0))))</f>
        <v>0</v>
      </c>
      <c r="W153" s="615">
        <f>IF(AND('5. Dashboard Live'!$AA$19='14. Permanent Info'!$M$7,W$4&lt;($K$4+'5. Dashboard Live'!$AA$16)),0,IF(AND('5. Dashboard Live'!$AA$19='14. Permanent Info'!$N$7,W$4&lt;($K$4+'5. Dashboard Live'!$AA$16)),W107*W125*W171,IF(W$4=($K$4+'5. Dashboard Live'!$AA$16),SUMPRODUCT($J171:W171,$J107:W107),IF(W$4&gt;=+'5. Dashboard Live'!$C$203,0))))</f>
        <v>0</v>
      </c>
      <c r="X153" s="615">
        <f>IF(AND('5. Dashboard Live'!$AA$19='14. Permanent Info'!$M$7,X$4&lt;($K$4+'5. Dashboard Live'!$AA$16)),0,IF(AND('5. Dashboard Live'!$AA$19='14. Permanent Info'!$N$7,X$4&lt;($K$4+'5. Dashboard Live'!$AA$16)),X107*X125*X171,IF(X$4=($K$4+'5. Dashboard Live'!$AA$16),SUMPRODUCT($J171:X171,$J107:X107),IF(X$4&gt;=+'5. Dashboard Live'!$C$203,0))))</f>
        <v>0</v>
      </c>
      <c r="Y153" s="615">
        <f>IF(AND('5. Dashboard Live'!$AA$19='14. Permanent Info'!$M$7,Y$4&lt;($K$4+'5. Dashboard Live'!$AA$16)),0,IF(AND('5. Dashboard Live'!$AA$19='14. Permanent Info'!$N$7,Y$4&lt;($K$4+'5. Dashboard Live'!$AA$16)),Y107*Y125*Y171,IF(Y$4=($K$4+'5. Dashboard Live'!$AA$16),SUMPRODUCT($J171:Y171,$J107:Y107),IF(Y$4&gt;=+'5. Dashboard Live'!$C$203,0))))</f>
        <v>0</v>
      </c>
      <c r="Z153" s="615">
        <f>IF(AND('5. Dashboard Live'!$AA$19='14. Permanent Info'!$M$7,Z$4&lt;($K$4+'5. Dashboard Live'!$AA$16)),0,IF(AND('5. Dashboard Live'!$AA$19='14. Permanent Info'!$N$7,Z$4&lt;($K$4+'5. Dashboard Live'!$AA$16)),Z107*Z125*Z171,IF(Z$4=($K$4+'5. Dashboard Live'!$AA$16),SUMPRODUCT($J171:Z171,$J107:Z107),IF(Z$4&gt;=+'5. Dashboard Live'!$C$203,0))))</f>
        <v>0</v>
      </c>
      <c r="AA153" s="615">
        <f>IF(AND('5. Dashboard Live'!$AA$19='14. Permanent Info'!$M$7,AA$4&lt;($K$4+'5. Dashboard Live'!$AA$16)),0,IF(AND('5. Dashboard Live'!$AA$19='14. Permanent Info'!$N$7,AA$4&lt;($K$4+'5. Dashboard Live'!$AA$16)),AA107*AA125*AA171,IF(AA$4=($K$4+'5. Dashboard Live'!$AA$16),SUMPRODUCT($J171:AA171,$J107:AA107),IF(AA$4&gt;=+'5. Dashboard Live'!$C$203,0))))</f>
        <v>0</v>
      </c>
      <c r="AB153" s="615">
        <f>IF(AND('5. Dashboard Live'!$AA$19='14. Permanent Info'!$M$7,AB$4&lt;($K$4+'5. Dashboard Live'!$AA$16)),0,IF(AND('5. Dashboard Live'!$AA$19='14. Permanent Info'!$N$7,AB$4&lt;($K$4+'5. Dashboard Live'!$AA$16)),AB107*AB125*AB171,IF(AB$4=($K$4+'5. Dashboard Live'!$AA$16),SUMPRODUCT($J171:AB171,$J107:AB107),IF(AB$4&gt;=+'5. Dashboard Live'!$C$203,0))))</f>
        <v>-1718599.0499999998</v>
      </c>
      <c r="AC153" s="615">
        <f>IF(AND('5. Dashboard Live'!$AA$19='14. Permanent Info'!$M$7,AC$4&lt;($K$4+'5. Dashboard Live'!$AA$16)),0,IF(AND('5. Dashboard Live'!$AA$19='14. Permanent Info'!$N$7,AC$4&lt;($K$4+'5. Dashboard Live'!$AA$16)),AC107*AC125*AC171,IF(AC$4=($K$4+'5. Dashboard Live'!$AA$16),SUMPRODUCT($J171:AC171,$J107:AC107),IF(AC$4&gt;=+'5. Dashboard Live'!$C$203,0))))</f>
        <v>0</v>
      </c>
      <c r="AD153" s="615">
        <f>SUM(J153:AC153)</f>
        <v>-1718599.0499999998</v>
      </c>
    </row>
    <row r="154" spans="1:30" outlineLevel="2" x14ac:dyDescent="0.45">
      <c r="A154" s="1115"/>
      <c r="B154" s="597" t="str">
        <f t="shared" si="60"/>
        <v>Sales</v>
      </c>
      <c r="D154" s="583" t="str">
        <f>'12. Inputs-Props &amp; Debtors 2016'!C$79</f>
        <v>Gau</v>
      </c>
      <c r="F154" s="615"/>
      <c r="G154" s="615"/>
      <c r="H154" s="615"/>
      <c r="I154" s="1116"/>
      <c r="J154" s="615">
        <f>IF(AND('5. Dashboard Live'!$AA$19='14. Permanent Info'!$M$7,J$4&lt;($K$4+'5. Dashboard Live'!$AA$16)),0,IF(AND('5. Dashboard Live'!$AA$19='14. Permanent Info'!$N$7,J$4&lt;($K$4+'5. Dashboard Live'!$AA$16)),J108*J126*J172,IF(J$4=($K$4+'5. Dashboard Live'!$AA$16),SUMPRODUCT($J172:J172,$J108:J108),IF(J$4&gt;=+'5. Dashboard Live'!$C$203,0))))</f>
        <v>0</v>
      </c>
      <c r="K154" s="615">
        <f>IF(AND('5. Dashboard Live'!$AA$19='14. Permanent Info'!$M$7,K$4&lt;($K$4+'5. Dashboard Live'!$AA$16)),0,IF(AND('5. Dashboard Live'!$AA$19='14. Permanent Info'!$N$7,K$4&lt;($K$4+'5. Dashboard Live'!$AA$16)),K108*K126*K172,IF(K$4=($K$4+'5. Dashboard Live'!$AA$16),SUMPRODUCT($J172:K172,$J108:K108),IF(K$4&gt;=+'5. Dashboard Live'!$C$203,0))))</f>
        <v>0</v>
      </c>
      <c r="L154" s="615">
        <f>IF(AND('5. Dashboard Live'!$AA$19='14. Permanent Info'!$M$7,L$4&lt;($K$4+'5. Dashboard Live'!$AA$16)),0,IF(AND('5. Dashboard Live'!$AA$19='14. Permanent Info'!$N$7,L$4&lt;($K$4+'5. Dashboard Live'!$AA$16)),L108*L126*L172,IF(L$4=($K$4+'5. Dashboard Live'!$AA$16),SUMPRODUCT($J172:L172,$J108:L108),IF(L$4&gt;=+'5. Dashboard Live'!$C$203,0))))</f>
        <v>0</v>
      </c>
      <c r="M154" s="615">
        <f>IF(AND('5. Dashboard Live'!$AA$19='14. Permanent Info'!$M$7,M$4&lt;($K$4+'5. Dashboard Live'!$AA$16)),0,IF(AND('5. Dashboard Live'!$AA$19='14. Permanent Info'!$N$7,M$4&lt;($K$4+'5. Dashboard Live'!$AA$16)),M108*M126*M172,IF(M$4=($K$4+'5. Dashboard Live'!$AA$16),SUMPRODUCT($J172:M172,$J108:M108),IF(M$4&gt;=+'5. Dashboard Live'!$C$203,0))))</f>
        <v>0</v>
      </c>
      <c r="N154" s="615">
        <f>IF(AND('5. Dashboard Live'!$AA$19='14. Permanent Info'!$M$7,N$4&lt;($K$4+'5. Dashboard Live'!$AA$16)),0,IF(AND('5. Dashboard Live'!$AA$19='14. Permanent Info'!$N$7,N$4&lt;($K$4+'5. Dashboard Live'!$AA$16)),N108*N126*N172,IF(N$4=($K$4+'5. Dashboard Live'!$AA$16),SUMPRODUCT($J172:N172,$J108:N108),IF(N$4&gt;=+'5. Dashboard Live'!$C$203,0))))</f>
        <v>0</v>
      </c>
      <c r="O154" s="615">
        <f>IF(AND('5. Dashboard Live'!$AA$19='14. Permanent Info'!$M$7,O$4&lt;($K$4+'5. Dashboard Live'!$AA$16)),0,IF(AND('5. Dashboard Live'!$AA$19='14. Permanent Info'!$N$7,O$4&lt;($K$4+'5. Dashboard Live'!$AA$16)),O108*O126*O172,IF(O$4=($K$4+'5. Dashboard Live'!$AA$16),SUMPRODUCT($J172:O172,$J108:O108),IF(O$4&gt;=+'5. Dashboard Live'!$C$203,0))))</f>
        <v>0</v>
      </c>
      <c r="P154" s="615">
        <f>IF(AND('5. Dashboard Live'!$AA$19='14. Permanent Info'!$M$7,P$4&lt;($K$4+'5. Dashboard Live'!$AA$16)),0,IF(AND('5. Dashboard Live'!$AA$19='14. Permanent Info'!$N$7,P$4&lt;($K$4+'5. Dashboard Live'!$AA$16)),P108*P126*P172,IF(P$4=($K$4+'5. Dashboard Live'!$AA$16),SUMPRODUCT($J172:P172,$J108:P108),IF(P$4&gt;=+'5. Dashboard Live'!$C$203,0))))</f>
        <v>0</v>
      </c>
      <c r="Q154" s="615">
        <f>IF(AND('5. Dashboard Live'!$AA$19='14. Permanent Info'!$M$7,Q$4&lt;($K$4+'5. Dashboard Live'!$AA$16)),0,IF(AND('5. Dashboard Live'!$AA$19='14. Permanent Info'!$N$7,Q$4&lt;($K$4+'5. Dashboard Live'!$AA$16)),Q108*Q126*Q172,IF(Q$4=($K$4+'5. Dashboard Live'!$AA$16),SUMPRODUCT($J172:Q172,$J108:Q108),IF(Q$4&gt;=+'5. Dashboard Live'!$C$203,0))))</f>
        <v>0</v>
      </c>
      <c r="R154" s="615">
        <f>IF(AND('5. Dashboard Live'!$AA$19='14. Permanent Info'!$M$7,R$4&lt;($K$4+'5. Dashboard Live'!$AA$16)),0,IF(AND('5. Dashboard Live'!$AA$19='14. Permanent Info'!$N$7,R$4&lt;($K$4+'5. Dashboard Live'!$AA$16)),R108*R126*R172,IF(R$4=($K$4+'5. Dashboard Live'!$AA$16),SUMPRODUCT($J172:R172,$J108:R108),IF(R$4&gt;=+'5. Dashboard Live'!$C$203,0))))</f>
        <v>0</v>
      </c>
      <c r="S154" s="615">
        <f>IF(AND('5. Dashboard Live'!$AA$19='14. Permanent Info'!$M$7,S$4&lt;($K$4+'5. Dashboard Live'!$AA$16)),0,IF(AND('5. Dashboard Live'!$AA$19='14. Permanent Info'!$N$7,S$4&lt;($K$4+'5. Dashboard Live'!$AA$16)),S108*S126*S172,IF(S$4=($K$4+'5. Dashboard Live'!$AA$16),SUMPRODUCT($J172:S172,$J108:S108),IF(S$4&gt;=+'5. Dashboard Live'!$C$203,0))))</f>
        <v>0</v>
      </c>
      <c r="T154" s="615">
        <f>IF(AND('5. Dashboard Live'!$AA$19='14. Permanent Info'!$M$7,T$4&lt;($K$4+'5. Dashboard Live'!$AA$16)),0,IF(AND('5. Dashboard Live'!$AA$19='14. Permanent Info'!$N$7,T$4&lt;($K$4+'5. Dashboard Live'!$AA$16)),T108*T126*T172,IF(T$4=($K$4+'5. Dashboard Live'!$AA$16),SUMPRODUCT($J172:T172,$J108:T108),IF(T$4&gt;=+'5. Dashboard Live'!$C$203,0))))</f>
        <v>0</v>
      </c>
      <c r="U154" s="615">
        <f>IF(AND('5. Dashboard Live'!$AA$19='14. Permanent Info'!$M$7,U$4&lt;($K$4+'5. Dashboard Live'!$AA$16)),0,IF(AND('5. Dashboard Live'!$AA$19='14. Permanent Info'!$N$7,U$4&lt;($K$4+'5. Dashboard Live'!$AA$16)),U108*U126*U172,IF(U$4=($K$4+'5. Dashboard Live'!$AA$16),SUMPRODUCT($J172:U172,$J108:U108),IF(U$4&gt;=+'5. Dashboard Live'!$C$203,0))))</f>
        <v>0</v>
      </c>
      <c r="V154" s="615">
        <f>IF(AND('5. Dashboard Live'!$AA$19='14. Permanent Info'!$M$7,V$4&lt;($K$4+'5. Dashboard Live'!$AA$16)),0,IF(AND('5. Dashboard Live'!$AA$19='14. Permanent Info'!$N$7,V$4&lt;($K$4+'5. Dashboard Live'!$AA$16)),V108*V126*V172,IF(V$4=($K$4+'5. Dashboard Live'!$AA$16),SUMPRODUCT($J172:V172,$J108:V108),IF(V$4&gt;=+'5. Dashboard Live'!$C$203,0))))</f>
        <v>0</v>
      </c>
      <c r="W154" s="615">
        <f>IF(AND('5. Dashboard Live'!$AA$19='14. Permanent Info'!$M$7,W$4&lt;($K$4+'5. Dashboard Live'!$AA$16)),0,IF(AND('5. Dashboard Live'!$AA$19='14. Permanent Info'!$N$7,W$4&lt;($K$4+'5. Dashboard Live'!$AA$16)),W108*W126*W172,IF(W$4=($K$4+'5. Dashboard Live'!$AA$16),SUMPRODUCT($J172:W172,$J108:W108),IF(W$4&gt;=+'5. Dashboard Live'!$C$203,0))))</f>
        <v>0</v>
      </c>
      <c r="X154" s="615">
        <f>IF(AND('5. Dashboard Live'!$AA$19='14. Permanent Info'!$M$7,X$4&lt;($K$4+'5. Dashboard Live'!$AA$16)),0,IF(AND('5. Dashboard Live'!$AA$19='14. Permanent Info'!$N$7,X$4&lt;($K$4+'5. Dashboard Live'!$AA$16)),X108*X126*X172,IF(X$4=($K$4+'5. Dashboard Live'!$AA$16),SUMPRODUCT($J172:X172,$J108:X108),IF(X$4&gt;=+'5. Dashboard Live'!$C$203,0))))</f>
        <v>0</v>
      </c>
      <c r="Y154" s="615">
        <f>IF(AND('5. Dashboard Live'!$AA$19='14. Permanent Info'!$M$7,Y$4&lt;($K$4+'5. Dashboard Live'!$AA$16)),0,IF(AND('5. Dashboard Live'!$AA$19='14. Permanent Info'!$N$7,Y$4&lt;($K$4+'5. Dashboard Live'!$AA$16)),Y108*Y126*Y172,IF(Y$4=($K$4+'5. Dashboard Live'!$AA$16),SUMPRODUCT($J172:Y172,$J108:Y108),IF(Y$4&gt;=+'5. Dashboard Live'!$C$203,0))))</f>
        <v>0</v>
      </c>
      <c r="Z154" s="615">
        <f>IF(AND('5. Dashboard Live'!$AA$19='14. Permanent Info'!$M$7,Z$4&lt;($K$4+'5. Dashboard Live'!$AA$16)),0,IF(AND('5. Dashboard Live'!$AA$19='14. Permanent Info'!$N$7,Z$4&lt;($K$4+'5. Dashboard Live'!$AA$16)),Z108*Z126*Z172,IF(Z$4=($K$4+'5. Dashboard Live'!$AA$16),SUMPRODUCT($J172:Z172,$J108:Z108),IF(Z$4&gt;=+'5. Dashboard Live'!$C$203,0))))</f>
        <v>0</v>
      </c>
      <c r="AA154" s="615">
        <f>IF(AND('5. Dashboard Live'!$AA$19='14. Permanent Info'!$M$7,AA$4&lt;($K$4+'5. Dashboard Live'!$AA$16)),0,IF(AND('5. Dashboard Live'!$AA$19='14. Permanent Info'!$N$7,AA$4&lt;($K$4+'5. Dashboard Live'!$AA$16)),AA108*AA126*AA172,IF(AA$4=($K$4+'5. Dashboard Live'!$AA$16),SUMPRODUCT($J172:AA172,$J108:AA108),IF(AA$4&gt;=+'5. Dashboard Live'!$C$203,0))))</f>
        <v>0</v>
      </c>
      <c r="AB154" s="615">
        <f>IF(AND('5. Dashboard Live'!$AA$19='14. Permanent Info'!$M$7,AB$4&lt;($K$4+'5. Dashboard Live'!$AA$16)),0,IF(AND('5. Dashboard Live'!$AA$19='14. Permanent Info'!$N$7,AB$4&lt;($K$4+'5. Dashboard Live'!$AA$16)),AB108*AB126*AB172,IF(AB$4=($K$4+'5. Dashboard Live'!$AA$16),SUMPRODUCT($J172:AB172,$J108:AB108),IF(AB$4&gt;=+'5. Dashboard Live'!$C$203,0))))</f>
        <v>-327833973.66228068</v>
      </c>
      <c r="AC154" s="615">
        <f>IF(AND('5. Dashboard Live'!$AA$19='14. Permanent Info'!$M$7,AC$4&lt;($K$4+'5. Dashboard Live'!$AA$16)),0,IF(AND('5. Dashboard Live'!$AA$19='14. Permanent Info'!$N$7,AC$4&lt;($K$4+'5. Dashboard Live'!$AA$16)),AC108*AC126*AC172,IF(AC$4=($K$4+'5. Dashboard Live'!$AA$16),SUMPRODUCT($J172:AC172,$J108:AC108),IF(AC$4&gt;=+'5. Dashboard Live'!$C$203,0))))</f>
        <v>0</v>
      </c>
      <c r="AD154" s="615">
        <f>SUM(J154:AC154)</f>
        <v>-327833973.66228068</v>
      </c>
    </row>
    <row r="155" spans="1:30" outlineLevel="2" x14ac:dyDescent="0.45">
      <c r="A155" s="1115"/>
      <c r="B155" s="597" t="str">
        <f t="shared" si="60"/>
        <v>Sales</v>
      </c>
      <c r="D155" s="583" t="str">
        <f>'12. Inputs-Props &amp; Debtors 2016'!C$80</f>
        <v>KZN</v>
      </c>
      <c r="F155" s="615"/>
      <c r="G155" s="615"/>
      <c r="H155" s="615"/>
      <c r="I155" s="1116"/>
      <c r="J155" s="615">
        <f>IF(AND('5. Dashboard Live'!$AA$19='14. Permanent Info'!$M$7,J$4&lt;($K$4+'5. Dashboard Live'!$AA$16)),0,IF(AND('5. Dashboard Live'!$AA$19='14. Permanent Info'!$N$7,J$4&lt;($K$4+'5. Dashboard Live'!$AA$16)),J109*J127*J173,IF(J$4=($K$4+'5. Dashboard Live'!$AA$16),SUMPRODUCT($J173:J173,$J109:J109),IF(J$4&gt;=+'5. Dashboard Live'!$C$203,0))))</f>
        <v>0</v>
      </c>
      <c r="K155" s="615">
        <f>IF(AND('5. Dashboard Live'!$AA$19='14. Permanent Info'!$M$7,K$4&lt;($K$4+'5. Dashboard Live'!$AA$16)),0,IF(AND('5. Dashboard Live'!$AA$19='14. Permanent Info'!$N$7,K$4&lt;($K$4+'5. Dashboard Live'!$AA$16)),K109*K127*K173,IF(K$4=($K$4+'5. Dashboard Live'!$AA$16),SUMPRODUCT($J173:K173,$J109:K109),IF(K$4&gt;=+'5. Dashboard Live'!$C$203,0))))</f>
        <v>0</v>
      </c>
      <c r="L155" s="615">
        <f>IF(AND('5. Dashboard Live'!$AA$19='14. Permanent Info'!$M$7,L$4&lt;($K$4+'5. Dashboard Live'!$AA$16)),0,IF(AND('5. Dashboard Live'!$AA$19='14. Permanent Info'!$N$7,L$4&lt;($K$4+'5. Dashboard Live'!$AA$16)),L109*L127*L173,IF(L$4=($K$4+'5. Dashboard Live'!$AA$16),SUMPRODUCT($J173:L173,$J109:L109),IF(L$4&gt;=+'5. Dashboard Live'!$C$203,0))))</f>
        <v>0</v>
      </c>
      <c r="M155" s="615">
        <f>IF(AND('5. Dashboard Live'!$AA$19='14. Permanent Info'!$M$7,M$4&lt;($K$4+'5. Dashboard Live'!$AA$16)),0,IF(AND('5. Dashboard Live'!$AA$19='14. Permanent Info'!$N$7,M$4&lt;($K$4+'5. Dashboard Live'!$AA$16)),M109*M127*M173,IF(M$4=($K$4+'5. Dashboard Live'!$AA$16),SUMPRODUCT($J173:M173,$J109:M109),IF(M$4&gt;=+'5. Dashboard Live'!$C$203,0))))</f>
        <v>0</v>
      </c>
      <c r="N155" s="615">
        <f>IF(AND('5. Dashboard Live'!$AA$19='14. Permanent Info'!$M$7,N$4&lt;($K$4+'5. Dashboard Live'!$AA$16)),0,IF(AND('5. Dashboard Live'!$AA$19='14. Permanent Info'!$N$7,N$4&lt;($K$4+'5. Dashboard Live'!$AA$16)),N109*N127*N173,IF(N$4=($K$4+'5. Dashboard Live'!$AA$16),SUMPRODUCT($J173:N173,$J109:N109),IF(N$4&gt;=+'5. Dashboard Live'!$C$203,0))))</f>
        <v>0</v>
      </c>
      <c r="O155" s="615">
        <f>IF(AND('5. Dashboard Live'!$AA$19='14. Permanent Info'!$M$7,O$4&lt;($K$4+'5. Dashboard Live'!$AA$16)),0,IF(AND('5. Dashboard Live'!$AA$19='14. Permanent Info'!$N$7,O$4&lt;($K$4+'5. Dashboard Live'!$AA$16)),O109*O127*O173,IF(O$4=($K$4+'5. Dashboard Live'!$AA$16),SUMPRODUCT($J173:O173,$J109:O109),IF(O$4&gt;=+'5. Dashboard Live'!$C$203,0))))</f>
        <v>0</v>
      </c>
      <c r="P155" s="615">
        <f>IF(AND('5. Dashboard Live'!$AA$19='14. Permanent Info'!$M$7,P$4&lt;($K$4+'5. Dashboard Live'!$AA$16)),0,IF(AND('5. Dashboard Live'!$AA$19='14. Permanent Info'!$N$7,P$4&lt;($K$4+'5. Dashboard Live'!$AA$16)),P109*P127*P173,IF(P$4=($K$4+'5. Dashboard Live'!$AA$16),SUMPRODUCT($J173:P173,$J109:P109),IF(P$4&gt;=+'5. Dashboard Live'!$C$203,0))))</f>
        <v>0</v>
      </c>
      <c r="Q155" s="615">
        <f>IF(AND('5. Dashboard Live'!$AA$19='14. Permanent Info'!$M$7,Q$4&lt;($K$4+'5. Dashboard Live'!$AA$16)),0,IF(AND('5. Dashboard Live'!$AA$19='14. Permanent Info'!$N$7,Q$4&lt;($K$4+'5. Dashboard Live'!$AA$16)),Q109*Q127*Q173,IF(Q$4=($K$4+'5. Dashboard Live'!$AA$16),SUMPRODUCT($J173:Q173,$J109:Q109),IF(Q$4&gt;=+'5. Dashboard Live'!$C$203,0))))</f>
        <v>0</v>
      </c>
      <c r="R155" s="615">
        <f>IF(AND('5. Dashboard Live'!$AA$19='14. Permanent Info'!$M$7,R$4&lt;($K$4+'5. Dashboard Live'!$AA$16)),0,IF(AND('5. Dashboard Live'!$AA$19='14. Permanent Info'!$N$7,R$4&lt;($K$4+'5. Dashboard Live'!$AA$16)),R109*R127*R173,IF(R$4=($K$4+'5. Dashboard Live'!$AA$16),SUMPRODUCT($J173:R173,$J109:R109),IF(R$4&gt;=+'5. Dashboard Live'!$C$203,0))))</f>
        <v>0</v>
      </c>
      <c r="S155" s="615">
        <f>IF(AND('5. Dashboard Live'!$AA$19='14. Permanent Info'!$M$7,S$4&lt;($K$4+'5. Dashboard Live'!$AA$16)),0,IF(AND('5. Dashboard Live'!$AA$19='14. Permanent Info'!$N$7,S$4&lt;($K$4+'5. Dashboard Live'!$AA$16)),S109*S127*S173,IF(S$4=($K$4+'5. Dashboard Live'!$AA$16),SUMPRODUCT($J173:S173,$J109:S109),IF(S$4&gt;=+'5. Dashboard Live'!$C$203,0))))</f>
        <v>0</v>
      </c>
      <c r="T155" s="615">
        <f>IF(AND('5. Dashboard Live'!$AA$19='14. Permanent Info'!$M$7,T$4&lt;($K$4+'5. Dashboard Live'!$AA$16)),0,IF(AND('5. Dashboard Live'!$AA$19='14. Permanent Info'!$N$7,T$4&lt;($K$4+'5. Dashboard Live'!$AA$16)),T109*T127*T173,IF(T$4=($K$4+'5. Dashboard Live'!$AA$16),SUMPRODUCT($J173:T173,$J109:T109),IF(T$4&gt;=+'5. Dashboard Live'!$C$203,0))))</f>
        <v>0</v>
      </c>
      <c r="U155" s="615">
        <f>IF(AND('5. Dashboard Live'!$AA$19='14. Permanent Info'!$M$7,U$4&lt;($K$4+'5. Dashboard Live'!$AA$16)),0,IF(AND('5. Dashboard Live'!$AA$19='14. Permanent Info'!$N$7,U$4&lt;($K$4+'5. Dashboard Live'!$AA$16)),U109*U127*U173,IF(U$4=($K$4+'5. Dashboard Live'!$AA$16),SUMPRODUCT($J173:U173,$J109:U109),IF(U$4&gt;=+'5. Dashboard Live'!$C$203,0))))</f>
        <v>0</v>
      </c>
      <c r="V155" s="615">
        <f>IF(AND('5. Dashboard Live'!$AA$19='14. Permanent Info'!$M$7,V$4&lt;($K$4+'5. Dashboard Live'!$AA$16)),0,IF(AND('5. Dashboard Live'!$AA$19='14. Permanent Info'!$N$7,V$4&lt;($K$4+'5. Dashboard Live'!$AA$16)),V109*V127*V173,IF(V$4=($K$4+'5. Dashboard Live'!$AA$16),SUMPRODUCT($J173:V173,$J109:V109),IF(V$4&gt;=+'5. Dashboard Live'!$C$203,0))))</f>
        <v>0</v>
      </c>
      <c r="W155" s="615">
        <f>IF(AND('5. Dashboard Live'!$AA$19='14. Permanent Info'!$M$7,W$4&lt;($K$4+'5. Dashboard Live'!$AA$16)),0,IF(AND('5. Dashboard Live'!$AA$19='14. Permanent Info'!$N$7,W$4&lt;($K$4+'5. Dashboard Live'!$AA$16)),W109*W127*W173,IF(W$4=($K$4+'5. Dashboard Live'!$AA$16),SUMPRODUCT($J173:W173,$J109:W109),IF(W$4&gt;=+'5. Dashboard Live'!$C$203,0))))</f>
        <v>0</v>
      </c>
      <c r="X155" s="615">
        <f>IF(AND('5. Dashboard Live'!$AA$19='14. Permanent Info'!$M$7,X$4&lt;($K$4+'5. Dashboard Live'!$AA$16)),0,IF(AND('5. Dashboard Live'!$AA$19='14. Permanent Info'!$N$7,X$4&lt;($K$4+'5. Dashboard Live'!$AA$16)),X109*X127*X173,IF(X$4=($K$4+'5. Dashboard Live'!$AA$16),SUMPRODUCT($J173:X173,$J109:X109),IF(X$4&gt;=+'5. Dashboard Live'!$C$203,0))))</f>
        <v>0</v>
      </c>
      <c r="Y155" s="615">
        <f>IF(AND('5. Dashboard Live'!$AA$19='14. Permanent Info'!$M$7,Y$4&lt;($K$4+'5. Dashboard Live'!$AA$16)),0,IF(AND('5. Dashboard Live'!$AA$19='14. Permanent Info'!$N$7,Y$4&lt;($K$4+'5. Dashboard Live'!$AA$16)),Y109*Y127*Y173,IF(Y$4=($K$4+'5. Dashboard Live'!$AA$16),SUMPRODUCT($J173:Y173,$J109:Y109),IF(Y$4&gt;=+'5. Dashboard Live'!$C$203,0))))</f>
        <v>0</v>
      </c>
      <c r="Z155" s="615">
        <f>IF(AND('5. Dashboard Live'!$AA$19='14. Permanent Info'!$M$7,Z$4&lt;($K$4+'5. Dashboard Live'!$AA$16)),0,IF(AND('5. Dashboard Live'!$AA$19='14. Permanent Info'!$N$7,Z$4&lt;($K$4+'5. Dashboard Live'!$AA$16)),Z109*Z127*Z173,IF(Z$4=($K$4+'5. Dashboard Live'!$AA$16),SUMPRODUCT($J173:Z173,$J109:Z109),IF(Z$4&gt;=+'5. Dashboard Live'!$C$203,0))))</f>
        <v>0</v>
      </c>
      <c r="AA155" s="615">
        <f>IF(AND('5. Dashboard Live'!$AA$19='14. Permanent Info'!$M$7,AA$4&lt;($K$4+'5. Dashboard Live'!$AA$16)),0,IF(AND('5. Dashboard Live'!$AA$19='14. Permanent Info'!$N$7,AA$4&lt;($K$4+'5. Dashboard Live'!$AA$16)),AA109*AA127*AA173,IF(AA$4=($K$4+'5. Dashboard Live'!$AA$16),SUMPRODUCT($J173:AA173,$J109:AA109),IF(AA$4&gt;=+'5. Dashboard Live'!$C$203,0))))</f>
        <v>0</v>
      </c>
      <c r="AB155" s="615">
        <f>IF(AND('5. Dashboard Live'!$AA$19='14. Permanent Info'!$M$7,AB$4&lt;($K$4+'5. Dashboard Live'!$AA$16)),0,IF(AND('5. Dashboard Live'!$AA$19='14. Permanent Info'!$N$7,AB$4&lt;($K$4+'5. Dashboard Live'!$AA$16)),AB109*AB127*AB173,IF(AB$4=($K$4+'5. Dashboard Live'!$AA$16),SUMPRODUCT($J173:AB173,$J109:AB109),IF(AB$4&gt;=+'5. Dashboard Live'!$C$203,0))))</f>
        <v>-305749823.01299483</v>
      </c>
      <c r="AC155" s="615">
        <f>IF(AND('5. Dashboard Live'!$AA$19='14. Permanent Info'!$M$7,AC$4&lt;($K$4+'5. Dashboard Live'!$AA$16)),0,IF(AND('5. Dashboard Live'!$AA$19='14. Permanent Info'!$N$7,AC$4&lt;($K$4+'5. Dashboard Live'!$AA$16)),AC109*AC127*AC173,IF(AC$4=($K$4+'5. Dashboard Live'!$AA$16),SUMPRODUCT($J173:AC173,$J109:AC109),IF(AC$4&gt;=+'5. Dashboard Live'!$C$203,0))))</f>
        <v>0</v>
      </c>
      <c r="AD155" s="615">
        <f>SUM(J155:AC155)</f>
        <v>-305749823.01299483</v>
      </c>
    </row>
    <row r="156" spans="1:30" outlineLevel="2" x14ac:dyDescent="0.45">
      <c r="A156" s="1115"/>
      <c r="B156" s="597" t="str">
        <f t="shared" si="60"/>
        <v>Sales</v>
      </c>
      <c r="D156" s="583" t="str">
        <f>'12. Inputs-Props &amp; Debtors 2016'!C$81</f>
        <v>WC</v>
      </c>
      <c r="F156" s="615"/>
      <c r="G156" s="615"/>
      <c r="H156" s="615"/>
      <c r="I156" s="1116"/>
      <c r="J156" s="615">
        <f>IF(AND('5. Dashboard Live'!$AA$19='14. Permanent Info'!$M$7,J$4&lt;($K$4+'5. Dashboard Live'!$AA$16)),0,IF(AND('5. Dashboard Live'!$AA$19='14. Permanent Info'!$N$7,J$4&lt;($K$4+'5. Dashboard Live'!$AA$16)),J110*J128*J174,IF(J$4=($K$4+'5. Dashboard Live'!$AA$16),SUMPRODUCT($J174:J174,$J110:J110),IF(J$4&gt;=+'5. Dashboard Live'!$C$203,0))))</f>
        <v>0</v>
      </c>
      <c r="K156" s="615">
        <f>IF(AND('5. Dashboard Live'!$AA$19='14. Permanent Info'!$M$7,K$4&lt;($K$4+'5. Dashboard Live'!$AA$16)),0,IF(AND('5. Dashboard Live'!$AA$19='14. Permanent Info'!$N$7,K$4&lt;($K$4+'5. Dashboard Live'!$AA$16)),K110*K128*K174,IF(K$4=($K$4+'5. Dashboard Live'!$AA$16),SUMPRODUCT($J174:K174,$J110:K110),IF(K$4&gt;=+'5. Dashboard Live'!$C$203,0))))</f>
        <v>0</v>
      </c>
      <c r="L156" s="615">
        <f>IF(AND('5. Dashboard Live'!$AA$19='14. Permanent Info'!$M$7,L$4&lt;($K$4+'5. Dashboard Live'!$AA$16)),0,IF(AND('5. Dashboard Live'!$AA$19='14. Permanent Info'!$N$7,L$4&lt;($K$4+'5. Dashboard Live'!$AA$16)),L110*L128*L174,IF(L$4=($K$4+'5. Dashboard Live'!$AA$16),SUMPRODUCT($J174:L174,$J110:L110),IF(L$4&gt;=+'5. Dashboard Live'!$C$203,0))))</f>
        <v>0</v>
      </c>
      <c r="M156" s="615">
        <f>IF(AND('5. Dashboard Live'!$AA$19='14. Permanent Info'!$M$7,M$4&lt;($K$4+'5. Dashboard Live'!$AA$16)),0,IF(AND('5. Dashboard Live'!$AA$19='14. Permanent Info'!$N$7,M$4&lt;($K$4+'5. Dashboard Live'!$AA$16)),M110*M128*M174,IF(M$4=($K$4+'5. Dashboard Live'!$AA$16),SUMPRODUCT($J174:M174,$J110:M110),IF(M$4&gt;=+'5. Dashboard Live'!$C$203,0))))</f>
        <v>0</v>
      </c>
      <c r="N156" s="615">
        <f>IF(AND('5. Dashboard Live'!$AA$19='14. Permanent Info'!$M$7,N$4&lt;($K$4+'5. Dashboard Live'!$AA$16)),0,IF(AND('5. Dashboard Live'!$AA$19='14. Permanent Info'!$N$7,N$4&lt;($K$4+'5. Dashboard Live'!$AA$16)),N110*N128*N174,IF(N$4=($K$4+'5. Dashboard Live'!$AA$16),SUMPRODUCT($J174:N174,$J110:N110),IF(N$4&gt;=+'5. Dashboard Live'!$C$203,0))))</f>
        <v>0</v>
      </c>
      <c r="O156" s="615">
        <f>IF(AND('5. Dashboard Live'!$AA$19='14. Permanent Info'!$M$7,O$4&lt;($K$4+'5. Dashboard Live'!$AA$16)),0,IF(AND('5. Dashboard Live'!$AA$19='14. Permanent Info'!$N$7,O$4&lt;($K$4+'5. Dashboard Live'!$AA$16)),O110*O128*O174,IF(O$4=($K$4+'5. Dashboard Live'!$AA$16),SUMPRODUCT($J174:O174,$J110:O110),IF(O$4&gt;=+'5. Dashboard Live'!$C$203,0))))</f>
        <v>0</v>
      </c>
      <c r="P156" s="615">
        <f>IF(AND('5. Dashboard Live'!$AA$19='14. Permanent Info'!$M$7,P$4&lt;($K$4+'5. Dashboard Live'!$AA$16)),0,IF(AND('5. Dashboard Live'!$AA$19='14. Permanent Info'!$N$7,P$4&lt;($K$4+'5. Dashboard Live'!$AA$16)),P110*P128*P174,IF(P$4=($K$4+'5. Dashboard Live'!$AA$16),SUMPRODUCT($J174:P174,$J110:P110),IF(P$4&gt;=+'5. Dashboard Live'!$C$203,0))))</f>
        <v>0</v>
      </c>
      <c r="Q156" s="615">
        <f>IF(AND('5. Dashboard Live'!$AA$19='14. Permanent Info'!$M$7,Q$4&lt;($K$4+'5. Dashboard Live'!$AA$16)),0,IF(AND('5. Dashboard Live'!$AA$19='14. Permanent Info'!$N$7,Q$4&lt;($K$4+'5. Dashboard Live'!$AA$16)),Q110*Q128*Q174,IF(Q$4=($K$4+'5. Dashboard Live'!$AA$16),SUMPRODUCT($J174:Q174,$J110:Q110),IF(Q$4&gt;=+'5. Dashboard Live'!$C$203,0))))</f>
        <v>0</v>
      </c>
      <c r="R156" s="615">
        <f>IF(AND('5. Dashboard Live'!$AA$19='14. Permanent Info'!$M$7,R$4&lt;($K$4+'5. Dashboard Live'!$AA$16)),0,IF(AND('5. Dashboard Live'!$AA$19='14. Permanent Info'!$N$7,R$4&lt;($K$4+'5. Dashboard Live'!$AA$16)),R110*R128*R174,IF(R$4=($K$4+'5. Dashboard Live'!$AA$16),SUMPRODUCT($J174:R174,$J110:R110),IF(R$4&gt;=+'5. Dashboard Live'!$C$203,0))))</f>
        <v>0</v>
      </c>
      <c r="S156" s="615">
        <f>IF(AND('5. Dashboard Live'!$AA$19='14. Permanent Info'!$M$7,S$4&lt;($K$4+'5. Dashboard Live'!$AA$16)),0,IF(AND('5. Dashboard Live'!$AA$19='14. Permanent Info'!$N$7,S$4&lt;($K$4+'5. Dashboard Live'!$AA$16)),S110*S128*S174,IF(S$4=($K$4+'5. Dashboard Live'!$AA$16),SUMPRODUCT($J174:S174,$J110:S110),IF(S$4&gt;=+'5. Dashboard Live'!$C$203,0))))</f>
        <v>0</v>
      </c>
      <c r="T156" s="615">
        <f>IF(AND('5. Dashboard Live'!$AA$19='14. Permanent Info'!$M$7,T$4&lt;($K$4+'5. Dashboard Live'!$AA$16)),0,IF(AND('5. Dashboard Live'!$AA$19='14. Permanent Info'!$N$7,T$4&lt;($K$4+'5. Dashboard Live'!$AA$16)),T110*T128*T174,IF(T$4=($K$4+'5. Dashboard Live'!$AA$16),SUMPRODUCT($J174:T174,$J110:T110),IF(T$4&gt;=+'5. Dashboard Live'!$C$203,0))))</f>
        <v>0</v>
      </c>
      <c r="U156" s="615">
        <f>IF(AND('5. Dashboard Live'!$AA$19='14. Permanent Info'!$M$7,U$4&lt;($K$4+'5. Dashboard Live'!$AA$16)),0,IF(AND('5. Dashboard Live'!$AA$19='14. Permanent Info'!$N$7,U$4&lt;($K$4+'5. Dashboard Live'!$AA$16)),U110*U128*U174,IF(U$4=($K$4+'5. Dashboard Live'!$AA$16),SUMPRODUCT($J174:U174,$J110:U110),IF(U$4&gt;=+'5. Dashboard Live'!$C$203,0))))</f>
        <v>0</v>
      </c>
      <c r="V156" s="615">
        <f>IF(AND('5. Dashboard Live'!$AA$19='14. Permanent Info'!$M$7,V$4&lt;($K$4+'5. Dashboard Live'!$AA$16)),0,IF(AND('5. Dashboard Live'!$AA$19='14. Permanent Info'!$N$7,V$4&lt;($K$4+'5. Dashboard Live'!$AA$16)),V110*V128*V174,IF(V$4=($K$4+'5. Dashboard Live'!$AA$16),SUMPRODUCT($J174:V174,$J110:V110),IF(V$4&gt;=+'5. Dashboard Live'!$C$203,0))))</f>
        <v>0</v>
      </c>
      <c r="W156" s="615">
        <f>IF(AND('5. Dashboard Live'!$AA$19='14. Permanent Info'!$M$7,W$4&lt;($K$4+'5. Dashboard Live'!$AA$16)),0,IF(AND('5. Dashboard Live'!$AA$19='14. Permanent Info'!$N$7,W$4&lt;($K$4+'5. Dashboard Live'!$AA$16)),W110*W128*W174,IF(W$4=($K$4+'5. Dashboard Live'!$AA$16),SUMPRODUCT($J174:W174,$J110:W110),IF(W$4&gt;=+'5. Dashboard Live'!$C$203,0))))</f>
        <v>0</v>
      </c>
      <c r="X156" s="615">
        <f>IF(AND('5. Dashboard Live'!$AA$19='14. Permanent Info'!$M$7,X$4&lt;($K$4+'5. Dashboard Live'!$AA$16)),0,IF(AND('5. Dashboard Live'!$AA$19='14. Permanent Info'!$N$7,X$4&lt;($K$4+'5. Dashboard Live'!$AA$16)),X110*X128*X174,IF(X$4=($K$4+'5. Dashboard Live'!$AA$16),SUMPRODUCT($J174:X174,$J110:X110),IF(X$4&gt;=+'5. Dashboard Live'!$C$203,0))))</f>
        <v>0</v>
      </c>
      <c r="Y156" s="615">
        <f>IF(AND('5. Dashboard Live'!$AA$19='14. Permanent Info'!$M$7,Y$4&lt;($K$4+'5. Dashboard Live'!$AA$16)),0,IF(AND('5. Dashboard Live'!$AA$19='14. Permanent Info'!$N$7,Y$4&lt;($K$4+'5. Dashboard Live'!$AA$16)),Y110*Y128*Y174,IF(Y$4=($K$4+'5. Dashboard Live'!$AA$16),SUMPRODUCT($J174:Y174,$J110:Y110),IF(Y$4&gt;=+'5. Dashboard Live'!$C$203,0))))</f>
        <v>0</v>
      </c>
      <c r="Z156" s="615">
        <f>IF(AND('5. Dashboard Live'!$AA$19='14. Permanent Info'!$M$7,Z$4&lt;($K$4+'5. Dashboard Live'!$AA$16)),0,IF(AND('5. Dashboard Live'!$AA$19='14. Permanent Info'!$N$7,Z$4&lt;($K$4+'5. Dashboard Live'!$AA$16)),Z110*Z128*Z174,IF(Z$4=($K$4+'5. Dashboard Live'!$AA$16),SUMPRODUCT($J174:Z174,$J110:Z110),IF(Z$4&gt;=+'5. Dashboard Live'!$C$203,0))))</f>
        <v>0</v>
      </c>
      <c r="AA156" s="615">
        <f>IF(AND('5. Dashboard Live'!$AA$19='14. Permanent Info'!$M$7,AA$4&lt;($K$4+'5. Dashboard Live'!$AA$16)),0,IF(AND('5. Dashboard Live'!$AA$19='14. Permanent Info'!$N$7,AA$4&lt;($K$4+'5. Dashboard Live'!$AA$16)),AA110*AA128*AA174,IF(AA$4=($K$4+'5. Dashboard Live'!$AA$16),SUMPRODUCT($J174:AA174,$J110:AA110),IF(AA$4&gt;=+'5. Dashboard Live'!$C$203,0))))</f>
        <v>0</v>
      </c>
      <c r="AB156" s="615">
        <f>IF(AND('5. Dashboard Live'!$AA$19='14. Permanent Info'!$M$7,AB$4&lt;($K$4+'5. Dashboard Live'!$AA$16)),0,IF(AND('5. Dashboard Live'!$AA$19='14. Permanent Info'!$N$7,AB$4&lt;($K$4+'5. Dashboard Live'!$AA$16)),AB110*AB128*AB174,IF(AB$4=($K$4+'5. Dashboard Live'!$AA$16),SUMPRODUCT($J174:AB174,$J110:AB110),IF(AB$4&gt;=+'5. Dashboard Live'!$C$203,0))))</f>
        <v>-85926412.36084269</v>
      </c>
      <c r="AC156" s="615">
        <f>IF(AND('5. Dashboard Live'!$AA$19='14. Permanent Info'!$M$7,AC$4&lt;($K$4+'5. Dashboard Live'!$AA$16)),0,IF(AND('5. Dashboard Live'!$AA$19='14. Permanent Info'!$N$7,AC$4&lt;($K$4+'5. Dashboard Live'!$AA$16)),AC110*AC128*AC174,IF(AC$4=($K$4+'5. Dashboard Live'!$AA$16),SUMPRODUCT($J174:AC174,$J110:AC110),IF(AC$4&gt;=+'5. Dashboard Live'!$C$203,0))))</f>
        <v>0</v>
      </c>
      <c r="AD156" s="615">
        <f>SUM(J156:AC156)</f>
        <v>-85926412.36084269</v>
      </c>
    </row>
    <row r="157" spans="1:30" outlineLevel="2" x14ac:dyDescent="0.45">
      <c r="A157" s="1115"/>
      <c r="B157" s="597" t="str">
        <f t="shared" si="60"/>
        <v>Sales</v>
      </c>
      <c r="D157" s="596" t="str">
        <f>'12. Inputs-Props &amp; Debtors 2016'!C$82</f>
        <v>Total</v>
      </c>
      <c r="F157" s="615"/>
      <c r="G157" s="615"/>
      <c r="H157" s="615"/>
      <c r="I157" s="615"/>
      <c r="J157" s="615"/>
      <c r="K157" s="615"/>
      <c r="L157" s="613">
        <f t="shared" ref="L157:AA157" si="65">SUM(L152:L156)</f>
        <v>0</v>
      </c>
      <c r="M157" s="613">
        <f t="shared" si="65"/>
        <v>0</v>
      </c>
      <c r="N157" s="613">
        <f t="shared" si="65"/>
        <v>0</v>
      </c>
      <c r="O157" s="613">
        <f t="shared" si="65"/>
        <v>0</v>
      </c>
      <c r="P157" s="613">
        <f t="shared" si="65"/>
        <v>0</v>
      </c>
      <c r="Q157" s="613">
        <f t="shared" si="65"/>
        <v>0</v>
      </c>
      <c r="R157" s="613">
        <f t="shared" si="65"/>
        <v>0</v>
      </c>
      <c r="S157" s="613">
        <f t="shared" si="65"/>
        <v>0</v>
      </c>
      <c r="T157" s="613">
        <f t="shared" si="65"/>
        <v>0</v>
      </c>
      <c r="U157" s="613">
        <f t="shared" si="65"/>
        <v>0</v>
      </c>
      <c r="V157" s="613">
        <f t="shared" si="65"/>
        <v>0</v>
      </c>
      <c r="W157" s="613">
        <f t="shared" si="65"/>
        <v>0</v>
      </c>
      <c r="X157" s="613">
        <f t="shared" si="65"/>
        <v>0</v>
      </c>
      <c r="Y157" s="613">
        <f t="shared" si="65"/>
        <v>0</v>
      </c>
      <c r="Z157" s="613">
        <f t="shared" si="65"/>
        <v>0</v>
      </c>
      <c r="AA157" s="613">
        <f t="shared" si="65"/>
        <v>0</v>
      </c>
      <c r="AB157" s="613">
        <f>SUM(AB152:AB156)</f>
        <v>-736941641.34717083</v>
      </c>
      <c r="AC157" s="613">
        <f>SUM(AC152:AC156)</f>
        <v>0</v>
      </c>
      <c r="AD157" s="613">
        <f>SUM(AD152:AD156)</f>
        <v>-736941641.34717083</v>
      </c>
    </row>
    <row r="158" spans="1:30" outlineLevel="2" x14ac:dyDescent="0.45">
      <c r="A158" s="1115"/>
      <c r="B158" s="597" t="str">
        <f t="shared" si="60"/>
        <v>Sales</v>
      </c>
      <c r="F158" s="615"/>
      <c r="G158" s="615"/>
      <c r="H158" s="615"/>
      <c r="I158" s="615"/>
      <c r="J158" s="615"/>
      <c r="K158" s="615"/>
      <c r="L158" s="615"/>
      <c r="M158" s="615"/>
      <c r="N158" s="615"/>
      <c r="O158" s="615"/>
      <c r="P158" s="615"/>
      <c r="Q158" s="615"/>
      <c r="R158" s="615"/>
      <c r="S158" s="615"/>
      <c r="T158" s="615"/>
      <c r="U158" s="615"/>
      <c r="V158" s="615"/>
      <c r="W158" s="615"/>
      <c r="X158" s="615"/>
      <c r="Y158" s="615"/>
      <c r="Z158" s="615"/>
      <c r="AA158" s="615"/>
      <c r="AB158" s="615">
        <f ca="1">AB157+AB148</f>
        <v>450049.31658375263</v>
      </c>
      <c r="AC158" s="615"/>
      <c r="AD158" s="615"/>
    </row>
    <row r="159" spans="1:30" outlineLevel="2" x14ac:dyDescent="0.45">
      <c r="B159" s="597" t="str">
        <f t="shared" si="60"/>
        <v>Sales</v>
      </c>
      <c r="F159" s="596"/>
      <c r="G159" s="596"/>
      <c r="H159" s="596"/>
      <c r="I159" s="596"/>
      <c r="AB159" s="612"/>
    </row>
    <row r="160" spans="1:30" outlineLevel="2" x14ac:dyDescent="0.45">
      <c r="B160" s="597" t="str">
        <f t="shared" si="60"/>
        <v>Sales</v>
      </c>
      <c r="C160" s="451">
        <f>C151+1</f>
        <v>15</v>
      </c>
      <c r="D160" s="616" t="s">
        <v>255</v>
      </c>
      <c r="E160" s="617"/>
      <c r="F160" s="618"/>
      <c r="G160" s="618"/>
      <c r="H160" s="618"/>
      <c r="I160" s="596"/>
    </row>
    <row r="161" spans="1:30" outlineLevel="2" x14ac:dyDescent="0.45">
      <c r="B161" s="597" t="str">
        <f t="shared" si="60"/>
        <v>Sales</v>
      </c>
      <c r="D161" s="617" t="str">
        <f>'12. Inputs-Props &amp; Debtors 2016'!C$77</f>
        <v>EC</v>
      </c>
      <c r="E161" s="617"/>
      <c r="F161" s="619">
        <f>'11. Table - Expenditure Review'!I$85</f>
        <v>121</v>
      </c>
      <c r="G161" s="619">
        <f>'11. Table - Expenditure Review'!J$85</f>
        <v>119</v>
      </c>
      <c r="H161" s="619">
        <f>'11. Table - Expenditure Review'!K$85</f>
        <v>113</v>
      </c>
      <c r="I161" s="596"/>
    </row>
    <row r="162" spans="1:30" outlineLevel="2" x14ac:dyDescent="0.45">
      <c r="B162" s="597" t="str">
        <f t="shared" si="60"/>
        <v>Sales</v>
      </c>
      <c r="D162" s="617" t="str">
        <f>'12. Inputs-Props &amp; Debtors 2016'!C$78</f>
        <v>FS</v>
      </c>
      <c r="E162" s="617"/>
      <c r="F162" s="619">
        <f>'11. Table - Expenditure Review'!L$85</f>
        <v>0</v>
      </c>
      <c r="G162" s="619">
        <f>'11. Table - Expenditure Review'!M$85</f>
        <v>0</v>
      </c>
      <c r="H162" s="619">
        <f>'11. Table - Expenditure Review'!N$85</f>
        <v>0</v>
      </c>
      <c r="I162" s="596"/>
    </row>
    <row r="163" spans="1:30" outlineLevel="2" x14ac:dyDescent="0.45">
      <c r="B163" s="597" t="str">
        <f t="shared" si="60"/>
        <v>Sales</v>
      </c>
      <c r="D163" s="617" t="str">
        <f>'12. Inputs-Props &amp; Debtors 2016'!C$79</f>
        <v>Gau</v>
      </c>
      <c r="E163" s="617"/>
      <c r="F163" s="619">
        <f>'11. Table - Expenditure Review'!O$85</f>
        <v>1090</v>
      </c>
      <c r="G163" s="619">
        <f>'11. Table - Expenditure Review'!P$85</f>
        <v>870</v>
      </c>
      <c r="H163" s="619">
        <f>'11. Table - Expenditure Review'!Q$85</f>
        <v>576</v>
      </c>
      <c r="I163" s="596"/>
    </row>
    <row r="164" spans="1:30" outlineLevel="2" x14ac:dyDescent="0.45">
      <c r="B164" s="597" t="str">
        <f t="shared" si="60"/>
        <v>Sales</v>
      </c>
      <c r="D164" s="617" t="str">
        <f>'12. Inputs-Props &amp; Debtors 2016'!C$80</f>
        <v>KZN</v>
      </c>
      <c r="E164" s="617"/>
      <c r="F164" s="619">
        <f>'11. Table - Expenditure Review'!R$85</f>
        <v>2590</v>
      </c>
      <c r="G164" s="619">
        <f>'11. Table - Expenditure Review'!S$85</f>
        <v>2412</v>
      </c>
      <c r="H164" s="619">
        <f>'11. Table - Expenditure Review'!T$85</f>
        <v>1846</v>
      </c>
      <c r="I164" s="596"/>
    </row>
    <row r="165" spans="1:30" outlineLevel="2" x14ac:dyDescent="0.45">
      <c r="B165" s="597" t="str">
        <f t="shared" si="60"/>
        <v>Sales</v>
      </c>
      <c r="D165" s="617" t="str">
        <f>'12. Inputs-Props &amp; Debtors 2016'!C$81</f>
        <v>WC</v>
      </c>
      <c r="E165" s="617"/>
      <c r="F165" s="619">
        <f>'11. Table - Expenditure Review'!T$85</f>
        <v>1846</v>
      </c>
      <c r="G165" s="619">
        <f>'11. Table - Expenditure Review'!U$85</f>
        <v>2665</v>
      </c>
      <c r="H165" s="619">
        <f>'11. Table - Expenditure Review'!V$85</f>
        <v>2028</v>
      </c>
      <c r="I165" s="596"/>
    </row>
    <row r="166" spans="1:30" outlineLevel="2" x14ac:dyDescent="0.45">
      <c r="B166" s="597" t="str">
        <f t="shared" si="60"/>
        <v>Sales</v>
      </c>
      <c r="D166" s="983" t="str">
        <f>'12. Inputs-Props &amp; Debtors 2016'!C$82</f>
        <v>Total</v>
      </c>
      <c r="E166" s="617"/>
      <c r="F166" s="620">
        <f>SUM(F161:F165)</f>
        <v>5647</v>
      </c>
      <c r="G166" s="620">
        <f>SUM(G161:G165)</f>
        <v>6066</v>
      </c>
      <c r="H166" s="620">
        <f>SUM(H161:H165)</f>
        <v>4563</v>
      </c>
      <c r="I166" s="596"/>
    </row>
    <row r="167" spans="1:30" outlineLevel="2" x14ac:dyDescent="0.45">
      <c r="B167" s="597" t="str">
        <f t="shared" si="60"/>
        <v>Sales</v>
      </c>
      <c r="F167" s="596"/>
      <c r="G167" s="596"/>
      <c r="H167" s="596"/>
      <c r="I167" s="596"/>
    </row>
    <row r="168" spans="1:30" outlineLevel="2" x14ac:dyDescent="0.45">
      <c r="B168" s="597" t="str">
        <f>B167</f>
        <v>Sales</v>
      </c>
      <c r="F168" s="596"/>
      <c r="G168" s="596"/>
      <c r="H168" s="596"/>
      <c r="I168" s="596"/>
    </row>
    <row r="169" spans="1:30" outlineLevel="2" x14ac:dyDescent="0.45">
      <c r="B169" s="597" t="str">
        <f t="shared" si="60"/>
        <v>Sales</v>
      </c>
      <c r="C169" s="451">
        <f>C160+1</f>
        <v>16</v>
      </c>
      <c r="D169" s="591" t="s">
        <v>1022</v>
      </c>
      <c r="F169" s="596"/>
      <c r="G169" s="596"/>
      <c r="H169" s="596"/>
      <c r="I169" s="596"/>
    </row>
    <row r="170" spans="1:30" outlineLevel="2" x14ac:dyDescent="0.45">
      <c r="A170" s="1114"/>
      <c r="B170" s="597" t="str">
        <f t="shared" si="60"/>
        <v>Sales</v>
      </c>
      <c r="D170" s="583" t="str">
        <f>'12. Inputs-Props &amp; Debtors 2016'!C$77</f>
        <v>EC</v>
      </c>
      <c r="F170" s="612"/>
      <c r="G170" s="612"/>
      <c r="H170" s="614">
        <f>'11. Table - Expenditure Review'!K104</f>
        <v>77023.692456140343</v>
      </c>
      <c r="I170" s="612">
        <f t="shared" ref="I170:O170" si="66">IF(OR(I106&lt;&gt;0,I115&lt;&gt;0),H170,0)</f>
        <v>77023.692456140343</v>
      </c>
      <c r="J170" s="612">
        <f t="shared" si="66"/>
        <v>77023.692456140343</v>
      </c>
      <c r="K170" s="612">
        <f t="shared" si="66"/>
        <v>77023.692456140343</v>
      </c>
      <c r="L170" s="612">
        <f t="shared" si="66"/>
        <v>77023.692456140343</v>
      </c>
      <c r="M170" s="612">
        <f t="shared" si="66"/>
        <v>77023.692456140343</v>
      </c>
      <c r="N170" s="612">
        <f t="shared" si="66"/>
        <v>77023.692456140343</v>
      </c>
      <c r="O170" s="612">
        <f t="shared" si="66"/>
        <v>77023.692456140343</v>
      </c>
      <c r="P170" s="612">
        <f>IF(OR(P106&lt;&gt;0,P115&lt;&gt;0),O170,0)</f>
        <v>77023.692456140343</v>
      </c>
      <c r="Q170" s="612">
        <f>IF(OR(Q106&lt;&gt;0,Q115&lt;&gt;0),P170,0)</f>
        <v>77023.692456140343</v>
      </c>
      <c r="R170" s="612">
        <f t="shared" ref="R170:AC170" si="67">IF(OR(R106&lt;&gt;0,R115&lt;&gt;0),Q170,0)</f>
        <v>77023.692456140343</v>
      </c>
      <c r="S170" s="612">
        <f t="shared" si="67"/>
        <v>77023.692456140343</v>
      </c>
      <c r="T170" s="612">
        <f t="shared" si="67"/>
        <v>77023.692456140343</v>
      </c>
      <c r="U170" s="612">
        <f t="shared" si="67"/>
        <v>77023.692456140343</v>
      </c>
      <c r="V170" s="612">
        <f t="shared" si="67"/>
        <v>77023.692456140343</v>
      </c>
      <c r="W170" s="612">
        <f t="shared" si="67"/>
        <v>77023.692456140343</v>
      </c>
      <c r="X170" s="612">
        <f t="shared" si="67"/>
        <v>77023.692456140343</v>
      </c>
      <c r="Y170" s="612">
        <f t="shared" si="67"/>
        <v>77023.692456140343</v>
      </c>
      <c r="Z170" s="612">
        <f t="shared" si="67"/>
        <v>77023.692456140343</v>
      </c>
      <c r="AA170" s="612">
        <f t="shared" si="67"/>
        <v>77023.692456140343</v>
      </c>
      <c r="AB170" s="612">
        <f t="shared" si="67"/>
        <v>77023.692456140343</v>
      </c>
      <c r="AC170" s="612">
        <f t="shared" si="67"/>
        <v>0</v>
      </c>
      <c r="AD170" s="612"/>
    </row>
    <row r="171" spans="1:30" outlineLevel="2" x14ac:dyDescent="0.45">
      <c r="A171" s="1114"/>
      <c r="B171" s="597" t="str">
        <f t="shared" si="60"/>
        <v>Sales</v>
      </c>
      <c r="D171" s="583" t="str">
        <f>'12. Inputs-Props &amp; Debtors 2016'!C$78</f>
        <v>FS</v>
      </c>
      <c r="F171" s="612"/>
      <c r="G171" s="612"/>
      <c r="H171" s="614">
        <f>'11. Table - Expenditure Review'!N104</f>
        <v>35073.449999999997</v>
      </c>
      <c r="I171" s="612">
        <f t="shared" ref="I171:AC171" si="68">IF(OR(I107&lt;&gt;0,I116&lt;&gt;0),H171,0)</f>
        <v>35073.449999999997</v>
      </c>
      <c r="J171" s="612">
        <f t="shared" si="68"/>
        <v>35073.449999999997</v>
      </c>
      <c r="K171" s="612">
        <f t="shared" si="68"/>
        <v>35073.449999999997</v>
      </c>
      <c r="L171" s="612">
        <f t="shared" si="68"/>
        <v>35073.449999999997</v>
      </c>
      <c r="M171" s="612">
        <f t="shared" si="68"/>
        <v>35073.449999999997</v>
      </c>
      <c r="N171" s="612">
        <f t="shared" si="68"/>
        <v>35073.449999999997</v>
      </c>
      <c r="O171" s="612">
        <f t="shared" si="68"/>
        <v>35073.449999999997</v>
      </c>
      <c r="P171" s="612">
        <f t="shared" si="68"/>
        <v>35073.449999999997</v>
      </c>
      <c r="Q171" s="612">
        <f t="shared" si="68"/>
        <v>35073.449999999997</v>
      </c>
      <c r="R171" s="612">
        <f t="shared" si="68"/>
        <v>35073.449999999997</v>
      </c>
      <c r="S171" s="612">
        <f t="shared" si="68"/>
        <v>35073.449999999997</v>
      </c>
      <c r="T171" s="612">
        <f t="shared" si="68"/>
        <v>35073.449999999997</v>
      </c>
      <c r="U171" s="612">
        <f t="shared" si="68"/>
        <v>35073.449999999997</v>
      </c>
      <c r="V171" s="612">
        <f t="shared" si="68"/>
        <v>35073.449999999997</v>
      </c>
      <c r="W171" s="612">
        <f t="shared" si="68"/>
        <v>35073.449999999997</v>
      </c>
      <c r="X171" s="612">
        <f t="shared" si="68"/>
        <v>35073.449999999997</v>
      </c>
      <c r="Y171" s="612">
        <f t="shared" si="68"/>
        <v>35073.449999999997</v>
      </c>
      <c r="Z171" s="612">
        <f t="shared" si="68"/>
        <v>35073.449999999997</v>
      </c>
      <c r="AA171" s="612">
        <f t="shared" si="68"/>
        <v>35073.449999999997</v>
      </c>
      <c r="AB171" s="612">
        <f t="shared" si="68"/>
        <v>35073.449999999997</v>
      </c>
      <c r="AC171" s="612">
        <f t="shared" si="68"/>
        <v>0</v>
      </c>
      <c r="AD171" s="612"/>
    </row>
    <row r="172" spans="1:30" outlineLevel="2" x14ac:dyDescent="0.45">
      <c r="A172" s="1114"/>
      <c r="B172" s="597" t="str">
        <f t="shared" si="60"/>
        <v>Sales</v>
      </c>
      <c r="D172" s="583" t="str">
        <f>'12. Inputs-Props &amp; Debtors 2016'!C$79</f>
        <v>Gau</v>
      </c>
      <c r="F172" s="612"/>
      <c r="G172" s="612"/>
      <c r="H172" s="614">
        <f>'11. Table - Expenditure Review'!Q104</f>
        <v>152480.91798245613</v>
      </c>
      <c r="I172" s="612">
        <f t="shared" ref="I172:AC172" si="69">IF(OR(I108&lt;&gt;0,I117&lt;&gt;0),H172,0)</f>
        <v>152480.91798245613</v>
      </c>
      <c r="J172" s="612">
        <f t="shared" si="69"/>
        <v>152480.91798245613</v>
      </c>
      <c r="K172" s="612">
        <f t="shared" si="69"/>
        <v>152480.91798245613</v>
      </c>
      <c r="L172" s="612">
        <f t="shared" si="69"/>
        <v>152480.91798245613</v>
      </c>
      <c r="M172" s="612">
        <f t="shared" si="69"/>
        <v>152480.91798245613</v>
      </c>
      <c r="N172" s="612">
        <f t="shared" si="69"/>
        <v>152480.91798245613</v>
      </c>
      <c r="O172" s="612">
        <f t="shared" si="69"/>
        <v>152480.91798245613</v>
      </c>
      <c r="P172" s="612">
        <f t="shared" si="69"/>
        <v>152480.91798245613</v>
      </c>
      <c r="Q172" s="612">
        <f t="shared" si="69"/>
        <v>152480.91798245613</v>
      </c>
      <c r="R172" s="612">
        <f t="shared" si="69"/>
        <v>152480.91798245613</v>
      </c>
      <c r="S172" s="612">
        <f t="shared" si="69"/>
        <v>152480.91798245613</v>
      </c>
      <c r="T172" s="612">
        <f t="shared" si="69"/>
        <v>152480.91798245613</v>
      </c>
      <c r="U172" s="612">
        <f t="shared" si="69"/>
        <v>152480.91798245613</v>
      </c>
      <c r="V172" s="612">
        <f t="shared" si="69"/>
        <v>152480.91798245613</v>
      </c>
      <c r="W172" s="612">
        <f t="shared" si="69"/>
        <v>152480.91798245613</v>
      </c>
      <c r="X172" s="612">
        <f t="shared" si="69"/>
        <v>152480.91798245613</v>
      </c>
      <c r="Y172" s="612">
        <f t="shared" si="69"/>
        <v>152480.91798245613</v>
      </c>
      <c r="Z172" s="612">
        <f t="shared" si="69"/>
        <v>152480.91798245613</v>
      </c>
      <c r="AA172" s="612">
        <f t="shared" si="69"/>
        <v>152480.91798245613</v>
      </c>
      <c r="AB172" s="612">
        <f t="shared" si="69"/>
        <v>152480.91798245613</v>
      </c>
      <c r="AC172" s="612">
        <f t="shared" si="69"/>
        <v>0</v>
      </c>
      <c r="AD172" s="612"/>
    </row>
    <row r="173" spans="1:30" outlineLevel="2" x14ac:dyDescent="0.45">
      <c r="A173" s="1114"/>
      <c r="B173" s="597" t="str">
        <f t="shared" si="60"/>
        <v>Sales</v>
      </c>
      <c r="D173" s="583" t="str">
        <f>'12. Inputs-Props &amp; Debtors 2016'!C$80</f>
        <v>KZN</v>
      </c>
      <c r="F173" s="612"/>
      <c r="G173" s="612"/>
      <c r="H173" s="614">
        <f>'11. Table - Expenditure Review'!T104</f>
        <v>91514.463637532128</v>
      </c>
      <c r="I173" s="612">
        <f t="shared" ref="I173:AC173" si="70">IF(OR(I109&lt;&gt;0,I118&lt;&gt;0),H173,0)</f>
        <v>91514.463637532128</v>
      </c>
      <c r="J173" s="612">
        <f t="shared" si="70"/>
        <v>91514.463637532128</v>
      </c>
      <c r="K173" s="612">
        <f t="shared" si="70"/>
        <v>91514.463637532128</v>
      </c>
      <c r="L173" s="612">
        <f t="shared" si="70"/>
        <v>91514.463637532128</v>
      </c>
      <c r="M173" s="612">
        <f t="shared" si="70"/>
        <v>91514.463637532128</v>
      </c>
      <c r="N173" s="612">
        <f t="shared" si="70"/>
        <v>91514.463637532128</v>
      </c>
      <c r="O173" s="612">
        <f t="shared" si="70"/>
        <v>91514.463637532128</v>
      </c>
      <c r="P173" s="612">
        <f t="shared" si="70"/>
        <v>91514.463637532128</v>
      </c>
      <c r="Q173" s="612">
        <f t="shared" si="70"/>
        <v>91514.463637532128</v>
      </c>
      <c r="R173" s="612">
        <f t="shared" si="70"/>
        <v>91514.463637532128</v>
      </c>
      <c r="S173" s="612">
        <f t="shared" si="70"/>
        <v>91514.463637532128</v>
      </c>
      <c r="T173" s="612">
        <f t="shared" si="70"/>
        <v>91514.463637532128</v>
      </c>
      <c r="U173" s="612">
        <f t="shared" si="70"/>
        <v>91514.463637532128</v>
      </c>
      <c r="V173" s="612">
        <f t="shared" si="70"/>
        <v>91514.463637532128</v>
      </c>
      <c r="W173" s="612">
        <f t="shared" si="70"/>
        <v>91514.463637532128</v>
      </c>
      <c r="X173" s="612">
        <f t="shared" si="70"/>
        <v>91514.463637532128</v>
      </c>
      <c r="Y173" s="612">
        <f t="shared" si="70"/>
        <v>91514.463637532128</v>
      </c>
      <c r="Z173" s="612">
        <f t="shared" si="70"/>
        <v>91514.463637532128</v>
      </c>
      <c r="AA173" s="612">
        <f t="shared" si="70"/>
        <v>91514.463637532128</v>
      </c>
      <c r="AB173" s="612">
        <f t="shared" si="70"/>
        <v>91514.463637532128</v>
      </c>
      <c r="AC173" s="612">
        <f t="shared" si="70"/>
        <v>0</v>
      </c>
      <c r="AD173" s="612"/>
    </row>
    <row r="174" spans="1:30" outlineLevel="2" x14ac:dyDescent="0.45">
      <c r="A174" s="1114"/>
      <c r="B174" s="597" t="str">
        <f t="shared" si="60"/>
        <v>Sales</v>
      </c>
      <c r="D174" s="583" t="str">
        <f>'12. Inputs-Props &amp; Debtors 2016'!C$81</f>
        <v>WC</v>
      </c>
      <c r="F174" s="612"/>
      <c r="G174" s="612"/>
      <c r="H174" s="614">
        <f>'11. Table - Expenditure Review'!W104</f>
        <v>51919.282393258422</v>
      </c>
      <c r="I174" s="612">
        <f t="shared" ref="I174:AC174" si="71">IF(OR(I110&lt;&gt;0,I119&lt;&gt;0),H174,0)</f>
        <v>51919.282393258422</v>
      </c>
      <c r="J174" s="612">
        <f t="shared" si="71"/>
        <v>51919.282393258422</v>
      </c>
      <c r="K174" s="612">
        <f t="shared" si="71"/>
        <v>51919.282393258422</v>
      </c>
      <c r="L174" s="612">
        <f t="shared" si="71"/>
        <v>51919.282393258422</v>
      </c>
      <c r="M174" s="612">
        <f t="shared" si="71"/>
        <v>51919.282393258422</v>
      </c>
      <c r="N174" s="612">
        <f t="shared" si="71"/>
        <v>51919.282393258422</v>
      </c>
      <c r="O174" s="612">
        <f t="shared" si="71"/>
        <v>51919.282393258422</v>
      </c>
      <c r="P174" s="612">
        <f t="shared" si="71"/>
        <v>51919.282393258422</v>
      </c>
      <c r="Q174" s="612">
        <f t="shared" si="71"/>
        <v>51919.282393258422</v>
      </c>
      <c r="R174" s="612">
        <f t="shared" si="71"/>
        <v>51919.282393258422</v>
      </c>
      <c r="S174" s="612">
        <f t="shared" si="71"/>
        <v>51919.282393258422</v>
      </c>
      <c r="T174" s="612">
        <f t="shared" si="71"/>
        <v>51919.282393258422</v>
      </c>
      <c r="U174" s="612">
        <f t="shared" si="71"/>
        <v>51919.282393258422</v>
      </c>
      <c r="V174" s="612">
        <f t="shared" si="71"/>
        <v>51919.282393258422</v>
      </c>
      <c r="W174" s="612">
        <f t="shared" si="71"/>
        <v>51919.282393258422</v>
      </c>
      <c r="X174" s="612">
        <f t="shared" si="71"/>
        <v>51919.282393258422</v>
      </c>
      <c r="Y174" s="612">
        <f t="shared" si="71"/>
        <v>51919.282393258422</v>
      </c>
      <c r="Z174" s="612">
        <f t="shared" si="71"/>
        <v>51919.282393258422</v>
      </c>
      <c r="AA174" s="612">
        <f t="shared" si="71"/>
        <v>51919.282393258422</v>
      </c>
      <c r="AB174" s="612">
        <f t="shared" si="71"/>
        <v>51919.282393258422</v>
      </c>
      <c r="AC174" s="612">
        <f t="shared" si="71"/>
        <v>0</v>
      </c>
      <c r="AD174" s="612"/>
    </row>
    <row r="175" spans="1:30" outlineLevel="2" x14ac:dyDescent="0.45">
      <c r="A175" s="1114"/>
      <c r="B175" s="597" t="str">
        <f t="shared" si="60"/>
        <v>Sales</v>
      </c>
      <c r="D175" s="583" t="str">
        <f>'12. Inputs-Props &amp; Debtors 2016'!C$82</f>
        <v>Total</v>
      </c>
      <c r="F175" s="613"/>
      <c r="G175" s="613"/>
      <c r="H175" s="621">
        <f>'11. Table - Expenditure Review'!H104</f>
        <v>87428.980361768641</v>
      </c>
      <c r="I175" s="613">
        <f>IF(I$83&gt;0,SUMPRODUCT(I170:I174,I$78:I$82)/I$83,0)</f>
        <v>87737.846465708688</v>
      </c>
      <c r="J175" s="613">
        <f>IF(J$83&gt;0,SUMPRODUCT(J170:J174,J$78:J$82)/J$83,0)</f>
        <v>87949.524214934834</v>
      </c>
      <c r="K175" s="613">
        <f>IF(K$83&gt;0,SUMPRODUCT(K170:K174,K$78:K$82)/K$83,0)</f>
        <v>88471.003785558205</v>
      </c>
      <c r="L175" s="613">
        <f>IF(L$83&gt;0,SUMPRODUCT(L170:L174,L$78:L$82)/L$83,0)</f>
        <v>89766.159741082694</v>
      </c>
      <c r="M175" s="613">
        <f>IF(M$83&gt;0,SUMPRODUCT(M170:M174,M$78:M$82)/M$83,0)</f>
        <v>90921.766115702063</v>
      </c>
      <c r="N175" s="613">
        <f t="shared" ref="N175:AC175" si="72">IF(N$83&gt;0,SUMPRODUCT(N170:N174,N$78:N$82)/N$83,0)</f>
        <v>91959.224089206764</v>
      </c>
      <c r="O175" s="613">
        <f t="shared" si="72"/>
        <v>92895.771581966008</v>
      </c>
      <c r="P175" s="613">
        <f t="shared" si="72"/>
        <v>93745.448673180552</v>
      </c>
      <c r="Q175" s="613">
        <f t="shared" si="72"/>
        <v>94519.806281118217</v>
      </c>
      <c r="R175" s="613">
        <f t="shared" si="72"/>
        <v>95228.434379424347</v>
      </c>
      <c r="S175" s="613">
        <f t="shared" si="72"/>
        <v>95879.361180588661</v>
      </c>
      <c r="T175" s="613">
        <f t="shared" si="72"/>
        <v>96479.358621509513</v>
      </c>
      <c r="U175" s="613">
        <f t="shared" si="72"/>
        <v>97034.178843823654</v>
      </c>
      <c r="V175" s="613">
        <f t="shared" si="72"/>
        <v>97548.739194491296</v>
      </c>
      <c r="W175" s="613">
        <f t="shared" si="72"/>
        <v>98027.268363361596</v>
      </c>
      <c r="X175" s="613">
        <f t="shared" si="72"/>
        <v>98473.422860127524</v>
      </c>
      <c r="Y175" s="613">
        <f t="shared" si="72"/>
        <v>98890.380624225421</v>
      </c>
      <c r="Z175" s="613">
        <f t="shared" si="72"/>
        <v>99280.916839273501</v>
      </c>
      <c r="AA175" s="613">
        <f t="shared" si="72"/>
        <v>99647.46577762613</v>
      </c>
      <c r="AB175" s="613">
        <f t="shared" si="72"/>
        <v>99600.167772289613</v>
      </c>
      <c r="AC175" s="613">
        <f t="shared" si="72"/>
        <v>0</v>
      </c>
      <c r="AD175" s="613"/>
    </row>
    <row r="176" spans="1:30" outlineLevel="2" x14ac:dyDescent="0.45">
      <c r="B176" s="597" t="str">
        <f t="shared" si="60"/>
        <v>Sales</v>
      </c>
      <c r="F176" s="596"/>
      <c r="G176" s="596"/>
      <c r="H176" s="596"/>
      <c r="I176" s="596"/>
      <c r="L176" s="1007"/>
    </row>
    <row r="177" spans="1:30" outlineLevel="2" x14ac:dyDescent="0.45">
      <c r="B177" s="597" t="str">
        <f t="shared" si="60"/>
        <v>Sales</v>
      </c>
      <c r="D177" s="747"/>
      <c r="F177" s="596"/>
      <c r="G177" s="596"/>
      <c r="H177" s="769">
        <f>7399*H175</f>
        <v>646887025.6967262</v>
      </c>
      <c r="I177" s="596"/>
      <c r="AB177" s="769">
        <f>7399*AB175</f>
        <v>736941641.34717083</v>
      </c>
    </row>
    <row r="178" spans="1:30" outlineLevel="2" x14ac:dyDescent="0.45">
      <c r="B178" s="597" t="str">
        <f t="shared" si="60"/>
        <v>Sales</v>
      </c>
      <c r="C178" s="451">
        <f>C169+1</f>
        <v>17</v>
      </c>
      <c r="D178" s="451" t="s">
        <v>1554</v>
      </c>
      <c r="E178" s="583" t="str">
        <f>'5. Dashboard Live'!$C$12</f>
        <v>EC</v>
      </c>
      <c r="F178" s="596"/>
      <c r="G178" s="596"/>
      <c r="H178" s="994"/>
      <c r="I178" s="995"/>
      <c r="J178" s="994"/>
      <c r="L178" s="995"/>
      <c r="M178" s="995"/>
      <c r="N178" s="995"/>
      <c r="O178" s="995"/>
      <c r="P178" s="612"/>
      <c r="Q178" s="612"/>
      <c r="R178" s="612"/>
      <c r="S178" s="612"/>
      <c r="T178" s="612"/>
      <c r="U178" s="612"/>
      <c r="V178" s="612"/>
      <c r="W178" s="612"/>
      <c r="X178" s="612"/>
      <c r="Y178" s="612"/>
      <c r="Z178" s="612"/>
      <c r="AA178" s="612"/>
      <c r="AB178" s="612"/>
    </row>
    <row r="179" spans="1:30" outlineLevel="2" x14ac:dyDescent="0.45">
      <c r="B179" s="597" t="str">
        <f t="shared" si="60"/>
        <v>Sales</v>
      </c>
      <c r="D179" s="747" t="s">
        <v>1539</v>
      </c>
      <c r="F179" s="596"/>
      <c r="G179" s="596"/>
      <c r="H179" s="603">
        <f>SUMIF($D$78:$D$83,$E$178,H$78:H$83)</f>
        <v>114</v>
      </c>
      <c r="I179" s="603">
        <f>H183</f>
        <v>114</v>
      </c>
      <c r="J179" s="603">
        <f t="shared" ref="J179:AC179" si="73">I183</f>
        <v>132</v>
      </c>
      <c r="K179" s="603">
        <f t="shared" si="73"/>
        <v>150</v>
      </c>
      <c r="L179" s="603">
        <f t="shared" si="73"/>
        <v>168</v>
      </c>
      <c r="M179" s="603">
        <f t="shared" si="73"/>
        <v>170</v>
      </c>
      <c r="N179" s="603">
        <f t="shared" si="73"/>
        <v>172</v>
      </c>
      <c r="O179" s="603">
        <f t="shared" si="73"/>
        <v>174</v>
      </c>
      <c r="P179" s="603">
        <f t="shared" si="73"/>
        <v>176</v>
      </c>
      <c r="Q179" s="603">
        <f t="shared" si="73"/>
        <v>178</v>
      </c>
      <c r="R179" s="603">
        <f t="shared" si="73"/>
        <v>180</v>
      </c>
      <c r="S179" s="603">
        <f t="shared" si="73"/>
        <v>182</v>
      </c>
      <c r="T179" s="603">
        <f t="shared" si="73"/>
        <v>184</v>
      </c>
      <c r="U179" s="603">
        <f t="shared" si="73"/>
        <v>186</v>
      </c>
      <c r="V179" s="603">
        <f t="shared" si="73"/>
        <v>188</v>
      </c>
      <c r="W179" s="603">
        <f t="shared" si="73"/>
        <v>190</v>
      </c>
      <c r="X179" s="603">
        <f t="shared" si="73"/>
        <v>192</v>
      </c>
      <c r="Y179" s="603">
        <f t="shared" si="73"/>
        <v>194</v>
      </c>
      <c r="Z179" s="603">
        <f t="shared" si="73"/>
        <v>196</v>
      </c>
      <c r="AA179" s="603">
        <f t="shared" si="73"/>
        <v>198</v>
      </c>
      <c r="AB179" s="603">
        <f t="shared" si="73"/>
        <v>200</v>
      </c>
      <c r="AC179" s="603">
        <f t="shared" si="73"/>
        <v>204</v>
      </c>
      <c r="AD179" s="604"/>
    </row>
    <row r="180" spans="1:30" outlineLevel="2" x14ac:dyDescent="0.45">
      <c r="B180" s="597" t="str">
        <f t="shared" si="60"/>
        <v>Sales</v>
      </c>
      <c r="D180" s="747" t="s">
        <v>1555</v>
      </c>
      <c r="F180" s="596"/>
      <c r="G180" s="596"/>
      <c r="H180" s="603"/>
      <c r="I180" s="603">
        <f t="shared" ref="I180:AC180" si="74">SUMIF($D$51:$D$56,$E$178,I$51:I$56)</f>
        <v>18</v>
      </c>
      <c r="J180" s="603">
        <f t="shared" si="74"/>
        <v>18</v>
      </c>
      <c r="K180" s="603">
        <f t="shared" si="74"/>
        <v>18</v>
      </c>
      <c r="L180" s="603">
        <f t="shared" si="74"/>
        <v>2</v>
      </c>
      <c r="M180" s="603">
        <f t="shared" si="74"/>
        <v>2</v>
      </c>
      <c r="N180" s="603">
        <f t="shared" si="74"/>
        <v>2</v>
      </c>
      <c r="O180" s="603">
        <f t="shared" si="74"/>
        <v>2</v>
      </c>
      <c r="P180" s="603">
        <f t="shared" si="74"/>
        <v>2</v>
      </c>
      <c r="Q180" s="603">
        <f t="shared" si="74"/>
        <v>2</v>
      </c>
      <c r="R180" s="603">
        <f t="shared" si="74"/>
        <v>2</v>
      </c>
      <c r="S180" s="603">
        <f t="shared" si="74"/>
        <v>2</v>
      </c>
      <c r="T180" s="603">
        <f t="shared" si="74"/>
        <v>2</v>
      </c>
      <c r="U180" s="603">
        <f t="shared" si="74"/>
        <v>2</v>
      </c>
      <c r="V180" s="603">
        <f t="shared" si="74"/>
        <v>2</v>
      </c>
      <c r="W180" s="603">
        <f t="shared" si="74"/>
        <v>2</v>
      </c>
      <c r="X180" s="603">
        <f t="shared" si="74"/>
        <v>2</v>
      </c>
      <c r="Y180" s="603">
        <f t="shared" si="74"/>
        <v>2</v>
      </c>
      <c r="Z180" s="603">
        <f t="shared" si="74"/>
        <v>2</v>
      </c>
      <c r="AA180" s="603">
        <f t="shared" si="74"/>
        <v>2</v>
      </c>
      <c r="AB180" s="603">
        <f t="shared" si="74"/>
        <v>4</v>
      </c>
      <c r="AC180" s="603">
        <f t="shared" si="74"/>
        <v>0</v>
      </c>
    </row>
    <row r="181" spans="1:30" outlineLevel="2" x14ac:dyDescent="0.45">
      <c r="B181" s="597" t="str">
        <f t="shared" si="60"/>
        <v>Sales</v>
      </c>
      <c r="D181" s="747" t="s">
        <v>1569</v>
      </c>
      <c r="F181" s="596"/>
      <c r="G181" s="596"/>
      <c r="H181" s="603"/>
      <c r="I181" s="1006"/>
      <c r="J181" s="1006"/>
      <c r="K181" s="1006"/>
      <c r="L181" s="603">
        <f>IF('5. Dashboard Live'!$AA$19='14. Permanent Info'!$N$7,-L180,0)</f>
        <v>0</v>
      </c>
      <c r="M181" s="603">
        <f>IF('5. Dashboard Live'!$AA$19='14. Permanent Info'!$N$7,-M180,0)</f>
        <v>0</v>
      </c>
      <c r="N181" s="603">
        <f>IF('5. Dashboard Live'!$AA$19='14. Permanent Info'!$N$7,-N180,0)</f>
        <v>0</v>
      </c>
      <c r="O181" s="603">
        <f>IF('5. Dashboard Live'!$AA$19='14. Permanent Info'!$N$7,-O180,0)</f>
        <v>0</v>
      </c>
      <c r="P181" s="603">
        <f>IF('5. Dashboard Live'!$AA$19='14. Permanent Info'!$N$7,-P180,0)</f>
        <v>0</v>
      </c>
      <c r="Q181" s="603">
        <f>IF('5. Dashboard Live'!$AA$19='14. Permanent Info'!$N$7,-Q180,0)</f>
        <v>0</v>
      </c>
      <c r="R181" s="603">
        <f>IF('5. Dashboard Live'!$AA$19='14. Permanent Info'!$N$7,-R180,0)</f>
        <v>0</v>
      </c>
      <c r="S181" s="603">
        <f>IF('5. Dashboard Live'!$AA$19='14. Permanent Info'!$N$7,-S180,0)</f>
        <v>0</v>
      </c>
      <c r="T181" s="603">
        <f>IF('5. Dashboard Live'!$AA$19='14. Permanent Info'!$N$7,-T180,0)</f>
        <v>0</v>
      </c>
      <c r="U181" s="603">
        <f>IF('5. Dashboard Live'!$AA$19='14. Permanent Info'!$N$7,-U180,0)</f>
        <v>0</v>
      </c>
      <c r="V181" s="603">
        <f>IF('5. Dashboard Live'!$AA$19='14. Permanent Info'!$N$7,-V180,0)</f>
        <v>0</v>
      </c>
      <c r="W181" s="603">
        <f>IF('5. Dashboard Live'!$AA$19='14. Permanent Info'!$N$7,-W180,0)</f>
        <v>0</v>
      </c>
      <c r="X181" s="603">
        <f>IF('5. Dashboard Live'!$AA$19='14. Permanent Info'!$N$7,-X180,0)</f>
        <v>0</v>
      </c>
      <c r="Y181" s="603">
        <f>IF('5. Dashboard Live'!$AA$19='14. Permanent Info'!$N$7,-Y180,0)</f>
        <v>0</v>
      </c>
      <c r="Z181" s="603">
        <f>IF('5. Dashboard Live'!$AA$19='14. Permanent Info'!$N$7,-Z180,0)</f>
        <v>0</v>
      </c>
      <c r="AA181" s="603">
        <f>IF('5. Dashboard Live'!$AA$19='14. Permanent Info'!$N$7,-AA180,0)</f>
        <v>0</v>
      </c>
      <c r="AB181" s="603">
        <f>IF('5. Dashboard Live'!$AA$19='14. Permanent Info'!$N$7,-AB180,0)</f>
        <v>0</v>
      </c>
      <c r="AC181" s="603">
        <f>IF('5. Dashboard Live'!$AA$19='14. Permanent Info'!$N$7,-AC180,0)</f>
        <v>0</v>
      </c>
    </row>
    <row r="182" spans="1:30" outlineLevel="2" x14ac:dyDescent="0.45">
      <c r="B182" s="597" t="str">
        <f t="shared" si="60"/>
        <v>Sales</v>
      </c>
      <c r="D182" s="747" t="s">
        <v>1570</v>
      </c>
      <c r="F182" s="596"/>
      <c r="G182" s="596"/>
      <c r="H182" s="603"/>
      <c r="I182" s="603">
        <f>ROUND(SUMIF($D$106:$D$111,$E$178,I$106:I$111),0)</f>
        <v>0</v>
      </c>
      <c r="J182" s="603">
        <f>SUMIF($D$106:$D$111,$E$178,J$106:J$111)</f>
        <v>0</v>
      </c>
      <c r="K182" s="603">
        <f>SUMIF($D$106:$D$111,$E$178,K$106:K$111)</f>
        <v>0</v>
      </c>
      <c r="L182" s="603">
        <f>IF(AND('5. Dashboard Live'!$AA$19='14. Permanent Info'!$N$7,L$4&lt;='10. Inputs &amp; Calcs'!$K$4+'5. Dashboard Live'!$AA$16),SUMIF($D$106:$D$111,$E$178,L$106:L$111),0)</f>
        <v>0</v>
      </c>
      <c r="M182" s="603">
        <f>IF(AND('5. Dashboard Live'!$AA$19='14. Permanent Info'!$N$7,M$4&lt;='10. Inputs &amp; Calcs'!$K$4+'5. Dashboard Live'!$AA$16),SUMIF($D$106:$D$111,$E$178,M$106:M$111),0)</f>
        <v>0</v>
      </c>
      <c r="N182" s="603">
        <f>IF(AND('5. Dashboard Live'!$AA$19='14. Permanent Info'!$N$7,N$4&lt;='10. Inputs &amp; Calcs'!$K$4+'5. Dashboard Live'!$AA$16),SUMIF($D$106:$D$111,$E$178,N$106:N$111),0)</f>
        <v>0</v>
      </c>
      <c r="O182" s="603">
        <f>IF(AND('5. Dashboard Live'!$AA$19='14. Permanent Info'!$N$7,O$4&lt;='10. Inputs &amp; Calcs'!$K$4+'5. Dashboard Live'!$AA$16),SUMIF($D$106:$D$111,$E$178,O$106:O$111),0)</f>
        <v>0</v>
      </c>
      <c r="P182" s="603">
        <f>IF(AND('5. Dashboard Live'!$AA$19='14. Permanent Info'!$N$7,P$4&lt;='10. Inputs &amp; Calcs'!$K$4+'5. Dashboard Live'!$AA$16),SUMIF($D$106:$D$111,$E$178,P$106:P$111),0)</f>
        <v>0</v>
      </c>
      <c r="Q182" s="603">
        <f>IF(AND('5. Dashboard Live'!$AA$19='14. Permanent Info'!$N$7,Q$4&lt;='10. Inputs &amp; Calcs'!$K$4+'5. Dashboard Live'!$AA$16),SUMIF($D$106:$D$111,$E$178,Q$106:Q$111),0)</f>
        <v>0</v>
      </c>
      <c r="R182" s="603">
        <f>IF(AND('5. Dashboard Live'!$AA$19='14. Permanent Info'!$N$7,R$4&lt;='10. Inputs &amp; Calcs'!$K$4+'5. Dashboard Live'!$AA$16),SUMIF($D$106:$D$111,$E$178,R$106:R$111),0)</f>
        <v>0</v>
      </c>
      <c r="S182" s="603">
        <f>IF(AND('5. Dashboard Live'!$AA$19='14. Permanent Info'!$N$7,S$4&lt;='10. Inputs &amp; Calcs'!$K$4+'5. Dashboard Live'!$AA$16),SUMIF($D$106:$D$111,$E$178,S$106:S$111),0)</f>
        <v>0</v>
      </c>
      <c r="T182" s="603">
        <f>IF(AND('5. Dashboard Live'!$AA$19='14. Permanent Info'!$N$7,T$4&lt;='10. Inputs &amp; Calcs'!$K$4+'5. Dashboard Live'!$AA$16),SUMIF($D$106:$D$111,$E$178,T$106:T$111),0)</f>
        <v>0</v>
      </c>
      <c r="U182" s="603">
        <f>IF(AND('5. Dashboard Live'!$AA$19='14. Permanent Info'!$N$7,U$4&lt;='10. Inputs &amp; Calcs'!$K$4+'5. Dashboard Live'!$AA$16),SUMIF($D$106:$D$111,$E$178,U$106:U$111),0)</f>
        <v>0</v>
      </c>
      <c r="V182" s="603">
        <f>IF(AND('5. Dashboard Live'!$AA$19='14. Permanent Info'!$N$7,V$4&lt;='10. Inputs &amp; Calcs'!$K$4+'5. Dashboard Live'!$AA$16),SUMIF($D$106:$D$111,$E$178,V$106:V$111),0)</f>
        <v>0</v>
      </c>
      <c r="W182" s="603">
        <f>IF(AND('5. Dashboard Live'!$AA$19='14. Permanent Info'!$N$7,W$4&lt;='10. Inputs &amp; Calcs'!$K$4+'5. Dashboard Live'!$AA$16),SUMIF($D$106:$D$111,$E$178,W$106:W$111),0)</f>
        <v>0</v>
      </c>
      <c r="X182" s="603">
        <f>IF(AND('5. Dashboard Live'!$AA$19='14. Permanent Info'!$N$7,X$4&lt;='10. Inputs &amp; Calcs'!$K$4+'5. Dashboard Live'!$AA$16),SUMIF($D$106:$D$111,$E$178,X$106:X$111),0)</f>
        <v>0</v>
      </c>
      <c r="Y182" s="603">
        <f>IF(AND('5. Dashboard Live'!$AA$19='14. Permanent Info'!$N$7,Y$4&lt;='10. Inputs &amp; Calcs'!$K$4+'5. Dashboard Live'!$AA$16),SUMIF($D$106:$D$111,$E$178,Y$106:Y$111),0)</f>
        <v>0</v>
      </c>
      <c r="Z182" s="603">
        <f>IF(AND('5. Dashboard Live'!$AA$19='14. Permanent Info'!$N$7,Z$4&lt;='10. Inputs &amp; Calcs'!$K$4+'5. Dashboard Live'!$AA$16),SUMIF($D$106:$D$111,$E$178,Z$106:Z$111),0)</f>
        <v>0</v>
      </c>
      <c r="AA182" s="603">
        <f>IF(AND('5. Dashboard Live'!$AA$19='14. Permanent Info'!$N$7,AA$4&lt;='10. Inputs &amp; Calcs'!$K$4+'5. Dashboard Live'!$AA$16),SUMIF($D$106:$D$111,$E$178,AA$106:AA$111),0)</f>
        <v>0</v>
      </c>
      <c r="AB182" s="603">
        <f>IF(AND('5. Dashboard Live'!$AA$19='14. Permanent Info'!$N$7,AB$4&lt;='10. Inputs &amp; Calcs'!$K$4+'5. Dashboard Live'!$AA$16),SUMIF($D$106:$D$111,$E$178,AB$106:AB$111),0)</f>
        <v>0</v>
      </c>
      <c r="AC182" s="603">
        <f>IF(AND('5. Dashboard Live'!$AA$19='14. Permanent Info'!$N$7,AC$4&lt;='10. Inputs &amp; Calcs'!$K$4+'5. Dashboard Live'!$AA$16),SUMIF($D$106:$D$111,$E$178,AC$106:AC$111),0)</f>
        <v>0</v>
      </c>
    </row>
    <row r="183" spans="1:30" outlineLevel="2" x14ac:dyDescent="0.45">
      <c r="B183" s="597" t="str">
        <f t="shared" si="60"/>
        <v>Sales</v>
      </c>
      <c r="D183" s="747" t="s">
        <v>1544</v>
      </c>
      <c r="F183" s="596"/>
      <c r="G183" s="596"/>
      <c r="H183" s="605">
        <f>SUM(H179:H182)</f>
        <v>114</v>
      </c>
      <c r="I183" s="605">
        <f>SUM(I179:I182)</f>
        <v>132</v>
      </c>
      <c r="J183" s="605">
        <f t="shared" ref="J183:AC183" si="75">SUM(J179:J182)</f>
        <v>150</v>
      </c>
      <c r="K183" s="605">
        <f t="shared" si="75"/>
        <v>168</v>
      </c>
      <c r="L183" s="605">
        <f t="shared" si="75"/>
        <v>170</v>
      </c>
      <c r="M183" s="605">
        <f t="shared" si="75"/>
        <v>172</v>
      </c>
      <c r="N183" s="605">
        <f t="shared" si="75"/>
        <v>174</v>
      </c>
      <c r="O183" s="605">
        <f t="shared" si="75"/>
        <v>176</v>
      </c>
      <c r="P183" s="605">
        <f t="shared" si="75"/>
        <v>178</v>
      </c>
      <c r="Q183" s="605">
        <f t="shared" si="75"/>
        <v>180</v>
      </c>
      <c r="R183" s="605">
        <f t="shared" si="75"/>
        <v>182</v>
      </c>
      <c r="S183" s="605">
        <f t="shared" si="75"/>
        <v>184</v>
      </c>
      <c r="T183" s="605">
        <f t="shared" si="75"/>
        <v>186</v>
      </c>
      <c r="U183" s="605">
        <f t="shared" si="75"/>
        <v>188</v>
      </c>
      <c r="V183" s="605">
        <f t="shared" si="75"/>
        <v>190</v>
      </c>
      <c r="W183" s="605">
        <f t="shared" si="75"/>
        <v>192</v>
      </c>
      <c r="X183" s="605">
        <f t="shared" si="75"/>
        <v>194</v>
      </c>
      <c r="Y183" s="605">
        <f t="shared" si="75"/>
        <v>196</v>
      </c>
      <c r="Z183" s="605">
        <f t="shared" si="75"/>
        <v>198</v>
      </c>
      <c r="AA183" s="605">
        <f t="shared" si="75"/>
        <v>200</v>
      </c>
      <c r="AB183" s="605">
        <f t="shared" si="75"/>
        <v>204</v>
      </c>
      <c r="AC183" s="605">
        <f t="shared" si="75"/>
        <v>204</v>
      </c>
    </row>
    <row r="184" spans="1:30" outlineLevel="2" x14ac:dyDescent="0.45">
      <c r="B184" s="597" t="str">
        <f t="shared" si="60"/>
        <v>Sales</v>
      </c>
      <c r="F184" s="596"/>
      <c r="G184" s="596"/>
      <c r="H184" s="995"/>
      <c r="I184" s="995"/>
      <c r="J184" s="994"/>
      <c r="L184" s="995"/>
      <c r="M184" s="995"/>
      <c r="N184" s="995"/>
      <c r="O184" s="995"/>
      <c r="P184" s="612"/>
      <c r="Q184" s="612"/>
      <c r="R184" s="612"/>
      <c r="S184" s="612"/>
      <c r="T184" s="612"/>
      <c r="U184" s="612"/>
      <c r="V184" s="612"/>
      <c r="W184" s="612"/>
      <c r="X184" s="612"/>
      <c r="Y184" s="612"/>
      <c r="Z184" s="612"/>
      <c r="AA184" s="612"/>
      <c r="AB184" s="612"/>
    </row>
    <row r="185" spans="1:30" outlineLevel="2" x14ac:dyDescent="0.45">
      <c r="B185" s="597" t="str">
        <f t="shared" si="60"/>
        <v>Sales</v>
      </c>
      <c r="F185" s="596"/>
      <c r="G185" s="596"/>
      <c r="H185" s="596"/>
      <c r="I185" s="596"/>
    </row>
    <row r="186" spans="1:30" outlineLevel="2" x14ac:dyDescent="0.45">
      <c r="B186" s="597" t="str">
        <f t="shared" si="60"/>
        <v>Sales</v>
      </c>
      <c r="C186" s="451">
        <f>C178+1</f>
        <v>18</v>
      </c>
      <c r="D186" s="451" t="s">
        <v>1556</v>
      </c>
      <c r="E186" s="583" t="str">
        <f>'5. Dashboard Live'!$C$12</f>
        <v>EC</v>
      </c>
      <c r="F186" s="596"/>
      <c r="G186" s="596"/>
      <c r="H186" s="994"/>
      <c r="I186" s="995"/>
    </row>
    <row r="187" spans="1:30" outlineLevel="2" x14ac:dyDescent="0.45">
      <c r="B187" s="597" t="str">
        <f t="shared" si="60"/>
        <v>Sales</v>
      </c>
      <c r="D187" s="747" t="s">
        <v>1539</v>
      </c>
      <c r="F187" s="596"/>
      <c r="G187" s="596"/>
      <c r="H187" s="991"/>
      <c r="I187" s="612">
        <f t="shared" ref="I187:AC187" si="76">H191</f>
        <v>8780700.9399999995</v>
      </c>
      <c r="J187" s="612">
        <f t="shared" si="76"/>
        <v>10167127.404210526</v>
      </c>
      <c r="K187" s="612">
        <f t="shared" si="76"/>
        <v>11553553.868421052</v>
      </c>
      <c r="L187" s="612">
        <f t="shared" si="76"/>
        <v>12939980.332631577</v>
      </c>
      <c r="M187" s="612">
        <f t="shared" si="76"/>
        <v>13094027.717543857</v>
      </c>
      <c r="N187" s="612">
        <f t="shared" si="76"/>
        <v>13248075.102456138</v>
      </c>
      <c r="O187" s="612">
        <f t="shared" si="76"/>
        <v>13402122.487368418</v>
      </c>
      <c r="P187" s="612">
        <f t="shared" si="76"/>
        <v>13556169.872280698</v>
      </c>
      <c r="Q187" s="612">
        <f t="shared" si="76"/>
        <v>13710217.257192979</v>
      </c>
      <c r="R187" s="612">
        <f t="shared" si="76"/>
        <v>13864264.642105259</v>
      </c>
      <c r="S187" s="612">
        <f t="shared" si="76"/>
        <v>14018312.027017539</v>
      </c>
      <c r="T187" s="612">
        <f t="shared" si="76"/>
        <v>14172359.41192982</v>
      </c>
      <c r="U187" s="612">
        <f t="shared" si="76"/>
        <v>14326406.7968421</v>
      </c>
      <c r="V187" s="612">
        <f t="shared" si="76"/>
        <v>14480454.18175438</v>
      </c>
      <c r="W187" s="612">
        <f t="shared" si="76"/>
        <v>14634501.566666661</v>
      </c>
      <c r="X187" s="612">
        <f t="shared" si="76"/>
        <v>14788548.951578941</v>
      </c>
      <c r="Y187" s="612">
        <f t="shared" si="76"/>
        <v>14942596.336491222</v>
      </c>
      <c r="Z187" s="612">
        <f t="shared" si="76"/>
        <v>15096643.721403502</v>
      </c>
      <c r="AA187" s="612">
        <f t="shared" si="76"/>
        <v>15250691.106315782</v>
      </c>
      <c r="AB187" s="612">
        <f t="shared" si="76"/>
        <v>15404738.491228063</v>
      </c>
      <c r="AC187" s="612">
        <f t="shared" si="76"/>
        <v>0</v>
      </c>
      <c r="AD187" s="612">
        <f>I187</f>
        <v>8780700.9399999995</v>
      </c>
    </row>
    <row r="188" spans="1:30" outlineLevel="2" x14ac:dyDescent="0.45">
      <c r="B188" s="597" t="str">
        <f t="shared" si="60"/>
        <v>Sales</v>
      </c>
      <c r="D188" s="747" t="s">
        <v>1555</v>
      </c>
      <c r="F188" s="596"/>
      <c r="G188" s="596"/>
      <c r="H188" s="991"/>
      <c r="I188" s="612">
        <f>I180*(SUMIF($D$170:$D$175,$E$186,I$170:I$175)+SUMIF($D$134:$D$139,$E$186,$I$134:$I$139))</f>
        <v>1596836.3487774553</v>
      </c>
      <c r="J188" s="612">
        <f>J180*(SUMIF($D$170:$D$175,$E$186,J$170:J$175)+SUMIF($D$134:$D$139,$E$186,$I$134:$I$139))</f>
        <v>1596836.3487774553</v>
      </c>
      <c r="K188" s="612">
        <f>K180*(SUMIF($D$170:$D$175,$E$186,K$170:K$175)+SUMIF($D$134:$D$139,$E$186,$I$134:$I$139))</f>
        <v>1596836.3487774553</v>
      </c>
      <c r="L188" s="612">
        <f>IF('5. Dashboard Live'!$AA$19='14. Permanent Info'!$M$7,L180*(SUMIF($D$134:$D$139,$E$186,L$134:L$139)+SUMIF($D$170:$D$175,$E$186,L$170:L$175)),IF('5. Dashboard Live'!$AA$19='14. Permanent Info'!$N$7,L180*(SUMIF($D$134:$D$139,$E$186,L$134:L$139)+SUMIF($D$170:$D$175,$E$186,L$170:L$175))))</f>
        <v>177426.2609752728</v>
      </c>
      <c r="M188" s="612">
        <f>IF('5. Dashboard Live'!$AA$19='14. Permanent Info'!$M$7,M180*(SUMIF($D$134:$D$139,$E$186,M$134:M$139)+SUMIF($D$170:$D$175,$E$186,M$170:M$175)),IF('5. Dashboard Live'!$AA$19='14. Permanent Info'!$N$7,M180*SUMIF($D$134:$D$139,$E$186,M$134:M$139)))</f>
        <v>177426.2609752728</v>
      </c>
      <c r="N188" s="612">
        <f>IF('5. Dashboard Live'!$AA$19='14. Permanent Info'!$M$7,N180*(SUMIF($D$134:$D$139,$E$186,N$134:N$139)+SUMIF($D$170:$D$175,$E$186,N$170:N$175)),IF('5. Dashboard Live'!$AA$19='14. Permanent Info'!$N$7,N180*SUMIF($D$134:$D$139,$E$186,N$134:N$139)))</f>
        <v>177426.2609752728</v>
      </c>
      <c r="O188" s="612">
        <f>IF('5. Dashboard Live'!$AA$19='14. Permanent Info'!$M$7,O180*(SUMIF($D$134:$D$139,$E$186,O$134:O$139)+SUMIF($D$170:$D$175,$E$186,O$170:O$175)),IF('5. Dashboard Live'!$AA$19='14. Permanent Info'!$N$7,O180*SUMIF($D$134:$D$139,$E$186,O$134:O$139)))</f>
        <v>177426.2609752728</v>
      </c>
      <c r="P188" s="612">
        <f>IF('5. Dashboard Live'!$AA$19='14. Permanent Info'!$M$7,P180*(SUMIF($D$134:$D$139,$E$186,P$134:P$139)+SUMIF($D$170:$D$175,$E$186,P$170:P$175)),IF('5. Dashboard Live'!$AA$19='14. Permanent Info'!$N$7,P180*SUMIF($D$134:$D$139,$E$186,P$134:P$139)))</f>
        <v>177426.2609752728</v>
      </c>
      <c r="Q188" s="612">
        <f>IF('5. Dashboard Live'!$AA$19='14. Permanent Info'!$M$7,Q180*(SUMIF($D$134:$D$139,$E$186,Q$134:Q$139)+SUMIF($D$170:$D$175,$E$186,Q$170:Q$175)),IF('5. Dashboard Live'!$AA$19='14. Permanent Info'!$N$7,Q180*SUMIF($D$134:$D$139,$E$186,Q$134:Q$139)))</f>
        <v>177426.2609752728</v>
      </c>
      <c r="R188" s="612">
        <f>IF('5. Dashboard Live'!$AA$19='14. Permanent Info'!$M$7,R180*(SUMIF($D$134:$D$139,$E$186,R$134:R$139)+SUMIF($D$170:$D$175,$E$186,R$170:R$175)),IF('5. Dashboard Live'!$AA$19='14. Permanent Info'!$N$7,R180*SUMIF($D$134:$D$139,$E$186,R$134:R$139)))</f>
        <v>177426.2609752728</v>
      </c>
      <c r="S188" s="612">
        <f>IF('5. Dashboard Live'!$AA$19='14. Permanent Info'!$M$7,S180*(SUMIF($D$134:$D$139,$E$186,S$134:S$139)+SUMIF($D$170:$D$175,$E$186,S$170:S$175)),IF('5. Dashboard Live'!$AA$19='14. Permanent Info'!$N$7,S180*SUMIF($D$134:$D$139,$E$186,S$134:S$139)))</f>
        <v>177426.2609752728</v>
      </c>
      <c r="T188" s="612">
        <f>IF('5. Dashboard Live'!$AA$19='14. Permanent Info'!$M$7,T180*(SUMIF($D$134:$D$139,$E$186,T$134:T$139)+SUMIF($D$170:$D$175,$E$186,T$170:T$175)),IF('5. Dashboard Live'!$AA$19='14. Permanent Info'!$N$7,T180*SUMIF($D$134:$D$139,$E$186,T$134:T$139)))</f>
        <v>177426.2609752728</v>
      </c>
      <c r="U188" s="612">
        <f>IF('5. Dashboard Live'!$AA$19='14. Permanent Info'!$M$7,U180*(SUMIF($D$134:$D$139,$E$186,U$134:U$139)+SUMIF($D$170:$D$175,$E$186,U$170:U$175)),IF('5. Dashboard Live'!$AA$19='14. Permanent Info'!$N$7,U180*SUMIF($D$134:$D$139,$E$186,U$134:U$139)))</f>
        <v>177426.2609752728</v>
      </c>
      <c r="V188" s="612">
        <f>IF('5. Dashboard Live'!$AA$19='14. Permanent Info'!$M$7,V180*(SUMIF($D$134:$D$139,$E$186,V$134:V$139)+SUMIF($D$170:$D$175,$E$186,V$170:V$175)),IF('5. Dashboard Live'!$AA$19='14. Permanent Info'!$N$7,V180*SUMIF($D$134:$D$139,$E$186,V$134:V$139)))</f>
        <v>177426.2609752728</v>
      </c>
      <c r="W188" s="612">
        <f>IF('5. Dashboard Live'!$AA$19='14. Permanent Info'!$M$7,W180*(SUMIF($D$134:$D$139,$E$186,W$134:W$139)+SUMIF($D$170:$D$175,$E$186,W$170:W$175)),IF('5. Dashboard Live'!$AA$19='14. Permanent Info'!$N$7,W180*SUMIF($D$134:$D$139,$E$186,W$134:W$139)))</f>
        <v>177426.2609752728</v>
      </c>
      <c r="X188" s="612">
        <f>IF('5. Dashboard Live'!$AA$19='14. Permanent Info'!$M$7,X180*(SUMIF($D$134:$D$139,$E$186,X$134:X$139)+SUMIF($D$170:$D$175,$E$186,X$170:X$175)),IF('5. Dashboard Live'!$AA$19='14. Permanent Info'!$N$7,X180*SUMIF($D$134:$D$139,$E$186,X$134:X$139)))</f>
        <v>177426.2609752728</v>
      </c>
      <c r="Y188" s="612">
        <f>IF('5. Dashboard Live'!$AA$19='14. Permanent Info'!$M$7,Y180*(SUMIF($D$134:$D$139,$E$186,Y$134:Y$139)+SUMIF($D$170:$D$175,$E$186,Y$170:Y$175)),IF('5. Dashboard Live'!$AA$19='14. Permanent Info'!$N$7,Y180*SUMIF($D$134:$D$139,$E$186,Y$134:Y$139)))</f>
        <v>177426.2609752728</v>
      </c>
      <c r="Z188" s="612">
        <f>IF('5. Dashboard Live'!$AA$19='14. Permanent Info'!$M$7,Z180*(SUMIF($D$134:$D$139,$E$186,Z$134:Z$139)+SUMIF($D$170:$D$175,$E$186,Z$170:Z$175)),IF('5. Dashboard Live'!$AA$19='14. Permanent Info'!$N$7,Z180*SUMIF($D$134:$D$139,$E$186,Z$134:Z$139)))</f>
        <v>177426.2609752728</v>
      </c>
      <c r="AA188" s="612">
        <f>IF('5. Dashboard Live'!$AA$19='14. Permanent Info'!$M$7,AA180*(SUMIF($D$134:$D$139,$E$186,AA$134:AA$139)+SUMIF($D$170:$D$175,$E$186,AA$170:AA$175)),IF('5. Dashboard Live'!$AA$19='14. Permanent Info'!$N$7,AA180*SUMIF($D$134:$D$139,$E$186,AA$134:AA$139)))</f>
        <v>177426.2609752728</v>
      </c>
      <c r="AB188" s="612">
        <f>IF('5. Dashboard Live'!$AA$19='14. Permanent Info'!$M$7,AB180*(SUMIF($D$134:$D$139,$E$186,AB$134:AB$139)+SUMIF($D$170:$D$175,$E$186,AB$170:AB$175)),IF('5. Dashboard Live'!$AA$19='14. Permanent Info'!$N$7,AB180*SUMIF($D$134:$D$139,$E$186,AB$134:AB$139)))</f>
        <v>616189.53964912274</v>
      </c>
      <c r="AC188" s="612">
        <f>IF('5. Dashboard Live'!$AA$19='14. Permanent Info'!$M$7,AC180*(SUMIF($D$134:$D$139,$E$186,AC$134:AC$139)+SUMIF($D$170:$D$175,$E$186,AC$170:AC$175)),IF('5. Dashboard Live'!$AA$19='14. Permanent Info'!$N$7,AC180*SUMIF($D$134:$D$139,$E$186,AC$134:AC$139)))</f>
        <v>0</v>
      </c>
      <c r="AD188" s="612">
        <f>SUM(I188:AC188)</f>
        <v>8245518.7615858465</v>
      </c>
    </row>
    <row r="189" spans="1:30" outlineLevel="2" x14ac:dyDescent="0.45">
      <c r="B189" s="597" t="str">
        <f t="shared" si="60"/>
        <v>Sales</v>
      </c>
      <c r="D189" s="747" t="s">
        <v>1571</v>
      </c>
      <c r="F189" s="596"/>
      <c r="G189" s="596"/>
      <c r="H189" s="991"/>
      <c r="I189" s="991">
        <f>IF(AND(I183&gt;=1,'5. Dashboard Live'!$AA$19='14. Permanent Info'!$M$7),ROUND(I182,0)*SUMIF($D$134:$D$139,$E$186,I$134:I$139),IF(AND(OR(I183&lt;-1,I183&gt;1),'5. Dashboard Live'!$AA$19='14. Permanent Info'!$N$7),I182*SUMIF($D$170:$D$175,$E$186,I$170:I$175),-SUM(I187:I189)))-SUMIF('10. Inputs &amp; Calcs'!$D$143:$D$148,'5. Dashboard Live'!$C$12,'10. Inputs &amp; Calcs'!I$143:I$148)</f>
        <v>-210409.8845669291</v>
      </c>
      <c r="J189" s="991">
        <f>IF(AND(J183&gt;=1,'5. Dashboard Live'!$AA$19='14. Permanent Info'!$M$7),ROUND(J182,0)*SUMIF($D$134:$D$139,$E$186,J$134:J$139),IF(AND(OR(J183&lt;-1,J183&gt;1),'5. Dashboard Live'!$AA$19='14. Permanent Info'!$N$7),J182*SUMIF($D$170:$D$175,$E$186,J$170:J$175),-SUM(J187:J189)))-SUMIF('10. Inputs &amp; Calcs'!$D$143:$D$148,'5. Dashboard Live'!$C$12,'10. Inputs &amp; Calcs'!J$143:J$148)</f>
        <v>-210409.8845669291</v>
      </c>
      <c r="K189" s="991">
        <f>IF(AND(K183&gt;=1,'5. Dashboard Live'!$AA$19='14. Permanent Info'!$M$7),ROUND(K182,0)*SUMIF($D$134:$D$139,$E$186,K$134:K$139),IF(AND(OR(K183&lt;-1,K183&gt;1),'5. Dashboard Live'!$AA$19='14. Permanent Info'!$N$7),K182*SUMIF($D$170:$D$175,$E$186,K$170:K$175),-SUM(K187:K189)))-SUMIF('10. Inputs &amp; Calcs'!$D$143:$D$148,'5. Dashboard Live'!$C$12,'10. Inputs &amp; Calcs'!K$143:K$148)</f>
        <v>-210409.8845669291</v>
      </c>
      <c r="L189" s="612">
        <f>IF(AND(L183&gt;=1,'5. Dashboard Live'!$AA$19='14. Permanent Info'!$M$7),-SUMIF($D$51:$D$56,$E$186,L$51:L$56)*SUMIF($D$134:$D$139,$E$186,L$134:L$139),IF(AND(OR(L183&lt;-1,L183&gt;1),'5. Dashboard Live'!$AA$19='14. Permanent Info'!$N$7),L181*SUMIF($D$134:$D$139,$E$186,L$134:L$139),0))</f>
        <v>-23378.876062992123</v>
      </c>
      <c r="M189" s="612">
        <f>IF(AND(M183&gt;=1,'5. Dashboard Live'!$AA$19='14. Permanent Info'!$M$7),-SUMIF($D$51:$D$56,$E$186,M$51:M$56)*SUMIF($D$134:$D$139,$E$186,M$134:M$139),IF(AND(OR(M183&lt;-1,M183&gt;1),'5. Dashboard Live'!$AA$19='14. Permanent Info'!$N$7),M181*SUMIF($D$134:$D$139,$E$186,M$134:M$139),0))</f>
        <v>-23378.876062992123</v>
      </c>
      <c r="N189" s="612">
        <f>IF(AND(N183&gt;=1,'5. Dashboard Live'!$AA$19='14. Permanent Info'!$M$7),-SUMIF($D$51:$D$56,$E$186,N$51:N$56)*SUMIF($D$134:$D$139,$E$186,N$134:N$139),IF(AND(OR(N183&lt;-1,N183&gt;1),'5. Dashboard Live'!$AA$19='14. Permanent Info'!$N$7),N181*SUMIF($D$134:$D$139,$E$186,N$134:N$139),0))</f>
        <v>-23378.876062992123</v>
      </c>
      <c r="O189" s="612">
        <f>IF(AND(O183&gt;=1,'5. Dashboard Live'!$AA$19='14. Permanent Info'!$M$7),-SUMIF($D$51:$D$56,$E$186,O$51:O$56)*SUMIF($D$134:$D$139,$E$186,O$134:O$139),IF(AND(OR(O183&lt;-1,O183&gt;1),'5. Dashboard Live'!$AA$19='14. Permanent Info'!$N$7),O181*SUMIF($D$134:$D$139,$E$186,O$134:O$139),0))</f>
        <v>-23378.876062992123</v>
      </c>
      <c r="P189" s="612">
        <f>IF(AND(P183&gt;=1,'5. Dashboard Live'!$AA$19='14. Permanent Info'!$M$7),-SUMIF($D$51:$D$56,$E$186,P$51:P$56)*SUMIF($D$134:$D$139,$E$186,P$134:P$139),IF(AND(OR(P183&lt;-1,P183&gt;1),'5. Dashboard Live'!$AA$19='14. Permanent Info'!$N$7),P181*SUMIF($D$134:$D$139,$E$186,P$134:P$139),0))</f>
        <v>-23378.876062992123</v>
      </c>
      <c r="Q189" s="612">
        <f>IF(AND(Q183&gt;=1,'5. Dashboard Live'!$AA$19='14. Permanent Info'!$M$7),-SUMIF($D$51:$D$56,$E$186,Q$51:Q$56)*SUMIF($D$134:$D$139,$E$186,Q$134:Q$139),IF(AND(OR(Q183&lt;-1,Q183&gt;1),'5. Dashboard Live'!$AA$19='14. Permanent Info'!$N$7),Q181*SUMIF($D$134:$D$139,$E$186,Q$134:Q$139),0))</f>
        <v>-23378.876062992123</v>
      </c>
      <c r="R189" s="612">
        <f>IF(AND(R183&gt;=1,'5. Dashboard Live'!$AA$19='14. Permanent Info'!$M$7),-SUMIF($D$51:$D$56,$E$186,R$51:R$56)*SUMIF($D$134:$D$139,$E$186,R$134:R$139),IF(AND(OR(R183&lt;-1,R183&gt;1),'5. Dashboard Live'!$AA$19='14. Permanent Info'!$N$7),R181*SUMIF($D$134:$D$139,$E$186,R$134:R$139),0))</f>
        <v>-23378.876062992123</v>
      </c>
      <c r="S189" s="612">
        <f>IF(AND(S183&gt;=1,'5. Dashboard Live'!$AA$19='14. Permanent Info'!$M$7),-SUMIF($D$51:$D$56,$E$186,S$51:S$56)*SUMIF($D$134:$D$139,$E$186,S$134:S$139),IF(AND(OR(S183&lt;-1,S183&gt;1),'5. Dashboard Live'!$AA$19='14. Permanent Info'!$N$7),S181*SUMIF($D$134:$D$139,$E$186,S$134:S$139),0))</f>
        <v>-23378.876062992123</v>
      </c>
      <c r="T189" s="612">
        <f>IF(AND(T183&gt;=1,'5. Dashboard Live'!$AA$19='14. Permanent Info'!$M$7),-SUMIF($D$51:$D$56,$E$186,T$51:T$56)*SUMIF($D$134:$D$139,$E$186,T$134:T$139),IF(AND(OR(T183&lt;-1,T183&gt;1),'5. Dashboard Live'!$AA$19='14. Permanent Info'!$N$7),T181*SUMIF($D$134:$D$139,$E$186,T$134:T$139),0))</f>
        <v>-23378.876062992123</v>
      </c>
      <c r="U189" s="612">
        <f>IF(AND(U183&gt;=1,'5. Dashboard Live'!$AA$19='14. Permanent Info'!$M$7),-SUMIF($D$51:$D$56,$E$186,U$51:U$56)*SUMIF($D$134:$D$139,$E$186,U$134:U$139),IF(AND(OR(U183&lt;-1,U183&gt;1),'5. Dashboard Live'!$AA$19='14. Permanent Info'!$N$7),U181*SUMIF($D$134:$D$139,$E$186,U$134:U$139),0))</f>
        <v>-23378.876062992123</v>
      </c>
      <c r="V189" s="612">
        <f>IF(AND(V183&gt;=1,'5. Dashboard Live'!$AA$19='14. Permanent Info'!$M$7),-SUMIF($D$51:$D$56,$E$186,V$51:V$56)*SUMIF($D$134:$D$139,$E$186,V$134:V$139),IF(AND(OR(V183&lt;-1,V183&gt;1),'5. Dashboard Live'!$AA$19='14. Permanent Info'!$N$7),V181*SUMIF($D$134:$D$139,$E$186,V$134:V$139),0))</f>
        <v>-23378.876062992123</v>
      </c>
      <c r="W189" s="612">
        <f>IF(AND(W183&gt;=1,'5. Dashboard Live'!$AA$19='14. Permanent Info'!$M$7),-SUMIF($D$51:$D$56,$E$186,W$51:W$56)*SUMIF($D$134:$D$139,$E$186,W$134:W$139),IF(AND(OR(W183&lt;-1,W183&gt;1),'5. Dashboard Live'!$AA$19='14. Permanent Info'!$N$7),W181*SUMIF($D$134:$D$139,$E$186,W$134:W$139),0))</f>
        <v>-23378.876062992123</v>
      </c>
      <c r="X189" s="612">
        <f>IF(AND(X183&gt;=1,'5. Dashboard Live'!$AA$19='14. Permanent Info'!$M$7),-SUMIF($D$51:$D$56,$E$186,X$51:X$56)*SUMIF($D$134:$D$139,$E$186,X$134:X$139),IF(AND(OR(X183&lt;-1,X183&gt;1),'5. Dashboard Live'!$AA$19='14. Permanent Info'!$N$7),X181*SUMIF($D$134:$D$139,$E$186,X$134:X$139),0))</f>
        <v>-23378.876062992123</v>
      </c>
      <c r="Y189" s="612">
        <f>IF(AND(Y183&gt;=1,'5. Dashboard Live'!$AA$19='14. Permanent Info'!$M$7),-SUMIF($D$51:$D$56,$E$186,Y$51:Y$56)*SUMIF($D$134:$D$139,$E$186,Y$134:Y$139),IF(AND(OR(Y183&lt;-1,Y183&gt;1),'5. Dashboard Live'!$AA$19='14. Permanent Info'!$N$7),Y181*SUMIF($D$134:$D$139,$E$186,Y$134:Y$139),0))</f>
        <v>-23378.876062992123</v>
      </c>
      <c r="Z189" s="612">
        <f>IF(AND(Z183&gt;=1,'5. Dashboard Live'!$AA$19='14. Permanent Info'!$M$7),-SUMIF($D$51:$D$56,$E$186,Z$51:Z$56)*SUMIF($D$134:$D$139,$E$186,Z$134:Z$139),IF(AND(OR(Z183&lt;-1,Z183&gt;1),'5. Dashboard Live'!$AA$19='14. Permanent Info'!$N$7),Z181*SUMIF($D$134:$D$139,$E$186,Z$134:Z$139),0))</f>
        <v>-23378.876062992123</v>
      </c>
      <c r="AA189" s="612">
        <f>IF(AND(AA183&gt;=1,'5. Dashboard Live'!$AA$19='14. Permanent Info'!$M$7),-SUMIF($D$51:$D$56,$E$186,AA$51:AA$56)*SUMIF($D$134:$D$139,$E$186,AA$134:AA$139),IF(AND(OR(AA183&lt;-1,AA183&gt;1),'5. Dashboard Live'!$AA$19='14. Permanent Info'!$N$7),AA181*SUMIF($D$134:$D$139,$E$186,AA$134:AA$139),0))</f>
        <v>-23378.876062992123</v>
      </c>
      <c r="AB189" s="612">
        <f>IF(AND(AB183&gt;=1,'5. Dashboard Live'!$AA$19='14. Permanent Info'!$M$7),-SUMIF($D$51:$D$56,$E$186,AB$51:AB$56)*SUMIF($D$134:$D$139,$E$186,AB$134:AB$139),IF(AND(OR(AB183&lt;-1,AB183&gt;1),'5. Dashboard Live'!$AA$19='14. Permanent Info'!$N$7),AB181*SUMIF($D$134:$D$139,$E$186,AB$134:AB$139),0))</f>
        <v>-308094.76982456137</v>
      </c>
      <c r="AC189" s="612">
        <f>IF(AND(AC183&gt;=1,'5. Dashboard Live'!$AA$19='14. Permanent Info'!$M$7),-SUMIF($D$51:$D$56,$E$186,AC$51:AC$56)*SUMIF($D$134:$D$139,$E$186,AC$134:AC$139),IF(AND(OR(AC183&lt;-1,AC183&gt;1),'5. Dashboard Live'!$AA$19='14. Permanent Info'!$N$7),AC181*SUMIF($D$134:$D$139,$E$186,AC$134:AC$139),0))</f>
        <v>0</v>
      </c>
      <c r="AD189" s="612">
        <f>SUM(I189:AC189)</f>
        <v>-1313386.4405332231</v>
      </c>
    </row>
    <row r="190" spans="1:30" outlineLevel="2" x14ac:dyDescent="0.45">
      <c r="A190" s="984"/>
      <c r="B190" s="597" t="str">
        <f t="shared" si="60"/>
        <v>Sales</v>
      </c>
      <c r="D190" s="747" t="s">
        <v>1575</v>
      </c>
      <c r="F190" s="596"/>
      <c r="G190" s="596"/>
      <c r="H190" s="991"/>
      <c r="I190" s="981">
        <f>IF(AND(I183&gt;=1,'5. Dashboard Live'!$AA$19='14. Permanent Info'!$M$7),ROUND(I182,0)*SUMIF($D$134:$D$139,$E$186,I$134:I$139),IF(AND(OR(I183&lt;-1,I183&gt;1),'5. Dashboard Live'!$AA$19='14. Permanent Info'!$N$7),I182*SUMIF($D$170:$D$175,$E$186,I$170:I$175),-SUM(I187:I189)))-SUMIF('10. Inputs &amp; Calcs'!$D$143:$D$148,'5. Dashboard Live'!$C$12,'10. Inputs &amp; Calcs'!I$143:I$148)*0</f>
        <v>0</v>
      </c>
      <c r="J190" s="981">
        <f>IF(AND(J183&gt;=1,'5. Dashboard Live'!$AA$19='14. Permanent Info'!$M$7),ROUND(J182,0)*SUMIF($D$134:$D$139,$E$186,J$134:J$139),IF(AND(OR(J183&lt;-1,J183&gt;1),'5. Dashboard Live'!$AA$19='14. Permanent Info'!$N$7),J182*SUMIF($D$170:$D$175,$E$186,J$170:J$175),-SUM(J187:J189)))-SUMIF('10. Inputs &amp; Calcs'!$D$143:$D$148,'5. Dashboard Live'!$C$12,'10. Inputs &amp; Calcs'!J$143:J$148)*0</f>
        <v>0</v>
      </c>
      <c r="K190" s="981">
        <f>IF(AND(K183&gt;=1,'5. Dashboard Live'!$AA$19='14. Permanent Info'!$M$7),ROUND(K182,0)*SUMIF($D$134:$D$139,$E$186,K$134:K$139),IF(AND(OR(K183&lt;-1,K183&gt;1),'5. Dashboard Live'!$AA$19='14. Permanent Info'!$N$7),K182*SUMIF($D$170:$D$175,$E$186,K$170:K$175),-SUM(K187:K189)))-SUMIF('10. Inputs &amp; Calcs'!$D$143:$D$148,'5. Dashboard Live'!$C$12,'10. Inputs &amp; Calcs'!K$143:K$148)*0</f>
        <v>0</v>
      </c>
      <c r="L190" s="612">
        <f>IF(AND(L$4=$K$4+'5. Dashboard Live'!$AA$16,'5. Dashboard Live'!$AA$19='14. Permanent Info'!$M$7),-SUM(L187:L189),IF(AND(L$4&lt;$K$4+'5. Dashboard Live'!$AA$16,'5. Dashboard Live'!$AA$19='14. Permanent Info'!$M$7),0,IF(AND(OR(L183&lt;-1,L183&gt;1),'5. Dashboard Live'!$AA$19='14. Permanent Info'!$N$7),L182*SUMIF($D$170:$D$175,$E$186,L$170:L$175),-SUM(L187:L189))))</f>
        <v>0</v>
      </c>
      <c r="M190" s="612">
        <f>IF(AND(M$4=$K$4+'5. Dashboard Live'!$AA$16,'5. Dashboard Live'!$AA$19='14. Permanent Info'!$M$7),-SUM(M187:M189),IF(AND(M$4&lt;$K$4+'5. Dashboard Live'!$AA$16,'5. Dashboard Live'!$AA$19='14. Permanent Info'!$M$7),0,IF(AND(OR(M183&lt;-1,M183&gt;1),'5. Dashboard Live'!$AA$19='14. Permanent Info'!$N$7),M182*SUMIF($D$170:$D$175,$E$186,M$170:M$175),-SUM(M187:M189))))</f>
        <v>0</v>
      </c>
      <c r="N190" s="612">
        <f>IF(AND(N$4=$K$4+'5. Dashboard Live'!$AA$16,'5. Dashboard Live'!$AA$19='14. Permanent Info'!$M$7),-SUM(N187:N189),IF(AND(N$4&lt;$K$4+'5. Dashboard Live'!$AA$16,'5. Dashboard Live'!$AA$19='14. Permanent Info'!$M$7),0,IF(AND(OR(N183&lt;-1,N183&gt;1),'5. Dashboard Live'!$AA$19='14. Permanent Info'!$N$7),N182*SUMIF($D$170:$D$175,$E$186,N$170:N$175),-SUM(N187:N189))))</f>
        <v>0</v>
      </c>
      <c r="O190" s="612">
        <f>IF(AND(O$4=$K$4+'5. Dashboard Live'!$AA$16,'5. Dashboard Live'!$AA$19='14. Permanent Info'!$M$7),-SUM(O187:O189),IF(AND(O$4&lt;$K$4+'5. Dashboard Live'!$AA$16,'5. Dashboard Live'!$AA$19='14. Permanent Info'!$M$7),0,IF(AND(OR(O183&lt;-1,O183&gt;1),'5. Dashboard Live'!$AA$19='14. Permanent Info'!$N$7),O182*SUMIF($D$170:$D$175,$E$186,O$170:O$175),-SUM(O187:O189))))</f>
        <v>0</v>
      </c>
      <c r="P190" s="612">
        <f>IF(AND(P$4=$K$4+'5. Dashboard Live'!$AA$16,'5. Dashboard Live'!$AA$19='14. Permanent Info'!$M$7),-SUM(P187:P189),IF(AND(P$4&lt;$K$4+'5. Dashboard Live'!$AA$16,'5. Dashboard Live'!$AA$19='14. Permanent Info'!$M$7),0,IF(AND(OR(P183&lt;-1,P183&gt;1),'5. Dashboard Live'!$AA$19='14. Permanent Info'!$N$7),P182*SUMIF($D$170:$D$175,$E$186,P$170:P$175),-SUM(P187:P189))))</f>
        <v>0</v>
      </c>
      <c r="Q190" s="612">
        <f>IF(AND(Q$4=$K$4+'5. Dashboard Live'!$AA$16,'5. Dashboard Live'!$AA$19='14. Permanent Info'!$M$7),-SUM(Q187:Q189),IF(AND(Q$4&lt;$K$4+'5. Dashboard Live'!$AA$16,'5. Dashboard Live'!$AA$19='14. Permanent Info'!$M$7),0,IF(AND(OR(Q183&lt;-1,Q183&gt;1),'5. Dashboard Live'!$AA$19='14. Permanent Info'!$N$7),Q182*SUMIF($D$170:$D$175,$E$186,Q$170:Q$175),-SUM(Q187:Q189))))</f>
        <v>0</v>
      </c>
      <c r="R190" s="612">
        <f>IF(AND(R$4=$K$4+'5. Dashboard Live'!$AA$16,'5. Dashboard Live'!$AA$19='14. Permanent Info'!$M$7),-SUM(R187:R189),IF(AND(R$4&lt;$K$4+'5. Dashboard Live'!$AA$16,'5. Dashboard Live'!$AA$19='14. Permanent Info'!$M$7),0,IF(AND(OR(R183&lt;-1,R183&gt;1),'5. Dashboard Live'!$AA$19='14. Permanent Info'!$N$7),R182*SUMIF($D$170:$D$175,$E$186,R$170:R$175),-SUM(R187:R189))))</f>
        <v>0</v>
      </c>
      <c r="S190" s="612">
        <f>IF(AND(S$4=$K$4+'5. Dashboard Live'!$AA$16,'5. Dashboard Live'!$AA$19='14. Permanent Info'!$M$7),-SUM(S187:S189),IF(AND(S$4&lt;$K$4+'5. Dashboard Live'!$AA$16,'5. Dashboard Live'!$AA$19='14. Permanent Info'!$M$7),0,IF(AND(OR(S183&lt;-1,S183&gt;1),'5. Dashboard Live'!$AA$19='14. Permanent Info'!$N$7),S182*SUMIF($D$170:$D$175,$E$186,S$170:S$175),-SUM(S187:S189))))</f>
        <v>0</v>
      </c>
      <c r="T190" s="612">
        <f>IF(AND(T$4=$K$4+'5. Dashboard Live'!$AA$16,'5. Dashboard Live'!$AA$19='14. Permanent Info'!$M$7),-SUM(T187:T189),IF(AND(T$4&lt;$K$4+'5. Dashboard Live'!$AA$16,'5. Dashboard Live'!$AA$19='14. Permanent Info'!$M$7),0,IF(AND(OR(T183&lt;-1,T183&gt;1),'5. Dashboard Live'!$AA$19='14. Permanent Info'!$N$7),T182*SUMIF($D$170:$D$175,$E$186,T$170:T$175),-SUM(T187:T189))))</f>
        <v>0</v>
      </c>
      <c r="U190" s="612">
        <f>IF(AND(U$4=$K$4+'5. Dashboard Live'!$AA$16,'5. Dashboard Live'!$AA$19='14. Permanent Info'!$M$7),-SUM(U187:U189),IF(AND(U$4&lt;$K$4+'5. Dashboard Live'!$AA$16,'5. Dashboard Live'!$AA$19='14. Permanent Info'!$M$7),0,IF(AND(OR(U183&lt;-1,U183&gt;1),'5. Dashboard Live'!$AA$19='14. Permanent Info'!$N$7),U182*SUMIF($D$170:$D$175,$E$186,U$170:U$175),-SUM(U187:U189))))</f>
        <v>0</v>
      </c>
      <c r="V190" s="612">
        <f>IF(AND(V$4=$K$4+'5. Dashboard Live'!$AA$16,'5. Dashboard Live'!$AA$19='14. Permanent Info'!$M$7),-SUM(V187:V189),IF(AND(V$4&lt;$K$4+'5. Dashboard Live'!$AA$16,'5. Dashboard Live'!$AA$19='14. Permanent Info'!$M$7),0,IF(AND(OR(V183&lt;-1,V183&gt;1),'5. Dashboard Live'!$AA$19='14. Permanent Info'!$N$7),V182*SUMIF($D$170:$D$175,$E$186,V$170:V$175),-SUM(V187:V189))))</f>
        <v>0</v>
      </c>
      <c r="W190" s="612">
        <f>IF(AND(W$4=$K$4+'5. Dashboard Live'!$AA$16,'5. Dashboard Live'!$AA$19='14. Permanent Info'!$M$7),-SUM(W187:W189),IF(AND(W$4&lt;$K$4+'5. Dashboard Live'!$AA$16,'5. Dashboard Live'!$AA$19='14. Permanent Info'!$M$7),0,IF(AND(OR(W183&lt;-1,W183&gt;1),'5. Dashboard Live'!$AA$19='14. Permanent Info'!$N$7),W182*SUMIF($D$170:$D$175,$E$186,W$170:W$175),-SUM(W187:W189))))</f>
        <v>0</v>
      </c>
      <c r="X190" s="612">
        <f>IF(AND(X$4=$K$4+'5. Dashboard Live'!$AA$16,'5. Dashboard Live'!$AA$19='14. Permanent Info'!$M$7),-SUM(X187:X189),IF(AND(X$4&lt;$K$4+'5. Dashboard Live'!$AA$16,'5. Dashboard Live'!$AA$19='14. Permanent Info'!$M$7),0,IF(AND(OR(X183&lt;-1,X183&gt;1),'5. Dashboard Live'!$AA$19='14. Permanent Info'!$N$7),X182*SUMIF($D$170:$D$175,$E$186,X$170:X$175),-SUM(X187:X189))))</f>
        <v>0</v>
      </c>
      <c r="Y190" s="612">
        <f>IF(AND(Y$4=$K$4+'5. Dashboard Live'!$AA$16,'5. Dashboard Live'!$AA$19='14. Permanent Info'!$M$7),-SUM(Y187:Y189),IF(AND(Y$4&lt;$K$4+'5. Dashboard Live'!$AA$16,'5. Dashboard Live'!$AA$19='14. Permanent Info'!$M$7),0,IF(AND(OR(Y183&lt;-1,Y183&gt;1),'5. Dashboard Live'!$AA$19='14. Permanent Info'!$N$7),Y182*SUMIF($D$170:$D$175,$E$186,Y$170:Y$175),-SUM(Y187:Y189))))</f>
        <v>0</v>
      </c>
      <c r="Z190" s="612">
        <f>IF(AND(Z$4=$K$4+'5. Dashboard Live'!$AA$16,'5. Dashboard Live'!$AA$19='14. Permanent Info'!$M$7),-SUM(Z187:Z189),IF(AND(Z$4&lt;$K$4+'5. Dashboard Live'!$AA$16,'5. Dashboard Live'!$AA$19='14. Permanent Info'!$M$7),0,IF(AND(OR(Z183&lt;-1,Z183&gt;1),'5. Dashboard Live'!$AA$19='14. Permanent Info'!$N$7),Z182*SUMIF($D$170:$D$175,$E$186,Z$170:Z$175),-SUM(Z187:Z189))))</f>
        <v>0</v>
      </c>
      <c r="AA190" s="612">
        <f>IF(AND(AA$4=$K$4+'5. Dashboard Live'!$AA$16,'5. Dashboard Live'!$AA$19='14. Permanent Info'!$M$7),-SUM(AA187:AA189),IF(AND(AA$4&lt;$K$4+'5. Dashboard Live'!$AA$16,'5. Dashboard Live'!$AA$19='14. Permanent Info'!$M$7),0,IF(AND(OR(AA183&lt;-1,AA183&gt;1),'5. Dashboard Live'!$AA$19='14. Permanent Info'!$N$7),AA182*SUMIF($D$170:$D$175,$E$186,AA$170:AA$175),-SUM(AA187:AA189))))</f>
        <v>0</v>
      </c>
      <c r="AB190" s="612">
        <f>IF(AND(AB$4=$K$4+'5. Dashboard Live'!$AA$16,'5. Dashboard Live'!$AA$19='14. Permanent Info'!$M$7),-SUM(AB187:AB189),IF(AND(AB$4&lt;$K$4+'5. Dashboard Live'!$AA$16,'5. Dashboard Live'!$AA$19='14. Permanent Info'!$M$7),0,IF(AND(OR(AB183&lt;-1,AB183&gt;1),'5. Dashboard Live'!$AA$19='14. Permanent Info'!$N$7),AB182*SUMIF($D$170:$D$175,$E$186,AB$170:AB$175),-SUM(AB187:AB189))))</f>
        <v>-15712833.261052625</v>
      </c>
      <c r="AC190" s="612">
        <f>IF(AND(AC$4=$K$4+'5. Dashboard Live'!$AA$16,'5. Dashboard Live'!$AA$19='14. Permanent Info'!$M$7),-SUM(AC187:AC189),IF(AND(AC$4&lt;$K$4+'5. Dashboard Live'!$AA$16,'5. Dashboard Live'!$AA$19='14. Permanent Info'!$M$7),0,IF(AND(OR(AC183&lt;-1,AC183&gt;1),'5. Dashboard Live'!$AA$19='14. Permanent Info'!$N$7),AC182*SUMIF($D$170:$D$175,$E$186,AC$170:AC$175),-SUM(AC187:AC189))))</f>
        <v>0</v>
      </c>
      <c r="AD190" s="612">
        <f>SUM(I190:AC190)</f>
        <v>-15712833.261052625</v>
      </c>
    </row>
    <row r="191" spans="1:30" outlineLevel="2" x14ac:dyDescent="0.45">
      <c r="B191" s="597" t="str">
        <f t="shared" si="60"/>
        <v>Sales</v>
      </c>
      <c r="D191" s="747" t="s">
        <v>1544</v>
      </c>
      <c r="F191" s="596"/>
      <c r="G191" s="596"/>
      <c r="H191" s="993">
        <f>H179*SUMIF($D$170:$D$175,$E$186,H$170:H$175)</f>
        <v>8780700.9399999995</v>
      </c>
      <c r="I191" s="613">
        <f t="shared" ref="I191:AD191" si="77">SUM(I187:I190)</f>
        <v>10167127.404210526</v>
      </c>
      <c r="J191" s="613">
        <f t="shared" si="77"/>
        <v>11553553.868421052</v>
      </c>
      <c r="K191" s="613">
        <f t="shared" si="77"/>
        <v>12939980.332631577</v>
      </c>
      <c r="L191" s="613">
        <f t="shared" si="77"/>
        <v>13094027.717543857</v>
      </c>
      <c r="M191" s="613">
        <f t="shared" si="77"/>
        <v>13248075.102456138</v>
      </c>
      <c r="N191" s="613">
        <f t="shared" si="77"/>
        <v>13402122.487368418</v>
      </c>
      <c r="O191" s="613">
        <f t="shared" si="77"/>
        <v>13556169.872280698</v>
      </c>
      <c r="P191" s="613">
        <f t="shared" si="77"/>
        <v>13710217.257192979</v>
      </c>
      <c r="Q191" s="613">
        <f t="shared" si="77"/>
        <v>13864264.642105259</v>
      </c>
      <c r="R191" s="613">
        <f t="shared" si="77"/>
        <v>14018312.027017539</v>
      </c>
      <c r="S191" s="613">
        <f t="shared" si="77"/>
        <v>14172359.41192982</v>
      </c>
      <c r="T191" s="613">
        <f t="shared" si="77"/>
        <v>14326406.7968421</v>
      </c>
      <c r="U191" s="613">
        <f t="shared" si="77"/>
        <v>14480454.18175438</v>
      </c>
      <c r="V191" s="613">
        <f t="shared" si="77"/>
        <v>14634501.566666661</v>
      </c>
      <c r="W191" s="613">
        <f t="shared" si="77"/>
        <v>14788548.951578941</v>
      </c>
      <c r="X191" s="613">
        <f t="shared" si="77"/>
        <v>14942596.336491222</v>
      </c>
      <c r="Y191" s="613">
        <f t="shared" si="77"/>
        <v>15096643.721403502</v>
      </c>
      <c r="Z191" s="613">
        <f t="shared" si="77"/>
        <v>15250691.106315782</v>
      </c>
      <c r="AA191" s="613">
        <f t="shared" si="77"/>
        <v>15404738.491228063</v>
      </c>
      <c r="AB191" s="613">
        <f t="shared" si="77"/>
        <v>0</v>
      </c>
      <c r="AC191" s="613">
        <f t="shared" si="77"/>
        <v>0</v>
      </c>
      <c r="AD191" s="613">
        <f t="shared" si="77"/>
        <v>0</v>
      </c>
    </row>
    <row r="192" spans="1:30" outlineLevel="2" x14ac:dyDescent="0.45">
      <c r="B192" s="597" t="str">
        <f t="shared" si="60"/>
        <v>Sales</v>
      </c>
      <c r="F192" s="596"/>
      <c r="G192" s="596"/>
      <c r="H192" s="596"/>
      <c r="I192" s="596"/>
    </row>
    <row r="193" spans="1:30" outlineLevel="2" x14ac:dyDescent="0.45">
      <c r="A193" s="1114"/>
      <c r="B193" s="597" t="str">
        <f t="shared" si="60"/>
        <v>Sales</v>
      </c>
    </row>
    <row r="194" spans="1:30" outlineLevel="2" x14ac:dyDescent="0.45">
      <c r="B194" s="597" t="str">
        <f t="shared" si="60"/>
        <v>Sales</v>
      </c>
      <c r="C194" s="451">
        <f>C186+1</f>
        <v>19</v>
      </c>
      <c r="D194" s="451" t="s">
        <v>1618</v>
      </c>
      <c r="F194" s="596"/>
      <c r="G194" s="596"/>
      <c r="H194" s="596"/>
      <c r="I194" s="612"/>
      <c r="J194" s="612"/>
      <c r="K194" s="612"/>
      <c r="L194" s="612"/>
      <c r="M194" s="612"/>
      <c r="N194" s="612"/>
      <c r="O194" s="612"/>
      <c r="P194" s="612"/>
      <c r="Q194" s="612"/>
      <c r="R194" s="612"/>
      <c r="S194" s="612"/>
      <c r="T194" s="612"/>
      <c r="U194" s="612"/>
      <c r="V194" s="612"/>
      <c r="W194" s="612"/>
      <c r="X194" s="612"/>
      <c r="Y194" s="612"/>
      <c r="Z194" s="612"/>
      <c r="AA194" s="612"/>
      <c r="AB194" s="612"/>
      <c r="AC194" s="612"/>
      <c r="AD194" s="612"/>
    </row>
    <row r="195" spans="1:30" outlineLevel="2" x14ac:dyDescent="0.45">
      <c r="B195" s="597" t="str">
        <f t="shared" si="60"/>
        <v>Sales</v>
      </c>
      <c r="D195" s="583" t="str">
        <f>'12. Inputs-Props &amp; Debtors 2016'!C$77</f>
        <v>EC</v>
      </c>
      <c r="F195" s="596"/>
      <c r="G195" s="596"/>
      <c r="H195" s="596"/>
      <c r="I195" s="994">
        <f t="shared" ref="I195:AD195" si="78">I51</f>
        <v>18</v>
      </c>
      <c r="J195" s="994">
        <f t="shared" si="78"/>
        <v>18</v>
      </c>
      <c r="K195" s="994">
        <f t="shared" si="78"/>
        <v>18</v>
      </c>
      <c r="L195" s="994">
        <f t="shared" si="78"/>
        <v>2</v>
      </c>
      <c r="M195" s="994">
        <f t="shared" si="78"/>
        <v>2</v>
      </c>
      <c r="N195" s="994">
        <f t="shared" si="78"/>
        <v>2</v>
      </c>
      <c r="O195" s="994">
        <f t="shared" si="78"/>
        <v>2</v>
      </c>
      <c r="P195" s="994">
        <f t="shared" si="78"/>
        <v>2</v>
      </c>
      <c r="Q195" s="994">
        <f t="shared" si="78"/>
        <v>2</v>
      </c>
      <c r="R195" s="994">
        <f t="shared" si="78"/>
        <v>2</v>
      </c>
      <c r="S195" s="994">
        <f t="shared" si="78"/>
        <v>2</v>
      </c>
      <c r="T195" s="994">
        <f t="shared" si="78"/>
        <v>2</v>
      </c>
      <c r="U195" s="994">
        <f t="shared" si="78"/>
        <v>2</v>
      </c>
      <c r="V195" s="994">
        <f t="shared" si="78"/>
        <v>2</v>
      </c>
      <c r="W195" s="994">
        <f t="shared" si="78"/>
        <v>2</v>
      </c>
      <c r="X195" s="994">
        <f t="shared" si="78"/>
        <v>2</v>
      </c>
      <c r="Y195" s="994">
        <f t="shared" si="78"/>
        <v>2</v>
      </c>
      <c r="Z195" s="994">
        <f t="shared" si="78"/>
        <v>2</v>
      </c>
      <c r="AA195" s="994">
        <f t="shared" si="78"/>
        <v>2</v>
      </c>
      <c r="AB195" s="994">
        <f t="shared" si="78"/>
        <v>4</v>
      </c>
      <c r="AC195" s="994">
        <f t="shared" si="78"/>
        <v>0</v>
      </c>
      <c r="AD195" s="994">
        <f t="shared" si="78"/>
        <v>90</v>
      </c>
    </row>
    <row r="196" spans="1:30" outlineLevel="2" x14ac:dyDescent="0.45">
      <c r="B196" s="597" t="str">
        <f t="shared" si="60"/>
        <v>Sales</v>
      </c>
      <c r="D196" s="583" t="str">
        <f>'12. Inputs-Props &amp; Debtors 2016'!C$78</f>
        <v>FS</v>
      </c>
      <c r="F196" s="596"/>
      <c r="G196" s="596"/>
      <c r="H196" s="596"/>
      <c r="I196" s="994">
        <f t="shared" ref="I196:AD196" si="79">I52</f>
        <v>2</v>
      </c>
      <c r="J196" s="994">
        <f t="shared" si="79"/>
        <v>2</v>
      </c>
      <c r="K196" s="994">
        <f t="shared" si="79"/>
        <v>2</v>
      </c>
      <c r="L196" s="994">
        <f t="shared" si="79"/>
        <v>2</v>
      </c>
      <c r="M196" s="994">
        <f t="shared" si="79"/>
        <v>2</v>
      </c>
      <c r="N196" s="994">
        <f t="shared" si="79"/>
        <v>2</v>
      </c>
      <c r="O196" s="994">
        <f t="shared" si="79"/>
        <v>2</v>
      </c>
      <c r="P196" s="994">
        <f t="shared" si="79"/>
        <v>2</v>
      </c>
      <c r="Q196" s="994">
        <f t="shared" si="79"/>
        <v>2</v>
      </c>
      <c r="R196" s="994">
        <f t="shared" si="79"/>
        <v>2</v>
      </c>
      <c r="S196" s="994">
        <f t="shared" si="79"/>
        <v>2</v>
      </c>
      <c r="T196" s="994">
        <f t="shared" si="79"/>
        <v>2</v>
      </c>
      <c r="U196" s="994">
        <f t="shared" si="79"/>
        <v>2</v>
      </c>
      <c r="V196" s="994">
        <f t="shared" si="79"/>
        <v>2</v>
      </c>
      <c r="W196" s="994">
        <f t="shared" si="79"/>
        <v>2</v>
      </c>
      <c r="X196" s="994">
        <f t="shared" si="79"/>
        <v>2</v>
      </c>
      <c r="Y196" s="994">
        <f t="shared" si="79"/>
        <v>2</v>
      </c>
      <c r="Z196" s="994">
        <f t="shared" si="79"/>
        <v>2</v>
      </c>
      <c r="AA196" s="994">
        <f t="shared" si="79"/>
        <v>2</v>
      </c>
      <c r="AB196" s="994">
        <f t="shared" si="79"/>
        <v>10</v>
      </c>
      <c r="AC196" s="994">
        <f t="shared" si="79"/>
        <v>0</v>
      </c>
      <c r="AD196" s="994">
        <f t="shared" si="79"/>
        <v>48</v>
      </c>
    </row>
    <row r="197" spans="1:30" outlineLevel="2" x14ac:dyDescent="0.45">
      <c r="B197" s="597" t="str">
        <f t="shared" si="60"/>
        <v>Sales</v>
      </c>
      <c r="D197" s="583" t="str">
        <f>'12. Inputs-Props &amp; Debtors 2016'!C$79</f>
        <v>Gau</v>
      </c>
      <c r="F197" s="596"/>
      <c r="G197" s="596"/>
      <c r="H197" s="596"/>
      <c r="I197" s="994">
        <f t="shared" ref="I197:AD197" si="80">I53</f>
        <v>85</v>
      </c>
      <c r="J197" s="994">
        <f t="shared" si="80"/>
        <v>85</v>
      </c>
      <c r="K197" s="994">
        <f t="shared" si="80"/>
        <v>85</v>
      </c>
      <c r="L197" s="994">
        <f t="shared" si="80"/>
        <v>89</v>
      </c>
      <c r="M197" s="994">
        <f t="shared" si="80"/>
        <v>89</v>
      </c>
      <c r="N197" s="994">
        <f t="shared" si="80"/>
        <v>89</v>
      </c>
      <c r="O197" s="994">
        <f t="shared" si="80"/>
        <v>89</v>
      </c>
      <c r="P197" s="994">
        <f t="shared" si="80"/>
        <v>89</v>
      </c>
      <c r="Q197" s="994">
        <f t="shared" si="80"/>
        <v>89</v>
      </c>
      <c r="R197" s="994">
        <f t="shared" si="80"/>
        <v>89</v>
      </c>
      <c r="S197" s="994">
        <f t="shared" si="80"/>
        <v>89</v>
      </c>
      <c r="T197" s="994">
        <f t="shared" si="80"/>
        <v>89</v>
      </c>
      <c r="U197" s="994">
        <f t="shared" si="80"/>
        <v>89</v>
      </c>
      <c r="V197" s="994">
        <f t="shared" si="80"/>
        <v>89</v>
      </c>
      <c r="W197" s="994">
        <f t="shared" si="80"/>
        <v>89</v>
      </c>
      <c r="X197" s="994">
        <f t="shared" si="80"/>
        <v>89</v>
      </c>
      <c r="Y197" s="994">
        <f t="shared" si="80"/>
        <v>89</v>
      </c>
      <c r="Z197" s="994">
        <f t="shared" si="80"/>
        <v>89</v>
      </c>
      <c r="AA197" s="994">
        <f t="shared" si="80"/>
        <v>89</v>
      </c>
      <c r="AB197" s="994">
        <f t="shared" si="80"/>
        <v>15</v>
      </c>
      <c r="AC197" s="994">
        <f t="shared" si="80"/>
        <v>0</v>
      </c>
      <c r="AD197" s="994">
        <f t="shared" si="80"/>
        <v>1694</v>
      </c>
    </row>
    <row r="198" spans="1:30" outlineLevel="2" x14ac:dyDescent="0.45">
      <c r="B198" s="597" t="str">
        <f t="shared" si="60"/>
        <v>Sales</v>
      </c>
      <c r="D198" s="583" t="str">
        <f>'12. Inputs-Props &amp; Debtors 2016'!C$80</f>
        <v>KZN</v>
      </c>
      <c r="F198" s="596"/>
      <c r="G198" s="596"/>
      <c r="H198" s="596"/>
      <c r="I198" s="994">
        <f t="shared" ref="I198:AD198" si="81">I54</f>
        <v>256</v>
      </c>
      <c r="J198" s="994">
        <f t="shared" si="81"/>
        <v>256</v>
      </c>
      <c r="K198" s="994">
        <f t="shared" si="81"/>
        <v>256</v>
      </c>
      <c r="L198" s="994">
        <f t="shared" si="81"/>
        <v>112</v>
      </c>
      <c r="M198" s="994">
        <f t="shared" si="81"/>
        <v>112</v>
      </c>
      <c r="N198" s="994">
        <f t="shared" si="81"/>
        <v>112</v>
      </c>
      <c r="O198" s="994">
        <f t="shared" si="81"/>
        <v>112</v>
      </c>
      <c r="P198" s="994">
        <f t="shared" si="81"/>
        <v>112</v>
      </c>
      <c r="Q198" s="994">
        <f t="shared" si="81"/>
        <v>112</v>
      </c>
      <c r="R198" s="994">
        <f t="shared" si="81"/>
        <v>112</v>
      </c>
      <c r="S198" s="994">
        <f t="shared" si="81"/>
        <v>112</v>
      </c>
      <c r="T198" s="994">
        <f t="shared" si="81"/>
        <v>112</v>
      </c>
      <c r="U198" s="994">
        <f t="shared" si="81"/>
        <v>112</v>
      </c>
      <c r="V198" s="994">
        <f t="shared" si="81"/>
        <v>112</v>
      </c>
      <c r="W198" s="994">
        <f t="shared" si="81"/>
        <v>112</v>
      </c>
      <c r="X198" s="994">
        <f t="shared" si="81"/>
        <v>112</v>
      </c>
      <c r="Y198" s="994">
        <f t="shared" si="81"/>
        <v>112</v>
      </c>
      <c r="Z198" s="994">
        <f t="shared" si="81"/>
        <v>112</v>
      </c>
      <c r="AA198" s="994">
        <f t="shared" si="81"/>
        <v>112</v>
      </c>
      <c r="AB198" s="994">
        <f t="shared" si="81"/>
        <v>3</v>
      </c>
      <c r="AC198" s="994">
        <f t="shared" si="81"/>
        <v>0</v>
      </c>
      <c r="AD198" s="994">
        <f t="shared" si="81"/>
        <v>2563</v>
      </c>
    </row>
    <row r="199" spans="1:30" outlineLevel="2" x14ac:dyDescent="0.45">
      <c r="B199" s="597" t="str">
        <f t="shared" si="60"/>
        <v>Sales</v>
      </c>
      <c r="D199" s="583" t="str">
        <f>'12. Inputs-Props &amp; Debtors 2016'!C$81</f>
        <v>WC</v>
      </c>
      <c r="F199" s="596"/>
      <c r="G199" s="596"/>
      <c r="H199" s="596"/>
      <c r="I199" s="994">
        <f t="shared" ref="I199:AD199" si="82">I55</f>
        <v>153</v>
      </c>
      <c r="J199" s="994">
        <f t="shared" si="82"/>
        <v>153</v>
      </c>
      <c r="K199" s="994">
        <f t="shared" si="82"/>
        <v>115</v>
      </c>
      <c r="L199" s="994">
        <f t="shared" si="82"/>
        <v>21</v>
      </c>
      <c r="M199" s="994">
        <f t="shared" si="82"/>
        <v>21</v>
      </c>
      <c r="N199" s="994">
        <f t="shared" si="82"/>
        <v>21</v>
      </c>
      <c r="O199" s="994">
        <f t="shared" si="82"/>
        <v>21</v>
      </c>
      <c r="P199" s="994">
        <f t="shared" si="82"/>
        <v>21</v>
      </c>
      <c r="Q199" s="994">
        <f t="shared" si="82"/>
        <v>21</v>
      </c>
      <c r="R199" s="994">
        <f t="shared" si="82"/>
        <v>21</v>
      </c>
      <c r="S199" s="994">
        <f t="shared" si="82"/>
        <v>21</v>
      </c>
      <c r="T199" s="994">
        <f t="shared" si="82"/>
        <v>21</v>
      </c>
      <c r="U199" s="994">
        <f t="shared" si="82"/>
        <v>21</v>
      </c>
      <c r="V199" s="994">
        <f t="shared" si="82"/>
        <v>21</v>
      </c>
      <c r="W199" s="994">
        <f t="shared" si="82"/>
        <v>21</v>
      </c>
      <c r="X199" s="994">
        <f t="shared" si="82"/>
        <v>21</v>
      </c>
      <c r="Y199" s="994">
        <f t="shared" si="82"/>
        <v>21</v>
      </c>
      <c r="Z199" s="994">
        <f t="shared" si="82"/>
        <v>21</v>
      </c>
      <c r="AA199" s="994">
        <f t="shared" si="82"/>
        <v>21</v>
      </c>
      <c r="AB199" s="994">
        <f t="shared" si="82"/>
        <v>8</v>
      </c>
      <c r="AC199" s="994">
        <f t="shared" si="82"/>
        <v>0</v>
      </c>
      <c r="AD199" s="994">
        <f t="shared" si="82"/>
        <v>765</v>
      </c>
    </row>
    <row r="200" spans="1:30" outlineLevel="2" x14ac:dyDescent="0.45">
      <c r="B200" s="597" t="str">
        <f t="shared" si="60"/>
        <v>Sales</v>
      </c>
      <c r="D200" s="583" t="str">
        <f>'12. Inputs-Props &amp; Debtors 2016'!C$82</f>
        <v>Total</v>
      </c>
      <c r="F200" s="596"/>
      <c r="G200" s="596"/>
      <c r="H200" s="596"/>
      <c r="I200" s="1119">
        <f t="shared" ref="I200:AD200" si="83">I56</f>
        <v>514</v>
      </c>
      <c r="J200" s="1119">
        <f t="shared" si="83"/>
        <v>514</v>
      </c>
      <c r="K200" s="1119">
        <f t="shared" si="83"/>
        <v>476</v>
      </c>
      <c r="L200" s="1119">
        <f t="shared" si="83"/>
        <v>226</v>
      </c>
      <c r="M200" s="1119">
        <f t="shared" si="83"/>
        <v>226</v>
      </c>
      <c r="N200" s="1119">
        <f t="shared" si="83"/>
        <v>226</v>
      </c>
      <c r="O200" s="1119">
        <f t="shared" si="83"/>
        <v>226</v>
      </c>
      <c r="P200" s="1119">
        <f t="shared" si="83"/>
        <v>226</v>
      </c>
      <c r="Q200" s="1119">
        <f t="shared" si="83"/>
        <v>226</v>
      </c>
      <c r="R200" s="1119">
        <f t="shared" si="83"/>
        <v>226</v>
      </c>
      <c r="S200" s="1119">
        <f t="shared" si="83"/>
        <v>226</v>
      </c>
      <c r="T200" s="1119">
        <f t="shared" si="83"/>
        <v>226</v>
      </c>
      <c r="U200" s="1119">
        <f t="shared" si="83"/>
        <v>226</v>
      </c>
      <c r="V200" s="1119">
        <f t="shared" si="83"/>
        <v>226</v>
      </c>
      <c r="W200" s="1119">
        <f t="shared" si="83"/>
        <v>226</v>
      </c>
      <c r="X200" s="1119">
        <f t="shared" si="83"/>
        <v>226</v>
      </c>
      <c r="Y200" s="1119">
        <f t="shared" si="83"/>
        <v>226</v>
      </c>
      <c r="Z200" s="1119">
        <f t="shared" si="83"/>
        <v>226</v>
      </c>
      <c r="AA200" s="1119">
        <f t="shared" si="83"/>
        <v>226</v>
      </c>
      <c r="AB200" s="1119">
        <f t="shared" si="83"/>
        <v>40</v>
      </c>
      <c r="AC200" s="1119">
        <f t="shared" si="83"/>
        <v>0</v>
      </c>
      <c r="AD200" s="1119">
        <f t="shared" si="83"/>
        <v>5160</v>
      </c>
    </row>
    <row r="201" spans="1:30" outlineLevel="2" x14ac:dyDescent="0.45">
      <c r="B201" s="597" t="str">
        <f t="shared" si="60"/>
        <v>Sales</v>
      </c>
      <c r="F201" s="596"/>
      <c r="G201" s="596"/>
      <c r="H201" s="596"/>
      <c r="I201" s="995"/>
      <c r="J201" s="995"/>
      <c r="K201" s="995"/>
      <c r="L201" s="995"/>
      <c r="M201" s="995"/>
      <c r="N201" s="995"/>
      <c r="O201" s="995"/>
      <c r="P201" s="995"/>
      <c r="Q201" s="995"/>
      <c r="R201" s="995"/>
      <c r="S201" s="995"/>
      <c r="T201" s="995"/>
      <c r="U201" s="995"/>
      <c r="V201" s="995"/>
      <c r="W201" s="995"/>
      <c r="X201" s="995"/>
      <c r="Y201" s="995"/>
      <c r="Z201" s="995"/>
      <c r="AA201" s="995"/>
      <c r="AB201" s="995"/>
      <c r="AC201" s="995"/>
      <c r="AD201" s="995"/>
    </row>
    <row r="202" spans="1:30" outlineLevel="2" x14ac:dyDescent="0.45">
      <c r="A202" s="747"/>
      <c r="B202" s="597" t="str">
        <f t="shared" si="60"/>
        <v>Sales</v>
      </c>
      <c r="F202" s="596"/>
      <c r="G202" s="596"/>
      <c r="H202" s="596"/>
      <c r="I202" s="995"/>
      <c r="J202" s="995"/>
      <c r="K202" s="995"/>
      <c r="L202" s="995"/>
      <c r="M202" s="995"/>
      <c r="N202" s="995"/>
      <c r="O202" s="995"/>
      <c r="P202" s="995"/>
      <c r="Q202" s="995"/>
      <c r="R202" s="995"/>
      <c r="S202" s="995"/>
      <c r="T202" s="995"/>
      <c r="U202" s="995"/>
      <c r="V202" s="995"/>
      <c r="W202" s="995"/>
      <c r="X202" s="995"/>
      <c r="Y202" s="995"/>
      <c r="Z202" s="995"/>
      <c r="AA202" s="995"/>
      <c r="AB202" s="995"/>
      <c r="AC202" s="995"/>
      <c r="AD202" s="995"/>
    </row>
    <row r="203" spans="1:30" outlineLevel="2" x14ac:dyDescent="0.45">
      <c r="B203" s="597" t="str">
        <f t="shared" si="60"/>
        <v>Sales</v>
      </c>
      <c r="C203" s="451">
        <f>C194+1</f>
        <v>20</v>
      </c>
      <c r="D203" s="451" t="s">
        <v>1619</v>
      </c>
      <c r="F203" s="596"/>
      <c r="G203" s="596"/>
      <c r="H203" s="596"/>
      <c r="I203" s="995"/>
      <c r="J203" s="995"/>
      <c r="K203" s="995"/>
      <c r="L203" s="995"/>
      <c r="M203" s="995"/>
      <c r="N203" s="995"/>
      <c r="O203" s="995"/>
      <c r="P203" s="995"/>
      <c r="Q203" s="995"/>
      <c r="R203" s="995"/>
      <c r="S203" s="995"/>
      <c r="T203" s="995"/>
      <c r="U203" s="995"/>
      <c r="V203" s="995"/>
      <c r="W203" s="995"/>
      <c r="X203" s="995"/>
      <c r="Y203" s="995"/>
      <c r="Z203" s="995"/>
      <c r="AA203" s="995"/>
      <c r="AB203" s="995"/>
      <c r="AC203" s="995"/>
      <c r="AD203" s="995"/>
    </row>
    <row r="204" spans="1:30" outlineLevel="2" x14ac:dyDescent="0.45">
      <c r="B204" s="597" t="str">
        <f t="shared" si="60"/>
        <v>Sales</v>
      </c>
      <c r="D204" s="583" t="str">
        <f>'12. Inputs-Props &amp; Debtors 2016'!C$77</f>
        <v>EC</v>
      </c>
      <c r="F204" s="596"/>
      <c r="G204" s="596"/>
      <c r="H204" s="596"/>
      <c r="I204" s="611">
        <f>MIN('14. Permanent Info'!$M$9,SUMIF('12. Inputs-Props &amp; Debtors 2016'!$F$26:K26,$D204,'12. Inputs-Props &amp; Debtors 2016'!$F$38:$K$38))</f>
        <v>11689.438031496062</v>
      </c>
      <c r="J204" s="991">
        <f t="shared" ref="J204:K208" si="84">IF(J195&lt;&gt;0,I204,0)</f>
        <v>11689.438031496062</v>
      </c>
      <c r="K204" s="991">
        <f t="shared" si="84"/>
        <v>11689.438031496062</v>
      </c>
      <c r="L204" s="1120">
        <f>K204</f>
        <v>11689.438031496062</v>
      </c>
      <c r="M204" s="1120">
        <f t="shared" ref="M204:AC208" si="85">L204</f>
        <v>11689.438031496062</v>
      </c>
      <c r="N204" s="1120">
        <f t="shared" si="85"/>
        <v>11689.438031496062</v>
      </c>
      <c r="O204" s="1120">
        <f t="shared" si="85"/>
        <v>11689.438031496062</v>
      </c>
      <c r="P204" s="1120">
        <f t="shared" si="85"/>
        <v>11689.438031496062</v>
      </c>
      <c r="Q204" s="1120">
        <f t="shared" si="85"/>
        <v>11689.438031496062</v>
      </c>
      <c r="R204" s="1120">
        <f t="shared" si="85"/>
        <v>11689.438031496062</v>
      </c>
      <c r="S204" s="1120">
        <f t="shared" si="85"/>
        <v>11689.438031496062</v>
      </c>
      <c r="T204" s="1120">
        <f t="shared" si="85"/>
        <v>11689.438031496062</v>
      </c>
      <c r="U204" s="1120">
        <f t="shared" si="85"/>
        <v>11689.438031496062</v>
      </c>
      <c r="V204" s="1120">
        <f t="shared" si="85"/>
        <v>11689.438031496062</v>
      </c>
      <c r="W204" s="1120">
        <f t="shared" si="85"/>
        <v>11689.438031496062</v>
      </c>
      <c r="X204" s="1120">
        <f t="shared" si="85"/>
        <v>11689.438031496062</v>
      </c>
      <c r="Y204" s="1120">
        <f t="shared" si="85"/>
        <v>11689.438031496062</v>
      </c>
      <c r="Z204" s="1120">
        <f t="shared" si="85"/>
        <v>11689.438031496062</v>
      </c>
      <c r="AA204" s="1120">
        <f t="shared" si="85"/>
        <v>11689.438031496062</v>
      </c>
      <c r="AB204" s="1120">
        <f t="shared" si="85"/>
        <v>11689.438031496062</v>
      </c>
      <c r="AC204" s="1120">
        <f t="shared" si="85"/>
        <v>11689.438031496062</v>
      </c>
      <c r="AD204" s="995"/>
    </row>
    <row r="205" spans="1:30" outlineLevel="2" x14ac:dyDescent="0.45">
      <c r="B205" s="597" t="str">
        <f t="shared" si="60"/>
        <v>Sales</v>
      </c>
      <c r="D205" s="583" t="str">
        <f>'12. Inputs-Props &amp; Debtors 2016'!C$78</f>
        <v>FS</v>
      </c>
      <c r="F205" s="596"/>
      <c r="G205" s="596"/>
      <c r="H205" s="596"/>
      <c r="I205" s="611">
        <f ca="1">MIN('14. Permanent Info'!$M$9,SUMIF('12. Inputs-Props &amp; Debtors 2016'!$F$26:K27,$D205,'12. Inputs-Props &amp; Debtors 2016'!$F$38:$K$38))</f>
        <v>19714.5</v>
      </c>
      <c r="J205" s="991">
        <f t="shared" ca="1" si="84"/>
        <v>19714.5</v>
      </c>
      <c r="K205" s="991">
        <f t="shared" ca="1" si="84"/>
        <v>19714.5</v>
      </c>
      <c r="L205" s="1120">
        <f ca="1">K205</f>
        <v>19714.5</v>
      </c>
      <c r="M205" s="1120">
        <f t="shared" ref="M205:AA205" ca="1" si="86">L205</f>
        <v>19714.5</v>
      </c>
      <c r="N205" s="1120">
        <f t="shared" ca="1" si="86"/>
        <v>19714.5</v>
      </c>
      <c r="O205" s="1120">
        <f t="shared" ca="1" si="86"/>
        <v>19714.5</v>
      </c>
      <c r="P205" s="1120">
        <f t="shared" ca="1" si="86"/>
        <v>19714.5</v>
      </c>
      <c r="Q205" s="1120">
        <f t="shared" ca="1" si="86"/>
        <v>19714.5</v>
      </c>
      <c r="R205" s="1120">
        <f t="shared" ca="1" si="86"/>
        <v>19714.5</v>
      </c>
      <c r="S205" s="1120">
        <f t="shared" ca="1" si="86"/>
        <v>19714.5</v>
      </c>
      <c r="T205" s="1120">
        <f t="shared" ca="1" si="86"/>
        <v>19714.5</v>
      </c>
      <c r="U205" s="1120">
        <f t="shared" ca="1" si="86"/>
        <v>19714.5</v>
      </c>
      <c r="V205" s="1120">
        <f t="shared" ca="1" si="86"/>
        <v>19714.5</v>
      </c>
      <c r="W205" s="1120">
        <f t="shared" ca="1" si="86"/>
        <v>19714.5</v>
      </c>
      <c r="X205" s="1120">
        <f t="shared" ca="1" si="86"/>
        <v>19714.5</v>
      </c>
      <c r="Y205" s="1120">
        <f t="shared" ca="1" si="86"/>
        <v>19714.5</v>
      </c>
      <c r="Z205" s="1120">
        <f t="shared" ca="1" si="86"/>
        <v>19714.5</v>
      </c>
      <c r="AA205" s="1120">
        <f t="shared" ca="1" si="86"/>
        <v>19714.5</v>
      </c>
      <c r="AB205" s="1120">
        <f t="shared" ca="1" si="85"/>
        <v>19714.5</v>
      </c>
      <c r="AC205" s="1120">
        <f t="shared" ca="1" si="85"/>
        <v>19714.5</v>
      </c>
      <c r="AD205" s="995"/>
    </row>
    <row r="206" spans="1:30" outlineLevel="2" x14ac:dyDescent="0.45">
      <c r="B206" s="597" t="str">
        <f t="shared" si="60"/>
        <v>Sales</v>
      </c>
      <c r="D206" s="583" t="str">
        <f>'12. Inputs-Props &amp; Debtors 2016'!C$79</f>
        <v>Gau</v>
      </c>
      <c r="F206" s="596"/>
      <c r="G206" s="596"/>
      <c r="H206" s="596"/>
      <c r="I206" s="611">
        <f ca="1">MIN('14. Permanent Info'!$M$9,SUMIF('12. Inputs-Props &amp; Debtors 2016'!$F$26:K28,$D206,'12. Inputs-Props &amp; Debtors 2016'!$F$38:$K$38))</f>
        <v>17888.392634228188</v>
      </c>
      <c r="J206" s="991">
        <f t="shared" ca="1" si="84"/>
        <v>17888.392634228188</v>
      </c>
      <c r="K206" s="991">
        <f t="shared" ca="1" si="84"/>
        <v>17888.392634228188</v>
      </c>
      <c r="L206" s="1120">
        <f ca="1">K206</f>
        <v>17888.392634228188</v>
      </c>
      <c r="M206" s="1120">
        <f t="shared" ca="1" si="85"/>
        <v>17888.392634228188</v>
      </c>
      <c r="N206" s="1120">
        <f t="shared" ca="1" si="85"/>
        <v>17888.392634228188</v>
      </c>
      <c r="O206" s="1120">
        <f t="shared" ca="1" si="85"/>
        <v>17888.392634228188</v>
      </c>
      <c r="P206" s="1120">
        <f t="shared" ca="1" si="85"/>
        <v>17888.392634228188</v>
      </c>
      <c r="Q206" s="1120">
        <f t="shared" ca="1" si="85"/>
        <v>17888.392634228188</v>
      </c>
      <c r="R206" s="1120">
        <f t="shared" ca="1" si="85"/>
        <v>17888.392634228188</v>
      </c>
      <c r="S206" s="1120">
        <f t="shared" ca="1" si="85"/>
        <v>17888.392634228188</v>
      </c>
      <c r="T206" s="1120">
        <f t="shared" ca="1" si="85"/>
        <v>17888.392634228188</v>
      </c>
      <c r="U206" s="1120">
        <f t="shared" ca="1" si="85"/>
        <v>17888.392634228188</v>
      </c>
      <c r="V206" s="1120">
        <f t="shared" ca="1" si="85"/>
        <v>17888.392634228188</v>
      </c>
      <c r="W206" s="1120">
        <f t="shared" ca="1" si="85"/>
        <v>17888.392634228188</v>
      </c>
      <c r="X206" s="1120">
        <f t="shared" ca="1" si="85"/>
        <v>17888.392634228188</v>
      </c>
      <c r="Y206" s="1120">
        <f t="shared" ca="1" si="85"/>
        <v>17888.392634228188</v>
      </c>
      <c r="Z206" s="1120">
        <f t="shared" ca="1" si="85"/>
        <v>17888.392634228188</v>
      </c>
      <c r="AA206" s="1120">
        <f t="shared" ca="1" si="85"/>
        <v>17888.392634228188</v>
      </c>
      <c r="AB206" s="1120">
        <f t="shared" ca="1" si="85"/>
        <v>17888.392634228188</v>
      </c>
      <c r="AC206" s="1120">
        <f t="shared" ca="1" si="85"/>
        <v>17888.392634228188</v>
      </c>
      <c r="AD206" s="995"/>
    </row>
    <row r="207" spans="1:30" outlineLevel="2" x14ac:dyDescent="0.45">
      <c r="B207" s="597" t="str">
        <f t="shared" si="60"/>
        <v>Sales</v>
      </c>
      <c r="D207" s="583" t="str">
        <f>'12. Inputs-Props &amp; Debtors 2016'!C$80</f>
        <v>KZN</v>
      </c>
      <c r="F207" s="596"/>
      <c r="G207" s="596"/>
      <c r="H207" s="596"/>
      <c r="I207" s="611">
        <f ca="1">MIN('14. Permanent Info'!$M$9,SUMIF('12. Inputs-Props &amp; Debtors 2016'!$F$26:K29,$D207,'12. Inputs-Props &amp; Debtors 2016'!$F$38:$K$38))</f>
        <v>19714.5</v>
      </c>
      <c r="J207" s="991">
        <f t="shared" ca="1" si="84"/>
        <v>19714.5</v>
      </c>
      <c r="K207" s="991">
        <f t="shared" ca="1" si="84"/>
        <v>19714.5</v>
      </c>
      <c r="L207" s="1120">
        <f ca="1">K207</f>
        <v>19714.5</v>
      </c>
      <c r="M207" s="1120">
        <f t="shared" ca="1" si="85"/>
        <v>19714.5</v>
      </c>
      <c r="N207" s="1120">
        <f t="shared" ca="1" si="85"/>
        <v>19714.5</v>
      </c>
      <c r="O207" s="1120">
        <f t="shared" ca="1" si="85"/>
        <v>19714.5</v>
      </c>
      <c r="P207" s="1120">
        <f t="shared" ca="1" si="85"/>
        <v>19714.5</v>
      </c>
      <c r="Q207" s="1120">
        <f t="shared" ca="1" si="85"/>
        <v>19714.5</v>
      </c>
      <c r="R207" s="1120">
        <f t="shared" ca="1" si="85"/>
        <v>19714.5</v>
      </c>
      <c r="S207" s="1120">
        <f t="shared" ca="1" si="85"/>
        <v>19714.5</v>
      </c>
      <c r="T207" s="1120">
        <f t="shared" ca="1" si="85"/>
        <v>19714.5</v>
      </c>
      <c r="U207" s="1120">
        <f t="shared" ca="1" si="85"/>
        <v>19714.5</v>
      </c>
      <c r="V207" s="1120">
        <f t="shared" ca="1" si="85"/>
        <v>19714.5</v>
      </c>
      <c r="W207" s="1120">
        <f t="shared" ca="1" si="85"/>
        <v>19714.5</v>
      </c>
      <c r="X207" s="1120">
        <f t="shared" ca="1" si="85"/>
        <v>19714.5</v>
      </c>
      <c r="Y207" s="1120">
        <f t="shared" ca="1" si="85"/>
        <v>19714.5</v>
      </c>
      <c r="Z207" s="1120">
        <f t="shared" ca="1" si="85"/>
        <v>19714.5</v>
      </c>
      <c r="AA207" s="1120">
        <f t="shared" ca="1" si="85"/>
        <v>19714.5</v>
      </c>
      <c r="AB207" s="1120">
        <f t="shared" ca="1" si="85"/>
        <v>19714.5</v>
      </c>
      <c r="AC207" s="1120">
        <f t="shared" ca="1" si="85"/>
        <v>19714.5</v>
      </c>
      <c r="AD207" s="995"/>
    </row>
    <row r="208" spans="1:30" outlineLevel="2" x14ac:dyDescent="0.45">
      <c r="B208" s="597" t="str">
        <f t="shared" si="60"/>
        <v>Sales</v>
      </c>
      <c r="D208" s="583" t="str">
        <f>'12. Inputs-Props &amp; Debtors 2016'!C$81</f>
        <v>WC</v>
      </c>
      <c r="F208" s="596"/>
      <c r="G208" s="596"/>
      <c r="H208" s="596"/>
      <c r="I208" s="611">
        <f ca="1">MIN('14. Permanent Info'!$M$9,SUMIF('12. Inputs-Props &amp; Debtors 2016'!$F$26:K30,$D208,'12. Inputs-Props &amp; Debtors 2016'!$F$38:$K$38))</f>
        <v>18375.383057228915</v>
      </c>
      <c r="J208" s="991">
        <f t="shared" ca="1" si="84"/>
        <v>18375.383057228915</v>
      </c>
      <c r="K208" s="991">
        <f t="shared" ca="1" si="84"/>
        <v>18375.383057228915</v>
      </c>
      <c r="L208" s="1120">
        <f ca="1">K208</f>
        <v>18375.383057228915</v>
      </c>
      <c r="M208" s="1120">
        <f t="shared" ca="1" si="85"/>
        <v>18375.383057228915</v>
      </c>
      <c r="N208" s="1120">
        <f t="shared" ca="1" si="85"/>
        <v>18375.383057228915</v>
      </c>
      <c r="O208" s="1120">
        <f t="shared" ca="1" si="85"/>
        <v>18375.383057228915</v>
      </c>
      <c r="P208" s="1120">
        <f t="shared" ca="1" si="85"/>
        <v>18375.383057228915</v>
      </c>
      <c r="Q208" s="1120">
        <f t="shared" ca="1" si="85"/>
        <v>18375.383057228915</v>
      </c>
      <c r="R208" s="1120">
        <f t="shared" ca="1" si="85"/>
        <v>18375.383057228915</v>
      </c>
      <c r="S208" s="1120">
        <f t="shared" ca="1" si="85"/>
        <v>18375.383057228915</v>
      </c>
      <c r="T208" s="1120">
        <f t="shared" ca="1" si="85"/>
        <v>18375.383057228915</v>
      </c>
      <c r="U208" s="1120">
        <f t="shared" ca="1" si="85"/>
        <v>18375.383057228915</v>
      </c>
      <c r="V208" s="1120">
        <f t="shared" ca="1" si="85"/>
        <v>18375.383057228915</v>
      </c>
      <c r="W208" s="1120">
        <f t="shared" ca="1" si="85"/>
        <v>18375.383057228915</v>
      </c>
      <c r="X208" s="1120">
        <f t="shared" ca="1" si="85"/>
        <v>18375.383057228915</v>
      </c>
      <c r="Y208" s="1120">
        <f t="shared" ca="1" si="85"/>
        <v>18375.383057228915</v>
      </c>
      <c r="Z208" s="1120">
        <f t="shared" ca="1" si="85"/>
        <v>18375.383057228915</v>
      </c>
      <c r="AA208" s="1120">
        <f t="shared" ca="1" si="85"/>
        <v>18375.383057228915</v>
      </c>
      <c r="AB208" s="1120">
        <f t="shared" ca="1" si="85"/>
        <v>18375.383057228915</v>
      </c>
      <c r="AC208" s="1120">
        <f t="shared" ca="1" si="85"/>
        <v>18375.383057228915</v>
      </c>
      <c r="AD208" s="995"/>
    </row>
    <row r="209" spans="2:30" outlineLevel="2" x14ac:dyDescent="0.45">
      <c r="B209" s="597" t="str">
        <f t="shared" si="60"/>
        <v>Sales</v>
      </c>
      <c r="D209" s="583" t="str">
        <f>'12. Inputs-Props &amp; Debtors 2016'!C$82</f>
        <v>Total</v>
      </c>
      <c r="F209" s="596"/>
      <c r="G209" s="596"/>
      <c r="H209" s="596"/>
      <c r="I209" s="613">
        <f ca="1">IF(I$56&gt;0,SUMPRODUCT(I204:I208,I$51:I$55)/I$56,IF(AND(I$56=0,I$83&gt;0),SUMPRODUCT(I204:I208,I$78:I$82)/I$83,0))</f>
        <v>18732.875226132979</v>
      </c>
      <c r="J209" s="613">
        <f ca="1">IF(J$56&gt;0,SUMPRODUCT(J204:J208,J$51:J$55)/J$56,IF(AND(J$56=0,J$83&gt;0),SUMPRODUCT(J204:J208,J$78:J$82)/J$83,0))</f>
        <v>18732.875226132979</v>
      </c>
      <c r="K209" s="613">
        <f ca="1">IF(K$56&gt;0,SUMPRODUCT(K204:K208,K$51:K$55)/K$56,IF(AND(K$56=0,K$83&gt;0),SUMPRODUCT(K204:K208,K$78:K$82)/K$83,0))</f>
        <v>18761.414516927838</v>
      </c>
      <c r="L209" s="613">
        <f ca="1">IF(L$56&gt;0,SUMPRODUCT(L204:L208,L$51:L$55)/L$56,IF(AND(L$56=0,L$83&gt;0),SUMPRODUCT(L204:L208,L$78:L$82)/L$83,0))</f>
        <v>18799.919755358882</v>
      </c>
      <c r="M209" s="613">
        <f t="shared" ref="M209:AC209" ca="1" si="87">IF(M$56&gt;0,SUMPRODUCT(M204:M208,M$51:M$55)/M$56,IF(AND(M$56=0,M$83&gt;0),SUMPRODUCT(M204:M208,M$78:M$82)/M$83,0))</f>
        <v>18799.919755358882</v>
      </c>
      <c r="N209" s="613">
        <f t="shared" ca="1" si="87"/>
        <v>18799.919755358882</v>
      </c>
      <c r="O209" s="613">
        <f t="shared" ca="1" si="87"/>
        <v>18799.919755358882</v>
      </c>
      <c r="P209" s="613">
        <f t="shared" ca="1" si="87"/>
        <v>18799.919755358882</v>
      </c>
      <c r="Q209" s="613">
        <f t="shared" ca="1" si="87"/>
        <v>18799.919755358882</v>
      </c>
      <c r="R209" s="613">
        <f t="shared" ca="1" si="87"/>
        <v>18799.919755358882</v>
      </c>
      <c r="S209" s="613">
        <f t="shared" ca="1" si="87"/>
        <v>18799.919755358882</v>
      </c>
      <c r="T209" s="613">
        <f t="shared" ca="1" si="87"/>
        <v>18799.919755358882</v>
      </c>
      <c r="U209" s="613">
        <f t="shared" ca="1" si="87"/>
        <v>18799.919755358882</v>
      </c>
      <c r="V209" s="613">
        <f t="shared" ca="1" si="87"/>
        <v>18799.919755358882</v>
      </c>
      <c r="W209" s="613">
        <f t="shared" ca="1" si="87"/>
        <v>18799.919755358882</v>
      </c>
      <c r="X209" s="613">
        <f t="shared" ca="1" si="87"/>
        <v>18799.919755358882</v>
      </c>
      <c r="Y209" s="613">
        <f t="shared" ca="1" si="87"/>
        <v>18799.919755358882</v>
      </c>
      <c r="Z209" s="613">
        <f t="shared" ca="1" si="87"/>
        <v>18799.919755358882</v>
      </c>
      <c r="AA209" s="613">
        <f t="shared" ca="1" si="87"/>
        <v>18799.919755358882</v>
      </c>
      <c r="AB209" s="613">
        <f t="shared" ca="1" si="87"/>
        <v>17959.38015243096</v>
      </c>
      <c r="AC209" s="613">
        <f t="shared" si="87"/>
        <v>0</v>
      </c>
      <c r="AD209" s="995"/>
    </row>
    <row r="210" spans="2:30" outlineLevel="2" x14ac:dyDescent="0.45">
      <c r="B210" s="597" t="str">
        <f t="shared" si="60"/>
        <v>Sales</v>
      </c>
      <c r="F210" s="596"/>
      <c r="G210" s="596"/>
      <c r="H210" s="596"/>
      <c r="I210" s="995"/>
      <c r="J210" s="995"/>
      <c r="K210" s="995"/>
      <c r="L210" s="995"/>
      <c r="M210" s="995"/>
      <c r="N210" s="995"/>
      <c r="O210" s="995"/>
      <c r="P210" s="995"/>
      <c r="Q210" s="995"/>
      <c r="R210" s="995"/>
      <c r="S210" s="995"/>
      <c r="T210" s="995"/>
      <c r="U210" s="995"/>
      <c r="V210" s="995"/>
      <c r="W210" s="995"/>
      <c r="X210" s="995"/>
      <c r="Y210" s="995"/>
      <c r="Z210" s="995"/>
      <c r="AA210" s="995"/>
      <c r="AB210" s="995"/>
      <c r="AC210" s="995"/>
      <c r="AD210" s="995"/>
    </row>
    <row r="211" spans="2:30" outlineLevel="2" x14ac:dyDescent="0.45">
      <c r="B211" s="597" t="str">
        <f t="shared" si="60"/>
        <v>Sales</v>
      </c>
      <c r="F211" s="596"/>
      <c r="G211" s="596"/>
      <c r="H211" s="596"/>
      <c r="I211" s="995"/>
      <c r="J211" s="995"/>
      <c r="K211" s="995"/>
      <c r="L211" s="995"/>
      <c r="M211" s="995"/>
      <c r="N211" s="995"/>
      <c r="O211" s="995"/>
      <c r="P211" s="995"/>
      <c r="Q211" s="995"/>
      <c r="R211" s="995"/>
      <c r="S211" s="995"/>
      <c r="T211" s="995"/>
      <c r="U211" s="995"/>
      <c r="V211" s="995"/>
      <c r="W211" s="995"/>
      <c r="X211" s="995"/>
      <c r="Y211" s="995"/>
      <c r="Z211" s="995"/>
      <c r="AA211" s="995"/>
      <c r="AB211" s="995"/>
      <c r="AC211" s="995"/>
      <c r="AD211" s="995"/>
    </row>
    <row r="212" spans="2:30" outlineLevel="2" x14ac:dyDescent="0.45">
      <c r="B212" s="1129" t="str">
        <f t="shared" si="60"/>
        <v>Sales</v>
      </c>
      <c r="C212" s="451">
        <f>C203+1</f>
        <v>21</v>
      </c>
      <c r="D212" s="451" t="s">
        <v>1620</v>
      </c>
      <c r="F212" s="596"/>
      <c r="G212" s="596"/>
      <c r="H212" s="596"/>
      <c r="I212" s="995"/>
      <c r="J212" s="995"/>
      <c r="K212" s="995"/>
      <c r="L212" s="995"/>
      <c r="M212" s="995"/>
      <c r="N212" s="995"/>
      <c r="O212" s="995"/>
      <c r="P212" s="995"/>
      <c r="Q212" s="995"/>
      <c r="R212" s="995"/>
      <c r="S212" s="995"/>
      <c r="T212" s="995"/>
      <c r="U212" s="995"/>
      <c r="V212" s="995"/>
      <c r="W212" s="995"/>
      <c r="X212" s="995"/>
      <c r="Y212" s="995"/>
      <c r="Z212" s="995"/>
      <c r="AA212" s="995"/>
      <c r="AB212" s="995"/>
      <c r="AC212" s="995"/>
      <c r="AD212" s="995"/>
    </row>
    <row r="213" spans="2:30" outlineLevel="2" x14ac:dyDescent="0.45">
      <c r="B213" s="1129" t="str">
        <f t="shared" si="60"/>
        <v>Sales</v>
      </c>
      <c r="D213" s="583" t="str">
        <f>'12. Inputs-Props &amp; Debtors 2016'!C$77</f>
        <v>EC</v>
      </c>
      <c r="F213" s="596"/>
      <c r="G213" s="596"/>
      <c r="H213" s="596"/>
      <c r="I213" s="631">
        <f>I195*I204</f>
        <v>210409.8845669291</v>
      </c>
      <c r="J213" s="631">
        <f t="shared" ref="J213:AC217" si="88">J195*J204</f>
        <v>210409.8845669291</v>
      </c>
      <c r="K213" s="631">
        <f t="shared" si="88"/>
        <v>210409.8845669291</v>
      </c>
      <c r="L213" s="631">
        <f t="shared" si="88"/>
        <v>23378.876062992123</v>
      </c>
      <c r="M213" s="631">
        <f t="shared" si="88"/>
        <v>23378.876062992123</v>
      </c>
      <c r="N213" s="631">
        <f t="shared" si="88"/>
        <v>23378.876062992123</v>
      </c>
      <c r="O213" s="631">
        <f t="shared" si="88"/>
        <v>23378.876062992123</v>
      </c>
      <c r="P213" s="631">
        <f t="shared" si="88"/>
        <v>23378.876062992123</v>
      </c>
      <c r="Q213" s="631">
        <f t="shared" si="88"/>
        <v>23378.876062992123</v>
      </c>
      <c r="R213" s="631">
        <f t="shared" si="88"/>
        <v>23378.876062992123</v>
      </c>
      <c r="S213" s="631">
        <f t="shared" si="88"/>
        <v>23378.876062992123</v>
      </c>
      <c r="T213" s="631">
        <f t="shared" si="88"/>
        <v>23378.876062992123</v>
      </c>
      <c r="U213" s="631">
        <f t="shared" si="88"/>
        <v>23378.876062992123</v>
      </c>
      <c r="V213" s="631">
        <f t="shared" si="88"/>
        <v>23378.876062992123</v>
      </c>
      <c r="W213" s="631">
        <f t="shared" si="88"/>
        <v>23378.876062992123</v>
      </c>
      <c r="X213" s="631">
        <f t="shared" si="88"/>
        <v>23378.876062992123</v>
      </c>
      <c r="Y213" s="631">
        <f t="shared" si="88"/>
        <v>23378.876062992123</v>
      </c>
      <c r="Z213" s="631">
        <f t="shared" si="88"/>
        <v>23378.876062992123</v>
      </c>
      <c r="AA213" s="631">
        <f t="shared" si="88"/>
        <v>23378.876062992123</v>
      </c>
      <c r="AB213" s="631">
        <f t="shared" si="88"/>
        <v>46757.752125984247</v>
      </c>
      <c r="AC213" s="631">
        <f t="shared" si="88"/>
        <v>0</v>
      </c>
      <c r="AD213" s="1120">
        <f>SUM(I213:AC213)</f>
        <v>1052049.422834646</v>
      </c>
    </row>
    <row r="214" spans="2:30" outlineLevel="2" x14ac:dyDescent="0.45">
      <c r="B214" s="1129" t="str">
        <f t="shared" si="60"/>
        <v>Sales</v>
      </c>
      <c r="D214" s="583" t="str">
        <f>'12. Inputs-Props &amp; Debtors 2016'!C$78</f>
        <v>FS</v>
      </c>
      <c r="F214" s="596"/>
      <c r="G214" s="596"/>
      <c r="H214" s="596"/>
      <c r="I214" s="631">
        <f ca="1">I196*I205</f>
        <v>39429</v>
      </c>
      <c r="J214" s="631">
        <f t="shared" ref="J214:X214" ca="1" si="89">J196*J205</f>
        <v>39429</v>
      </c>
      <c r="K214" s="631">
        <f t="shared" ca="1" si="89"/>
        <v>39429</v>
      </c>
      <c r="L214" s="631">
        <f t="shared" ca="1" si="89"/>
        <v>39429</v>
      </c>
      <c r="M214" s="631">
        <f t="shared" ca="1" si="89"/>
        <v>39429</v>
      </c>
      <c r="N214" s="631">
        <f t="shared" ca="1" si="89"/>
        <v>39429</v>
      </c>
      <c r="O214" s="631">
        <f t="shared" ca="1" si="89"/>
        <v>39429</v>
      </c>
      <c r="P214" s="631">
        <f t="shared" ca="1" si="89"/>
        <v>39429</v>
      </c>
      <c r="Q214" s="631">
        <f t="shared" ca="1" si="89"/>
        <v>39429</v>
      </c>
      <c r="R214" s="631">
        <f t="shared" ca="1" si="89"/>
        <v>39429</v>
      </c>
      <c r="S214" s="631">
        <f t="shared" ca="1" si="89"/>
        <v>39429</v>
      </c>
      <c r="T214" s="631">
        <f t="shared" ca="1" si="89"/>
        <v>39429</v>
      </c>
      <c r="U214" s="631">
        <f t="shared" ca="1" si="89"/>
        <v>39429</v>
      </c>
      <c r="V214" s="631">
        <f t="shared" ca="1" si="89"/>
        <v>39429</v>
      </c>
      <c r="W214" s="631">
        <f t="shared" ca="1" si="89"/>
        <v>39429</v>
      </c>
      <c r="X214" s="631">
        <f t="shared" ca="1" si="89"/>
        <v>39429</v>
      </c>
      <c r="Y214" s="631">
        <f t="shared" ca="1" si="88"/>
        <v>39429</v>
      </c>
      <c r="Z214" s="631">
        <f t="shared" ca="1" si="88"/>
        <v>39429</v>
      </c>
      <c r="AA214" s="631">
        <f t="shared" ca="1" si="88"/>
        <v>39429</v>
      </c>
      <c r="AB214" s="631">
        <f t="shared" ca="1" si="88"/>
        <v>197145</v>
      </c>
      <c r="AC214" s="631">
        <f t="shared" ca="1" si="88"/>
        <v>0</v>
      </c>
      <c r="AD214" s="1120">
        <f ca="1">SUM(I214:AC214)</f>
        <v>946296</v>
      </c>
    </row>
    <row r="215" spans="2:30" outlineLevel="2" x14ac:dyDescent="0.45">
      <c r="B215" s="1129" t="str">
        <f t="shared" si="60"/>
        <v>Sales</v>
      </c>
      <c r="D215" s="583" t="str">
        <f>'12. Inputs-Props &amp; Debtors 2016'!C$79</f>
        <v>Gau</v>
      </c>
      <c r="F215" s="596"/>
      <c r="G215" s="596"/>
      <c r="H215" s="596"/>
      <c r="I215" s="631">
        <f ca="1">I197*I206</f>
        <v>1520513.3739093961</v>
      </c>
      <c r="J215" s="631">
        <f t="shared" ca="1" si="88"/>
        <v>1520513.3739093961</v>
      </c>
      <c r="K215" s="631">
        <f t="shared" ca="1" si="88"/>
        <v>1520513.3739093961</v>
      </c>
      <c r="L215" s="631">
        <f t="shared" ca="1" si="88"/>
        <v>1592066.9444463088</v>
      </c>
      <c r="M215" s="631">
        <f t="shared" ca="1" si="88"/>
        <v>1592066.9444463088</v>
      </c>
      <c r="N215" s="631">
        <f t="shared" ca="1" si="88"/>
        <v>1592066.9444463088</v>
      </c>
      <c r="O215" s="631">
        <f t="shared" ca="1" si="88"/>
        <v>1592066.9444463088</v>
      </c>
      <c r="P215" s="631">
        <f t="shared" ca="1" si="88"/>
        <v>1592066.9444463088</v>
      </c>
      <c r="Q215" s="631">
        <f t="shared" ca="1" si="88"/>
        <v>1592066.9444463088</v>
      </c>
      <c r="R215" s="631">
        <f t="shared" ca="1" si="88"/>
        <v>1592066.9444463088</v>
      </c>
      <c r="S215" s="631">
        <f t="shared" ca="1" si="88"/>
        <v>1592066.9444463088</v>
      </c>
      <c r="T215" s="631">
        <f t="shared" ca="1" si="88"/>
        <v>1592066.9444463088</v>
      </c>
      <c r="U215" s="631">
        <f t="shared" ca="1" si="88"/>
        <v>1592066.9444463088</v>
      </c>
      <c r="V215" s="631">
        <f t="shared" ca="1" si="88"/>
        <v>1592066.9444463088</v>
      </c>
      <c r="W215" s="631">
        <f t="shared" ca="1" si="88"/>
        <v>1592066.9444463088</v>
      </c>
      <c r="X215" s="631">
        <f t="shared" ca="1" si="88"/>
        <v>1592066.9444463088</v>
      </c>
      <c r="Y215" s="631">
        <f t="shared" ca="1" si="88"/>
        <v>1592066.9444463088</v>
      </c>
      <c r="Z215" s="631">
        <f t="shared" ca="1" si="88"/>
        <v>1592066.9444463088</v>
      </c>
      <c r="AA215" s="631">
        <f t="shared" ca="1" si="88"/>
        <v>1592066.9444463088</v>
      </c>
      <c r="AB215" s="631">
        <f t="shared" ca="1" si="88"/>
        <v>268325.88951342285</v>
      </c>
      <c r="AC215" s="631">
        <f t="shared" ca="1" si="88"/>
        <v>0</v>
      </c>
      <c r="AD215" s="1120">
        <f ca="1">SUM(I215:AC215)</f>
        <v>30302937.122382563</v>
      </c>
    </row>
    <row r="216" spans="2:30" outlineLevel="2" x14ac:dyDescent="0.45">
      <c r="B216" s="1129" t="str">
        <f t="shared" si="60"/>
        <v>Sales</v>
      </c>
      <c r="D216" s="583" t="str">
        <f>'12. Inputs-Props &amp; Debtors 2016'!C$80</f>
        <v>KZN</v>
      </c>
      <c r="F216" s="596"/>
      <c r="G216" s="596"/>
      <c r="H216" s="596"/>
      <c r="I216" s="631">
        <f ca="1">I198*I207</f>
        <v>5046912</v>
      </c>
      <c r="J216" s="631">
        <f t="shared" ca="1" si="88"/>
        <v>5046912</v>
      </c>
      <c r="K216" s="631">
        <f t="shared" ca="1" si="88"/>
        <v>5046912</v>
      </c>
      <c r="L216" s="631">
        <f t="shared" ca="1" si="88"/>
        <v>2208024</v>
      </c>
      <c r="M216" s="631">
        <f t="shared" ca="1" si="88"/>
        <v>2208024</v>
      </c>
      <c r="N216" s="631">
        <f t="shared" ca="1" si="88"/>
        <v>2208024</v>
      </c>
      <c r="O216" s="631">
        <f t="shared" ca="1" si="88"/>
        <v>2208024</v>
      </c>
      <c r="P216" s="631">
        <f t="shared" ca="1" si="88"/>
        <v>2208024</v>
      </c>
      <c r="Q216" s="631">
        <f t="shared" ca="1" si="88"/>
        <v>2208024</v>
      </c>
      <c r="R216" s="631">
        <f t="shared" ca="1" si="88"/>
        <v>2208024</v>
      </c>
      <c r="S216" s="631">
        <f t="shared" ca="1" si="88"/>
        <v>2208024</v>
      </c>
      <c r="T216" s="631">
        <f t="shared" ca="1" si="88"/>
        <v>2208024</v>
      </c>
      <c r="U216" s="631">
        <f t="shared" ca="1" si="88"/>
        <v>2208024</v>
      </c>
      <c r="V216" s="631">
        <f t="shared" ca="1" si="88"/>
        <v>2208024</v>
      </c>
      <c r="W216" s="631">
        <f t="shared" ca="1" si="88"/>
        <v>2208024</v>
      </c>
      <c r="X216" s="631">
        <f t="shared" ca="1" si="88"/>
        <v>2208024</v>
      </c>
      <c r="Y216" s="631">
        <f t="shared" ca="1" si="88"/>
        <v>2208024</v>
      </c>
      <c r="Z216" s="631">
        <f t="shared" ca="1" si="88"/>
        <v>2208024</v>
      </c>
      <c r="AA216" s="631">
        <f t="shared" ca="1" si="88"/>
        <v>2208024</v>
      </c>
      <c r="AB216" s="631">
        <f t="shared" ca="1" si="88"/>
        <v>59143.5</v>
      </c>
      <c r="AC216" s="631">
        <f t="shared" ca="1" si="88"/>
        <v>0</v>
      </c>
      <c r="AD216" s="1120">
        <f ca="1">SUM(I216:AC216)</f>
        <v>50528263.5</v>
      </c>
    </row>
    <row r="217" spans="2:30" outlineLevel="2" x14ac:dyDescent="0.45">
      <c r="B217" s="1129" t="str">
        <f t="shared" si="60"/>
        <v>Sales</v>
      </c>
      <c r="D217" s="583" t="str">
        <f>'12. Inputs-Props &amp; Debtors 2016'!C$81</f>
        <v>WC</v>
      </c>
      <c r="F217" s="596"/>
      <c r="G217" s="596"/>
      <c r="H217" s="596"/>
      <c r="I217" s="631">
        <f ca="1">I199*I208</f>
        <v>2811433.6077560242</v>
      </c>
      <c r="J217" s="631">
        <f t="shared" ca="1" si="88"/>
        <v>2811433.6077560242</v>
      </c>
      <c r="K217" s="631">
        <f t="shared" ca="1" si="88"/>
        <v>2113169.0515813255</v>
      </c>
      <c r="L217" s="631">
        <f t="shared" ca="1" si="88"/>
        <v>385883.04420180724</v>
      </c>
      <c r="M217" s="631">
        <f t="shared" ca="1" si="88"/>
        <v>385883.04420180724</v>
      </c>
      <c r="N217" s="631">
        <f t="shared" ca="1" si="88"/>
        <v>385883.04420180724</v>
      </c>
      <c r="O217" s="631">
        <f t="shared" ca="1" si="88"/>
        <v>385883.04420180724</v>
      </c>
      <c r="P217" s="631">
        <f t="shared" ca="1" si="88"/>
        <v>385883.04420180724</v>
      </c>
      <c r="Q217" s="631">
        <f t="shared" ca="1" si="88"/>
        <v>385883.04420180724</v>
      </c>
      <c r="R217" s="631">
        <f t="shared" ca="1" si="88"/>
        <v>385883.04420180724</v>
      </c>
      <c r="S217" s="631">
        <f t="shared" ca="1" si="88"/>
        <v>385883.04420180724</v>
      </c>
      <c r="T217" s="631">
        <f t="shared" ca="1" si="88"/>
        <v>385883.04420180724</v>
      </c>
      <c r="U217" s="631">
        <f t="shared" ca="1" si="88"/>
        <v>385883.04420180724</v>
      </c>
      <c r="V217" s="631">
        <f t="shared" ca="1" si="88"/>
        <v>385883.04420180724</v>
      </c>
      <c r="W217" s="631">
        <f t="shared" ca="1" si="88"/>
        <v>385883.04420180724</v>
      </c>
      <c r="X217" s="631">
        <f t="shared" ca="1" si="88"/>
        <v>385883.04420180724</v>
      </c>
      <c r="Y217" s="631">
        <f t="shared" ca="1" si="88"/>
        <v>385883.04420180724</v>
      </c>
      <c r="Z217" s="631">
        <f t="shared" ca="1" si="88"/>
        <v>385883.04420180724</v>
      </c>
      <c r="AA217" s="631">
        <f t="shared" ca="1" si="88"/>
        <v>385883.04420180724</v>
      </c>
      <c r="AB217" s="631">
        <f t="shared" ca="1" si="88"/>
        <v>147003.06445783132</v>
      </c>
      <c r="AC217" s="631">
        <f t="shared" ca="1" si="88"/>
        <v>0</v>
      </c>
      <c r="AD217" s="1120">
        <f ca="1">SUM(I217:AC217)</f>
        <v>14057168.038780132</v>
      </c>
    </row>
    <row r="218" spans="2:30" outlineLevel="2" x14ac:dyDescent="0.45">
      <c r="B218" s="1129" t="str">
        <f t="shared" si="60"/>
        <v>Sales</v>
      </c>
      <c r="D218" s="583" t="str">
        <f>'12. Inputs-Props &amp; Debtors 2016'!C$82</f>
        <v>Total</v>
      </c>
      <c r="F218" s="596"/>
      <c r="G218" s="596"/>
      <c r="H218" s="596"/>
      <c r="I218" s="1121">
        <f ca="1">SUM(I213:I217)</f>
        <v>9628697.8662323505</v>
      </c>
      <c r="J218" s="1121">
        <f t="shared" ref="J218:AD218" ca="1" si="90">SUM(J213:J217)</f>
        <v>9628697.8662323505</v>
      </c>
      <c r="K218" s="1121">
        <f t="shared" ca="1" si="90"/>
        <v>8930433.3100576513</v>
      </c>
      <c r="L218" s="1121">
        <f t="shared" ca="1" si="90"/>
        <v>4248781.8647111077</v>
      </c>
      <c r="M218" s="1121">
        <f t="shared" ca="1" si="90"/>
        <v>4248781.8647111077</v>
      </c>
      <c r="N218" s="1121">
        <f t="shared" ca="1" si="90"/>
        <v>4248781.8647111077</v>
      </c>
      <c r="O218" s="1121">
        <f t="shared" ca="1" si="90"/>
        <v>4248781.8647111077</v>
      </c>
      <c r="P218" s="1121">
        <f t="shared" ca="1" si="90"/>
        <v>4248781.8647111077</v>
      </c>
      <c r="Q218" s="1121">
        <f t="shared" ca="1" si="90"/>
        <v>4248781.8647111077</v>
      </c>
      <c r="R218" s="1121">
        <f t="shared" ca="1" si="90"/>
        <v>4248781.8647111077</v>
      </c>
      <c r="S218" s="1121">
        <f t="shared" ca="1" si="90"/>
        <v>4248781.8647111077</v>
      </c>
      <c r="T218" s="1121">
        <f t="shared" ca="1" si="90"/>
        <v>4248781.8647111077</v>
      </c>
      <c r="U218" s="1121">
        <f t="shared" ca="1" si="90"/>
        <v>4248781.8647111077</v>
      </c>
      <c r="V218" s="1121">
        <f t="shared" ca="1" si="90"/>
        <v>4248781.8647111077</v>
      </c>
      <c r="W218" s="1121">
        <f t="shared" ca="1" si="90"/>
        <v>4248781.8647111077</v>
      </c>
      <c r="X218" s="1121">
        <f t="shared" ca="1" si="90"/>
        <v>4248781.8647111077</v>
      </c>
      <c r="Y218" s="1121">
        <f t="shared" ca="1" si="90"/>
        <v>4248781.8647111077</v>
      </c>
      <c r="Z218" s="1121">
        <f t="shared" ca="1" si="90"/>
        <v>4248781.8647111077</v>
      </c>
      <c r="AA218" s="1121">
        <f t="shared" ca="1" si="90"/>
        <v>4248781.8647111077</v>
      </c>
      <c r="AB218" s="1121">
        <f t="shared" ca="1" si="90"/>
        <v>718375.20609723835</v>
      </c>
      <c r="AC218" s="1121">
        <f t="shared" ca="1" si="90"/>
        <v>0</v>
      </c>
      <c r="AD218" s="1121">
        <f t="shared" ca="1" si="90"/>
        <v>96886714.083997354</v>
      </c>
    </row>
    <row r="219" spans="2:30" outlineLevel="2" x14ac:dyDescent="0.45">
      <c r="B219" s="597" t="str">
        <f t="shared" si="60"/>
        <v>Sales</v>
      </c>
      <c r="F219" s="596"/>
      <c r="G219" s="596"/>
      <c r="H219" s="596"/>
      <c r="I219" s="995"/>
      <c r="J219" s="995"/>
      <c r="K219" s="995"/>
      <c r="L219" s="995"/>
      <c r="M219" s="995"/>
      <c r="N219" s="995"/>
      <c r="O219" s="995"/>
      <c r="P219" s="995"/>
      <c r="Q219" s="995"/>
      <c r="R219" s="995"/>
      <c r="S219" s="995"/>
      <c r="T219" s="995"/>
      <c r="U219" s="995"/>
      <c r="V219" s="995"/>
      <c r="W219" s="995"/>
      <c r="X219" s="995"/>
      <c r="Y219" s="995"/>
      <c r="Z219" s="995"/>
      <c r="AA219" s="995"/>
      <c r="AB219" s="995"/>
      <c r="AC219" s="995"/>
      <c r="AD219" s="995"/>
    </row>
    <row r="220" spans="2:30" outlineLevel="2" x14ac:dyDescent="0.45">
      <c r="B220" s="597" t="str">
        <f t="shared" si="60"/>
        <v>Sales</v>
      </c>
      <c r="F220" s="596"/>
      <c r="G220" s="596"/>
      <c r="H220" s="596"/>
      <c r="I220" s="995"/>
      <c r="J220" s="995"/>
      <c r="K220" s="995"/>
      <c r="L220" s="995"/>
      <c r="M220" s="995"/>
      <c r="N220" s="995"/>
      <c r="O220" s="995"/>
      <c r="P220" s="995"/>
      <c r="Q220" s="995"/>
      <c r="R220" s="995"/>
      <c r="S220" s="995"/>
      <c r="T220" s="995"/>
      <c r="U220" s="995"/>
      <c r="V220" s="995"/>
      <c r="W220" s="995"/>
      <c r="X220" s="995"/>
      <c r="Y220" s="995"/>
      <c r="Z220" s="995"/>
      <c r="AA220" s="995"/>
      <c r="AB220" s="995"/>
      <c r="AC220" s="995"/>
      <c r="AD220" s="995"/>
    </row>
    <row r="221" spans="2:30" outlineLevel="2" x14ac:dyDescent="0.45">
      <c r="B221" s="1129" t="str">
        <f t="shared" si="60"/>
        <v>Sales</v>
      </c>
      <c r="C221" s="451">
        <f>C212+1</f>
        <v>22</v>
      </c>
      <c r="D221" s="451" t="s">
        <v>1621</v>
      </c>
      <c r="F221" s="596"/>
      <c r="G221" s="596"/>
      <c r="H221" s="596"/>
      <c r="I221" s="995"/>
      <c r="J221" s="995"/>
      <c r="K221" s="995"/>
      <c r="L221" s="995"/>
      <c r="M221" s="995"/>
      <c r="N221" s="995"/>
      <c r="O221" s="995"/>
      <c r="P221" s="995"/>
      <c r="Q221" s="995"/>
      <c r="R221" s="995"/>
      <c r="S221" s="995"/>
      <c r="T221" s="995"/>
      <c r="U221" s="995"/>
      <c r="V221" s="995"/>
      <c r="W221" s="995"/>
      <c r="X221" s="995"/>
      <c r="Y221" s="995"/>
      <c r="Z221" s="995"/>
      <c r="AA221" s="995"/>
      <c r="AB221" s="995"/>
      <c r="AC221" s="995"/>
      <c r="AD221" s="995"/>
    </row>
    <row r="222" spans="2:30" outlineLevel="2" x14ac:dyDescent="0.45">
      <c r="B222" s="1129" t="str">
        <f t="shared" si="60"/>
        <v>Sales</v>
      </c>
      <c r="D222" s="583" t="str">
        <f>'12. Inputs-Props &amp; Debtors 2016'!C$77</f>
        <v>EC</v>
      </c>
      <c r="F222" s="596"/>
      <c r="G222" s="596"/>
      <c r="H222" s="614">
        <f>'11. Table - Expenditure Review'!K104</f>
        <v>77023.692456140343</v>
      </c>
      <c r="I222" s="612">
        <f t="shared" ref="I222:W222" si="91">H222</f>
        <v>77023.692456140343</v>
      </c>
      <c r="J222" s="612">
        <f t="shared" si="91"/>
        <v>77023.692456140343</v>
      </c>
      <c r="K222" s="612">
        <f t="shared" si="91"/>
        <v>77023.692456140343</v>
      </c>
      <c r="L222" s="612">
        <f t="shared" si="91"/>
        <v>77023.692456140343</v>
      </c>
      <c r="M222" s="612">
        <f t="shared" si="91"/>
        <v>77023.692456140343</v>
      </c>
      <c r="N222" s="612">
        <f t="shared" si="91"/>
        <v>77023.692456140343</v>
      </c>
      <c r="O222" s="612">
        <f t="shared" si="91"/>
        <v>77023.692456140343</v>
      </c>
      <c r="P222" s="612">
        <f t="shared" si="91"/>
        <v>77023.692456140343</v>
      </c>
      <c r="Q222" s="612">
        <f t="shared" si="91"/>
        <v>77023.692456140343</v>
      </c>
      <c r="R222" s="612">
        <f t="shared" si="91"/>
        <v>77023.692456140343</v>
      </c>
      <c r="S222" s="612">
        <f t="shared" si="91"/>
        <v>77023.692456140343</v>
      </c>
      <c r="T222" s="612">
        <f t="shared" si="91"/>
        <v>77023.692456140343</v>
      </c>
      <c r="U222" s="612">
        <f t="shared" si="91"/>
        <v>77023.692456140343</v>
      </c>
      <c r="V222" s="612">
        <f t="shared" si="91"/>
        <v>77023.692456140343</v>
      </c>
      <c r="W222" s="612">
        <f t="shared" si="91"/>
        <v>77023.692456140343</v>
      </c>
      <c r="X222" s="612">
        <f t="shared" ref="X222:AC222" si="92">W222</f>
        <v>77023.692456140343</v>
      </c>
      <c r="Y222" s="612">
        <f t="shared" si="92"/>
        <v>77023.692456140343</v>
      </c>
      <c r="Z222" s="612">
        <f t="shared" si="92"/>
        <v>77023.692456140343</v>
      </c>
      <c r="AA222" s="612">
        <f t="shared" si="92"/>
        <v>77023.692456140343</v>
      </c>
      <c r="AB222" s="612">
        <f t="shared" si="92"/>
        <v>77023.692456140343</v>
      </c>
      <c r="AC222" s="612">
        <f t="shared" si="92"/>
        <v>77023.692456140343</v>
      </c>
      <c r="AD222" s="995"/>
    </row>
    <row r="223" spans="2:30" outlineLevel="2" x14ac:dyDescent="0.45">
      <c r="B223" s="1129" t="str">
        <f t="shared" si="60"/>
        <v>Sales</v>
      </c>
      <c r="D223" s="583" t="str">
        <f>'12. Inputs-Props &amp; Debtors 2016'!C$78</f>
        <v>FS</v>
      </c>
      <c r="F223" s="596"/>
      <c r="G223" s="596"/>
      <c r="H223" s="614">
        <f>'11. Table - Expenditure Review'!N104</f>
        <v>35073.449999999997</v>
      </c>
      <c r="I223" s="612">
        <f t="shared" ref="I223:J226" si="93">H223</f>
        <v>35073.449999999997</v>
      </c>
      <c r="J223" s="612">
        <f t="shared" si="93"/>
        <v>35073.449999999997</v>
      </c>
      <c r="K223" s="612">
        <f t="shared" ref="K223:W223" si="94">J223</f>
        <v>35073.449999999997</v>
      </c>
      <c r="L223" s="612">
        <f t="shared" si="94"/>
        <v>35073.449999999997</v>
      </c>
      <c r="M223" s="612">
        <f t="shared" si="94"/>
        <v>35073.449999999997</v>
      </c>
      <c r="N223" s="612">
        <f t="shared" si="94"/>
        <v>35073.449999999997</v>
      </c>
      <c r="O223" s="612">
        <f t="shared" si="94"/>
        <v>35073.449999999997</v>
      </c>
      <c r="P223" s="612">
        <f t="shared" si="94"/>
        <v>35073.449999999997</v>
      </c>
      <c r="Q223" s="612">
        <f t="shared" si="94"/>
        <v>35073.449999999997</v>
      </c>
      <c r="R223" s="612">
        <f t="shared" si="94"/>
        <v>35073.449999999997</v>
      </c>
      <c r="S223" s="612">
        <f t="shared" si="94"/>
        <v>35073.449999999997</v>
      </c>
      <c r="T223" s="612">
        <f t="shared" si="94"/>
        <v>35073.449999999997</v>
      </c>
      <c r="U223" s="612">
        <f t="shared" si="94"/>
        <v>35073.449999999997</v>
      </c>
      <c r="V223" s="612">
        <f t="shared" si="94"/>
        <v>35073.449999999997</v>
      </c>
      <c r="W223" s="612">
        <f t="shared" si="94"/>
        <v>35073.449999999997</v>
      </c>
      <c r="X223" s="612">
        <f t="shared" ref="X223:AC223" si="95">W223</f>
        <v>35073.449999999997</v>
      </c>
      <c r="Y223" s="612">
        <f t="shared" si="95"/>
        <v>35073.449999999997</v>
      </c>
      <c r="Z223" s="612">
        <f t="shared" si="95"/>
        <v>35073.449999999997</v>
      </c>
      <c r="AA223" s="612">
        <f t="shared" si="95"/>
        <v>35073.449999999997</v>
      </c>
      <c r="AB223" s="612">
        <f t="shared" si="95"/>
        <v>35073.449999999997</v>
      </c>
      <c r="AC223" s="612">
        <f t="shared" si="95"/>
        <v>35073.449999999997</v>
      </c>
      <c r="AD223" s="995"/>
    </row>
    <row r="224" spans="2:30" outlineLevel="2" x14ac:dyDescent="0.45">
      <c r="B224" s="1129" t="str">
        <f t="shared" si="60"/>
        <v>Sales</v>
      </c>
      <c r="D224" s="583" t="str">
        <f>'12. Inputs-Props &amp; Debtors 2016'!C$79</f>
        <v>Gau</v>
      </c>
      <c r="F224" s="596"/>
      <c r="G224" s="596"/>
      <c r="H224" s="614">
        <f>'11. Table - Expenditure Review'!Q104</f>
        <v>152480.91798245613</v>
      </c>
      <c r="I224" s="612">
        <f t="shared" si="93"/>
        <v>152480.91798245613</v>
      </c>
      <c r="J224" s="612">
        <f t="shared" si="93"/>
        <v>152480.91798245613</v>
      </c>
      <c r="K224" s="612">
        <f t="shared" ref="K224:W224" si="96">J224</f>
        <v>152480.91798245613</v>
      </c>
      <c r="L224" s="612">
        <f t="shared" si="96"/>
        <v>152480.91798245613</v>
      </c>
      <c r="M224" s="612">
        <f t="shared" si="96"/>
        <v>152480.91798245613</v>
      </c>
      <c r="N224" s="612">
        <f t="shared" si="96"/>
        <v>152480.91798245613</v>
      </c>
      <c r="O224" s="612">
        <f t="shared" si="96"/>
        <v>152480.91798245613</v>
      </c>
      <c r="P224" s="612">
        <f t="shared" si="96"/>
        <v>152480.91798245613</v>
      </c>
      <c r="Q224" s="612">
        <f t="shared" si="96"/>
        <v>152480.91798245613</v>
      </c>
      <c r="R224" s="612">
        <f t="shared" si="96"/>
        <v>152480.91798245613</v>
      </c>
      <c r="S224" s="612">
        <f t="shared" si="96"/>
        <v>152480.91798245613</v>
      </c>
      <c r="T224" s="612">
        <f t="shared" si="96"/>
        <v>152480.91798245613</v>
      </c>
      <c r="U224" s="612">
        <f t="shared" si="96"/>
        <v>152480.91798245613</v>
      </c>
      <c r="V224" s="612">
        <f t="shared" si="96"/>
        <v>152480.91798245613</v>
      </c>
      <c r="W224" s="612">
        <f t="shared" si="96"/>
        <v>152480.91798245613</v>
      </c>
      <c r="X224" s="612">
        <f t="shared" ref="X224:AC224" si="97">W224</f>
        <v>152480.91798245613</v>
      </c>
      <c r="Y224" s="612">
        <f t="shared" si="97"/>
        <v>152480.91798245613</v>
      </c>
      <c r="Z224" s="612">
        <f t="shared" si="97"/>
        <v>152480.91798245613</v>
      </c>
      <c r="AA224" s="612">
        <f t="shared" si="97"/>
        <v>152480.91798245613</v>
      </c>
      <c r="AB224" s="612">
        <f t="shared" si="97"/>
        <v>152480.91798245613</v>
      </c>
      <c r="AC224" s="612">
        <f t="shared" si="97"/>
        <v>152480.91798245613</v>
      </c>
      <c r="AD224" s="995"/>
    </row>
    <row r="225" spans="2:30" outlineLevel="2" x14ac:dyDescent="0.45">
      <c r="B225" s="1129" t="str">
        <f t="shared" si="60"/>
        <v>Sales</v>
      </c>
      <c r="D225" s="583" t="str">
        <f>'12. Inputs-Props &amp; Debtors 2016'!C$80</f>
        <v>KZN</v>
      </c>
      <c r="F225" s="596"/>
      <c r="G225" s="596"/>
      <c r="H225" s="614">
        <f>'11. Table - Expenditure Review'!T104</f>
        <v>91514.463637532128</v>
      </c>
      <c r="I225" s="612">
        <f t="shared" si="93"/>
        <v>91514.463637532128</v>
      </c>
      <c r="J225" s="612">
        <f t="shared" si="93"/>
        <v>91514.463637532128</v>
      </c>
      <c r="K225" s="612">
        <f t="shared" ref="K225:W225" si="98">J225</f>
        <v>91514.463637532128</v>
      </c>
      <c r="L225" s="612">
        <f t="shared" si="98"/>
        <v>91514.463637532128</v>
      </c>
      <c r="M225" s="612">
        <f t="shared" si="98"/>
        <v>91514.463637532128</v>
      </c>
      <c r="N225" s="612">
        <f t="shared" si="98"/>
        <v>91514.463637532128</v>
      </c>
      <c r="O225" s="612">
        <f t="shared" si="98"/>
        <v>91514.463637532128</v>
      </c>
      <c r="P225" s="612">
        <f t="shared" si="98"/>
        <v>91514.463637532128</v>
      </c>
      <c r="Q225" s="612">
        <f t="shared" si="98"/>
        <v>91514.463637532128</v>
      </c>
      <c r="R225" s="612">
        <f t="shared" si="98"/>
        <v>91514.463637532128</v>
      </c>
      <c r="S225" s="612">
        <f t="shared" si="98"/>
        <v>91514.463637532128</v>
      </c>
      <c r="T225" s="612">
        <f t="shared" si="98"/>
        <v>91514.463637532128</v>
      </c>
      <c r="U225" s="612">
        <f t="shared" si="98"/>
        <v>91514.463637532128</v>
      </c>
      <c r="V225" s="612">
        <f t="shared" si="98"/>
        <v>91514.463637532128</v>
      </c>
      <c r="W225" s="612">
        <f t="shared" si="98"/>
        <v>91514.463637532128</v>
      </c>
      <c r="X225" s="612">
        <f t="shared" ref="X225:AC225" si="99">W225</f>
        <v>91514.463637532128</v>
      </c>
      <c r="Y225" s="612">
        <f t="shared" si="99"/>
        <v>91514.463637532128</v>
      </c>
      <c r="Z225" s="612">
        <f t="shared" si="99"/>
        <v>91514.463637532128</v>
      </c>
      <c r="AA225" s="612">
        <f t="shared" si="99"/>
        <v>91514.463637532128</v>
      </c>
      <c r="AB225" s="612">
        <f t="shared" si="99"/>
        <v>91514.463637532128</v>
      </c>
      <c r="AC225" s="612">
        <f t="shared" si="99"/>
        <v>91514.463637532128</v>
      </c>
      <c r="AD225" s="995"/>
    </row>
    <row r="226" spans="2:30" outlineLevel="2" x14ac:dyDescent="0.45">
      <c r="B226" s="1129" t="str">
        <f t="shared" si="60"/>
        <v>Sales</v>
      </c>
      <c r="D226" s="583" t="str">
        <f>'12. Inputs-Props &amp; Debtors 2016'!C$81</f>
        <v>WC</v>
      </c>
      <c r="F226" s="596"/>
      <c r="G226" s="596"/>
      <c r="H226" s="614">
        <f>'11. Table - Expenditure Review'!W104</f>
        <v>51919.282393258422</v>
      </c>
      <c r="I226" s="612">
        <f t="shared" si="93"/>
        <v>51919.282393258422</v>
      </c>
      <c r="J226" s="612">
        <f t="shared" si="93"/>
        <v>51919.282393258422</v>
      </c>
      <c r="K226" s="612">
        <f t="shared" ref="K226:W226" si="100">J226</f>
        <v>51919.282393258422</v>
      </c>
      <c r="L226" s="612">
        <f t="shared" si="100"/>
        <v>51919.282393258422</v>
      </c>
      <c r="M226" s="612">
        <f t="shared" si="100"/>
        <v>51919.282393258422</v>
      </c>
      <c r="N226" s="612">
        <f t="shared" si="100"/>
        <v>51919.282393258422</v>
      </c>
      <c r="O226" s="612">
        <f t="shared" si="100"/>
        <v>51919.282393258422</v>
      </c>
      <c r="P226" s="612">
        <f t="shared" si="100"/>
        <v>51919.282393258422</v>
      </c>
      <c r="Q226" s="612">
        <f t="shared" si="100"/>
        <v>51919.282393258422</v>
      </c>
      <c r="R226" s="612">
        <f t="shared" si="100"/>
        <v>51919.282393258422</v>
      </c>
      <c r="S226" s="612">
        <f t="shared" si="100"/>
        <v>51919.282393258422</v>
      </c>
      <c r="T226" s="612">
        <f t="shared" si="100"/>
        <v>51919.282393258422</v>
      </c>
      <c r="U226" s="612">
        <f t="shared" si="100"/>
        <v>51919.282393258422</v>
      </c>
      <c r="V226" s="612">
        <f t="shared" si="100"/>
        <v>51919.282393258422</v>
      </c>
      <c r="W226" s="612">
        <f t="shared" si="100"/>
        <v>51919.282393258422</v>
      </c>
      <c r="X226" s="612">
        <f t="shared" ref="X226:AC226" si="101">W226</f>
        <v>51919.282393258422</v>
      </c>
      <c r="Y226" s="612">
        <f t="shared" si="101"/>
        <v>51919.282393258422</v>
      </c>
      <c r="Z226" s="612">
        <f t="shared" si="101"/>
        <v>51919.282393258422</v>
      </c>
      <c r="AA226" s="612">
        <f t="shared" si="101"/>
        <v>51919.282393258422</v>
      </c>
      <c r="AB226" s="612">
        <f t="shared" si="101"/>
        <v>51919.282393258422</v>
      </c>
      <c r="AC226" s="612">
        <f t="shared" si="101"/>
        <v>51919.282393258422</v>
      </c>
      <c r="AD226" s="995"/>
    </row>
    <row r="227" spans="2:30" outlineLevel="2" x14ac:dyDescent="0.45">
      <c r="B227" s="1129" t="str">
        <f t="shared" si="60"/>
        <v>Sales</v>
      </c>
      <c r="D227" s="583" t="str">
        <f>'12. Inputs-Props &amp; Debtors 2016'!C$82</f>
        <v>Total</v>
      </c>
      <c r="F227" s="596"/>
      <c r="G227" s="596"/>
      <c r="H227" s="621">
        <f>'11. Table - Expenditure Review'!H104</f>
        <v>87428.980361768641</v>
      </c>
      <c r="I227" s="613">
        <f t="shared" ref="I227:AC227" si="102">IF(I$83&gt;0,SUMPRODUCT(I222:I226,I$195:I$199)/I$200,0)</f>
        <v>89083.276828980655</v>
      </c>
      <c r="J227" s="613">
        <f t="shared" si="102"/>
        <v>89083.276828980655</v>
      </c>
      <c r="K227" s="613">
        <f t="shared" si="102"/>
        <v>92050.150334353442</v>
      </c>
      <c r="L227" s="613">
        <f t="shared" si="102"/>
        <v>111216.46390713674</v>
      </c>
      <c r="M227" s="613">
        <f t="shared" si="102"/>
        <v>111216.46390713674</v>
      </c>
      <c r="N227" s="613">
        <f t="shared" si="102"/>
        <v>111216.46390713674</v>
      </c>
      <c r="O227" s="613">
        <f t="shared" si="102"/>
        <v>111216.46390713674</v>
      </c>
      <c r="P227" s="613">
        <f t="shared" si="102"/>
        <v>111216.46390713674</v>
      </c>
      <c r="Q227" s="613">
        <f t="shared" si="102"/>
        <v>111216.46390713674</v>
      </c>
      <c r="R227" s="613">
        <f t="shared" si="102"/>
        <v>111216.46390713674</v>
      </c>
      <c r="S227" s="613">
        <f t="shared" si="102"/>
        <v>111216.46390713674</v>
      </c>
      <c r="T227" s="613">
        <f t="shared" si="102"/>
        <v>111216.46390713674</v>
      </c>
      <c r="U227" s="613">
        <f t="shared" si="102"/>
        <v>111216.46390713674</v>
      </c>
      <c r="V227" s="613">
        <f t="shared" si="102"/>
        <v>111216.46390713674</v>
      </c>
      <c r="W227" s="613">
        <f t="shared" si="102"/>
        <v>111216.46390713674</v>
      </c>
      <c r="X227" s="613">
        <f t="shared" si="102"/>
        <v>111216.46390713674</v>
      </c>
      <c r="Y227" s="613">
        <f t="shared" si="102"/>
        <v>111216.46390713674</v>
      </c>
      <c r="Z227" s="613">
        <f t="shared" si="102"/>
        <v>111216.46390713674</v>
      </c>
      <c r="AA227" s="613">
        <f t="shared" si="102"/>
        <v>111216.46390713674</v>
      </c>
      <c r="AB227" s="613">
        <f t="shared" si="102"/>
        <v>90898.517240501664</v>
      </c>
      <c r="AC227" s="613">
        <f t="shared" si="102"/>
        <v>0</v>
      </c>
      <c r="AD227" s="995"/>
    </row>
    <row r="228" spans="2:30" outlineLevel="2" x14ac:dyDescent="0.45">
      <c r="B228" s="597" t="str">
        <f t="shared" si="60"/>
        <v>Sales</v>
      </c>
      <c r="F228" s="596"/>
      <c r="G228" s="596"/>
      <c r="H228" s="596"/>
      <c r="I228" s="995"/>
      <c r="J228" s="995"/>
      <c r="K228" s="995"/>
      <c r="L228" s="995"/>
      <c r="M228" s="995"/>
      <c r="N228" s="995"/>
      <c r="O228" s="995"/>
      <c r="P228" s="995"/>
      <c r="Q228" s="995"/>
      <c r="R228" s="995"/>
      <c r="S228" s="995"/>
      <c r="T228" s="995"/>
      <c r="U228" s="995"/>
      <c r="V228" s="995"/>
      <c r="W228" s="995"/>
      <c r="X228" s="995"/>
      <c r="Y228" s="995"/>
      <c r="Z228" s="995"/>
      <c r="AA228" s="995"/>
      <c r="AB228" s="995"/>
      <c r="AC228" s="995"/>
      <c r="AD228" s="995"/>
    </row>
    <row r="229" spans="2:30" outlineLevel="2" x14ac:dyDescent="0.45">
      <c r="B229" s="597" t="str">
        <f t="shared" si="60"/>
        <v>Sales</v>
      </c>
      <c r="F229" s="596"/>
      <c r="G229" s="596"/>
      <c r="H229" s="596"/>
      <c r="I229" s="995"/>
      <c r="J229" s="995"/>
      <c r="K229" s="995"/>
      <c r="L229" s="995"/>
      <c r="M229" s="995"/>
      <c r="N229" s="995"/>
      <c r="O229" s="995"/>
      <c r="P229" s="995"/>
      <c r="Q229" s="995"/>
      <c r="R229" s="995"/>
      <c r="S229" s="995"/>
      <c r="T229" s="995"/>
      <c r="U229" s="995"/>
      <c r="V229" s="995"/>
      <c r="W229" s="995"/>
      <c r="X229" s="995"/>
      <c r="Y229" s="995"/>
      <c r="Z229" s="995"/>
      <c r="AA229" s="995"/>
      <c r="AB229" s="995"/>
      <c r="AC229" s="995"/>
      <c r="AD229" s="995"/>
    </row>
    <row r="230" spans="2:30" outlineLevel="2" x14ac:dyDescent="0.45">
      <c r="B230" s="1129" t="str">
        <f t="shared" si="60"/>
        <v>Sales</v>
      </c>
      <c r="C230" s="451">
        <f>C221+1</f>
        <v>23</v>
      </c>
      <c r="D230" s="451" t="s">
        <v>1622</v>
      </c>
      <c r="F230" s="596"/>
      <c r="G230" s="596"/>
      <c r="H230" s="596"/>
      <c r="I230" s="995"/>
      <c r="J230" s="995"/>
      <c r="K230" s="995"/>
      <c r="L230" s="995"/>
      <c r="M230" s="995"/>
      <c r="N230" s="995"/>
      <c r="O230" s="995"/>
      <c r="P230" s="995"/>
      <c r="Q230" s="995"/>
      <c r="R230" s="995"/>
      <c r="S230" s="995"/>
      <c r="T230" s="995"/>
      <c r="U230" s="995"/>
      <c r="V230" s="995"/>
      <c r="W230" s="995"/>
      <c r="X230" s="995"/>
      <c r="Y230" s="995"/>
      <c r="Z230" s="995"/>
      <c r="AA230" s="995"/>
      <c r="AB230" s="995"/>
      <c r="AC230" s="995"/>
      <c r="AD230" s="995"/>
    </row>
    <row r="231" spans="2:30" outlineLevel="2" x14ac:dyDescent="0.45">
      <c r="B231" s="1129" t="str">
        <f t="shared" si="60"/>
        <v>Sales</v>
      </c>
      <c r="D231" s="583" t="str">
        <f>'12. Inputs-Props &amp; Debtors 2016'!C$77</f>
        <v>EC</v>
      </c>
      <c r="F231" s="596"/>
      <c r="G231" s="596"/>
      <c r="H231" s="596"/>
      <c r="I231" s="991">
        <f>IF(AND('5. Dashboard Live'!$AA$19='14. Permanent Info'!$N$7,I$4&lt;=$K$4+'5. Dashboard Live'!$AA$16),I51*I124*I134,0)*0+IF(AND('5. Dashboard Live'!$AA$19='14. Permanent Info'!$M$7,I$4&lt;=$K$4+'5. Dashboard Live'!$AA$16),I51*I124*I134,0)*0</f>
        <v>0</v>
      </c>
      <c r="J231" s="991">
        <f>IF(AND('5. Dashboard Live'!$AA$19='14. Permanent Info'!$N$7,J$4&lt;=$K$4+'5. Dashboard Live'!$AA$16),J51*J124*J134,0)*0+IF(AND('5. Dashboard Live'!$AA$19='14. Permanent Info'!$M$7,J$4&lt;=$K$4+'5. Dashboard Live'!$AA$16),J51*J124*J134,0)*0</f>
        <v>0</v>
      </c>
      <c r="K231" s="991">
        <f>IF(AND('5. Dashboard Live'!$AA$19='14. Permanent Info'!$N$7,K$4&lt;=$K$4+'5. Dashboard Live'!$AA$16),K51*K124*K134,0)*0+IF(AND('5. Dashboard Live'!$AA$19='14. Permanent Info'!$M$7,K$4&lt;=$K$4+'5. Dashboard Live'!$AA$16),K51*K124*K134,0)*0</f>
        <v>0</v>
      </c>
      <c r="L231" s="1123">
        <f>IF(AND('5. Dashboard Live'!$AA$19='14. Permanent Info'!$N$7,L$4&lt;=$K$4+'5. Dashboard Live'!$AA$16),'10. Inputs &amp; Calcs'!L222*'10. Inputs &amp; Calcs'!L195,IF(AND('5. Dashboard Live'!$AA$19='14. Permanent Info'!$M$7,L$4=$K$4+'5. Dashboard Live'!$AA$16),SUMPRODUCT($L195:L195,$L222:L222),0))</f>
        <v>0</v>
      </c>
      <c r="M231" s="1123">
        <f>IF(AND('5. Dashboard Live'!$AA$19='14. Permanent Info'!$N$7,M$4&lt;=$K$4+'5. Dashboard Live'!$AA$16),'10. Inputs &amp; Calcs'!M222*'10. Inputs &amp; Calcs'!M195,IF(AND('5. Dashboard Live'!$AA$19='14. Permanent Info'!$M$7,M$4=$K$4+'5. Dashboard Live'!$AA$16),SUMPRODUCT($L195:M195,$L222:M222),0))</f>
        <v>0</v>
      </c>
      <c r="N231" s="1123">
        <f>IF(AND('5. Dashboard Live'!$AA$19='14. Permanent Info'!$N$7,N$4&lt;=$K$4+'5. Dashboard Live'!$AA$16),'10. Inputs &amp; Calcs'!N222*'10. Inputs &amp; Calcs'!N195,IF(AND('5. Dashboard Live'!$AA$19='14. Permanent Info'!$M$7,N$4=$K$4+'5. Dashboard Live'!$AA$16),SUMPRODUCT($L195:N195,$L222:N222),0))</f>
        <v>0</v>
      </c>
      <c r="O231" s="1123">
        <f>IF(AND('5. Dashboard Live'!$AA$19='14. Permanent Info'!$N$7,O$4&lt;=$K$4+'5. Dashboard Live'!$AA$16),'10. Inputs &amp; Calcs'!O222*'10. Inputs &amp; Calcs'!O195,IF(AND('5. Dashboard Live'!$AA$19='14. Permanent Info'!$M$7,O$4=$K$4+'5. Dashboard Live'!$AA$16),SUMPRODUCT($L195:O195,$L222:O222),0))</f>
        <v>0</v>
      </c>
      <c r="P231" s="1123">
        <f>IF(AND('5. Dashboard Live'!$AA$19='14. Permanent Info'!$N$7,P$4&lt;=$K$4+'5. Dashboard Live'!$AA$16),'10. Inputs &amp; Calcs'!P222*'10. Inputs &amp; Calcs'!P195,IF(AND('5. Dashboard Live'!$AA$19='14. Permanent Info'!$M$7,P$4=$K$4+'5. Dashboard Live'!$AA$16),SUMPRODUCT($L195:P195,$L222:P222),0))</f>
        <v>0</v>
      </c>
      <c r="Q231" s="1123">
        <f>IF(AND('5. Dashboard Live'!$AA$19='14. Permanent Info'!$N$7,Q$4&lt;=$K$4+'5. Dashboard Live'!$AA$16),'10. Inputs &amp; Calcs'!Q222*'10. Inputs &amp; Calcs'!Q195,IF(AND('5. Dashboard Live'!$AA$19='14. Permanent Info'!$M$7,Q$4=$K$4+'5. Dashboard Live'!$AA$16),SUMPRODUCT($L195:Q195,$L222:Q222),0))</f>
        <v>0</v>
      </c>
      <c r="R231" s="1123">
        <f>IF(AND('5. Dashboard Live'!$AA$19='14. Permanent Info'!$N$7,R$4&lt;=$K$4+'5. Dashboard Live'!$AA$16),'10. Inputs &amp; Calcs'!R222*'10. Inputs &amp; Calcs'!R195,IF(AND('5. Dashboard Live'!$AA$19='14. Permanent Info'!$M$7,R$4=$K$4+'5. Dashboard Live'!$AA$16),SUMPRODUCT($L195:R195,$L222:R222),0))</f>
        <v>0</v>
      </c>
      <c r="S231" s="1123">
        <f>IF(AND('5. Dashboard Live'!$AA$19='14. Permanent Info'!$N$7,S$4&lt;=$K$4+'5. Dashboard Live'!$AA$16),'10. Inputs &amp; Calcs'!S222*'10. Inputs &amp; Calcs'!S195,IF(AND('5. Dashboard Live'!$AA$19='14. Permanent Info'!$M$7,S$4=$K$4+'5. Dashboard Live'!$AA$16),SUMPRODUCT($L195:S195,$L222:S222),0))</f>
        <v>0</v>
      </c>
      <c r="T231" s="1123">
        <f>IF(AND('5. Dashboard Live'!$AA$19='14. Permanent Info'!$N$7,T$4&lt;=$K$4+'5. Dashboard Live'!$AA$16),'10. Inputs &amp; Calcs'!T222*'10. Inputs &amp; Calcs'!T195,IF(AND('5. Dashboard Live'!$AA$19='14. Permanent Info'!$M$7,T$4=$K$4+'5. Dashboard Live'!$AA$16),SUMPRODUCT($L195:T195,$L222:T222),0))</f>
        <v>0</v>
      </c>
      <c r="U231" s="1123">
        <f>IF(AND('5. Dashboard Live'!$AA$19='14. Permanent Info'!$N$7,U$4&lt;=$K$4+'5. Dashboard Live'!$AA$16),'10. Inputs &amp; Calcs'!U222*'10. Inputs &amp; Calcs'!U195,IF(AND('5. Dashboard Live'!$AA$19='14. Permanent Info'!$M$7,U$4=$K$4+'5. Dashboard Live'!$AA$16),SUMPRODUCT($L195:U195,$L222:U222),0))</f>
        <v>0</v>
      </c>
      <c r="V231" s="1123">
        <f>IF(AND('5. Dashboard Live'!$AA$19='14. Permanent Info'!$N$7,V$4&lt;=$K$4+'5. Dashboard Live'!$AA$16),'10. Inputs &amp; Calcs'!V222*'10. Inputs &amp; Calcs'!V195,IF(AND('5. Dashboard Live'!$AA$19='14. Permanent Info'!$M$7,V$4=$K$4+'5. Dashboard Live'!$AA$16),SUMPRODUCT($L195:V195,$L222:V222),0))</f>
        <v>0</v>
      </c>
      <c r="W231" s="1123">
        <f>IF(AND('5. Dashboard Live'!$AA$19='14. Permanent Info'!$N$7,W$4&lt;=$K$4+'5. Dashboard Live'!$AA$16),'10. Inputs &amp; Calcs'!W222*'10. Inputs &amp; Calcs'!W195,IF(AND('5. Dashboard Live'!$AA$19='14. Permanent Info'!$M$7,W$4=$K$4+'5. Dashboard Live'!$AA$16),SUMPRODUCT($L195:W195,$L222:W222),0))</f>
        <v>0</v>
      </c>
      <c r="X231" s="1123">
        <f>IF(AND('5. Dashboard Live'!$AA$19='14. Permanent Info'!$N$7,X$4&lt;=$K$4+'5. Dashboard Live'!$AA$16),'10. Inputs &amp; Calcs'!X222*'10. Inputs &amp; Calcs'!X195,IF(AND('5. Dashboard Live'!$AA$19='14. Permanent Info'!$M$7,X$4=$K$4+'5. Dashboard Live'!$AA$16),SUMPRODUCT($L195:X195,$L222:X222),0))</f>
        <v>0</v>
      </c>
      <c r="Y231" s="1123">
        <f>IF(AND('5. Dashboard Live'!$AA$19='14. Permanent Info'!$N$7,Y$4&lt;=$K$4+'5. Dashboard Live'!$AA$16),'10. Inputs &amp; Calcs'!Y222*'10. Inputs &amp; Calcs'!Y195,IF(AND('5. Dashboard Live'!$AA$19='14. Permanent Info'!$M$7,Y$4=$K$4+'5. Dashboard Live'!$AA$16),SUMPRODUCT($L195:Y195,$L222:Y222),0))</f>
        <v>0</v>
      </c>
      <c r="Z231" s="1123">
        <f>IF(AND('5. Dashboard Live'!$AA$19='14. Permanent Info'!$N$7,Z$4&lt;=$K$4+'5. Dashboard Live'!$AA$16),'10. Inputs &amp; Calcs'!Z222*'10. Inputs &amp; Calcs'!Z195,IF(AND('5. Dashboard Live'!$AA$19='14. Permanent Info'!$M$7,Z$4=$K$4+'5. Dashboard Live'!$AA$16),SUMPRODUCT($L195:Z195,$L222:Z222),0))</f>
        <v>0</v>
      </c>
      <c r="AA231" s="1123">
        <f>IF(AND('5. Dashboard Live'!$AA$19='14. Permanent Info'!$N$7,AA$4&lt;=$K$4+'5. Dashboard Live'!$AA$16),'10. Inputs &amp; Calcs'!AA222*'10. Inputs &amp; Calcs'!AA195,IF(AND('5. Dashboard Live'!$AA$19='14. Permanent Info'!$M$7,AA$4=$K$4+'5. Dashboard Live'!$AA$16),SUMPRODUCT($L195:AA195,$L222:AA222),0))</f>
        <v>0</v>
      </c>
      <c r="AB231" s="1123">
        <f>IF(AND('5. Dashboard Live'!$AA$19='14. Permanent Info'!$N$7,AB$4&lt;=$K$4+'5. Dashboard Live'!$AA$16),'10. Inputs &amp; Calcs'!AB222*'10. Inputs &amp; Calcs'!AB195,IF(AND('5. Dashboard Live'!$AA$19='14. Permanent Info'!$M$7,AB$4=$K$4+'5. Dashboard Live'!$AA$16),SUMPRODUCT($L195:AB195,$L222:AB222),0))</f>
        <v>2772852.9284210522</v>
      </c>
      <c r="AC231" s="1123">
        <f>IF(AND('5. Dashboard Live'!$AA$19='14. Permanent Info'!$N$7,AC$4&lt;=$K$4+'5. Dashboard Live'!$AA$16),'10. Inputs &amp; Calcs'!AC222*'10. Inputs &amp; Calcs'!AC195,IF(AND('5. Dashboard Live'!$AA$19='14. Permanent Info'!$M$7,AC$4=$K$4+'5. Dashboard Live'!$AA$16),SUMPRODUCT($L195:AC195,$L222:AC222),0))</f>
        <v>0</v>
      </c>
      <c r="AD231" s="1120">
        <f>SUM(I231:AC231)</f>
        <v>2772852.9284210522</v>
      </c>
    </row>
    <row r="232" spans="2:30" outlineLevel="2" x14ac:dyDescent="0.45">
      <c r="B232" s="1129" t="str">
        <f t="shared" si="60"/>
        <v>Sales</v>
      </c>
      <c r="D232" s="583" t="str">
        <f>'12. Inputs-Props &amp; Debtors 2016'!C$78</f>
        <v>FS</v>
      </c>
      <c r="F232" s="596"/>
      <c r="G232" s="596"/>
      <c r="H232" s="596"/>
      <c r="I232" s="991">
        <f ca="1">IF(AND('5. Dashboard Live'!$AA$19='14. Permanent Info'!$N$7,I$4&lt;=$K$4+'5. Dashboard Live'!$AA$16),I52*I125*I135,0)*0+IF(AND('5. Dashboard Live'!$AA$19='14. Permanent Info'!$M$7,I$4&lt;=$K$4+'5. Dashboard Live'!$AA$16),I52*I125*I135,0)*0</f>
        <v>0</v>
      </c>
      <c r="J232" s="991">
        <f ca="1">IF(AND('5. Dashboard Live'!$AA$19='14. Permanent Info'!$N$7,J$4&lt;=$K$4+'5. Dashboard Live'!$AA$16),J52*J125*J135,0)*0+IF(AND('5. Dashboard Live'!$AA$19='14. Permanent Info'!$M$7,J$4&lt;=$K$4+'5. Dashboard Live'!$AA$16),J52*J125*J135,0)*0</f>
        <v>0</v>
      </c>
      <c r="K232" s="991">
        <f ca="1">IF(AND('5. Dashboard Live'!$AA$19='14. Permanent Info'!$N$7,K$4&lt;=$K$4+'5. Dashboard Live'!$AA$16),K52*K125*K135,0)*0+IF(AND('5. Dashboard Live'!$AA$19='14. Permanent Info'!$M$7,K$4&lt;=$K$4+'5. Dashboard Live'!$AA$16),K52*K125*K135,0)*0</f>
        <v>0</v>
      </c>
      <c r="L232" s="1123">
        <f>IF(AND('5. Dashboard Live'!$AA$19='14. Permanent Info'!$N$7,L$4&lt;=$K$4+'5. Dashboard Live'!$AA$16),'10. Inputs &amp; Calcs'!L223*'10. Inputs &amp; Calcs'!L196,IF(AND('5. Dashboard Live'!$AA$19='14. Permanent Info'!$M$7,L$4=$K$4+'5. Dashboard Live'!$AA$16),SUMPRODUCT($L196:L196,$L223:L223),0))</f>
        <v>0</v>
      </c>
      <c r="M232" s="1123">
        <f>IF(AND('5. Dashboard Live'!$AA$19='14. Permanent Info'!$N$7,M$4&lt;=$K$4+'5. Dashboard Live'!$AA$16),'10. Inputs &amp; Calcs'!M223*'10. Inputs &amp; Calcs'!M196,IF(AND('5. Dashboard Live'!$AA$19='14. Permanent Info'!$M$7,M$4=$K$4+'5. Dashboard Live'!$AA$16),SUMPRODUCT($L196:M196,$L223:M223),0))</f>
        <v>0</v>
      </c>
      <c r="N232" s="1123">
        <f>IF(AND('5. Dashboard Live'!$AA$19='14. Permanent Info'!$N$7,N$4&lt;=$K$4+'5. Dashboard Live'!$AA$16),'10. Inputs &amp; Calcs'!N223*'10. Inputs &amp; Calcs'!N196,IF(AND('5. Dashboard Live'!$AA$19='14. Permanent Info'!$M$7,N$4=$K$4+'5. Dashboard Live'!$AA$16),SUMPRODUCT($L196:N196,$L223:N223),0))</f>
        <v>0</v>
      </c>
      <c r="O232" s="1123">
        <f>IF(AND('5. Dashboard Live'!$AA$19='14. Permanent Info'!$N$7,O$4&lt;=$K$4+'5. Dashboard Live'!$AA$16),'10. Inputs &amp; Calcs'!O223*'10. Inputs &amp; Calcs'!O196,IF(AND('5. Dashboard Live'!$AA$19='14. Permanent Info'!$M$7,O$4=$K$4+'5. Dashboard Live'!$AA$16),SUMPRODUCT($L196:O196,$L223:O223),0))</f>
        <v>0</v>
      </c>
      <c r="P232" s="1123">
        <f>IF(AND('5. Dashboard Live'!$AA$19='14. Permanent Info'!$N$7,P$4&lt;=$K$4+'5. Dashboard Live'!$AA$16),'10. Inputs &amp; Calcs'!P223*'10. Inputs &amp; Calcs'!P196,IF(AND('5. Dashboard Live'!$AA$19='14. Permanent Info'!$M$7,P$4=$K$4+'5. Dashboard Live'!$AA$16),SUMPRODUCT($L196:P196,$L223:P223),0))</f>
        <v>0</v>
      </c>
      <c r="Q232" s="1123">
        <f>IF(AND('5. Dashboard Live'!$AA$19='14. Permanent Info'!$N$7,Q$4&lt;=$K$4+'5. Dashboard Live'!$AA$16),'10. Inputs &amp; Calcs'!Q223*'10. Inputs &amp; Calcs'!Q196,IF(AND('5. Dashboard Live'!$AA$19='14. Permanent Info'!$M$7,Q$4=$K$4+'5. Dashboard Live'!$AA$16),SUMPRODUCT($L196:Q196,$L223:Q223),0))</f>
        <v>0</v>
      </c>
      <c r="R232" s="1123">
        <f>IF(AND('5. Dashboard Live'!$AA$19='14. Permanent Info'!$N$7,R$4&lt;=$K$4+'5. Dashboard Live'!$AA$16),'10. Inputs &amp; Calcs'!R223*'10. Inputs &amp; Calcs'!R196,IF(AND('5. Dashboard Live'!$AA$19='14. Permanent Info'!$M$7,R$4=$K$4+'5. Dashboard Live'!$AA$16),SUMPRODUCT($L196:R196,$L223:R223),0))</f>
        <v>0</v>
      </c>
      <c r="S232" s="1123">
        <f>IF(AND('5. Dashboard Live'!$AA$19='14. Permanent Info'!$N$7,S$4&lt;=$K$4+'5. Dashboard Live'!$AA$16),'10. Inputs &amp; Calcs'!S223*'10. Inputs &amp; Calcs'!S196,IF(AND('5. Dashboard Live'!$AA$19='14. Permanent Info'!$M$7,S$4=$K$4+'5. Dashboard Live'!$AA$16),SUMPRODUCT($L196:S196,$L223:S223),0))</f>
        <v>0</v>
      </c>
      <c r="T232" s="1123">
        <f>IF(AND('5. Dashboard Live'!$AA$19='14. Permanent Info'!$N$7,T$4&lt;=$K$4+'5. Dashboard Live'!$AA$16),'10. Inputs &amp; Calcs'!T223*'10. Inputs &amp; Calcs'!T196,IF(AND('5. Dashboard Live'!$AA$19='14. Permanent Info'!$M$7,T$4=$K$4+'5. Dashboard Live'!$AA$16),SUMPRODUCT($L196:T196,$L223:T223),0))</f>
        <v>0</v>
      </c>
      <c r="U232" s="1123">
        <f>IF(AND('5. Dashboard Live'!$AA$19='14. Permanent Info'!$N$7,U$4&lt;=$K$4+'5. Dashboard Live'!$AA$16),'10. Inputs &amp; Calcs'!U223*'10. Inputs &amp; Calcs'!U196,IF(AND('5. Dashboard Live'!$AA$19='14. Permanent Info'!$M$7,U$4=$K$4+'5. Dashboard Live'!$AA$16),SUMPRODUCT($L196:U196,$L223:U223),0))</f>
        <v>0</v>
      </c>
      <c r="V232" s="1123">
        <f>IF(AND('5. Dashboard Live'!$AA$19='14. Permanent Info'!$N$7,V$4&lt;=$K$4+'5. Dashboard Live'!$AA$16),'10. Inputs &amp; Calcs'!V223*'10. Inputs &amp; Calcs'!V196,IF(AND('5. Dashboard Live'!$AA$19='14. Permanent Info'!$M$7,V$4=$K$4+'5. Dashboard Live'!$AA$16),SUMPRODUCT($L196:V196,$L223:V223),0))</f>
        <v>0</v>
      </c>
      <c r="W232" s="1123">
        <f>IF(AND('5. Dashboard Live'!$AA$19='14. Permanent Info'!$N$7,W$4&lt;=$K$4+'5. Dashboard Live'!$AA$16),'10. Inputs &amp; Calcs'!W223*'10. Inputs &amp; Calcs'!W196,IF(AND('5. Dashboard Live'!$AA$19='14. Permanent Info'!$M$7,W$4=$K$4+'5. Dashboard Live'!$AA$16),SUMPRODUCT($L196:W196,$L223:W223),0))</f>
        <v>0</v>
      </c>
      <c r="X232" s="1123">
        <f>IF(AND('5. Dashboard Live'!$AA$19='14. Permanent Info'!$N$7,X$4&lt;=$K$4+'5. Dashboard Live'!$AA$16),'10. Inputs &amp; Calcs'!X223*'10. Inputs &amp; Calcs'!X196,IF(AND('5. Dashboard Live'!$AA$19='14. Permanent Info'!$M$7,X$4=$K$4+'5. Dashboard Live'!$AA$16),SUMPRODUCT($L196:X196,$L223:X223),0))</f>
        <v>0</v>
      </c>
      <c r="Y232" s="1123">
        <f>IF(AND('5. Dashboard Live'!$AA$19='14. Permanent Info'!$N$7,Y$4&lt;=$K$4+'5. Dashboard Live'!$AA$16),'10. Inputs &amp; Calcs'!Y223*'10. Inputs &amp; Calcs'!Y196,IF(AND('5. Dashboard Live'!$AA$19='14. Permanent Info'!$M$7,Y$4=$K$4+'5. Dashboard Live'!$AA$16),SUMPRODUCT($L196:Y196,$L223:Y223),0))</f>
        <v>0</v>
      </c>
      <c r="Z232" s="1123">
        <f>IF(AND('5. Dashboard Live'!$AA$19='14. Permanent Info'!$N$7,Z$4&lt;=$K$4+'5. Dashboard Live'!$AA$16),'10. Inputs &amp; Calcs'!Z223*'10. Inputs &amp; Calcs'!Z196,IF(AND('5. Dashboard Live'!$AA$19='14. Permanent Info'!$M$7,Z$4=$K$4+'5. Dashboard Live'!$AA$16),SUMPRODUCT($L196:Z196,$L223:Z223),0))</f>
        <v>0</v>
      </c>
      <c r="AA232" s="1123">
        <f>IF(AND('5. Dashboard Live'!$AA$19='14. Permanent Info'!$N$7,AA$4&lt;=$K$4+'5. Dashboard Live'!$AA$16),'10. Inputs &amp; Calcs'!AA223*'10. Inputs &amp; Calcs'!AA196,IF(AND('5. Dashboard Live'!$AA$19='14. Permanent Info'!$M$7,AA$4=$K$4+'5. Dashboard Live'!$AA$16),SUMPRODUCT($L196:AA196,$L223:AA223),0))</f>
        <v>0</v>
      </c>
      <c r="AB232" s="1123">
        <f>IF(AND('5. Dashboard Live'!$AA$19='14. Permanent Info'!$N$7,AB$4&lt;=$K$4+'5. Dashboard Live'!$AA$16),'10. Inputs &amp; Calcs'!AB223*'10. Inputs &amp; Calcs'!AB196,IF(AND('5. Dashboard Live'!$AA$19='14. Permanent Info'!$M$7,AB$4=$K$4+'5. Dashboard Live'!$AA$16),SUMPRODUCT($L196:AB196,$L223:AB223),0))</f>
        <v>1473084.9000000001</v>
      </c>
      <c r="AC232" s="1123">
        <f>IF(AND('5. Dashboard Live'!$AA$19='14. Permanent Info'!$N$7,AC$4&lt;=$K$4+'5. Dashboard Live'!$AA$16),'10. Inputs &amp; Calcs'!AC223*'10. Inputs &amp; Calcs'!AC196,IF(AND('5. Dashboard Live'!$AA$19='14. Permanent Info'!$M$7,AC$4=$K$4+'5. Dashboard Live'!$AA$16),SUMPRODUCT($L196:AC196,$L223:AC223),0))</f>
        <v>0</v>
      </c>
      <c r="AD232" s="1120">
        <f ca="1">SUM(I232:AC232)</f>
        <v>1473084.9000000001</v>
      </c>
    </row>
    <row r="233" spans="2:30" outlineLevel="2" x14ac:dyDescent="0.45">
      <c r="B233" s="1129" t="str">
        <f t="shared" si="60"/>
        <v>Sales</v>
      </c>
      <c r="D233" s="583" t="str">
        <f>'12. Inputs-Props &amp; Debtors 2016'!C$79</f>
        <v>Gau</v>
      </c>
      <c r="F233" s="596"/>
      <c r="G233" s="596"/>
      <c r="H233" s="596"/>
      <c r="I233" s="991">
        <f ca="1">IF(AND('5. Dashboard Live'!$AA$19='14. Permanent Info'!$N$7,I$4&lt;=$K$4+'5. Dashboard Live'!$AA$16),I53*I126*I136,0)*0+IF(AND('5. Dashboard Live'!$AA$19='14. Permanent Info'!$M$7,I$4&lt;=$K$4+'5. Dashboard Live'!$AA$16),I53*I126*I136,0)*0</f>
        <v>0</v>
      </c>
      <c r="J233" s="991">
        <f ca="1">IF(AND('5. Dashboard Live'!$AA$19='14. Permanent Info'!$N$7,J$4&lt;=$K$4+'5. Dashboard Live'!$AA$16),J53*J126*J136,0)*0+IF(AND('5. Dashboard Live'!$AA$19='14. Permanent Info'!$M$7,J$4&lt;=$K$4+'5. Dashboard Live'!$AA$16),J53*J126*J136,0)*0</f>
        <v>0</v>
      </c>
      <c r="K233" s="991">
        <f ca="1">IF(AND('5. Dashboard Live'!$AA$19='14. Permanent Info'!$N$7,K$4&lt;=$K$4+'5. Dashboard Live'!$AA$16),K53*K126*K136,0)*0+IF(AND('5. Dashboard Live'!$AA$19='14. Permanent Info'!$M$7,K$4&lt;=$K$4+'5. Dashboard Live'!$AA$16),K53*K126*K136,0)*0</f>
        <v>0</v>
      </c>
      <c r="L233" s="1123">
        <f>IF(AND('5. Dashboard Live'!$AA$19='14. Permanent Info'!$N$7,L$4&lt;=$K$4+'5. Dashboard Live'!$AA$16),'10. Inputs &amp; Calcs'!L224*'10. Inputs &amp; Calcs'!L197,IF(AND('5. Dashboard Live'!$AA$19='14. Permanent Info'!$M$7,L$4=$K$4+'5. Dashboard Live'!$AA$16),SUMPRODUCT($L197:L197,$L224:L224),0))</f>
        <v>0</v>
      </c>
      <c r="M233" s="1123">
        <f>IF(AND('5. Dashboard Live'!$AA$19='14. Permanent Info'!$N$7,M$4&lt;=$K$4+'5. Dashboard Live'!$AA$16),'10. Inputs &amp; Calcs'!M224*'10. Inputs &amp; Calcs'!M197,IF(AND('5. Dashboard Live'!$AA$19='14. Permanent Info'!$M$7,M$4=$K$4+'5. Dashboard Live'!$AA$16),SUMPRODUCT($L197:M197,$L224:M224),0))</f>
        <v>0</v>
      </c>
      <c r="N233" s="1123">
        <f>IF(AND('5. Dashboard Live'!$AA$19='14. Permanent Info'!$N$7,N$4&lt;=$K$4+'5. Dashboard Live'!$AA$16),'10. Inputs &amp; Calcs'!N224*'10. Inputs &amp; Calcs'!N197,IF(AND('5. Dashboard Live'!$AA$19='14. Permanent Info'!$M$7,N$4=$K$4+'5. Dashboard Live'!$AA$16),SUMPRODUCT($L197:N197,$L224:N224),0))</f>
        <v>0</v>
      </c>
      <c r="O233" s="1123">
        <f>IF(AND('5. Dashboard Live'!$AA$19='14. Permanent Info'!$N$7,O$4&lt;=$K$4+'5. Dashboard Live'!$AA$16),'10. Inputs &amp; Calcs'!O224*'10. Inputs &amp; Calcs'!O197,IF(AND('5. Dashboard Live'!$AA$19='14. Permanent Info'!$M$7,O$4=$K$4+'5. Dashboard Live'!$AA$16),SUMPRODUCT($L197:O197,$L224:O224),0))</f>
        <v>0</v>
      </c>
      <c r="P233" s="1123">
        <f>IF(AND('5. Dashboard Live'!$AA$19='14. Permanent Info'!$N$7,P$4&lt;=$K$4+'5. Dashboard Live'!$AA$16),'10. Inputs &amp; Calcs'!P224*'10. Inputs &amp; Calcs'!P197,IF(AND('5. Dashboard Live'!$AA$19='14. Permanent Info'!$M$7,P$4=$K$4+'5. Dashboard Live'!$AA$16),SUMPRODUCT($L197:P197,$L224:P224),0))</f>
        <v>0</v>
      </c>
      <c r="Q233" s="1123">
        <f>IF(AND('5. Dashboard Live'!$AA$19='14. Permanent Info'!$N$7,Q$4&lt;=$K$4+'5. Dashboard Live'!$AA$16),'10. Inputs &amp; Calcs'!Q224*'10. Inputs &amp; Calcs'!Q197,IF(AND('5. Dashboard Live'!$AA$19='14. Permanent Info'!$M$7,Q$4=$K$4+'5. Dashboard Live'!$AA$16),SUMPRODUCT($L197:Q197,$L224:Q224),0))</f>
        <v>0</v>
      </c>
      <c r="R233" s="1123">
        <f>IF(AND('5. Dashboard Live'!$AA$19='14. Permanent Info'!$N$7,R$4&lt;=$K$4+'5. Dashboard Live'!$AA$16),'10. Inputs &amp; Calcs'!R224*'10. Inputs &amp; Calcs'!R197,IF(AND('5. Dashboard Live'!$AA$19='14. Permanent Info'!$M$7,R$4=$K$4+'5. Dashboard Live'!$AA$16),SUMPRODUCT($L197:R197,$L224:R224),0))</f>
        <v>0</v>
      </c>
      <c r="S233" s="1123">
        <f>IF(AND('5. Dashboard Live'!$AA$19='14. Permanent Info'!$N$7,S$4&lt;=$K$4+'5. Dashboard Live'!$AA$16),'10. Inputs &amp; Calcs'!S224*'10. Inputs &amp; Calcs'!S197,IF(AND('5. Dashboard Live'!$AA$19='14. Permanent Info'!$M$7,S$4=$K$4+'5. Dashboard Live'!$AA$16),SUMPRODUCT($L197:S197,$L224:S224),0))</f>
        <v>0</v>
      </c>
      <c r="T233" s="1123">
        <f>IF(AND('5. Dashboard Live'!$AA$19='14. Permanent Info'!$N$7,T$4&lt;=$K$4+'5. Dashboard Live'!$AA$16),'10. Inputs &amp; Calcs'!T224*'10. Inputs &amp; Calcs'!T197,IF(AND('5. Dashboard Live'!$AA$19='14. Permanent Info'!$M$7,T$4=$K$4+'5. Dashboard Live'!$AA$16),SUMPRODUCT($L197:T197,$L224:T224),0))</f>
        <v>0</v>
      </c>
      <c r="U233" s="1123">
        <f>IF(AND('5. Dashboard Live'!$AA$19='14. Permanent Info'!$N$7,U$4&lt;=$K$4+'5. Dashboard Live'!$AA$16),'10. Inputs &amp; Calcs'!U224*'10. Inputs &amp; Calcs'!U197,IF(AND('5. Dashboard Live'!$AA$19='14. Permanent Info'!$M$7,U$4=$K$4+'5. Dashboard Live'!$AA$16),SUMPRODUCT($L197:U197,$L224:U224),0))</f>
        <v>0</v>
      </c>
      <c r="V233" s="1123">
        <f>IF(AND('5. Dashboard Live'!$AA$19='14. Permanent Info'!$N$7,V$4&lt;=$K$4+'5. Dashboard Live'!$AA$16),'10. Inputs &amp; Calcs'!V224*'10. Inputs &amp; Calcs'!V197,IF(AND('5. Dashboard Live'!$AA$19='14. Permanent Info'!$M$7,V$4=$K$4+'5. Dashboard Live'!$AA$16),SUMPRODUCT($L197:V197,$L224:V224),0))</f>
        <v>0</v>
      </c>
      <c r="W233" s="1123">
        <f>IF(AND('5. Dashboard Live'!$AA$19='14. Permanent Info'!$N$7,W$4&lt;=$K$4+'5. Dashboard Live'!$AA$16),'10. Inputs &amp; Calcs'!W224*'10. Inputs &amp; Calcs'!W197,IF(AND('5. Dashboard Live'!$AA$19='14. Permanent Info'!$M$7,W$4=$K$4+'5. Dashboard Live'!$AA$16),SUMPRODUCT($L197:W197,$L224:W224),0))</f>
        <v>0</v>
      </c>
      <c r="X233" s="1123">
        <f>IF(AND('5. Dashboard Live'!$AA$19='14. Permanent Info'!$N$7,X$4&lt;=$K$4+'5. Dashboard Live'!$AA$16),'10. Inputs &amp; Calcs'!X224*'10. Inputs &amp; Calcs'!X197,IF(AND('5. Dashboard Live'!$AA$19='14. Permanent Info'!$M$7,X$4=$K$4+'5. Dashboard Live'!$AA$16),SUMPRODUCT($L197:X197,$L224:X224),0))</f>
        <v>0</v>
      </c>
      <c r="Y233" s="1123">
        <f>IF(AND('5. Dashboard Live'!$AA$19='14. Permanent Info'!$N$7,Y$4&lt;=$K$4+'5. Dashboard Live'!$AA$16),'10. Inputs &amp; Calcs'!Y224*'10. Inputs &amp; Calcs'!Y197,IF(AND('5. Dashboard Live'!$AA$19='14. Permanent Info'!$M$7,Y$4=$K$4+'5. Dashboard Live'!$AA$16),SUMPRODUCT($L197:Y197,$L224:Y224),0))</f>
        <v>0</v>
      </c>
      <c r="Z233" s="1123">
        <f>IF(AND('5. Dashboard Live'!$AA$19='14. Permanent Info'!$N$7,Z$4&lt;=$K$4+'5. Dashboard Live'!$AA$16),'10. Inputs &amp; Calcs'!Z224*'10. Inputs &amp; Calcs'!Z197,IF(AND('5. Dashboard Live'!$AA$19='14. Permanent Info'!$M$7,Z$4=$K$4+'5. Dashboard Live'!$AA$16),SUMPRODUCT($L197:Z197,$L224:Z224),0))</f>
        <v>0</v>
      </c>
      <c r="AA233" s="1123">
        <f>IF(AND('5. Dashboard Live'!$AA$19='14. Permanent Info'!$N$7,AA$4&lt;=$K$4+'5. Dashboard Live'!$AA$16),'10. Inputs &amp; Calcs'!AA224*'10. Inputs &amp; Calcs'!AA197,IF(AND('5. Dashboard Live'!$AA$19='14. Permanent Info'!$M$7,AA$4=$K$4+'5. Dashboard Live'!$AA$16),SUMPRODUCT($L197:AA197,$L224:AA224),0))</f>
        <v>0</v>
      </c>
      <c r="AB233" s="1123">
        <f>IF(AND('5. Dashboard Live'!$AA$19='14. Permanent Info'!$N$7,AB$4&lt;=$K$4+'5. Dashboard Live'!$AA$16),'10. Inputs &amp; Calcs'!AB224*'10. Inputs &amp; Calcs'!AB197,IF(AND('5. Dashboard Live'!$AA$19='14. Permanent Info'!$M$7,AB$4=$K$4+'5. Dashboard Live'!$AA$16),SUMPRODUCT($L197:AB197,$L224:AB224),0))</f>
        <v>219420040.97675431</v>
      </c>
      <c r="AC233" s="1123">
        <f>IF(AND('5. Dashboard Live'!$AA$19='14. Permanent Info'!$N$7,AC$4&lt;=$K$4+'5. Dashboard Live'!$AA$16),'10. Inputs &amp; Calcs'!AC224*'10. Inputs &amp; Calcs'!AC197,IF(AND('5. Dashboard Live'!$AA$19='14. Permanent Info'!$M$7,AC$4=$K$4+'5. Dashboard Live'!$AA$16),SUMPRODUCT($L197:AC197,$L224:AC224),0))</f>
        <v>0</v>
      </c>
      <c r="AD233" s="1120">
        <f ca="1">SUM(I233:AC233)</f>
        <v>219420040.97675431</v>
      </c>
    </row>
    <row r="234" spans="2:30" outlineLevel="2" x14ac:dyDescent="0.45">
      <c r="B234" s="1129" t="str">
        <f t="shared" si="60"/>
        <v>Sales</v>
      </c>
      <c r="D234" s="583" t="str">
        <f>'12. Inputs-Props &amp; Debtors 2016'!C$80</f>
        <v>KZN</v>
      </c>
      <c r="F234" s="596"/>
      <c r="G234" s="596"/>
      <c r="H234" s="596"/>
      <c r="I234" s="991">
        <f ca="1">IF(AND('5. Dashboard Live'!$AA$19='14. Permanent Info'!$N$7,I$4&lt;=$K$4+'5. Dashboard Live'!$AA$16),I54*I127*I137,0)*0+IF(AND('5. Dashboard Live'!$AA$19='14. Permanent Info'!$M$7,I$4&lt;=$K$4+'5. Dashboard Live'!$AA$16),I54*I127*I137,0)*0</f>
        <v>0</v>
      </c>
      <c r="J234" s="991">
        <f ca="1">IF(AND('5. Dashboard Live'!$AA$19='14. Permanent Info'!$N$7,J$4&lt;=$K$4+'5. Dashboard Live'!$AA$16),J54*J127*J137,0)*0+IF(AND('5. Dashboard Live'!$AA$19='14. Permanent Info'!$M$7,J$4&lt;=$K$4+'5. Dashboard Live'!$AA$16),J54*J127*J137,0)*0</f>
        <v>0</v>
      </c>
      <c r="K234" s="991">
        <f ca="1">IF(AND('5. Dashboard Live'!$AA$19='14. Permanent Info'!$N$7,K$4&lt;=$K$4+'5. Dashboard Live'!$AA$16),K54*K127*K137,0)*0+IF(AND('5. Dashboard Live'!$AA$19='14. Permanent Info'!$M$7,K$4&lt;=$K$4+'5. Dashboard Live'!$AA$16),K54*K127*K137,0)*0</f>
        <v>0</v>
      </c>
      <c r="L234" s="1123">
        <f>IF(AND('5. Dashboard Live'!$AA$19='14. Permanent Info'!$N$7,L$4&lt;=$K$4+'5. Dashboard Live'!$AA$16),'10. Inputs &amp; Calcs'!L225*'10. Inputs &amp; Calcs'!L198,IF(AND('5. Dashboard Live'!$AA$19='14. Permanent Info'!$M$7,L$4=$K$4+'5. Dashboard Live'!$AA$16),SUMPRODUCT($L198:L198,$L225:L225),0))</f>
        <v>0</v>
      </c>
      <c r="M234" s="1123">
        <f>IF(AND('5. Dashboard Live'!$AA$19='14. Permanent Info'!$N$7,M$4&lt;=$K$4+'5. Dashboard Live'!$AA$16),'10. Inputs &amp; Calcs'!M225*'10. Inputs &amp; Calcs'!M198,IF(AND('5. Dashboard Live'!$AA$19='14. Permanent Info'!$M$7,M$4=$K$4+'5. Dashboard Live'!$AA$16),SUMPRODUCT($L198:M198,$L225:M225),0))</f>
        <v>0</v>
      </c>
      <c r="N234" s="1123">
        <f>IF(AND('5. Dashboard Live'!$AA$19='14. Permanent Info'!$N$7,N$4&lt;=$K$4+'5. Dashboard Live'!$AA$16),'10. Inputs &amp; Calcs'!N225*'10. Inputs &amp; Calcs'!N198,IF(AND('5. Dashboard Live'!$AA$19='14. Permanent Info'!$M$7,N$4=$K$4+'5. Dashboard Live'!$AA$16),SUMPRODUCT($L198:N198,$L225:N225),0))</f>
        <v>0</v>
      </c>
      <c r="O234" s="1123">
        <f>IF(AND('5. Dashboard Live'!$AA$19='14. Permanent Info'!$N$7,O$4&lt;=$K$4+'5. Dashboard Live'!$AA$16),'10. Inputs &amp; Calcs'!O225*'10. Inputs &amp; Calcs'!O198,IF(AND('5. Dashboard Live'!$AA$19='14. Permanent Info'!$M$7,O$4=$K$4+'5. Dashboard Live'!$AA$16),SUMPRODUCT($L198:O198,$L225:O225),0))</f>
        <v>0</v>
      </c>
      <c r="P234" s="1123">
        <f>IF(AND('5. Dashboard Live'!$AA$19='14. Permanent Info'!$N$7,P$4&lt;=$K$4+'5. Dashboard Live'!$AA$16),'10. Inputs &amp; Calcs'!P225*'10. Inputs &amp; Calcs'!P198,IF(AND('5. Dashboard Live'!$AA$19='14. Permanent Info'!$M$7,P$4=$K$4+'5. Dashboard Live'!$AA$16),SUMPRODUCT($L198:P198,$L225:P225),0))</f>
        <v>0</v>
      </c>
      <c r="Q234" s="1123">
        <f>IF(AND('5. Dashboard Live'!$AA$19='14. Permanent Info'!$N$7,Q$4&lt;=$K$4+'5. Dashboard Live'!$AA$16),'10. Inputs &amp; Calcs'!Q225*'10. Inputs &amp; Calcs'!Q198,IF(AND('5. Dashboard Live'!$AA$19='14. Permanent Info'!$M$7,Q$4=$K$4+'5. Dashboard Live'!$AA$16),SUMPRODUCT($L198:Q198,$L225:Q225),0))</f>
        <v>0</v>
      </c>
      <c r="R234" s="1123">
        <f>IF(AND('5. Dashboard Live'!$AA$19='14. Permanent Info'!$N$7,R$4&lt;=$K$4+'5. Dashboard Live'!$AA$16),'10. Inputs &amp; Calcs'!R225*'10. Inputs &amp; Calcs'!R198,IF(AND('5. Dashboard Live'!$AA$19='14. Permanent Info'!$M$7,R$4=$K$4+'5. Dashboard Live'!$AA$16),SUMPRODUCT($L198:R198,$L225:R225),0))</f>
        <v>0</v>
      </c>
      <c r="S234" s="1123">
        <f>IF(AND('5. Dashboard Live'!$AA$19='14. Permanent Info'!$N$7,S$4&lt;=$K$4+'5. Dashboard Live'!$AA$16),'10. Inputs &amp; Calcs'!S225*'10. Inputs &amp; Calcs'!S198,IF(AND('5. Dashboard Live'!$AA$19='14. Permanent Info'!$M$7,S$4=$K$4+'5. Dashboard Live'!$AA$16),SUMPRODUCT($L198:S198,$L225:S225),0))</f>
        <v>0</v>
      </c>
      <c r="T234" s="1123">
        <f>IF(AND('5. Dashboard Live'!$AA$19='14. Permanent Info'!$N$7,T$4&lt;=$K$4+'5. Dashboard Live'!$AA$16),'10. Inputs &amp; Calcs'!T225*'10. Inputs &amp; Calcs'!T198,IF(AND('5. Dashboard Live'!$AA$19='14. Permanent Info'!$M$7,T$4=$K$4+'5. Dashboard Live'!$AA$16),SUMPRODUCT($L198:T198,$L225:T225),0))</f>
        <v>0</v>
      </c>
      <c r="U234" s="1123">
        <f>IF(AND('5. Dashboard Live'!$AA$19='14. Permanent Info'!$N$7,U$4&lt;=$K$4+'5. Dashboard Live'!$AA$16),'10. Inputs &amp; Calcs'!U225*'10. Inputs &amp; Calcs'!U198,IF(AND('5. Dashboard Live'!$AA$19='14. Permanent Info'!$M$7,U$4=$K$4+'5. Dashboard Live'!$AA$16),SUMPRODUCT($L198:U198,$L225:U225),0))</f>
        <v>0</v>
      </c>
      <c r="V234" s="1123">
        <f>IF(AND('5. Dashboard Live'!$AA$19='14. Permanent Info'!$N$7,V$4&lt;=$K$4+'5. Dashboard Live'!$AA$16),'10. Inputs &amp; Calcs'!V225*'10. Inputs &amp; Calcs'!V198,IF(AND('5. Dashboard Live'!$AA$19='14. Permanent Info'!$M$7,V$4=$K$4+'5. Dashboard Live'!$AA$16),SUMPRODUCT($L198:V198,$L225:V225),0))</f>
        <v>0</v>
      </c>
      <c r="W234" s="1123">
        <f>IF(AND('5. Dashboard Live'!$AA$19='14. Permanent Info'!$N$7,W$4&lt;=$K$4+'5. Dashboard Live'!$AA$16),'10. Inputs &amp; Calcs'!W225*'10. Inputs &amp; Calcs'!W198,IF(AND('5. Dashboard Live'!$AA$19='14. Permanent Info'!$M$7,W$4=$K$4+'5. Dashboard Live'!$AA$16),SUMPRODUCT($L198:W198,$L225:W225),0))</f>
        <v>0</v>
      </c>
      <c r="X234" s="1123">
        <f>IF(AND('5. Dashboard Live'!$AA$19='14. Permanent Info'!$N$7,X$4&lt;=$K$4+'5. Dashboard Live'!$AA$16),'10. Inputs &amp; Calcs'!X225*'10. Inputs &amp; Calcs'!X198,IF(AND('5. Dashboard Live'!$AA$19='14. Permanent Info'!$M$7,X$4=$K$4+'5. Dashboard Live'!$AA$16),SUMPRODUCT($L198:X198,$L225:X225),0))</f>
        <v>0</v>
      </c>
      <c r="Y234" s="1123">
        <f>IF(AND('5. Dashboard Live'!$AA$19='14. Permanent Info'!$N$7,Y$4&lt;=$K$4+'5. Dashboard Live'!$AA$16),'10. Inputs &amp; Calcs'!Y225*'10. Inputs &amp; Calcs'!Y198,IF(AND('5. Dashboard Live'!$AA$19='14. Permanent Info'!$M$7,Y$4=$K$4+'5. Dashboard Live'!$AA$16),SUMPRODUCT($L198:Y198,$L225:Y225),0))</f>
        <v>0</v>
      </c>
      <c r="Z234" s="1123">
        <f>IF(AND('5. Dashboard Live'!$AA$19='14. Permanent Info'!$N$7,Z$4&lt;=$K$4+'5. Dashboard Live'!$AA$16),'10. Inputs &amp; Calcs'!Z225*'10. Inputs &amp; Calcs'!Z198,IF(AND('5. Dashboard Live'!$AA$19='14. Permanent Info'!$M$7,Z$4=$K$4+'5. Dashboard Live'!$AA$16),SUMPRODUCT($L198:Z198,$L225:Z225),0))</f>
        <v>0</v>
      </c>
      <c r="AA234" s="1123">
        <f>IF(AND('5. Dashboard Live'!$AA$19='14. Permanent Info'!$N$7,AA$4&lt;=$K$4+'5. Dashboard Live'!$AA$16),'10. Inputs &amp; Calcs'!AA225*'10. Inputs &amp; Calcs'!AA198,IF(AND('5. Dashboard Live'!$AA$19='14. Permanent Info'!$M$7,AA$4=$K$4+'5. Dashboard Live'!$AA$16),SUMPRODUCT($L198:AA198,$L225:AA225),0))</f>
        <v>0</v>
      </c>
      <c r="AB234" s="1123">
        <f>IF(AND('5. Dashboard Live'!$AA$19='14. Permanent Info'!$N$7,AB$4&lt;=$K$4+'5. Dashboard Live'!$AA$16),'10. Inputs &amp; Calcs'!AB225*'10. Inputs &amp; Calcs'!AB198,IF(AND('5. Dashboard Live'!$AA$19='14. Permanent Info'!$M$7,AB$4=$K$4+'5. Dashboard Live'!$AA$16),SUMPRODUCT($L198:AB198,$L225:AB225),0))</f>
        <v>164268462.22937018</v>
      </c>
      <c r="AC234" s="1123">
        <f>IF(AND('5. Dashboard Live'!$AA$19='14. Permanent Info'!$N$7,AC$4&lt;=$K$4+'5. Dashboard Live'!$AA$16),'10. Inputs &amp; Calcs'!AC225*'10. Inputs &amp; Calcs'!AC198,IF(AND('5. Dashboard Live'!$AA$19='14. Permanent Info'!$M$7,AC$4=$K$4+'5. Dashboard Live'!$AA$16),SUMPRODUCT($L198:AC198,$L225:AC225),0))</f>
        <v>0</v>
      </c>
      <c r="AD234" s="1120">
        <f ca="1">SUM(I234:AC234)</f>
        <v>164268462.22937018</v>
      </c>
    </row>
    <row r="235" spans="2:30" outlineLevel="2" x14ac:dyDescent="0.45">
      <c r="B235" s="1129" t="str">
        <f t="shared" si="60"/>
        <v>Sales</v>
      </c>
      <c r="D235" s="583" t="str">
        <f>'12. Inputs-Props &amp; Debtors 2016'!C$81</f>
        <v>WC</v>
      </c>
      <c r="F235" s="596"/>
      <c r="G235" s="596"/>
      <c r="H235" s="596"/>
      <c r="I235" s="991">
        <f ca="1">IF(AND('5. Dashboard Live'!$AA$19='14. Permanent Info'!$N$7,I$4&lt;=$K$4+'5. Dashboard Live'!$AA$16),I55*I128*I138,0)*0+IF(AND('5. Dashboard Live'!$AA$19='14. Permanent Info'!$M$7,I$4&lt;=$K$4+'5. Dashboard Live'!$AA$16),I55*I128*I138,0)*0</f>
        <v>0</v>
      </c>
      <c r="J235" s="991">
        <f ca="1">IF(AND('5. Dashboard Live'!$AA$19='14. Permanent Info'!$N$7,J$4&lt;=$K$4+'5. Dashboard Live'!$AA$16),J55*J128*J138,0)*0+IF(AND('5. Dashboard Live'!$AA$19='14. Permanent Info'!$M$7,J$4&lt;=$K$4+'5. Dashboard Live'!$AA$16),J55*J128*J138,0)*0</f>
        <v>0</v>
      </c>
      <c r="K235" s="991">
        <f ca="1">IF(AND('5. Dashboard Live'!$AA$19='14. Permanent Info'!$N$7,K$4&lt;=$K$4+'5. Dashboard Live'!$AA$16),K55*K128*K138,0)*0+IF(AND('5. Dashboard Live'!$AA$19='14. Permanent Info'!$M$7,K$4&lt;=$K$4+'5. Dashboard Live'!$AA$16),K55*K128*K138,0)*0</f>
        <v>0</v>
      </c>
      <c r="L235" s="1123">
        <f>IF(AND('5. Dashboard Live'!$AA$19='14. Permanent Info'!$N$7,L$4&lt;=$K$4+'5. Dashboard Live'!$AA$16),'10. Inputs &amp; Calcs'!L226*'10. Inputs &amp; Calcs'!L199,IF(AND('5. Dashboard Live'!$AA$19='14. Permanent Info'!$M$7,L$4=$K$4+'5. Dashboard Live'!$AA$16),SUMPRODUCT($L199:L199,$L226:L226),0))</f>
        <v>0</v>
      </c>
      <c r="M235" s="1123">
        <f>IF(AND('5. Dashboard Live'!$AA$19='14. Permanent Info'!$N$7,M$4&lt;=$K$4+'5. Dashboard Live'!$AA$16),'10. Inputs &amp; Calcs'!M226*'10. Inputs &amp; Calcs'!M199,IF(AND('5. Dashboard Live'!$AA$19='14. Permanent Info'!$M$7,M$4=$K$4+'5. Dashboard Live'!$AA$16),SUMPRODUCT($L199:M199,$L226:M226),0))</f>
        <v>0</v>
      </c>
      <c r="N235" s="1123">
        <f>IF(AND('5. Dashboard Live'!$AA$19='14. Permanent Info'!$N$7,N$4&lt;=$K$4+'5. Dashboard Live'!$AA$16),'10. Inputs &amp; Calcs'!N226*'10. Inputs &amp; Calcs'!N199,IF(AND('5. Dashboard Live'!$AA$19='14. Permanent Info'!$M$7,N$4=$K$4+'5. Dashboard Live'!$AA$16),SUMPRODUCT($L199:N199,$L226:N226),0))</f>
        <v>0</v>
      </c>
      <c r="O235" s="1123">
        <f>IF(AND('5. Dashboard Live'!$AA$19='14. Permanent Info'!$N$7,O$4&lt;=$K$4+'5. Dashboard Live'!$AA$16),'10. Inputs &amp; Calcs'!O226*'10. Inputs &amp; Calcs'!O199,IF(AND('5. Dashboard Live'!$AA$19='14. Permanent Info'!$M$7,O$4=$K$4+'5. Dashboard Live'!$AA$16),SUMPRODUCT($L199:O199,$L226:O226),0))</f>
        <v>0</v>
      </c>
      <c r="P235" s="1123">
        <f>IF(AND('5. Dashboard Live'!$AA$19='14. Permanent Info'!$N$7,P$4&lt;=$K$4+'5. Dashboard Live'!$AA$16),'10. Inputs &amp; Calcs'!P226*'10. Inputs &amp; Calcs'!P199,IF(AND('5. Dashboard Live'!$AA$19='14. Permanent Info'!$M$7,P$4=$K$4+'5. Dashboard Live'!$AA$16),SUMPRODUCT($L199:P199,$L226:P226),0))</f>
        <v>0</v>
      </c>
      <c r="Q235" s="1123">
        <f>IF(AND('5. Dashboard Live'!$AA$19='14. Permanent Info'!$N$7,Q$4&lt;=$K$4+'5. Dashboard Live'!$AA$16),'10. Inputs &amp; Calcs'!Q226*'10. Inputs &amp; Calcs'!Q199,IF(AND('5. Dashboard Live'!$AA$19='14. Permanent Info'!$M$7,Q$4=$K$4+'5. Dashboard Live'!$AA$16),SUMPRODUCT($L199:Q199,$L226:Q226),0))</f>
        <v>0</v>
      </c>
      <c r="R235" s="1123">
        <f>IF(AND('5. Dashboard Live'!$AA$19='14. Permanent Info'!$N$7,R$4&lt;=$K$4+'5. Dashboard Live'!$AA$16),'10. Inputs &amp; Calcs'!R226*'10. Inputs &amp; Calcs'!R199,IF(AND('5. Dashboard Live'!$AA$19='14. Permanent Info'!$M$7,R$4=$K$4+'5. Dashboard Live'!$AA$16),SUMPRODUCT($L199:R199,$L226:R226),0))</f>
        <v>0</v>
      </c>
      <c r="S235" s="1123">
        <f>IF(AND('5. Dashboard Live'!$AA$19='14. Permanent Info'!$N$7,S$4&lt;=$K$4+'5. Dashboard Live'!$AA$16),'10. Inputs &amp; Calcs'!S226*'10. Inputs &amp; Calcs'!S199,IF(AND('5. Dashboard Live'!$AA$19='14. Permanent Info'!$M$7,S$4=$K$4+'5. Dashboard Live'!$AA$16),SUMPRODUCT($L199:S199,$L226:S226),0))</f>
        <v>0</v>
      </c>
      <c r="T235" s="1123">
        <f>IF(AND('5. Dashboard Live'!$AA$19='14. Permanent Info'!$N$7,T$4&lt;=$K$4+'5. Dashboard Live'!$AA$16),'10. Inputs &amp; Calcs'!T226*'10. Inputs &amp; Calcs'!T199,IF(AND('5. Dashboard Live'!$AA$19='14. Permanent Info'!$M$7,T$4=$K$4+'5. Dashboard Live'!$AA$16),SUMPRODUCT($L199:T199,$L226:T226),0))</f>
        <v>0</v>
      </c>
      <c r="U235" s="1123">
        <f>IF(AND('5. Dashboard Live'!$AA$19='14. Permanent Info'!$N$7,U$4&lt;=$K$4+'5. Dashboard Live'!$AA$16),'10. Inputs &amp; Calcs'!U226*'10. Inputs &amp; Calcs'!U199,IF(AND('5. Dashboard Live'!$AA$19='14. Permanent Info'!$M$7,U$4=$K$4+'5. Dashboard Live'!$AA$16),SUMPRODUCT($L199:U199,$L226:U226),0))</f>
        <v>0</v>
      </c>
      <c r="V235" s="1123">
        <f>IF(AND('5. Dashboard Live'!$AA$19='14. Permanent Info'!$N$7,V$4&lt;=$K$4+'5. Dashboard Live'!$AA$16),'10. Inputs &amp; Calcs'!V226*'10. Inputs &amp; Calcs'!V199,IF(AND('5. Dashboard Live'!$AA$19='14. Permanent Info'!$M$7,V$4=$K$4+'5. Dashboard Live'!$AA$16),SUMPRODUCT($L199:V199,$L226:V226),0))</f>
        <v>0</v>
      </c>
      <c r="W235" s="1123">
        <f>IF(AND('5. Dashboard Live'!$AA$19='14. Permanent Info'!$N$7,W$4&lt;=$K$4+'5. Dashboard Live'!$AA$16),'10. Inputs &amp; Calcs'!W226*'10. Inputs &amp; Calcs'!W199,IF(AND('5. Dashboard Live'!$AA$19='14. Permanent Info'!$M$7,W$4=$K$4+'5. Dashboard Live'!$AA$16),SUMPRODUCT($L199:W199,$L226:W226),0))</f>
        <v>0</v>
      </c>
      <c r="X235" s="1123">
        <f>IF(AND('5. Dashboard Live'!$AA$19='14. Permanent Info'!$N$7,X$4&lt;=$K$4+'5. Dashboard Live'!$AA$16),'10. Inputs &amp; Calcs'!X226*'10. Inputs &amp; Calcs'!X199,IF(AND('5. Dashboard Live'!$AA$19='14. Permanent Info'!$M$7,X$4=$K$4+'5. Dashboard Live'!$AA$16),SUMPRODUCT($L199:X199,$L226:X226),0))</f>
        <v>0</v>
      </c>
      <c r="Y235" s="1123">
        <f>IF(AND('5. Dashboard Live'!$AA$19='14. Permanent Info'!$N$7,Y$4&lt;=$K$4+'5. Dashboard Live'!$AA$16),'10. Inputs &amp; Calcs'!Y226*'10. Inputs &amp; Calcs'!Y199,IF(AND('5. Dashboard Live'!$AA$19='14. Permanent Info'!$M$7,Y$4=$K$4+'5. Dashboard Live'!$AA$16),SUMPRODUCT($L199:Y199,$L226:Y226),0))</f>
        <v>0</v>
      </c>
      <c r="Z235" s="1123">
        <f>IF(AND('5. Dashboard Live'!$AA$19='14. Permanent Info'!$N$7,Z$4&lt;=$K$4+'5. Dashboard Live'!$AA$16),'10. Inputs &amp; Calcs'!Z226*'10. Inputs &amp; Calcs'!Z199,IF(AND('5. Dashboard Live'!$AA$19='14. Permanent Info'!$M$7,Z$4=$K$4+'5. Dashboard Live'!$AA$16),SUMPRODUCT($L199:Z199,$L226:Z226),0))</f>
        <v>0</v>
      </c>
      <c r="AA235" s="1123">
        <f>IF(AND('5. Dashboard Live'!$AA$19='14. Permanent Info'!$N$7,AA$4&lt;=$K$4+'5. Dashboard Live'!$AA$16),'10. Inputs &amp; Calcs'!AA226*'10. Inputs &amp; Calcs'!AA199,IF(AND('5. Dashboard Live'!$AA$19='14. Permanent Info'!$M$7,AA$4=$K$4+'5. Dashboard Live'!$AA$16),SUMPRODUCT($L199:AA199,$L226:AA226),0))</f>
        <v>0</v>
      </c>
      <c r="AB235" s="1123">
        <f>IF(AND('5. Dashboard Live'!$AA$19='14. Permanent Info'!$N$7,AB$4&lt;=$K$4+'5. Dashboard Live'!$AA$16),'10. Inputs &amp; Calcs'!AB226*'10. Inputs &amp; Calcs'!AB199,IF(AND('5. Dashboard Live'!$AA$19='14. Permanent Info'!$M$7,AB$4=$K$4+'5. Dashboard Live'!$AA$16),SUMPRODUCT($L199:AB199,$L226:AB226),0))</f>
        <v>17860233.143280897</v>
      </c>
      <c r="AC235" s="1123">
        <f>IF(AND('5. Dashboard Live'!$AA$19='14. Permanent Info'!$N$7,AC$4&lt;=$K$4+'5. Dashboard Live'!$AA$16),'10. Inputs &amp; Calcs'!AC226*'10. Inputs &amp; Calcs'!AC199,IF(AND('5. Dashboard Live'!$AA$19='14. Permanent Info'!$M$7,AC$4=$K$4+'5. Dashboard Live'!$AA$16),SUMPRODUCT($L199:AC199,$L226:AC226),0))</f>
        <v>0</v>
      </c>
      <c r="AD235" s="1120">
        <f ca="1">SUM(I235:AC235)</f>
        <v>17860233.143280897</v>
      </c>
    </row>
    <row r="236" spans="2:30" outlineLevel="2" x14ac:dyDescent="0.45">
      <c r="B236" s="1129" t="str">
        <f t="shared" si="60"/>
        <v>Sales</v>
      </c>
      <c r="D236" s="583" t="str">
        <f>'12. Inputs-Props &amp; Debtors 2016'!C$82</f>
        <v>Total</v>
      </c>
      <c r="F236" s="596"/>
      <c r="G236" s="596"/>
      <c r="H236" s="596"/>
      <c r="I236" s="613">
        <f t="shared" ref="I236:Z236" ca="1" si="103">SUM(I231:I235)</f>
        <v>0</v>
      </c>
      <c r="J236" s="613">
        <f t="shared" ca="1" si="103"/>
        <v>0</v>
      </c>
      <c r="K236" s="613">
        <f t="shared" ca="1" si="103"/>
        <v>0</v>
      </c>
      <c r="L236" s="613">
        <f t="shared" si="103"/>
        <v>0</v>
      </c>
      <c r="M236" s="613">
        <f t="shared" si="103"/>
        <v>0</v>
      </c>
      <c r="N236" s="613">
        <f t="shared" si="103"/>
        <v>0</v>
      </c>
      <c r="O236" s="613">
        <f t="shared" si="103"/>
        <v>0</v>
      </c>
      <c r="P236" s="613">
        <f t="shared" si="103"/>
        <v>0</v>
      </c>
      <c r="Q236" s="613">
        <f t="shared" si="103"/>
        <v>0</v>
      </c>
      <c r="R236" s="613">
        <f t="shared" si="103"/>
        <v>0</v>
      </c>
      <c r="S236" s="613">
        <f t="shared" si="103"/>
        <v>0</v>
      </c>
      <c r="T236" s="613">
        <f t="shared" si="103"/>
        <v>0</v>
      </c>
      <c r="U236" s="613">
        <f t="shared" si="103"/>
        <v>0</v>
      </c>
      <c r="V236" s="613">
        <f t="shared" si="103"/>
        <v>0</v>
      </c>
      <c r="W236" s="613">
        <f t="shared" si="103"/>
        <v>0</v>
      </c>
      <c r="X236" s="613">
        <f t="shared" si="103"/>
        <v>0</v>
      </c>
      <c r="Y236" s="613">
        <f t="shared" si="103"/>
        <v>0</v>
      </c>
      <c r="Z236" s="613">
        <f t="shared" si="103"/>
        <v>0</v>
      </c>
      <c r="AA236" s="613">
        <f>SUM(AA231:AA235)</f>
        <v>0</v>
      </c>
      <c r="AB236" s="613">
        <f>SUM(AB231:AB235)</f>
        <v>405794674.17782646</v>
      </c>
      <c r="AC236" s="613">
        <f>SUM(AC231:AC235)</f>
        <v>0</v>
      </c>
      <c r="AD236" s="613">
        <f ca="1">SUM(AD231:AD235)</f>
        <v>405794674.17782646</v>
      </c>
    </row>
    <row r="237" spans="2:30" outlineLevel="2" x14ac:dyDescent="0.45">
      <c r="B237" s="597" t="str">
        <f t="shared" si="60"/>
        <v>Sales</v>
      </c>
      <c r="F237" s="596"/>
      <c r="G237" s="596"/>
      <c r="H237" s="596"/>
      <c r="I237" s="995"/>
      <c r="J237" s="995"/>
      <c r="K237" s="995"/>
      <c r="L237" s="995"/>
      <c r="M237" s="995"/>
      <c r="N237" s="995"/>
      <c r="O237" s="995"/>
      <c r="P237" s="995"/>
      <c r="Q237" s="995"/>
      <c r="R237" s="995"/>
      <c r="S237" s="995"/>
      <c r="T237" s="995"/>
      <c r="U237" s="995"/>
      <c r="V237" s="995"/>
      <c r="W237" s="995"/>
      <c r="X237" s="995"/>
      <c r="Y237" s="995"/>
      <c r="Z237" s="995"/>
      <c r="AA237" s="995"/>
      <c r="AB237" s="1127"/>
      <c r="AC237" s="995"/>
      <c r="AD237" s="1120">
        <f ca="1">AD236+AD218</f>
        <v>502681388.26182383</v>
      </c>
    </row>
    <row r="238" spans="2:30" outlineLevel="2" x14ac:dyDescent="0.45">
      <c r="B238" s="597" t="str">
        <f t="shared" si="60"/>
        <v>Sales</v>
      </c>
      <c r="F238" s="596"/>
      <c r="G238" s="596"/>
      <c r="H238" s="596"/>
      <c r="I238" s="995"/>
      <c r="J238" s="995"/>
      <c r="K238" s="995"/>
      <c r="L238" s="995"/>
      <c r="M238" s="995"/>
      <c r="N238" s="995"/>
      <c r="O238" s="995"/>
      <c r="P238" s="995"/>
      <c r="Q238" s="995"/>
      <c r="R238" s="995"/>
      <c r="S238" s="995"/>
      <c r="T238" s="995"/>
      <c r="U238" s="995"/>
      <c r="V238" s="995"/>
      <c r="W238" s="995"/>
      <c r="X238" s="995"/>
      <c r="Y238" s="995"/>
      <c r="Z238" s="995"/>
      <c r="AA238" s="995"/>
      <c r="AB238" s="995"/>
      <c r="AC238" s="995"/>
      <c r="AD238" s="995"/>
    </row>
    <row r="239" spans="2:30" outlineLevel="2" x14ac:dyDescent="0.45">
      <c r="B239" s="1129" t="str">
        <f t="shared" si="60"/>
        <v>Sales</v>
      </c>
      <c r="C239" s="451">
        <f>C230+1</f>
        <v>24</v>
      </c>
      <c r="D239" s="451" t="s">
        <v>1624</v>
      </c>
      <c r="F239" s="596"/>
      <c r="G239" s="596"/>
      <c r="H239" s="596"/>
      <c r="I239" s="995"/>
      <c r="J239" s="995"/>
      <c r="K239" s="995"/>
      <c r="L239" s="995"/>
      <c r="M239" s="995"/>
      <c r="N239" s="995"/>
      <c r="O239" s="995"/>
      <c r="P239" s="995"/>
      <c r="Q239" s="995"/>
      <c r="R239" s="995"/>
      <c r="S239" s="995"/>
      <c r="T239" s="995"/>
      <c r="U239" s="995"/>
      <c r="V239" s="995"/>
      <c r="W239" s="995"/>
      <c r="X239" s="995"/>
      <c r="Y239" s="995"/>
      <c r="Z239" s="995"/>
      <c r="AA239" s="995"/>
      <c r="AB239" s="995"/>
      <c r="AC239" s="995"/>
      <c r="AD239" s="995"/>
    </row>
    <row r="240" spans="2:30" outlineLevel="2" x14ac:dyDescent="0.45">
      <c r="B240" s="1129" t="str">
        <f t="shared" si="60"/>
        <v>Sales</v>
      </c>
      <c r="D240" s="583" t="str">
        <f>'12. Inputs-Props &amp; Debtors 2016'!C$77</f>
        <v>EC</v>
      </c>
      <c r="F240" s="596"/>
      <c r="G240" s="596"/>
      <c r="H240" s="596"/>
      <c r="I240" s="995"/>
      <c r="J240" s="995"/>
      <c r="K240" s="995"/>
      <c r="L240" s="603">
        <f>IF(AND('5. Dashboard Live'!$AA$19='14. Permanent Info'!$M$7,L$4&lt;$K$4+'5. Dashboard Live'!$AA$16),0,IF(AND('5. Dashboard Live'!$AA$19='14. Permanent Info'!$M$7,L$4=$K$4+'5. Dashboard Live'!$AA$16),-$K78,IF(AND('5. Dashboard Live'!$AA$19='14. Permanent Info'!$N$7,L$4&lt;=$K$4+'5. Dashboard Live'!$AA$16),-$K78*L97,0)))</f>
        <v>0</v>
      </c>
      <c r="M240" s="603">
        <f>IF(AND('5. Dashboard Live'!$AA$19='14. Permanent Info'!$M$7,M$4&lt;$K$4+'5. Dashboard Live'!$AA$16),0,IF(AND('5. Dashboard Live'!$AA$19='14. Permanent Info'!$M$7,M$4=$K$4+'5. Dashboard Live'!$AA$16),-$K78,IF(AND('5. Dashboard Live'!$AA$19='14. Permanent Info'!$N$7,M$4&lt;=$K$4+'5. Dashboard Live'!$AA$16),-$K78*M97,0)))</f>
        <v>0</v>
      </c>
      <c r="N240" s="603">
        <f>IF(AND('5. Dashboard Live'!$AA$19='14. Permanent Info'!$M$7,N$4&lt;$K$4+'5. Dashboard Live'!$AA$16),0,IF(AND('5. Dashboard Live'!$AA$19='14. Permanent Info'!$M$7,N$4=$K$4+'5. Dashboard Live'!$AA$16),-$K78,IF(AND('5. Dashboard Live'!$AA$19='14. Permanent Info'!$N$7,N$4&lt;=$K$4+'5. Dashboard Live'!$AA$16),-$K78*N97,0)))</f>
        <v>0</v>
      </c>
      <c r="O240" s="603">
        <f>IF(AND('5. Dashboard Live'!$AA$19='14. Permanent Info'!$M$7,O$4&lt;$K$4+'5. Dashboard Live'!$AA$16),0,IF(AND('5. Dashboard Live'!$AA$19='14. Permanent Info'!$M$7,O$4=$K$4+'5. Dashboard Live'!$AA$16),-$K78,IF(AND('5. Dashboard Live'!$AA$19='14. Permanent Info'!$N$7,O$4&lt;=$K$4+'5. Dashboard Live'!$AA$16),-$K78*O97,0)))</f>
        <v>0</v>
      </c>
      <c r="P240" s="603">
        <f>IF(AND('5. Dashboard Live'!$AA$19='14. Permanent Info'!$M$7,P$4&lt;$K$4+'5. Dashboard Live'!$AA$16),0,IF(AND('5. Dashboard Live'!$AA$19='14. Permanent Info'!$M$7,P$4=$K$4+'5. Dashboard Live'!$AA$16),-$K78,IF(AND('5. Dashboard Live'!$AA$19='14. Permanent Info'!$N$7,P$4&lt;=$K$4+'5. Dashboard Live'!$AA$16),-$K78*P97,0)))</f>
        <v>0</v>
      </c>
      <c r="Q240" s="603">
        <f>IF(AND('5. Dashboard Live'!$AA$19='14. Permanent Info'!$M$7,Q$4&lt;$K$4+'5. Dashboard Live'!$AA$16),0,IF(AND('5. Dashboard Live'!$AA$19='14. Permanent Info'!$M$7,Q$4=$K$4+'5. Dashboard Live'!$AA$16),-$K78,IF(AND('5. Dashboard Live'!$AA$19='14. Permanent Info'!$N$7,Q$4&lt;=$K$4+'5. Dashboard Live'!$AA$16),-$K78*Q97,0)))</f>
        <v>0</v>
      </c>
      <c r="R240" s="603">
        <f>IF(AND('5. Dashboard Live'!$AA$19='14. Permanent Info'!$M$7,R$4&lt;$K$4+'5. Dashboard Live'!$AA$16),0,IF(AND('5. Dashboard Live'!$AA$19='14. Permanent Info'!$M$7,R$4=$K$4+'5. Dashboard Live'!$AA$16),-$K78,IF(AND('5. Dashboard Live'!$AA$19='14. Permanent Info'!$N$7,R$4&lt;=$K$4+'5. Dashboard Live'!$AA$16),-$K78*R97,0)))</f>
        <v>0</v>
      </c>
      <c r="S240" s="603">
        <f>IF(AND('5. Dashboard Live'!$AA$19='14. Permanent Info'!$M$7,S$4&lt;$K$4+'5. Dashboard Live'!$AA$16),0,IF(AND('5. Dashboard Live'!$AA$19='14. Permanent Info'!$M$7,S$4=$K$4+'5. Dashboard Live'!$AA$16),-$K78,IF(AND('5. Dashboard Live'!$AA$19='14. Permanent Info'!$N$7,S$4&lt;=$K$4+'5. Dashboard Live'!$AA$16),-$K78*S97,0)))</f>
        <v>0</v>
      </c>
      <c r="T240" s="603">
        <f>IF(AND('5. Dashboard Live'!$AA$19='14. Permanent Info'!$M$7,T$4&lt;$K$4+'5. Dashboard Live'!$AA$16),0,IF(AND('5. Dashboard Live'!$AA$19='14. Permanent Info'!$M$7,T$4=$K$4+'5. Dashboard Live'!$AA$16),-$K78,IF(AND('5. Dashboard Live'!$AA$19='14. Permanent Info'!$N$7,T$4&lt;=$K$4+'5. Dashboard Live'!$AA$16),-$K78*T97,0)))</f>
        <v>0</v>
      </c>
      <c r="U240" s="603">
        <f>IF(AND('5. Dashboard Live'!$AA$19='14. Permanent Info'!$M$7,U$4&lt;$K$4+'5. Dashboard Live'!$AA$16),0,IF(AND('5. Dashboard Live'!$AA$19='14. Permanent Info'!$M$7,U$4=$K$4+'5. Dashboard Live'!$AA$16),-$K78,IF(AND('5. Dashboard Live'!$AA$19='14. Permanent Info'!$N$7,U$4&lt;=$K$4+'5. Dashboard Live'!$AA$16),-$K78*U97,0)))</f>
        <v>0</v>
      </c>
      <c r="V240" s="603">
        <f>IF(AND('5. Dashboard Live'!$AA$19='14. Permanent Info'!$M$7,V$4&lt;$K$4+'5. Dashboard Live'!$AA$16),0,IF(AND('5. Dashboard Live'!$AA$19='14. Permanent Info'!$M$7,V$4=$K$4+'5. Dashboard Live'!$AA$16),-$K78,IF(AND('5. Dashboard Live'!$AA$19='14. Permanent Info'!$N$7,V$4&lt;=$K$4+'5. Dashboard Live'!$AA$16),-$K78*V97,0)))</f>
        <v>0</v>
      </c>
      <c r="W240" s="603">
        <f>IF(AND('5. Dashboard Live'!$AA$19='14. Permanent Info'!$M$7,W$4&lt;$K$4+'5. Dashboard Live'!$AA$16),0,IF(AND('5. Dashboard Live'!$AA$19='14. Permanent Info'!$M$7,W$4=$K$4+'5. Dashboard Live'!$AA$16),-$K78,IF(AND('5. Dashboard Live'!$AA$19='14. Permanent Info'!$N$7,W$4&lt;=$K$4+'5. Dashboard Live'!$AA$16),-$K78*W97,0)))</f>
        <v>0</v>
      </c>
      <c r="X240" s="603">
        <f>IF(AND('5. Dashboard Live'!$AA$19='14. Permanent Info'!$M$7,X$4&lt;$K$4+'5. Dashboard Live'!$AA$16),0,IF(AND('5. Dashboard Live'!$AA$19='14. Permanent Info'!$M$7,X$4=$K$4+'5. Dashboard Live'!$AA$16),-$K78,IF(AND('5. Dashboard Live'!$AA$19='14. Permanent Info'!$N$7,X$4&lt;=$K$4+'5. Dashboard Live'!$AA$16),-$K78*X97,0)))</f>
        <v>0</v>
      </c>
      <c r="Y240" s="603">
        <f>IF(AND('5. Dashboard Live'!$AA$19='14. Permanent Info'!$M$7,Y$4&lt;$K$4+'5. Dashboard Live'!$AA$16),0,IF(AND('5. Dashboard Live'!$AA$19='14. Permanent Info'!$M$7,Y$4=$K$4+'5. Dashboard Live'!$AA$16),-$K78,IF(AND('5. Dashboard Live'!$AA$19='14. Permanent Info'!$N$7,Y$4&lt;=$K$4+'5. Dashboard Live'!$AA$16),-$K78*Y97,0)))</f>
        <v>0</v>
      </c>
      <c r="Z240" s="603">
        <f>IF(AND('5. Dashboard Live'!$AA$19='14. Permanent Info'!$M$7,Z$4&lt;$K$4+'5. Dashboard Live'!$AA$16),0,IF(AND('5. Dashboard Live'!$AA$19='14. Permanent Info'!$M$7,Z$4=$K$4+'5. Dashboard Live'!$AA$16),-$K78,IF(AND('5. Dashboard Live'!$AA$19='14. Permanent Info'!$N$7,Z$4&lt;=$K$4+'5. Dashboard Live'!$AA$16),-$K78*Z97,0)))</f>
        <v>0</v>
      </c>
      <c r="AA240" s="603">
        <f>IF(AND('5. Dashboard Live'!$AA$19='14. Permanent Info'!$M$7,AA$4&lt;$K$4+'5. Dashboard Live'!$AA$16),0,IF(AND('5. Dashboard Live'!$AA$19='14. Permanent Info'!$M$7,AA$4=$K$4+'5. Dashboard Live'!$AA$16),-$K78,IF(AND('5. Dashboard Live'!$AA$19='14. Permanent Info'!$N$7,AA$4&lt;=$K$4+'5. Dashboard Live'!$AA$16),-$K78*AA97,0)))</f>
        <v>0</v>
      </c>
      <c r="AB240" s="603">
        <f>IF(AND('5. Dashboard Live'!$AA$19='14. Permanent Info'!$M$7,AB$4&lt;$K$4+'5. Dashboard Live'!$AA$16),0,IF(AND('5. Dashboard Live'!$AA$19='14. Permanent Info'!$M$7,AB$4=$K$4+'5. Dashboard Live'!$AA$16),-$K78,IF(AND('5. Dashboard Live'!$AA$19='14. Permanent Info'!$N$7,AB$4&lt;=$K$4+'5. Dashboard Live'!$AA$16),-$K78*AB97,0)))</f>
        <v>-168</v>
      </c>
      <c r="AC240" s="603">
        <f>IF(AND('5. Dashboard Live'!$AA$19='14. Permanent Info'!$M$7,AC$4&lt;$K$4+'5. Dashboard Live'!$AA$16),0,IF(AND('5. Dashboard Live'!$AA$19='14. Permanent Info'!$M$7,AC$4=$K$4+'5. Dashboard Live'!$AA$16),-$K78,IF(AND('5. Dashboard Live'!$AA$19='14. Permanent Info'!$N$7,AC$4&lt;=$K$4+'5. Dashboard Live'!$AA$16),-$K78*AC97,0)))</f>
        <v>0</v>
      </c>
      <c r="AD240" s="603">
        <f>SUM(L240:AC240)</f>
        <v>-168</v>
      </c>
    </row>
    <row r="241" spans="2:30" outlineLevel="2" x14ac:dyDescent="0.45">
      <c r="B241" s="1129" t="str">
        <f t="shared" si="60"/>
        <v>Sales</v>
      </c>
      <c r="D241" s="583" t="str">
        <f>'12. Inputs-Props &amp; Debtors 2016'!C$78</f>
        <v>FS</v>
      </c>
      <c r="F241" s="596"/>
      <c r="G241" s="596"/>
      <c r="H241" s="596"/>
      <c r="I241" s="995"/>
      <c r="J241" s="995"/>
      <c r="K241" s="995"/>
      <c r="L241" s="603">
        <f>IF(AND('5. Dashboard Live'!$AA$19='14. Permanent Info'!$M$7,L$4&lt;$K$4+'5. Dashboard Live'!$AA$16),0,IF(AND('5. Dashboard Live'!$AA$19='14. Permanent Info'!$M$7,L$4=$K$4+'5. Dashboard Live'!$AA$16),-$K79,IF(AND('5. Dashboard Live'!$AA$19='14. Permanent Info'!$N$7,L$4&lt;=$K$4+'5. Dashboard Live'!$AA$16),-$K79*L98,0)))</f>
        <v>0</v>
      </c>
      <c r="M241" s="603">
        <f>IF(AND('5. Dashboard Live'!$AA$19='14. Permanent Info'!$M$7,M$4&lt;$K$4+'5. Dashboard Live'!$AA$16),0,IF(AND('5. Dashboard Live'!$AA$19='14. Permanent Info'!$M$7,M$4=$K$4+'5. Dashboard Live'!$AA$16),-$K79,IF(AND('5. Dashboard Live'!$AA$19='14. Permanent Info'!$N$7,M$4&lt;=$K$4+'5. Dashboard Live'!$AA$16),-$K79*M98,0)))</f>
        <v>0</v>
      </c>
      <c r="N241" s="603">
        <f>IF(AND('5. Dashboard Live'!$AA$19='14. Permanent Info'!$M$7,N$4&lt;$K$4+'5. Dashboard Live'!$AA$16),0,IF(AND('5. Dashboard Live'!$AA$19='14. Permanent Info'!$M$7,N$4=$K$4+'5. Dashboard Live'!$AA$16),-$K79,IF(AND('5. Dashboard Live'!$AA$19='14. Permanent Info'!$N$7,N$4&lt;=$K$4+'5. Dashboard Live'!$AA$16),-$K79*N98,0)))</f>
        <v>0</v>
      </c>
      <c r="O241" s="603">
        <f>IF(AND('5. Dashboard Live'!$AA$19='14. Permanent Info'!$M$7,O$4&lt;$K$4+'5. Dashboard Live'!$AA$16),0,IF(AND('5. Dashboard Live'!$AA$19='14. Permanent Info'!$M$7,O$4=$K$4+'5. Dashboard Live'!$AA$16),-$K79,IF(AND('5. Dashboard Live'!$AA$19='14. Permanent Info'!$N$7,O$4&lt;=$K$4+'5. Dashboard Live'!$AA$16),-$K79*O98,0)))</f>
        <v>0</v>
      </c>
      <c r="P241" s="603">
        <f>IF(AND('5. Dashboard Live'!$AA$19='14. Permanent Info'!$M$7,P$4&lt;$K$4+'5. Dashboard Live'!$AA$16),0,IF(AND('5. Dashboard Live'!$AA$19='14. Permanent Info'!$M$7,P$4=$K$4+'5. Dashboard Live'!$AA$16),-$K79,IF(AND('5. Dashboard Live'!$AA$19='14. Permanent Info'!$N$7,P$4&lt;=$K$4+'5. Dashboard Live'!$AA$16),-$K79*P98,0)))</f>
        <v>0</v>
      </c>
      <c r="Q241" s="603">
        <f>IF(AND('5. Dashboard Live'!$AA$19='14. Permanent Info'!$M$7,Q$4&lt;$K$4+'5. Dashboard Live'!$AA$16),0,IF(AND('5. Dashboard Live'!$AA$19='14. Permanent Info'!$M$7,Q$4=$K$4+'5. Dashboard Live'!$AA$16),-$K79,IF(AND('5. Dashboard Live'!$AA$19='14. Permanent Info'!$N$7,Q$4&lt;=$K$4+'5. Dashboard Live'!$AA$16),-$K79*Q98,0)))</f>
        <v>0</v>
      </c>
      <c r="R241" s="603">
        <f>IF(AND('5. Dashboard Live'!$AA$19='14. Permanent Info'!$M$7,R$4&lt;$K$4+'5. Dashboard Live'!$AA$16),0,IF(AND('5. Dashboard Live'!$AA$19='14. Permanent Info'!$M$7,R$4=$K$4+'5. Dashboard Live'!$AA$16),-$K79,IF(AND('5. Dashboard Live'!$AA$19='14. Permanent Info'!$N$7,R$4&lt;=$K$4+'5. Dashboard Live'!$AA$16),-$K79*R98,0)))</f>
        <v>0</v>
      </c>
      <c r="S241" s="603">
        <f>IF(AND('5. Dashboard Live'!$AA$19='14. Permanent Info'!$M$7,S$4&lt;$K$4+'5. Dashboard Live'!$AA$16),0,IF(AND('5. Dashboard Live'!$AA$19='14. Permanent Info'!$M$7,S$4=$K$4+'5. Dashboard Live'!$AA$16),-$K79,IF(AND('5. Dashboard Live'!$AA$19='14. Permanent Info'!$N$7,S$4&lt;=$K$4+'5. Dashboard Live'!$AA$16),-$K79*S98,0)))</f>
        <v>0</v>
      </c>
      <c r="T241" s="603">
        <f>IF(AND('5. Dashboard Live'!$AA$19='14. Permanent Info'!$M$7,T$4&lt;$K$4+'5. Dashboard Live'!$AA$16),0,IF(AND('5. Dashboard Live'!$AA$19='14. Permanent Info'!$M$7,T$4=$K$4+'5. Dashboard Live'!$AA$16),-$K79,IF(AND('5. Dashboard Live'!$AA$19='14. Permanent Info'!$N$7,T$4&lt;=$K$4+'5. Dashboard Live'!$AA$16),-$K79*T98,0)))</f>
        <v>0</v>
      </c>
      <c r="U241" s="603">
        <f>IF(AND('5. Dashboard Live'!$AA$19='14. Permanent Info'!$M$7,U$4&lt;$K$4+'5. Dashboard Live'!$AA$16),0,IF(AND('5. Dashboard Live'!$AA$19='14. Permanent Info'!$M$7,U$4=$K$4+'5. Dashboard Live'!$AA$16),-$K79,IF(AND('5. Dashboard Live'!$AA$19='14. Permanent Info'!$N$7,U$4&lt;=$K$4+'5. Dashboard Live'!$AA$16),-$K79*U98,0)))</f>
        <v>0</v>
      </c>
      <c r="V241" s="603">
        <f>IF(AND('5. Dashboard Live'!$AA$19='14. Permanent Info'!$M$7,V$4&lt;$K$4+'5. Dashboard Live'!$AA$16),0,IF(AND('5. Dashboard Live'!$AA$19='14. Permanent Info'!$M$7,V$4=$K$4+'5. Dashboard Live'!$AA$16),-$K79,IF(AND('5. Dashboard Live'!$AA$19='14. Permanent Info'!$N$7,V$4&lt;=$K$4+'5. Dashboard Live'!$AA$16),-$K79*V98,0)))</f>
        <v>0</v>
      </c>
      <c r="W241" s="603">
        <f>IF(AND('5. Dashboard Live'!$AA$19='14. Permanent Info'!$M$7,W$4&lt;$K$4+'5. Dashboard Live'!$AA$16),0,IF(AND('5. Dashboard Live'!$AA$19='14. Permanent Info'!$M$7,W$4=$K$4+'5. Dashboard Live'!$AA$16),-$K79,IF(AND('5. Dashboard Live'!$AA$19='14. Permanent Info'!$N$7,W$4&lt;=$K$4+'5. Dashboard Live'!$AA$16),-$K79*W98,0)))</f>
        <v>0</v>
      </c>
      <c r="X241" s="603">
        <f>IF(AND('5. Dashboard Live'!$AA$19='14. Permanent Info'!$M$7,X$4&lt;$K$4+'5. Dashboard Live'!$AA$16),0,IF(AND('5. Dashboard Live'!$AA$19='14. Permanent Info'!$M$7,X$4=$K$4+'5. Dashboard Live'!$AA$16),-$K79,IF(AND('5. Dashboard Live'!$AA$19='14. Permanent Info'!$N$7,X$4&lt;=$K$4+'5. Dashboard Live'!$AA$16),-$K79*X98,0)))</f>
        <v>0</v>
      </c>
      <c r="Y241" s="603">
        <f>IF(AND('5. Dashboard Live'!$AA$19='14. Permanent Info'!$M$7,Y$4&lt;$K$4+'5. Dashboard Live'!$AA$16),0,IF(AND('5. Dashboard Live'!$AA$19='14. Permanent Info'!$M$7,Y$4=$K$4+'5. Dashboard Live'!$AA$16),-$K79,IF(AND('5. Dashboard Live'!$AA$19='14. Permanent Info'!$N$7,Y$4&lt;=$K$4+'5. Dashboard Live'!$AA$16),-$K79*Y98,0)))</f>
        <v>0</v>
      </c>
      <c r="Z241" s="603">
        <f>IF(AND('5. Dashboard Live'!$AA$19='14. Permanent Info'!$M$7,Z$4&lt;$K$4+'5. Dashboard Live'!$AA$16),0,IF(AND('5. Dashboard Live'!$AA$19='14. Permanent Info'!$M$7,Z$4=$K$4+'5. Dashboard Live'!$AA$16),-$K79,IF(AND('5. Dashboard Live'!$AA$19='14. Permanent Info'!$N$7,Z$4&lt;=$K$4+'5. Dashboard Live'!$AA$16),-$K79*Z98,0)))</f>
        <v>0</v>
      </c>
      <c r="AA241" s="603">
        <f>IF(AND('5. Dashboard Live'!$AA$19='14. Permanent Info'!$M$7,AA$4&lt;$K$4+'5. Dashboard Live'!$AA$16),0,IF(AND('5. Dashboard Live'!$AA$19='14. Permanent Info'!$M$7,AA$4=$K$4+'5. Dashboard Live'!$AA$16),-$K79,IF(AND('5. Dashboard Live'!$AA$19='14. Permanent Info'!$N$7,AA$4&lt;=$K$4+'5. Dashboard Live'!$AA$16),-$K79*AA98,0)))</f>
        <v>0</v>
      </c>
      <c r="AB241" s="603">
        <f>IF(AND('5. Dashboard Live'!$AA$19='14. Permanent Info'!$M$7,AB$4&lt;$K$4+'5. Dashboard Live'!$AA$16),0,IF(AND('5. Dashboard Live'!$AA$19='14. Permanent Info'!$M$7,AB$4=$K$4+'5. Dashboard Live'!$AA$16),-$K79,IF(AND('5. Dashboard Live'!$AA$19='14. Permanent Info'!$N$7,AB$4&lt;=$K$4+'5. Dashboard Live'!$AA$16),-$K79*AB98,0)))</f>
        <v>-7</v>
      </c>
      <c r="AC241" s="603">
        <f>IF(AND('5. Dashboard Live'!$AA$19='14. Permanent Info'!$M$7,AC$4&lt;$K$4+'5. Dashboard Live'!$AA$16),0,IF(AND('5. Dashboard Live'!$AA$19='14. Permanent Info'!$M$7,AC$4=$K$4+'5. Dashboard Live'!$AA$16),-$K79,IF(AND('5. Dashboard Live'!$AA$19='14. Permanent Info'!$N$7,AC$4&lt;=$K$4+'5. Dashboard Live'!$AA$16),-$K79*AC98,0)))</f>
        <v>0</v>
      </c>
      <c r="AD241" s="603">
        <f>SUM(L241:AC241)</f>
        <v>-7</v>
      </c>
    </row>
    <row r="242" spans="2:30" outlineLevel="2" x14ac:dyDescent="0.45">
      <c r="B242" s="1129" t="str">
        <f t="shared" si="60"/>
        <v>Sales</v>
      </c>
      <c r="D242" s="583" t="str">
        <f>'12. Inputs-Props &amp; Debtors 2016'!C$79</f>
        <v>Gau</v>
      </c>
      <c r="F242" s="596"/>
      <c r="G242" s="596"/>
      <c r="H242" s="596"/>
      <c r="I242" s="995"/>
      <c r="J242" s="995"/>
      <c r="K242" s="995"/>
      <c r="L242" s="603">
        <f>IF(AND('5. Dashboard Live'!$AA$19='14. Permanent Info'!$M$7,L$4&lt;$K$4+'5. Dashboard Live'!$AA$16),0,IF(AND('5. Dashboard Live'!$AA$19='14. Permanent Info'!$M$7,L$4=$K$4+'5. Dashboard Live'!$AA$16),-$K80,IF(AND('5. Dashboard Live'!$AA$19='14. Permanent Info'!$N$7,L$4&lt;=$K$4+'5. Dashboard Live'!$AA$16),-$K80*L99,0)))</f>
        <v>0</v>
      </c>
      <c r="M242" s="603">
        <f>IF(AND('5. Dashboard Live'!$AA$19='14. Permanent Info'!$M$7,M$4&lt;$K$4+'5. Dashboard Live'!$AA$16),0,IF(AND('5. Dashboard Live'!$AA$19='14. Permanent Info'!$M$7,M$4=$K$4+'5. Dashboard Live'!$AA$16),-$K80,IF(AND('5. Dashboard Live'!$AA$19='14. Permanent Info'!$N$7,M$4&lt;=$K$4+'5. Dashboard Live'!$AA$16),-$K80*M99,0)))</f>
        <v>0</v>
      </c>
      <c r="N242" s="603">
        <f>IF(AND('5. Dashboard Live'!$AA$19='14. Permanent Info'!$M$7,N$4&lt;$K$4+'5. Dashboard Live'!$AA$16),0,IF(AND('5. Dashboard Live'!$AA$19='14. Permanent Info'!$M$7,N$4=$K$4+'5. Dashboard Live'!$AA$16),-$K80,IF(AND('5. Dashboard Live'!$AA$19='14. Permanent Info'!$N$7,N$4&lt;=$K$4+'5. Dashboard Live'!$AA$16),-$K80*N99,0)))</f>
        <v>0</v>
      </c>
      <c r="O242" s="603">
        <f>IF(AND('5. Dashboard Live'!$AA$19='14. Permanent Info'!$M$7,O$4&lt;$K$4+'5. Dashboard Live'!$AA$16),0,IF(AND('5. Dashboard Live'!$AA$19='14. Permanent Info'!$M$7,O$4=$K$4+'5. Dashboard Live'!$AA$16),-$K80,IF(AND('5. Dashboard Live'!$AA$19='14. Permanent Info'!$N$7,O$4&lt;=$K$4+'5. Dashboard Live'!$AA$16),-$K80*O99,0)))</f>
        <v>0</v>
      </c>
      <c r="P242" s="603">
        <f>IF(AND('5. Dashboard Live'!$AA$19='14. Permanent Info'!$M$7,P$4&lt;$K$4+'5. Dashboard Live'!$AA$16),0,IF(AND('5. Dashboard Live'!$AA$19='14. Permanent Info'!$M$7,P$4=$K$4+'5. Dashboard Live'!$AA$16),-$K80,IF(AND('5. Dashboard Live'!$AA$19='14. Permanent Info'!$N$7,P$4&lt;=$K$4+'5. Dashboard Live'!$AA$16),-$K80*P99,0)))</f>
        <v>0</v>
      </c>
      <c r="Q242" s="603">
        <f>IF(AND('5. Dashboard Live'!$AA$19='14. Permanent Info'!$M$7,Q$4&lt;$K$4+'5. Dashboard Live'!$AA$16),0,IF(AND('5. Dashboard Live'!$AA$19='14. Permanent Info'!$M$7,Q$4=$K$4+'5. Dashboard Live'!$AA$16),-$K80,IF(AND('5. Dashboard Live'!$AA$19='14. Permanent Info'!$N$7,Q$4&lt;=$K$4+'5. Dashboard Live'!$AA$16),-$K80*Q99,0)))</f>
        <v>0</v>
      </c>
      <c r="R242" s="603">
        <f>IF(AND('5. Dashboard Live'!$AA$19='14. Permanent Info'!$M$7,R$4&lt;$K$4+'5. Dashboard Live'!$AA$16),0,IF(AND('5. Dashboard Live'!$AA$19='14. Permanent Info'!$M$7,R$4=$K$4+'5. Dashboard Live'!$AA$16),-$K80,IF(AND('5. Dashboard Live'!$AA$19='14. Permanent Info'!$N$7,R$4&lt;=$K$4+'5. Dashboard Live'!$AA$16),-$K80*R99,0)))</f>
        <v>0</v>
      </c>
      <c r="S242" s="603">
        <f>IF(AND('5. Dashboard Live'!$AA$19='14. Permanent Info'!$M$7,S$4&lt;$K$4+'5. Dashboard Live'!$AA$16),0,IF(AND('5. Dashboard Live'!$AA$19='14. Permanent Info'!$M$7,S$4=$K$4+'5. Dashboard Live'!$AA$16),-$K80,IF(AND('5. Dashboard Live'!$AA$19='14. Permanent Info'!$N$7,S$4&lt;=$K$4+'5. Dashboard Live'!$AA$16),-$K80*S99,0)))</f>
        <v>0</v>
      </c>
      <c r="T242" s="603">
        <f>IF(AND('5. Dashboard Live'!$AA$19='14. Permanent Info'!$M$7,T$4&lt;$K$4+'5. Dashboard Live'!$AA$16),0,IF(AND('5. Dashboard Live'!$AA$19='14. Permanent Info'!$M$7,T$4=$K$4+'5. Dashboard Live'!$AA$16),-$K80,IF(AND('5. Dashboard Live'!$AA$19='14. Permanent Info'!$N$7,T$4&lt;=$K$4+'5. Dashboard Live'!$AA$16),-$K80*T99,0)))</f>
        <v>0</v>
      </c>
      <c r="U242" s="603">
        <f>IF(AND('5. Dashboard Live'!$AA$19='14. Permanent Info'!$M$7,U$4&lt;$K$4+'5. Dashboard Live'!$AA$16),0,IF(AND('5. Dashboard Live'!$AA$19='14. Permanent Info'!$M$7,U$4=$K$4+'5. Dashboard Live'!$AA$16),-$K80,IF(AND('5. Dashboard Live'!$AA$19='14. Permanent Info'!$N$7,U$4&lt;=$K$4+'5. Dashboard Live'!$AA$16),-$K80*U99,0)))</f>
        <v>0</v>
      </c>
      <c r="V242" s="603">
        <f>IF(AND('5. Dashboard Live'!$AA$19='14. Permanent Info'!$M$7,V$4&lt;$K$4+'5. Dashboard Live'!$AA$16),0,IF(AND('5. Dashboard Live'!$AA$19='14. Permanent Info'!$M$7,V$4=$K$4+'5. Dashboard Live'!$AA$16),-$K80,IF(AND('5. Dashboard Live'!$AA$19='14. Permanent Info'!$N$7,V$4&lt;=$K$4+'5. Dashboard Live'!$AA$16),-$K80*V99,0)))</f>
        <v>0</v>
      </c>
      <c r="W242" s="603">
        <f>IF(AND('5. Dashboard Live'!$AA$19='14. Permanent Info'!$M$7,W$4&lt;$K$4+'5. Dashboard Live'!$AA$16),0,IF(AND('5. Dashboard Live'!$AA$19='14. Permanent Info'!$M$7,W$4=$K$4+'5. Dashboard Live'!$AA$16),-$K80,IF(AND('5. Dashboard Live'!$AA$19='14. Permanent Info'!$N$7,W$4&lt;=$K$4+'5. Dashboard Live'!$AA$16),-$K80*W99,0)))</f>
        <v>0</v>
      </c>
      <c r="X242" s="603">
        <f>IF(AND('5. Dashboard Live'!$AA$19='14. Permanent Info'!$M$7,X$4&lt;$K$4+'5. Dashboard Live'!$AA$16),0,IF(AND('5. Dashboard Live'!$AA$19='14. Permanent Info'!$M$7,X$4=$K$4+'5. Dashboard Live'!$AA$16),-$K80,IF(AND('5. Dashboard Live'!$AA$19='14. Permanent Info'!$N$7,X$4&lt;=$K$4+'5. Dashboard Live'!$AA$16),-$K80*X99,0)))</f>
        <v>0</v>
      </c>
      <c r="Y242" s="603">
        <f>IF(AND('5. Dashboard Live'!$AA$19='14. Permanent Info'!$M$7,Y$4&lt;$K$4+'5. Dashboard Live'!$AA$16),0,IF(AND('5. Dashboard Live'!$AA$19='14. Permanent Info'!$M$7,Y$4=$K$4+'5. Dashboard Live'!$AA$16),-$K80,IF(AND('5. Dashboard Live'!$AA$19='14. Permanent Info'!$N$7,Y$4&lt;=$K$4+'5. Dashboard Live'!$AA$16),-$K80*Y99,0)))</f>
        <v>0</v>
      </c>
      <c r="Z242" s="603">
        <f>IF(AND('5. Dashboard Live'!$AA$19='14. Permanent Info'!$M$7,Z$4&lt;$K$4+'5. Dashboard Live'!$AA$16),0,IF(AND('5. Dashboard Live'!$AA$19='14. Permanent Info'!$M$7,Z$4=$K$4+'5. Dashboard Live'!$AA$16),-$K80,IF(AND('5. Dashboard Live'!$AA$19='14. Permanent Info'!$N$7,Z$4&lt;=$K$4+'5. Dashboard Live'!$AA$16),-$K80*Z99,0)))</f>
        <v>0</v>
      </c>
      <c r="AA242" s="603">
        <f>IF(AND('5. Dashboard Live'!$AA$19='14. Permanent Info'!$M$7,AA$4&lt;$K$4+'5. Dashboard Live'!$AA$16),0,IF(AND('5. Dashboard Live'!$AA$19='14. Permanent Info'!$M$7,AA$4=$K$4+'5. Dashboard Live'!$AA$16),-$K80,IF(AND('5. Dashboard Live'!$AA$19='14. Permanent Info'!$N$7,AA$4&lt;=$K$4+'5. Dashboard Live'!$AA$16),-$K80*AA99,0)))</f>
        <v>0</v>
      </c>
      <c r="AB242" s="603">
        <f>IF(AND('5. Dashboard Live'!$AA$19='14. Permanent Info'!$M$7,AB$4&lt;$K$4+'5. Dashboard Live'!$AA$16),0,IF(AND('5. Dashboard Live'!$AA$19='14. Permanent Info'!$M$7,AB$4=$K$4+'5. Dashboard Live'!$AA$16),-$K80,IF(AND('5. Dashboard Live'!$AA$19='14. Permanent Info'!$N$7,AB$4&lt;=$K$4+'5. Dashboard Live'!$AA$16),-$K80*AB99,0)))</f>
        <v>-711</v>
      </c>
      <c r="AC242" s="603">
        <f>IF(AND('5. Dashboard Live'!$AA$19='14. Permanent Info'!$M$7,AC$4&lt;$K$4+'5. Dashboard Live'!$AA$16),0,IF(AND('5. Dashboard Live'!$AA$19='14. Permanent Info'!$M$7,AC$4=$K$4+'5. Dashboard Live'!$AA$16),-$K80,IF(AND('5. Dashboard Live'!$AA$19='14. Permanent Info'!$N$7,AC$4&lt;=$K$4+'5. Dashboard Live'!$AA$16),-$K80*AC99,0)))</f>
        <v>0</v>
      </c>
      <c r="AD242" s="603">
        <f>SUM(L242:AC242)</f>
        <v>-711</v>
      </c>
    </row>
    <row r="243" spans="2:30" outlineLevel="2" x14ac:dyDescent="0.45">
      <c r="B243" s="1129" t="str">
        <f t="shared" si="60"/>
        <v>Sales</v>
      </c>
      <c r="D243" s="583" t="str">
        <f>'12. Inputs-Props &amp; Debtors 2016'!C$80</f>
        <v>KZN</v>
      </c>
      <c r="F243" s="596"/>
      <c r="G243" s="596"/>
      <c r="H243" s="596"/>
      <c r="I243" s="995"/>
      <c r="J243" s="995"/>
      <c r="K243" s="995"/>
      <c r="L243" s="603">
        <f>IF(AND('5. Dashboard Live'!$AA$19='14. Permanent Info'!$M$7,L$4&lt;$K$4+'5. Dashboard Live'!$AA$16),0,IF(AND('5. Dashboard Live'!$AA$19='14. Permanent Info'!$M$7,L$4=$K$4+'5. Dashboard Live'!$AA$16),-$K81,IF(AND('5. Dashboard Live'!$AA$19='14. Permanent Info'!$N$7,L$4&lt;=$K$4+'5. Dashboard Live'!$AA$16),-$K81*L100,0)))</f>
        <v>0</v>
      </c>
      <c r="M243" s="603">
        <f>IF(AND('5. Dashboard Live'!$AA$19='14. Permanent Info'!$M$7,M$4&lt;$K$4+'5. Dashboard Live'!$AA$16),0,IF(AND('5. Dashboard Live'!$AA$19='14. Permanent Info'!$M$7,M$4=$K$4+'5. Dashboard Live'!$AA$16),-$K81,IF(AND('5. Dashboard Live'!$AA$19='14. Permanent Info'!$N$7,M$4&lt;=$K$4+'5. Dashboard Live'!$AA$16),-$K81*M100,0)))</f>
        <v>0</v>
      </c>
      <c r="N243" s="603">
        <f>IF(AND('5. Dashboard Live'!$AA$19='14. Permanent Info'!$M$7,N$4&lt;$K$4+'5. Dashboard Live'!$AA$16),0,IF(AND('5. Dashboard Live'!$AA$19='14. Permanent Info'!$M$7,N$4=$K$4+'5. Dashboard Live'!$AA$16),-$K81,IF(AND('5. Dashboard Live'!$AA$19='14. Permanent Info'!$N$7,N$4&lt;=$K$4+'5. Dashboard Live'!$AA$16),-$K81*N100,0)))</f>
        <v>0</v>
      </c>
      <c r="O243" s="603">
        <f>IF(AND('5. Dashboard Live'!$AA$19='14. Permanent Info'!$M$7,O$4&lt;$K$4+'5. Dashboard Live'!$AA$16),0,IF(AND('5. Dashboard Live'!$AA$19='14. Permanent Info'!$M$7,O$4=$K$4+'5. Dashboard Live'!$AA$16),-$K81,IF(AND('5. Dashboard Live'!$AA$19='14. Permanent Info'!$N$7,O$4&lt;=$K$4+'5. Dashboard Live'!$AA$16),-$K81*O100,0)))</f>
        <v>0</v>
      </c>
      <c r="P243" s="603">
        <f>IF(AND('5. Dashboard Live'!$AA$19='14. Permanent Info'!$M$7,P$4&lt;$K$4+'5. Dashboard Live'!$AA$16),0,IF(AND('5. Dashboard Live'!$AA$19='14. Permanent Info'!$M$7,P$4=$K$4+'5. Dashboard Live'!$AA$16),-$K81,IF(AND('5. Dashboard Live'!$AA$19='14. Permanent Info'!$N$7,P$4&lt;=$K$4+'5. Dashboard Live'!$AA$16),-$K81*P100,0)))</f>
        <v>0</v>
      </c>
      <c r="Q243" s="603">
        <f>IF(AND('5. Dashboard Live'!$AA$19='14. Permanent Info'!$M$7,Q$4&lt;$K$4+'5. Dashboard Live'!$AA$16),0,IF(AND('5. Dashboard Live'!$AA$19='14. Permanent Info'!$M$7,Q$4=$K$4+'5. Dashboard Live'!$AA$16),-$K81,IF(AND('5. Dashboard Live'!$AA$19='14. Permanent Info'!$N$7,Q$4&lt;=$K$4+'5. Dashboard Live'!$AA$16),-$K81*Q100,0)))</f>
        <v>0</v>
      </c>
      <c r="R243" s="603">
        <f>IF(AND('5. Dashboard Live'!$AA$19='14. Permanent Info'!$M$7,R$4&lt;$K$4+'5. Dashboard Live'!$AA$16),0,IF(AND('5. Dashboard Live'!$AA$19='14. Permanent Info'!$M$7,R$4=$K$4+'5. Dashboard Live'!$AA$16),-$K81,IF(AND('5. Dashboard Live'!$AA$19='14. Permanent Info'!$N$7,R$4&lt;=$K$4+'5. Dashboard Live'!$AA$16),-$K81*R100,0)))</f>
        <v>0</v>
      </c>
      <c r="S243" s="603">
        <f>IF(AND('5. Dashboard Live'!$AA$19='14. Permanent Info'!$M$7,S$4&lt;$K$4+'5. Dashboard Live'!$AA$16),0,IF(AND('5. Dashboard Live'!$AA$19='14. Permanent Info'!$M$7,S$4=$K$4+'5. Dashboard Live'!$AA$16),-$K81,IF(AND('5. Dashboard Live'!$AA$19='14. Permanent Info'!$N$7,S$4&lt;=$K$4+'5. Dashboard Live'!$AA$16),-$K81*S100,0)))</f>
        <v>0</v>
      </c>
      <c r="T243" s="603">
        <f>IF(AND('5. Dashboard Live'!$AA$19='14. Permanent Info'!$M$7,T$4&lt;$K$4+'5. Dashboard Live'!$AA$16),0,IF(AND('5. Dashboard Live'!$AA$19='14. Permanent Info'!$M$7,T$4=$K$4+'5. Dashboard Live'!$AA$16),-$K81,IF(AND('5. Dashboard Live'!$AA$19='14. Permanent Info'!$N$7,T$4&lt;=$K$4+'5. Dashboard Live'!$AA$16),-$K81*T100,0)))</f>
        <v>0</v>
      </c>
      <c r="U243" s="603">
        <f>IF(AND('5. Dashboard Live'!$AA$19='14. Permanent Info'!$M$7,U$4&lt;$K$4+'5. Dashboard Live'!$AA$16),0,IF(AND('5. Dashboard Live'!$AA$19='14. Permanent Info'!$M$7,U$4=$K$4+'5. Dashboard Live'!$AA$16),-$K81,IF(AND('5. Dashboard Live'!$AA$19='14. Permanent Info'!$N$7,U$4&lt;=$K$4+'5. Dashboard Live'!$AA$16),-$K81*U100,0)))</f>
        <v>0</v>
      </c>
      <c r="V243" s="603">
        <f>IF(AND('5. Dashboard Live'!$AA$19='14. Permanent Info'!$M$7,V$4&lt;$K$4+'5. Dashboard Live'!$AA$16),0,IF(AND('5. Dashboard Live'!$AA$19='14. Permanent Info'!$M$7,V$4=$K$4+'5. Dashboard Live'!$AA$16),-$K81,IF(AND('5. Dashboard Live'!$AA$19='14. Permanent Info'!$N$7,V$4&lt;=$K$4+'5. Dashboard Live'!$AA$16),-$K81*V100,0)))</f>
        <v>0</v>
      </c>
      <c r="W243" s="603">
        <f>IF(AND('5. Dashboard Live'!$AA$19='14. Permanent Info'!$M$7,W$4&lt;$K$4+'5. Dashboard Live'!$AA$16),0,IF(AND('5. Dashboard Live'!$AA$19='14. Permanent Info'!$M$7,W$4=$K$4+'5. Dashboard Live'!$AA$16),-$K81,IF(AND('5. Dashboard Live'!$AA$19='14. Permanent Info'!$N$7,W$4&lt;=$K$4+'5. Dashboard Live'!$AA$16),-$K81*W100,0)))</f>
        <v>0</v>
      </c>
      <c r="X243" s="603">
        <f>IF(AND('5. Dashboard Live'!$AA$19='14. Permanent Info'!$M$7,X$4&lt;$K$4+'5. Dashboard Live'!$AA$16),0,IF(AND('5. Dashboard Live'!$AA$19='14. Permanent Info'!$M$7,X$4=$K$4+'5. Dashboard Live'!$AA$16),-$K81,IF(AND('5. Dashboard Live'!$AA$19='14. Permanent Info'!$N$7,X$4&lt;=$K$4+'5. Dashboard Live'!$AA$16),-$K81*X100,0)))</f>
        <v>0</v>
      </c>
      <c r="Y243" s="603">
        <f>IF(AND('5. Dashboard Live'!$AA$19='14. Permanent Info'!$M$7,Y$4&lt;$K$4+'5. Dashboard Live'!$AA$16),0,IF(AND('5. Dashboard Live'!$AA$19='14. Permanent Info'!$M$7,Y$4=$K$4+'5. Dashboard Live'!$AA$16),-$K81,IF(AND('5. Dashboard Live'!$AA$19='14. Permanent Info'!$N$7,Y$4&lt;=$K$4+'5. Dashboard Live'!$AA$16),-$K81*Y100,0)))</f>
        <v>0</v>
      </c>
      <c r="Z243" s="603">
        <f>IF(AND('5. Dashboard Live'!$AA$19='14. Permanent Info'!$M$7,Z$4&lt;$K$4+'5. Dashboard Live'!$AA$16),0,IF(AND('5. Dashboard Live'!$AA$19='14. Permanent Info'!$M$7,Z$4=$K$4+'5. Dashboard Live'!$AA$16),-$K81,IF(AND('5. Dashboard Live'!$AA$19='14. Permanent Info'!$N$7,Z$4&lt;=$K$4+'5. Dashboard Live'!$AA$16),-$K81*Z100,0)))</f>
        <v>0</v>
      </c>
      <c r="AA243" s="603">
        <f>IF(AND('5. Dashboard Live'!$AA$19='14. Permanent Info'!$M$7,AA$4&lt;$K$4+'5. Dashboard Live'!$AA$16),0,IF(AND('5. Dashboard Live'!$AA$19='14. Permanent Info'!$M$7,AA$4=$K$4+'5. Dashboard Live'!$AA$16),-$K81,IF(AND('5. Dashboard Live'!$AA$19='14. Permanent Info'!$N$7,AA$4&lt;=$K$4+'5. Dashboard Live'!$AA$16),-$K81*AA100,0)))</f>
        <v>0</v>
      </c>
      <c r="AB243" s="603">
        <f>IF(AND('5. Dashboard Live'!$AA$19='14. Permanent Info'!$M$7,AB$4&lt;$K$4+'5. Dashboard Live'!$AA$16),0,IF(AND('5. Dashboard Live'!$AA$19='14. Permanent Info'!$M$7,AB$4=$K$4+'5. Dashboard Live'!$AA$16),-$K81,IF(AND('5. Dashboard Live'!$AA$19='14. Permanent Info'!$N$7,AB$4&lt;=$K$4+'5. Dashboard Live'!$AA$16),-$K81*AB100,0)))</f>
        <v>-1546</v>
      </c>
      <c r="AC243" s="603">
        <f>IF(AND('5. Dashboard Live'!$AA$19='14. Permanent Info'!$M$7,AC$4&lt;$K$4+'5. Dashboard Live'!$AA$16),0,IF(AND('5. Dashboard Live'!$AA$19='14. Permanent Info'!$M$7,AC$4=$K$4+'5. Dashboard Live'!$AA$16),-$K81,IF(AND('5. Dashboard Live'!$AA$19='14. Permanent Info'!$N$7,AC$4&lt;=$K$4+'5. Dashboard Live'!$AA$16),-$K81*AC100,0)))</f>
        <v>0</v>
      </c>
      <c r="AD243" s="603">
        <f>SUM(L243:AC243)</f>
        <v>-1546</v>
      </c>
    </row>
    <row r="244" spans="2:30" outlineLevel="2" x14ac:dyDescent="0.45">
      <c r="B244" s="1129" t="str">
        <f t="shared" si="60"/>
        <v>Sales</v>
      </c>
      <c r="D244" s="583" t="str">
        <f>'12. Inputs-Props &amp; Debtors 2016'!C$81</f>
        <v>WC</v>
      </c>
      <c r="F244" s="596"/>
      <c r="G244" s="596"/>
      <c r="H244" s="596"/>
      <c r="I244" s="995"/>
      <c r="J244" s="995"/>
      <c r="K244" s="995"/>
      <c r="L244" s="603">
        <f>IF(AND('5. Dashboard Live'!$AA$19='14. Permanent Info'!$M$7,L$4&lt;$K$4+'5. Dashboard Live'!$AA$16),0,IF(AND('5. Dashboard Live'!$AA$19='14. Permanent Info'!$M$7,L$4=$K$4+'5. Dashboard Live'!$AA$16),-$K82,IF(AND('5. Dashboard Live'!$AA$19='14. Permanent Info'!$N$7,L$4&lt;=$K$4+'5. Dashboard Live'!$AA$16),-$K82*L101,0)))</f>
        <v>0</v>
      </c>
      <c r="M244" s="603">
        <f>IF(AND('5. Dashboard Live'!$AA$19='14. Permanent Info'!$M$7,M$4&lt;$K$4+'5. Dashboard Live'!$AA$16),0,IF(AND('5. Dashboard Live'!$AA$19='14. Permanent Info'!$M$7,M$4=$K$4+'5. Dashboard Live'!$AA$16),-$K82,IF(AND('5. Dashboard Live'!$AA$19='14. Permanent Info'!$N$7,M$4&lt;=$K$4+'5. Dashboard Live'!$AA$16),-$K82*M101,0)))</f>
        <v>0</v>
      </c>
      <c r="N244" s="603">
        <f>IF(AND('5. Dashboard Live'!$AA$19='14. Permanent Info'!$M$7,N$4&lt;$K$4+'5. Dashboard Live'!$AA$16),0,IF(AND('5. Dashboard Live'!$AA$19='14. Permanent Info'!$M$7,N$4=$K$4+'5. Dashboard Live'!$AA$16),-$K82,IF(AND('5. Dashboard Live'!$AA$19='14. Permanent Info'!$N$7,N$4&lt;=$K$4+'5. Dashboard Live'!$AA$16),-$K82*N101,0)))</f>
        <v>0</v>
      </c>
      <c r="O244" s="603">
        <f>IF(AND('5. Dashboard Live'!$AA$19='14. Permanent Info'!$M$7,O$4&lt;$K$4+'5. Dashboard Live'!$AA$16),0,IF(AND('5. Dashboard Live'!$AA$19='14. Permanent Info'!$M$7,O$4=$K$4+'5. Dashboard Live'!$AA$16),-$K82,IF(AND('5. Dashboard Live'!$AA$19='14. Permanent Info'!$N$7,O$4&lt;=$K$4+'5. Dashboard Live'!$AA$16),-$K82*O101,0)))</f>
        <v>0</v>
      </c>
      <c r="P244" s="603">
        <f>IF(AND('5. Dashboard Live'!$AA$19='14. Permanent Info'!$M$7,P$4&lt;$K$4+'5. Dashboard Live'!$AA$16),0,IF(AND('5. Dashboard Live'!$AA$19='14. Permanent Info'!$M$7,P$4=$K$4+'5. Dashboard Live'!$AA$16),-$K82,IF(AND('5. Dashboard Live'!$AA$19='14. Permanent Info'!$N$7,P$4&lt;=$K$4+'5. Dashboard Live'!$AA$16),-$K82*P101,0)))</f>
        <v>0</v>
      </c>
      <c r="Q244" s="603">
        <f>IF(AND('5. Dashboard Live'!$AA$19='14. Permanent Info'!$M$7,Q$4&lt;$K$4+'5. Dashboard Live'!$AA$16),0,IF(AND('5. Dashboard Live'!$AA$19='14. Permanent Info'!$M$7,Q$4=$K$4+'5. Dashboard Live'!$AA$16),-$K82,IF(AND('5. Dashboard Live'!$AA$19='14. Permanent Info'!$N$7,Q$4&lt;=$K$4+'5. Dashboard Live'!$AA$16),-$K82*Q101,0)))</f>
        <v>0</v>
      </c>
      <c r="R244" s="603">
        <f>IF(AND('5. Dashboard Live'!$AA$19='14. Permanent Info'!$M$7,R$4&lt;$K$4+'5. Dashboard Live'!$AA$16),0,IF(AND('5. Dashboard Live'!$AA$19='14. Permanent Info'!$M$7,R$4=$K$4+'5. Dashboard Live'!$AA$16),-$K82,IF(AND('5. Dashboard Live'!$AA$19='14. Permanent Info'!$N$7,R$4&lt;=$K$4+'5. Dashboard Live'!$AA$16),-$K82*R101,0)))</f>
        <v>0</v>
      </c>
      <c r="S244" s="603">
        <f>IF(AND('5. Dashboard Live'!$AA$19='14. Permanent Info'!$M$7,S$4&lt;$K$4+'5. Dashboard Live'!$AA$16),0,IF(AND('5. Dashboard Live'!$AA$19='14. Permanent Info'!$M$7,S$4=$K$4+'5. Dashboard Live'!$AA$16),-$K82,IF(AND('5. Dashboard Live'!$AA$19='14. Permanent Info'!$N$7,S$4&lt;=$K$4+'5. Dashboard Live'!$AA$16),-$K82*S101,0)))</f>
        <v>0</v>
      </c>
      <c r="T244" s="603">
        <f>IF(AND('5. Dashboard Live'!$AA$19='14. Permanent Info'!$M$7,T$4&lt;$K$4+'5. Dashboard Live'!$AA$16),0,IF(AND('5. Dashboard Live'!$AA$19='14. Permanent Info'!$M$7,T$4=$K$4+'5. Dashboard Live'!$AA$16),-$K82,IF(AND('5. Dashboard Live'!$AA$19='14. Permanent Info'!$N$7,T$4&lt;=$K$4+'5. Dashboard Live'!$AA$16),-$K82*T101,0)))</f>
        <v>0</v>
      </c>
      <c r="U244" s="603">
        <f>IF(AND('5. Dashboard Live'!$AA$19='14. Permanent Info'!$M$7,U$4&lt;$K$4+'5. Dashboard Live'!$AA$16),0,IF(AND('5. Dashboard Live'!$AA$19='14. Permanent Info'!$M$7,U$4=$K$4+'5. Dashboard Live'!$AA$16),-$K82,IF(AND('5. Dashboard Live'!$AA$19='14. Permanent Info'!$N$7,U$4&lt;=$K$4+'5. Dashboard Live'!$AA$16),-$K82*U101,0)))</f>
        <v>0</v>
      </c>
      <c r="V244" s="603">
        <f>IF(AND('5. Dashboard Live'!$AA$19='14. Permanent Info'!$M$7,V$4&lt;$K$4+'5. Dashboard Live'!$AA$16),0,IF(AND('5. Dashboard Live'!$AA$19='14. Permanent Info'!$M$7,V$4=$K$4+'5. Dashboard Live'!$AA$16),-$K82,IF(AND('5. Dashboard Live'!$AA$19='14. Permanent Info'!$N$7,V$4&lt;=$K$4+'5. Dashboard Live'!$AA$16),-$K82*V101,0)))</f>
        <v>0</v>
      </c>
      <c r="W244" s="603">
        <f>IF(AND('5. Dashboard Live'!$AA$19='14. Permanent Info'!$M$7,W$4&lt;$K$4+'5. Dashboard Live'!$AA$16),0,IF(AND('5. Dashboard Live'!$AA$19='14. Permanent Info'!$M$7,W$4=$K$4+'5. Dashboard Live'!$AA$16),-$K82,IF(AND('5. Dashboard Live'!$AA$19='14. Permanent Info'!$N$7,W$4&lt;=$K$4+'5. Dashboard Live'!$AA$16),-$K82*W101,0)))</f>
        <v>0</v>
      </c>
      <c r="X244" s="603">
        <f>IF(AND('5. Dashboard Live'!$AA$19='14. Permanent Info'!$M$7,X$4&lt;$K$4+'5. Dashboard Live'!$AA$16),0,IF(AND('5. Dashboard Live'!$AA$19='14. Permanent Info'!$M$7,X$4=$K$4+'5. Dashboard Live'!$AA$16),-$K82,IF(AND('5. Dashboard Live'!$AA$19='14. Permanent Info'!$N$7,X$4&lt;=$K$4+'5. Dashboard Live'!$AA$16),-$K82*X101,0)))</f>
        <v>0</v>
      </c>
      <c r="Y244" s="603">
        <f>IF(AND('5. Dashboard Live'!$AA$19='14. Permanent Info'!$M$7,Y$4&lt;$K$4+'5. Dashboard Live'!$AA$16),0,IF(AND('5. Dashboard Live'!$AA$19='14. Permanent Info'!$M$7,Y$4=$K$4+'5. Dashboard Live'!$AA$16),-$K82,IF(AND('5. Dashboard Live'!$AA$19='14. Permanent Info'!$N$7,Y$4&lt;=$K$4+'5. Dashboard Live'!$AA$16),-$K82*Y101,0)))</f>
        <v>0</v>
      </c>
      <c r="Z244" s="603">
        <f>IF(AND('5. Dashboard Live'!$AA$19='14. Permanent Info'!$M$7,Z$4&lt;$K$4+'5. Dashboard Live'!$AA$16),0,IF(AND('5. Dashboard Live'!$AA$19='14. Permanent Info'!$M$7,Z$4=$K$4+'5. Dashboard Live'!$AA$16),-$K82,IF(AND('5. Dashboard Live'!$AA$19='14. Permanent Info'!$N$7,Z$4&lt;=$K$4+'5. Dashboard Live'!$AA$16),-$K82*Z101,0)))</f>
        <v>0</v>
      </c>
      <c r="AA244" s="603">
        <f>IF(AND('5. Dashboard Live'!$AA$19='14. Permanent Info'!$M$7,AA$4&lt;$K$4+'5. Dashboard Live'!$AA$16),0,IF(AND('5. Dashboard Live'!$AA$19='14. Permanent Info'!$M$7,AA$4=$K$4+'5. Dashboard Live'!$AA$16),-$K82,IF(AND('5. Dashboard Live'!$AA$19='14. Permanent Info'!$N$7,AA$4&lt;=$K$4+'5. Dashboard Live'!$AA$16),-$K82*AA101,0)))</f>
        <v>0</v>
      </c>
      <c r="AB244" s="603">
        <f>IF(AND('5. Dashboard Live'!$AA$19='14. Permanent Info'!$M$7,AB$4&lt;$K$4+'5. Dashboard Live'!$AA$16),0,IF(AND('5. Dashboard Live'!$AA$19='14. Permanent Info'!$M$7,AB$4=$K$4+'5. Dashboard Live'!$AA$16),-$K82,IF(AND('5. Dashboard Live'!$AA$19='14. Permanent Info'!$N$7,AB$4&lt;=$K$4+'5. Dashboard Live'!$AA$16),-$K82*AB101,0)))</f>
        <v>-1311</v>
      </c>
      <c r="AC244" s="603">
        <f>IF(AND('5. Dashboard Live'!$AA$19='14. Permanent Info'!$M$7,AC$4&lt;$K$4+'5. Dashboard Live'!$AA$16),0,IF(AND('5. Dashboard Live'!$AA$19='14. Permanent Info'!$M$7,AC$4=$K$4+'5. Dashboard Live'!$AA$16),-$K82,IF(AND('5. Dashboard Live'!$AA$19='14. Permanent Info'!$N$7,AC$4&lt;=$K$4+'5. Dashboard Live'!$AA$16),-$K82*AC101,0)))</f>
        <v>0</v>
      </c>
      <c r="AD244" s="603">
        <f>SUM(L244:AC244)</f>
        <v>-1311</v>
      </c>
    </row>
    <row r="245" spans="2:30" outlineLevel="2" x14ac:dyDescent="0.45">
      <c r="B245" s="1129" t="str">
        <f t="shared" si="60"/>
        <v>Sales</v>
      </c>
      <c r="D245" s="583" t="str">
        <f>'12. Inputs-Props &amp; Debtors 2016'!C$82</f>
        <v>Total</v>
      </c>
      <c r="F245" s="596"/>
      <c r="G245" s="596"/>
      <c r="H245" s="596"/>
      <c r="I245" s="995"/>
      <c r="J245" s="995"/>
      <c r="K245" s="995"/>
      <c r="L245" s="605">
        <f>SUM(L240:L244)</f>
        <v>0</v>
      </c>
      <c r="M245" s="605">
        <f t="shared" ref="M245:AD245" si="104">SUM(M240:M244)</f>
        <v>0</v>
      </c>
      <c r="N245" s="605">
        <f t="shared" si="104"/>
        <v>0</v>
      </c>
      <c r="O245" s="605">
        <f t="shared" si="104"/>
        <v>0</v>
      </c>
      <c r="P245" s="605">
        <f t="shared" si="104"/>
        <v>0</v>
      </c>
      <c r="Q245" s="605">
        <f t="shared" si="104"/>
        <v>0</v>
      </c>
      <c r="R245" s="605">
        <f t="shared" si="104"/>
        <v>0</v>
      </c>
      <c r="S245" s="605">
        <f t="shared" si="104"/>
        <v>0</v>
      </c>
      <c r="T245" s="605">
        <f t="shared" si="104"/>
        <v>0</v>
      </c>
      <c r="U245" s="605">
        <f t="shared" si="104"/>
        <v>0</v>
      </c>
      <c r="V245" s="605">
        <f t="shared" si="104"/>
        <v>0</v>
      </c>
      <c r="W245" s="605">
        <f t="shared" si="104"/>
        <v>0</v>
      </c>
      <c r="X245" s="605">
        <f t="shared" si="104"/>
        <v>0</v>
      </c>
      <c r="Y245" s="605">
        <f t="shared" si="104"/>
        <v>0</v>
      </c>
      <c r="Z245" s="605">
        <f t="shared" si="104"/>
        <v>0</v>
      </c>
      <c r="AA245" s="605">
        <f t="shared" si="104"/>
        <v>0</v>
      </c>
      <c r="AB245" s="605">
        <f t="shared" si="104"/>
        <v>-3743</v>
      </c>
      <c r="AC245" s="605">
        <f t="shared" si="104"/>
        <v>0</v>
      </c>
      <c r="AD245" s="605">
        <f t="shared" si="104"/>
        <v>-3743</v>
      </c>
    </row>
    <row r="246" spans="2:30" outlineLevel="2" x14ac:dyDescent="0.45">
      <c r="B246" s="597" t="str">
        <f t="shared" si="60"/>
        <v>Sales</v>
      </c>
      <c r="F246" s="596"/>
      <c r="G246" s="596"/>
      <c r="H246" s="596"/>
      <c r="I246" s="995"/>
      <c r="J246" s="995"/>
      <c r="K246" s="995"/>
      <c r="L246" s="995"/>
      <c r="M246" s="995"/>
      <c r="N246" s="995"/>
      <c r="O246" s="995"/>
      <c r="P246" s="995"/>
      <c r="Q246" s="995"/>
      <c r="R246" s="995"/>
      <c r="S246" s="995"/>
      <c r="T246" s="995"/>
      <c r="U246" s="995"/>
      <c r="V246" s="995"/>
      <c r="W246" s="995"/>
      <c r="X246" s="995"/>
      <c r="Y246" s="995"/>
      <c r="Z246" s="995"/>
      <c r="AA246" s="995"/>
      <c r="AB246" s="995"/>
      <c r="AC246" s="995"/>
      <c r="AD246" s="995"/>
    </row>
    <row r="247" spans="2:30" outlineLevel="2" x14ac:dyDescent="0.45">
      <c r="B247" s="597" t="str">
        <f t="shared" si="60"/>
        <v>Sales</v>
      </c>
      <c r="F247" s="596"/>
      <c r="G247" s="596"/>
      <c r="H247" s="596"/>
      <c r="I247" s="995"/>
      <c r="J247" s="995"/>
      <c r="K247" s="995"/>
      <c r="L247" s="995"/>
      <c r="M247" s="995"/>
      <c r="N247" s="995"/>
      <c r="O247" s="995"/>
      <c r="P247" s="995"/>
      <c r="Q247" s="995"/>
      <c r="R247" s="995"/>
      <c r="S247" s="995"/>
      <c r="T247" s="995"/>
      <c r="U247" s="995"/>
      <c r="V247" s="995"/>
      <c r="W247" s="995"/>
      <c r="X247" s="995"/>
      <c r="Y247" s="995"/>
      <c r="Z247" s="995"/>
      <c r="AA247" s="995"/>
      <c r="AB247" s="995"/>
      <c r="AC247" s="995"/>
      <c r="AD247" s="995"/>
    </row>
    <row r="248" spans="2:30" outlineLevel="2" x14ac:dyDescent="0.45">
      <c r="B248" s="1129" t="str">
        <f t="shared" si="60"/>
        <v>Sales</v>
      </c>
      <c r="C248" s="451">
        <f>C239+1</f>
        <v>25</v>
      </c>
      <c r="D248" s="451" t="s">
        <v>1625</v>
      </c>
      <c r="F248" s="596"/>
      <c r="G248" s="596"/>
      <c r="H248" s="596"/>
      <c r="I248" s="995"/>
      <c r="J248" s="995"/>
      <c r="K248" s="995"/>
      <c r="L248" s="995"/>
      <c r="M248" s="995"/>
      <c r="N248" s="995"/>
      <c r="O248" s="995"/>
      <c r="P248" s="995"/>
      <c r="Q248" s="995"/>
      <c r="R248" s="995"/>
      <c r="S248" s="995"/>
      <c r="T248" s="995"/>
      <c r="U248" s="995"/>
      <c r="V248" s="995"/>
      <c r="W248" s="995"/>
      <c r="X248" s="995"/>
      <c r="Y248" s="995"/>
      <c r="Z248" s="995"/>
      <c r="AA248" s="995"/>
      <c r="AB248" s="995"/>
      <c r="AC248" s="995"/>
      <c r="AD248" s="995"/>
    </row>
    <row r="249" spans="2:30" outlineLevel="2" x14ac:dyDescent="0.45">
      <c r="B249" s="1129" t="str">
        <f t="shared" si="60"/>
        <v>Sales</v>
      </c>
      <c r="D249" s="583" t="str">
        <f>'12. Inputs-Props &amp; Debtors 2016'!C$77</f>
        <v>EC</v>
      </c>
      <c r="F249" s="596"/>
      <c r="G249" s="596"/>
      <c r="H249" s="596"/>
      <c r="I249" s="995"/>
      <c r="J249" s="995"/>
      <c r="K249" s="995"/>
      <c r="L249" s="1123">
        <f t="shared" ref="L249:AC249" si="105">-L240*L170</f>
        <v>0</v>
      </c>
      <c r="M249" s="1123">
        <f t="shared" si="105"/>
        <v>0</v>
      </c>
      <c r="N249" s="1123">
        <f t="shared" si="105"/>
        <v>0</v>
      </c>
      <c r="O249" s="1123">
        <f t="shared" si="105"/>
        <v>0</v>
      </c>
      <c r="P249" s="1123">
        <f t="shared" si="105"/>
        <v>0</v>
      </c>
      <c r="Q249" s="1123">
        <f t="shared" si="105"/>
        <v>0</v>
      </c>
      <c r="R249" s="1123">
        <f t="shared" si="105"/>
        <v>0</v>
      </c>
      <c r="S249" s="1123">
        <f t="shared" si="105"/>
        <v>0</v>
      </c>
      <c r="T249" s="1123">
        <f t="shared" si="105"/>
        <v>0</v>
      </c>
      <c r="U249" s="1123">
        <f t="shared" si="105"/>
        <v>0</v>
      </c>
      <c r="V249" s="1123">
        <f t="shared" si="105"/>
        <v>0</v>
      </c>
      <c r="W249" s="1123">
        <f t="shared" si="105"/>
        <v>0</v>
      </c>
      <c r="X249" s="1123">
        <f t="shared" si="105"/>
        <v>0</v>
      </c>
      <c r="Y249" s="1123">
        <f t="shared" si="105"/>
        <v>0</v>
      </c>
      <c r="Z249" s="1123">
        <f t="shared" si="105"/>
        <v>0</v>
      </c>
      <c r="AA249" s="1123">
        <f t="shared" si="105"/>
        <v>0</v>
      </c>
      <c r="AB249" s="1123">
        <f t="shared" si="105"/>
        <v>12939980.332631577</v>
      </c>
      <c r="AC249" s="1123">
        <f t="shared" si="105"/>
        <v>0</v>
      </c>
      <c r="AD249" s="1120">
        <f>SUM(I249:AC249)</f>
        <v>12939980.332631577</v>
      </c>
    </row>
    <row r="250" spans="2:30" outlineLevel="2" x14ac:dyDescent="0.45">
      <c r="B250" s="1129" t="str">
        <f t="shared" si="60"/>
        <v>Sales</v>
      </c>
      <c r="D250" s="583" t="str">
        <f>'12. Inputs-Props &amp; Debtors 2016'!C$78</f>
        <v>FS</v>
      </c>
      <c r="F250" s="596"/>
      <c r="G250" s="596"/>
      <c r="H250" s="596"/>
      <c r="I250" s="995"/>
      <c r="J250" s="995"/>
      <c r="K250" s="995"/>
      <c r="L250" s="1123">
        <f t="shared" ref="L250:AC250" si="106">-L241*L171</f>
        <v>0</v>
      </c>
      <c r="M250" s="1123">
        <f t="shared" si="106"/>
        <v>0</v>
      </c>
      <c r="N250" s="1123">
        <f t="shared" si="106"/>
        <v>0</v>
      </c>
      <c r="O250" s="1123">
        <f t="shared" si="106"/>
        <v>0</v>
      </c>
      <c r="P250" s="1123">
        <f t="shared" si="106"/>
        <v>0</v>
      </c>
      <c r="Q250" s="1123">
        <f t="shared" si="106"/>
        <v>0</v>
      </c>
      <c r="R250" s="1123">
        <f t="shared" si="106"/>
        <v>0</v>
      </c>
      <c r="S250" s="1123">
        <f t="shared" si="106"/>
        <v>0</v>
      </c>
      <c r="T250" s="1123">
        <f t="shared" si="106"/>
        <v>0</v>
      </c>
      <c r="U250" s="1123">
        <f t="shared" si="106"/>
        <v>0</v>
      </c>
      <c r="V250" s="1123">
        <f t="shared" si="106"/>
        <v>0</v>
      </c>
      <c r="W250" s="1123">
        <f t="shared" si="106"/>
        <v>0</v>
      </c>
      <c r="X250" s="1123">
        <f t="shared" si="106"/>
        <v>0</v>
      </c>
      <c r="Y250" s="1123">
        <f t="shared" si="106"/>
        <v>0</v>
      </c>
      <c r="Z250" s="1123">
        <f t="shared" si="106"/>
        <v>0</v>
      </c>
      <c r="AA250" s="1123">
        <f t="shared" si="106"/>
        <v>0</v>
      </c>
      <c r="AB250" s="1123">
        <f t="shared" si="106"/>
        <v>245514.14999999997</v>
      </c>
      <c r="AC250" s="1123">
        <f t="shared" si="106"/>
        <v>0</v>
      </c>
      <c r="AD250" s="1120">
        <f>SUM(I250:AC250)</f>
        <v>245514.14999999997</v>
      </c>
    </row>
    <row r="251" spans="2:30" outlineLevel="2" x14ac:dyDescent="0.45">
      <c r="B251" s="1129" t="str">
        <f t="shared" si="60"/>
        <v>Sales</v>
      </c>
      <c r="D251" s="583" t="str">
        <f>'12. Inputs-Props &amp; Debtors 2016'!C$79</f>
        <v>Gau</v>
      </c>
      <c r="F251" s="596"/>
      <c r="G251" s="596"/>
      <c r="H251" s="596"/>
      <c r="I251" s="995"/>
      <c r="J251" s="995"/>
      <c r="K251" s="995"/>
      <c r="L251" s="1123">
        <f t="shared" ref="L251:AC251" si="107">-L242*L172</f>
        <v>0</v>
      </c>
      <c r="M251" s="1123">
        <f t="shared" si="107"/>
        <v>0</v>
      </c>
      <c r="N251" s="1123">
        <f t="shared" si="107"/>
        <v>0</v>
      </c>
      <c r="O251" s="1123">
        <f t="shared" si="107"/>
        <v>0</v>
      </c>
      <c r="P251" s="1123">
        <f t="shared" si="107"/>
        <v>0</v>
      </c>
      <c r="Q251" s="1123">
        <f t="shared" si="107"/>
        <v>0</v>
      </c>
      <c r="R251" s="1123">
        <f t="shared" si="107"/>
        <v>0</v>
      </c>
      <c r="S251" s="1123">
        <f t="shared" si="107"/>
        <v>0</v>
      </c>
      <c r="T251" s="1123">
        <f t="shared" si="107"/>
        <v>0</v>
      </c>
      <c r="U251" s="1123">
        <f t="shared" si="107"/>
        <v>0</v>
      </c>
      <c r="V251" s="1123">
        <f t="shared" si="107"/>
        <v>0</v>
      </c>
      <c r="W251" s="1123">
        <f t="shared" si="107"/>
        <v>0</v>
      </c>
      <c r="X251" s="1123">
        <f t="shared" si="107"/>
        <v>0</v>
      </c>
      <c r="Y251" s="1123">
        <f t="shared" si="107"/>
        <v>0</v>
      </c>
      <c r="Z251" s="1123">
        <f t="shared" si="107"/>
        <v>0</v>
      </c>
      <c r="AA251" s="1123">
        <f t="shared" si="107"/>
        <v>0</v>
      </c>
      <c r="AB251" s="1123">
        <f t="shared" si="107"/>
        <v>108413932.68552631</v>
      </c>
      <c r="AC251" s="1123">
        <f t="shared" si="107"/>
        <v>0</v>
      </c>
      <c r="AD251" s="1120">
        <f>SUM(I251:AC251)</f>
        <v>108413932.68552631</v>
      </c>
    </row>
    <row r="252" spans="2:30" outlineLevel="2" x14ac:dyDescent="0.45">
      <c r="B252" s="1129" t="str">
        <f t="shared" si="60"/>
        <v>Sales</v>
      </c>
      <c r="D252" s="583" t="str">
        <f>'12. Inputs-Props &amp; Debtors 2016'!C$80</f>
        <v>KZN</v>
      </c>
      <c r="F252" s="596"/>
      <c r="G252" s="596"/>
      <c r="H252" s="596"/>
      <c r="I252" s="995"/>
      <c r="J252" s="995"/>
      <c r="K252" s="995"/>
      <c r="L252" s="1123">
        <f t="shared" ref="L252:AC252" si="108">-L243*L173</f>
        <v>0</v>
      </c>
      <c r="M252" s="1123">
        <f t="shared" si="108"/>
        <v>0</v>
      </c>
      <c r="N252" s="1123">
        <f t="shared" si="108"/>
        <v>0</v>
      </c>
      <c r="O252" s="1123">
        <f t="shared" si="108"/>
        <v>0</v>
      </c>
      <c r="P252" s="1123">
        <f t="shared" si="108"/>
        <v>0</v>
      </c>
      <c r="Q252" s="1123">
        <f t="shared" si="108"/>
        <v>0</v>
      </c>
      <c r="R252" s="1123">
        <f t="shared" si="108"/>
        <v>0</v>
      </c>
      <c r="S252" s="1123">
        <f t="shared" si="108"/>
        <v>0</v>
      </c>
      <c r="T252" s="1123">
        <f t="shared" si="108"/>
        <v>0</v>
      </c>
      <c r="U252" s="1123">
        <f t="shared" si="108"/>
        <v>0</v>
      </c>
      <c r="V252" s="1123">
        <f t="shared" si="108"/>
        <v>0</v>
      </c>
      <c r="W252" s="1123">
        <f t="shared" si="108"/>
        <v>0</v>
      </c>
      <c r="X252" s="1123">
        <f t="shared" si="108"/>
        <v>0</v>
      </c>
      <c r="Y252" s="1123">
        <f t="shared" si="108"/>
        <v>0</v>
      </c>
      <c r="Z252" s="1123">
        <f t="shared" si="108"/>
        <v>0</v>
      </c>
      <c r="AA252" s="1123">
        <f t="shared" si="108"/>
        <v>0</v>
      </c>
      <c r="AB252" s="1123">
        <f t="shared" si="108"/>
        <v>141481360.78362468</v>
      </c>
      <c r="AC252" s="1123">
        <f t="shared" si="108"/>
        <v>0</v>
      </c>
      <c r="AD252" s="1120">
        <f>SUM(I252:AC252)</f>
        <v>141481360.78362468</v>
      </c>
    </row>
    <row r="253" spans="2:30" outlineLevel="2" x14ac:dyDescent="0.45">
      <c r="B253" s="1129" t="str">
        <f t="shared" si="60"/>
        <v>Sales</v>
      </c>
      <c r="D253" s="583" t="str">
        <f>'12. Inputs-Props &amp; Debtors 2016'!C$81</f>
        <v>WC</v>
      </c>
      <c r="F253" s="596"/>
      <c r="G253" s="596"/>
      <c r="H253" s="596"/>
      <c r="I253" s="995"/>
      <c r="J253" s="995"/>
      <c r="K253" s="995"/>
      <c r="L253" s="1123">
        <f t="shared" ref="L253:AC253" si="109">-L244*L174</f>
        <v>0</v>
      </c>
      <c r="M253" s="1123">
        <f t="shared" si="109"/>
        <v>0</v>
      </c>
      <c r="N253" s="1123">
        <f t="shared" si="109"/>
        <v>0</v>
      </c>
      <c r="O253" s="1123">
        <f t="shared" si="109"/>
        <v>0</v>
      </c>
      <c r="P253" s="1123">
        <f t="shared" si="109"/>
        <v>0</v>
      </c>
      <c r="Q253" s="1123">
        <f t="shared" si="109"/>
        <v>0</v>
      </c>
      <c r="R253" s="1123">
        <f t="shared" si="109"/>
        <v>0</v>
      </c>
      <c r="S253" s="1123">
        <f t="shared" si="109"/>
        <v>0</v>
      </c>
      <c r="T253" s="1123">
        <f t="shared" si="109"/>
        <v>0</v>
      </c>
      <c r="U253" s="1123">
        <f t="shared" si="109"/>
        <v>0</v>
      </c>
      <c r="V253" s="1123">
        <f t="shared" si="109"/>
        <v>0</v>
      </c>
      <c r="W253" s="1123">
        <f t="shared" si="109"/>
        <v>0</v>
      </c>
      <c r="X253" s="1123">
        <f t="shared" si="109"/>
        <v>0</v>
      </c>
      <c r="Y253" s="1123">
        <f t="shared" si="109"/>
        <v>0</v>
      </c>
      <c r="Z253" s="1123">
        <f t="shared" si="109"/>
        <v>0</v>
      </c>
      <c r="AA253" s="1123">
        <f t="shared" si="109"/>
        <v>0</v>
      </c>
      <c r="AB253" s="1123">
        <f t="shared" si="109"/>
        <v>68066179.217561796</v>
      </c>
      <c r="AC253" s="1123">
        <f t="shared" si="109"/>
        <v>0</v>
      </c>
      <c r="AD253" s="1120">
        <f>SUM(I253:AC253)</f>
        <v>68066179.217561796</v>
      </c>
    </row>
    <row r="254" spans="2:30" outlineLevel="2" x14ac:dyDescent="0.45">
      <c r="B254" s="1129" t="str">
        <f t="shared" si="60"/>
        <v>Sales</v>
      </c>
      <c r="D254" s="583" t="str">
        <f>'12. Inputs-Props &amp; Debtors 2016'!C$82</f>
        <v>Total</v>
      </c>
      <c r="F254" s="596"/>
      <c r="G254" s="596"/>
      <c r="H254" s="596"/>
      <c r="I254" s="995"/>
      <c r="J254" s="995"/>
      <c r="K254" s="995"/>
      <c r="L254" s="1128">
        <f>SUM(L249:L253)</f>
        <v>0</v>
      </c>
      <c r="M254" s="1128">
        <f t="shared" ref="M254:AD254" si="110">SUM(M249:M253)</f>
        <v>0</v>
      </c>
      <c r="N254" s="1128">
        <f t="shared" si="110"/>
        <v>0</v>
      </c>
      <c r="O254" s="1128">
        <f t="shared" si="110"/>
        <v>0</v>
      </c>
      <c r="P254" s="1128">
        <f t="shared" si="110"/>
        <v>0</v>
      </c>
      <c r="Q254" s="1128">
        <f t="shared" si="110"/>
        <v>0</v>
      </c>
      <c r="R254" s="1128">
        <f t="shared" si="110"/>
        <v>0</v>
      </c>
      <c r="S254" s="1128">
        <f t="shared" si="110"/>
        <v>0</v>
      </c>
      <c r="T254" s="1128">
        <f t="shared" si="110"/>
        <v>0</v>
      </c>
      <c r="U254" s="1128">
        <f t="shared" si="110"/>
        <v>0</v>
      </c>
      <c r="V254" s="1128">
        <f t="shared" si="110"/>
        <v>0</v>
      </c>
      <c r="W254" s="1128">
        <f t="shared" si="110"/>
        <v>0</v>
      </c>
      <c r="X254" s="1128">
        <f t="shared" si="110"/>
        <v>0</v>
      </c>
      <c r="Y254" s="1128">
        <f t="shared" si="110"/>
        <v>0</v>
      </c>
      <c r="Z254" s="1128">
        <f t="shared" si="110"/>
        <v>0</v>
      </c>
      <c r="AA254" s="1128">
        <f t="shared" si="110"/>
        <v>0</v>
      </c>
      <c r="AB254" s="1128">
        <f t="shared" si="110"/>
        <v>331146967.16934437</v>
      </c>
      <c r="AC254" s="1128">
        <f t="shared" si="110"/>
        <v>0</v>
      </c>
      <c r="AD254" s="613">
        <f t="shared" si="110"/>
        <v>331146967.16934437</v>
      </c>
    </row>
    <row r="255" spans="2:30" outlineLevel="2" x14ac:dyDescent="0.45">
      <c r="B255" s="597" t="str">
        <f t="shared" si="60"/>
        <v>Sales</v>
      </c>
      <c r="F255" s="596"/>
      <c r="G255" s="596"/>
      <c r="H255" s="596"/>
      <c r="I255" s="995"/>
      <c r="J255" s="995"/>
      <c r="K255" s="995"/>
      <c r="L255" s="995"/>
      <c r="M255" s="995"/>
      <c r="N255" s="995"/>
      <c r="O255" s="995"/>
      <c r="P255" s="995"/>
      <c r="Q255" s="995"/>
      <c r="R255" s="995"/>
      <c r="S255" s="995"/>
      <c r="T255" s="995"/>
      <c r="U255" s="995"/>
      <c r="V255" s="995"/>
      <c r="W255" s="995"/>
      <c r="X255" s="995"/>
      <c r="Y255" s="995"/>
      <c r="Z255" s="995"/>
      <c r="AA255" s="995"/>
      <c r="AB255" s="995"/>
      <c r="AC255" s="995"/>
    </row>
    <row r="256" spans="2:30" outlineLevel="2" x14ac:dyDescent="0.45">
      <c r="B256" s="597" t="str">
        <f t="shared" si="60"/>
        <v>Sales</v>
      </c>
      <c r="F256" s="596"/>
      <c r="G256" s="596"/>
      <c r="H256" s="596"/>
      <c r="I256" s="995"/>
      <c r="J256" s="995"/>
      <c r="K256" s="995"/>
      <c r="L256" s="995"/>
      <c r="M256" s="995"/>
      <c r="N256" s="995"/>
      <c r="O256" s="995"/>
      <c r="P256" s="995"/>
      <c r="Q256" s="995"/>
      <c r="R256" s="995"/>
      <c r="S256" s="995"/>
      <c r="T256" s="995"/>
      <c r="U256" s="995"/>
      <c r="V256" s="995"/>
      <c r="W256" s="995"/>
      <c r="X256" s="995"/>
      <c r="Y256" s="995"/>
      <c r="Z256" s="995"/>
      <c r="AA256" s="995"/>
      <c r="AB256" s="995"/>
      <c r="AC256" s="995"/>
    </row>
    <row r="257" spans="1:30" outlineLevel="2" x14ac:dyDescent="0.45">
      <c r="B257" s="1129" t="str">
        <f t="shared" si="60"/>
        <v>Sales</v>
      </c>
      <c r="C257" s="451">
        <f>C248+1</f>
        <v>26</v>
      </c>
      <c r="D257" s="451" t="str">
        <f>D188</f>
        <v>New Sale Debtors (Rental Properties Sold to Occupants)</v>
      </c>
      <c r="F257" s="747" t="s">
        <v>1616</v>
      </c>
      <c r="G257" s="596"/>
      <c r="H257" s="596"/>
      <c r="I257" s="612"/>
      <c r="J257" s="612"/>
      <c r="K257" s="612"/>
      <c r="L257" s="612"/>
      <c r="M257" s="612"/>
      <c r="N257" s="612"/>
      <c r="O257" s="612"/>
      <c r="P257" s="612"/>
      <c r="Q257" s="612"/>
      <c r="R257" s="612"/>
      <c r="S257" s="612"/>
      <c r="T257" s="612"/>
      <c r="U257" s="612"/>
      <c r="V257" s="612"/>
      <c r="W257" s="612"/>
      <c r="X257" s="612"/>
      <c r="Y257" s="612"/>
      <c r="Z257" s="612"/>
      <c r="AA257" s="612"/>
      <c r="AB257" s="995"/>
      <c r="AC257" s="612"/>
      <c r="AD257" s="612"/>
    </row>
    <row r="258" spans="1:30" outlineLevel="2" x14ac:dyDescent="0.45">
      <c r="A258" s="1111"/>
      <c r="B258" s="1129" t="str">
        <f t="shared" si="60"/>
        <v>Sales</v>
      </c>
      <c r="D258" s="583" t="str">
        <f>'12. Inputs-Props &amp; Debtors 2016'!C$77</f>
        <v>EC</v>
      </c>
      <c r="G258" s="596"/>
      <c r="H258" s="596"/>
      <c r="I258" s="612">
        <f t="shared" ref="I258:K262" si="111">(I170+I134)*I51</f>
        <v>1596836.3487774553</v>
      </c>
      <c r="J258" s="612">
        <f t="shared" si="111"/>
        <v>1596836.3487774553</v>
      </c>
      <c r="K258" s="612">
        <f t="shared" si="111"/>
        <v>1596836.3487774553</v>
      </c>
      <c r="L258" s="612">
        <f>IF('5. Dashboard Live'!$AA$19='14. Permanent Info'!$M$7,('10. Inputs &amp; Calcs'!L204+'10. Inputs &amp; Calcs'!L222)*'10. Inputs &amp; Calcs'!L195,IF('5. Dashboard Live'!$AA$19='14. Permanent Info'!$N$7,('10. Inputs &amp; Calcs'!L204+'10. Inputs &amp; Calcs'!L222)*'10. Inputs &amp; Calcs'!L195,0))</f>
        <v>177426.2609752728</v>
      </c>
      <c r="M258" s="612">
        <f>IF('5. Dashboard Live'!$AA$19='14. Permanent Info'!$M$7,('10. Inputs &amp; Calcs'!M204+'10. Inputs &amp; Calcs'!M222)*'10. Inputs &amp; Calcs'!M195,IF('5. Dashboard Live'!$AA$19='14. Permanent Info'!$N$7,('10. Inputs &amp; Calcs'!M204+'10. Inputs &amp; Calcs'!M222)*'10. Inputs &amp; Calcs'!M195,0))</f>
        <v>177426.2609752728</v>
      </c>
      <c r="N258" s="612">
        <f>IF('5. Dashboard Live'!$AA$19='14. Permanent Info'!$M$7,('10. Inputs &amp; Calcs'!N204+'10. Inputs &amp; Calcs'!N222)*'10. Inputs &amp; Calcs'!N195,IF('5. Dashboard Live'!$AA$19='14. Permanent Info'!$N$7,('10. Inputs &amp; Calcs'!N204+'10. Inputs &amp; Calcs'!N222)*'10. Inputs &amp; Calcs'!N195,0))</f>
        <v>177426.2609752728</v>
      </c>
      <c r="O258" s="612">
        <f>IF('5. Dashboard Live'!$AA$19='14. Permanent Info'!$M$7,('10. Inputs &amp; Calcs'!O204+'10. Inputs &amp; Calcs'!O222)*'10. Inputs &amp; Calcs'!O195,IF('5. Dashboard Live'!$AA$19='14. Permanent Info'!$N$7,('10. Inputs &amp; Calcs'!O204+'10. Inputs &amp; Calcs'!O222)*'10. Inputs &amp; Calcs'!O195,0))</f>
        <v>177426.2609752728</v>
      </c>
      <c r="P258" s="612">
        <f>IF('5. Dashboard Live'!$AA$19='14. Permanent Info'!$M$7,('10. Inputs &amp; Calcs'!P204+'10. Inputs &amp; Calcs'!P222)*'10. Inputs &amp; Calcs'!P195,IF('5. Dashboard Live'!$AA$19='14. Permanent Info'!$N$7,('10. Inputs &amp; Calcs'!P204+'10. Inputs &amp; Calcs'!P222)*'10. Inputs &amp; Calcs'!P195,0))</f>
        <v>177426.2609752728</v>
      </c>
      <c r="Q258" s="612">
        <f>IF('5. Dashboard Live'!$AA$19='14. Permanent Info'!$M$7,('10. Inputs &amp; Calcs'!Q204+'10. Inputs &amp; Calcs'!Q222)*'10. Inputs &amp; Calcs'!Q195,IF('5. Dashboard Live'!$AA$19='14. Permanent Info'!$N$7,('10. Inputs &amp; Calcs'!Q204+'10. Inputs &amp; Calcs'!Q222)*'10. Inputs &amp; Calcs'!Q195,0))</f>
        <v>177426.2609752728</v>
      </c>
      <c r="R258" s="612">
        <f>IF('5. Dashboard Live'!$AA$19='14. Permanent Info'!$M$7,('10. Inputs &amp; Calcs'!R204+'10. Inputs &amp; Calcs'!R222)*'10. Inputs &amp; Calcs'!R195,IF('5. Dashboard Live'!$AA$19='14. Permanent Info'!$N$7,('10. Inputs &amp; Calcs'!R204+'10. Inputs &amp; Calcs'!R222)*'10. Inputs &amp; Calcs'!R195,0))</f>
        <v>177426.2609752728</v>
      </c>
      <c r="S258" s="612">
        <f>IF('5. Dashboard Live'!$AA$19='14. Permanent Info'!$M$7,('10. Inputs &amp; Calcs'!S204+'10. Inputs &amp; Calcs'!S222)*'10. Inputs &amp; Calcs'!S195,IF('5. Dashboard Live'!$AA$19='14. Permanent Info'!$N$7,('10. Inputs &amp; Calcs'!S204+'10. Inputs &amp; Calcs'!S222)*'10. Inputs &amp; Calcs'!S195,0))</f>
        <v>177426.2609752728</v>
      </c>
      <c r="T258" s="612">
        <f>IF('5. Dashboard Live'!$AA$19='14. Permanent Info'!$M$7,('10. Inputs &amp; Calcs'!T204+'10. Inputs &amp; Calcs'!T222)*'10. Inputs &amp; Calcs'!T195,IF('5. Dashboard Live'!$AA$19='14. Permanent Info'!$N$7,('10. Inputs &amp; Calcs'!T204+'10. Inputs &amp; Calcs'!T222)*'10. Inputs &amp; Calcs'!T195,0))</f>
        <v>177426.2609752728</v>
      </c>
      <c r="U258" s="612">
        <f>IF('5. Dashboard Live'!$AA$19='14. Permanent Info'!$M$7,('10. Inputs &amp; Calcs'!U204+'10. Inputs &amp; Calcs'!U222)*'10. Inputs &amp; Calcs'!U195,IF('5. Dashboard Live'!$AA$19='14. Permanent Info'!$N$7,('10. Inputs &amp; Calcs'!U204+'10. Inputs &amp; Calcs'!U222)*'10. Inputs &amp; Calcs'!U195,0))</f>
        <v>177426.2609752728</v>
      </c>
      <c r="V258" s="612">
        <f>IF('5. Dashboard Live'!$AA$19='14. Permanent Info'!$M$7,('10. Inputs &amp; Calcs'!V204+'10. Inputs &amp; Calcs'!V222)*'10. Inputs &amp; Calcs'!V195,IF('5. Dashboard Live'!$AA$19='14. Permanent Info'!$N$7,('10. Inputs &amp; Calcs'!V204+'10. Inputs &amp; Calcs'!V222)*'10. Inputs &amp; Calcs'!V195,0))</f>
        <v>177426.2609752728</v>
      </c>
      <c r="W258" s="612">
        <f>IF('5. Dashboard Live'!$AA$19='14. Permanent Info'!$M$7,('10. Inputs &amp; Calcs'!W204+'10. Inputs &amp; Calcs'!W222)*'10. Inputs &amp; Calcs'!W195,IF('5. Dashboard Live'!$AA$19='14. Permanent Info'!$N$7,('10. Inputs &amp; Calcs'!W204+'10. Inputs &amp; Calcs'!W222)*'10. Inputs &amp; Calcs'!W195,0))</f>
        <v>177426.2609752728</v>
      </c>
      <c r="X258" s="612">
        <f>IF('5. Dashboard Live'!$AA$19='14. Permanent Info'!$M$7,('10. Inputs &amp; Calcs'!X204+'10. Inputs &amp; Calcs'!X222)*'10. Inputs &amp; Calcs'!X195,IF('5. Dashboard Live'!$AA$19='14. Permanent Info'!$N$7,('10. Inputs &amp; Calcs'!X204+'10. Inputs &amp; Calcs'!X222)*'10. Inputs &amp; Calcs'!X195,0))</f>
        <v>177426.2609752728</v>
      </c>
      <c r="Y258" s="612">
        <f>IF('5. Dashboard Live'!$AA$19='14. Permanent Info'!$M$7,('10. Inputs &amp; Calcs'!Y204+'10. Inputs &amp; Calcs'!Y222)*'10. Inputs &amp; Calcs'!Y195,IF('5. Dashboard Live'!$AA$19='14. Permanent Info'!$N$7,('10. Inputs &amp; Calcs'!Y204+'10. Inputs &amp; Calcs'!Y222)*'10. Inputs &amp; Calcs'!Y195,0))</f>
        <v>177426.2609752728</v>
      </c>
      <c r="Z258" s="612">
        <f>IF('5. Dashboard Live'!$AA$19='14. Permanent Info'!$M$7,('10. Inputs &amp; Calcs'!Z204+'10. Inputs &amp; Calcs'!Z222)*'10. Inputs &amp; Calcs'!Z195,IF('5. Dashboard Live'!$AA$19='14. Permanent Info'!$N$7,('10. Inputs &amp; Calcs'!Z204+'10. Inputs &amp; Calcs'!Z222)*'10. Inputs &amp; Calcs'!Z195,0))</f>
        <v>177426.2609752728</v>
      </c>
      <c r="AA258" s="612">
        <f>IF('5. Dashboard Live'!$AA$19='14. Permanent Info'!$M$7,('10. Inputs &amp; Calcs'!AA204+'10. Inputs &amp; Calcs'!AA222)*'10. Inputs &amp; Calcs'!AA195,IF('5. Dashboard Live'!$AA$19='14. Permanent Info'!$N$7,('10. Inputs &amp; Calcs'!AA204+'10. Inputs &amp; Calcs'!AA222)*'10. Inputs &amp; Calcs'!AA195,0))</f>
        <v>177426.2609752728</v>
      </c>
      <c r="AB258" s="612">
        <f>IF('5. Dashboard Live'!$AA$19='14. Permanent Info'!$M$7,('10. Inputs &amp; Calcs'!AB204+'10. Inputs &amp; Calcs'!AB222)*'10. Inputs &amp; Calcs'!AB195,IF('5. Dashboard Live'!$AA$19='14. Permanent Info'!$N$7,('10. Inputs &amp; Calcs'!AB204+'10. Inputs &amp; Calcs'!AB222)*'10. Inputs &amp; Calcs'!AB195,0))</f>
        <v>354852.5219505456</v>
      </c>
      <c r="AC258" s="612">
        <f>IF('5. Dashboard Live'!$AA$19='14. Permanent Info'!$M$7,('10. Inputs &amp; Calcs'!AC204+'10. Inputs &amp; Calcs'!AC222)*'10. Inputs &amp; Calcs'!AC195,IF('5. Dashboard Live'!$AA$19='14. Permanent Info'!$N$7,('10. Inputs &amp; Calcs'!AC204+'10. Inputs &amp; Calcs'!AC222)*'10. Inputs &amp; Calcs'!AC195,0))</f>
        <v>0</v>
      </c>
      <c r="AD258" s="612">
        <f>SUM(I258:AC258)</f>
        <v>7984181.7438872699</v>
      </c>
    </row>
    <row r="259" spans="1:30" outlineLevel="2" x14ac:dyDescent="0.45">
      <c r="A259" s="1111"/>
      <c r="B259" s="1129" t="str">
        <f t="shared" si="60"/>
        <v>Sales</v>
      </c>
      <c r="D259" s="583" t="str">
        <f>'12. Inputs-Props &amp; Debtors 2016'!C$78</f>
        <v>FS</v>
      </c>
      <c r="F259" s="596"/>
      <c r="G259" s="596"/>
      <c r="H259" s="596"/>
      <c r="I259" s="612">
        <f t="shared" ca="1" si="111"/>
        <v>109575.9</v>
      </c>
      <c r="J259" s="612">
        <f t="shared" ca="1" si="111"/>
        <v>109575.9</v>
      </c>
      <c r="K259" s="612">
        <f t="shared" ca="1" si="111"/>
        <v>109575.9</v>
      </c>
      <c r="L259" s="612">
        <f ca="1">IF('5. Dashboard Live'!$AA$19='14. Permanent Info'!$M$7,('10. Inputs &amp; Calcs'!L205+'10. Inputs &amp; Calcs'!L223)*'10. Inputs &amp; Calcs'!L196,IF('5. Dashboard Live'!$AA$19='14. Permanent Info'!$N$7,('10. Inputs &amp; Calcs'!L205+'10. Inputs &amp; Calcs'!L223)*'10. Inputs &amp; Calcs'!L196,0))</f>
        <v>109575.9</v>
      </c>
      <c r="M259" s="612">
        <f ca="1">IF('5. Dashboard Live'!$AA$19='14. Permanent Info'!$M$7,('10. Inputs &amp; Calcs'!M205+'10. Inputs &amp; Calcs'!M223)*'10. Inputs &amp; Calcs'!M196,IF('5. Dashboard Live'!$AA$19='14. Permanent Info'!$N$7,('10. Inputs &amp; Calcs'!M205+'10. Inputs &amp; Calcs'!M223)*'10. Inputs &amp; Calcs'!M196,0))</f>
        <v>109575.9</v>
      </c>
      <c r="N259" s="612">
        <f ca="1">IF('5. Dashboard Live'!$AA$19='14. Permanent Info'!$M$7,('10. Inputs &amp; Calcs'!N205+'10. Inputs &amp; Calcs'!N223)*'10. Inputs &amp; Calcs'!N196,IF('5. Dashboard Live'!$AA$19='14. Permanent Info'!$N$7,('10. Inputs &amp; Calcs'!N205+'10. Inputs &amp; Calcs'!N223)*'10. Inputs &amp; Calcs'!N196,0))</f>
        <v>109575.9</v>
      </c>
      <c r="O259" s="612">
        <f ca="1">IF('5. Dashboard Live'!$AA$19='14. Permanent Info'!$M$7,('10. Inputs &amp; Calcs'!O205+'10. Inputs &amp; Calcs'!O223)*'10. Inputs &amp; Calcs'!O196,IF('5. Dashboard Live'!$AA$19='14. Permanent Info'!$N$7,('10. Inputs &amp; Calcs'!O205+'10. Inputs &amp; Calcs'!O223)*'10. Inputs &amp; Calcs'!O196,0))</f>
        <v>109575.9</v>
      </c>
      <c r="P259" s="612">
        <f ca="1">IF('5. Dashboard Live'!$AA$19='14. Permanent Info'!$M$7,('10. Inputs &amp; Calcs'!P205+'10. Inputs &amp; Calcs'!P223)*'10. Inputs &amp; Calcs'!P196,IF('5. Dashboard Live'!$AA$19='14. Permanent Info'!$N$7,('10. Inputs &amp; Calcs'!P205+'10. Inputs &amp; Calcs'!P223)*'10. Inputs &amp; Calcs'!P196,0))</f>
        <v>109575.9</v>
      </c>
      <c r="Q259" s="612">
        <f ca="1">IF('5. Dashboard Live'!$AA$19='14. Permanent Info'!$M$7,('10. Inputs &amp; Calcs'!Q205+'10. Inputs &amp; Calcs'!Q223)*'10. Inputs &amp; Calcs'!Q196,IF('5. Dashboard Live'!$AA$19='14. Permanent Info'!$N$7,('10. Inputs &amp; Calcs'!Q205+'10. Inputs &amp; Calcs'!Q223)*'10. Inputs &amp; Calcs'!Q196,0))</f>
        <v>109575.9</v>
      </c>
      <c r="R259" s="612">
        <f ca="1">IF('5. Dashboard Live'!$AA$19='14. Permanent Info'!$M$7,('10. Inputs &amp; Calcs'!R205+'10. Inputs &amp; Calcs'!R223)*'10. Inputs &amp; Calcs'!R196,IF('5. Dashboard Live'!$AA$19='14. Permanent Info'!$N$7,('10. Inputs &amp; Calcs'!R205+'10. Inputs &amp; Calcs'!R223)*'10. Inputs &amp; Calcs'!R196,0))</f>
        <v>109575.9</v>
      </c>
      <c r="S259" s="612">
        <f ca="1">IF('5. Dashboard Live'!$AA$19='14. Permanent Info'!$M$7,('10. Inputs &amp; Calcs'!S205+'10. Inputs &amp; Calcs'!S223)*'10. Inputs &amp; Calcs'!S196,IF('5. Dashboard Live'!$AA$19='14. Permanent Info'!$N$7,('10. Inputs &amp; Calcs'!S205+'10. Inputs &amp; Calcs'!S223)*'10. Inputs &amp; Calcs'!S196,0))</f>
        <v>109575.9</v>
      </c>
      <c r="T259" s="612">
        <f ca="1">IF('5. Dashboard Live'!$AA$19='14. Permanent Info'!$M$7,('10. Inputs &amp; Calcs'!T205+'10. Inputs &amp; Calcs'!T223)*'10. Inputs &amp; Calcs'!T196,IF('5. Dashboard Live'!$AA$19='14. Permanent Info'!$N$7,('10. Inputs &amp; Calcs'!T205+'10. Inputs &amp; Calcs'!T223)*'10. Inputs &amp; Calcs'!T196,0))</f>
        <v>109575.9</v>
      </c>
      <c r="U259" s="612">
        <f ca="1">IF('5. Dashboard Live'!$AA$19='14. Permanent Info'!$M$7,('10. Inputs &amp; Calcs'!U205+'10. Inputs &amp; Calcs'!U223)*'10. Inputs &amp; Calcs'!U196,IF('5. Dashboard Live'!$AA$19='14. Permanent Info'!$N$7,('10. Inputs &amp; Calcs'!U205+'10. Inputs &amp; Calcs'!U223)*'10. Inputs &amp; Calcs'!U196,0))</f>
        <v>109575.9</v>
      </c>
      <c r="V259" s="612">
        <f ca="1">IF('5. Dashboard Live'!$AA$19='14. Permanent Info'!$M$7,('10. Inputs &amp; Calcs'!V205+'10. Inputs &amp; Calcs'!V223)*'10. Inputs &amp; Calcs'!V196,IF('5. Dashboard Live'!$AA$19='14. Permanent Info'!$N$7,('10. Inputs &amp; Calcs'!V205+'10. Inputs &amp; Calcs'!V223)*'10. Inputs &amp; Calcs'!V196,0))</f>
        <v>109575.9</v>
      </c>
      <c r="W259" s="612">
        <f ca="1">IF('5. Dashboard Live'!$AA$19='14. Permanent Info'!$M$7,('10. Inputs &amp; Calcs'!W205+'10. Inputs &amp; Calcs'!W223)*'10. Inputs &amp; Calcs'!W196,IF('5. Dashboard Live'!$AA$19='14. Permanent Info'!$N$7,('10. Inputs &amp; Calcs'!W205+'10. Inputs &amp; Calcs'!W223)*'10. Inputs &amp; Calcs'!W196,0))</f>
        <v>109575.9</v>
      </c>
      <c r="X259" s="612">
        <f ca="1">IF('5. Dashboard Live'!$AA$19='14. Permanent Info'!$M$7,('10. Inputs &amp; Calcs'!X205+'10. Inputs &amp; Calcs'!X223)*'10. Inputs &amp; Calcs'!X196,IF('5. Dashboard Live'!$AA$19='14. Permanent Info'!$N$7,('10. Inputs &amp; Calcs'!X205+'10. Inputs &amp; Calcs'!X223)*'10. Inputs &amp; Calcs'!X196,0))</f>
        <v>109575.9</v>
      </c>
      <c r="Y259" s="612">
        <f ca="1">IF('5. Dashboard Live'!$AA$19='14. Permanent Info'!$M$7,('10. Inputs &amp; Calcs'!Y205+'10. Inputs &amp; Calcs'!Y223)*'10. Inputs &amp; Calcs'!Y196,IF('5. Dashboard Live'!$AA$19='14. Permanent Info'!$N$7,('10. Inputs &amp; Calcs'!Y205+'10. Inputs &amp; Calcs'!Y223)*'10. Inputs &amp; Calcs'!Y196,0))</f>
        <v>109575.9</v>
      </c>
      <c r="Z259" s="612">
        <f ca="1">IF('5. Dashboard Live'!$AA$19='14. Permanent Info'!$M$7,('10. Inputs &amp; Calcs'!Z205+'10. Inputs &amp; Calcs'!Z223)*'10. Inputs &amp; Calcs'!Z196,IF('5. Dashboard Live'!$AA$19='14. Permanent Info'!$N$7,('10. Inputs &amp; Calcs'!Z205+'10. Inputs &amp; Calcs'!Z223)*'10. Inputs &amp; Calcs'!Z196,0))</f>
        <v>109575.9</v>
      </c>
      <c r="AA259" s="612">
        <f ca="1">IF('5. Dashboard Live'!$AA$19='14. Permanent Info'!$M$7,('10. Inputs &amp; Calcs'!AA205+'10. Inputs &amp; Calcs'!AA223)*'10. Inputs &amp; Calcs'!AA196,IF('5. Dashboard Live'!$AA$19='14. Permanent Info'!$N$7,('10. Inputs &amp; Calcs'!AA205+'10. Inputs &amp; Calcs'!AA223)*'10. Inputs &amp; Calcs'!AA196,0))</f>
        <v>109575.9</v>
      </c>
      <c r="AB259" s="612">
        <f ca="1">IF('5. Dashboard Live'!$AA$19='14. Permanent Info'!$M$7,('10. Inputs &amp; Calcs'!AB205+'10. Inputs &amp; Calcs'!AB223)*'10. Inputs &amp; Calcs'!AB196,IF('5. Dashboard Live'!$AA$19='14. Permanent Info'!$N$7,('10. Inputs &amp; Calcs'!AB205+'10. Inputs &amp; Calcs'!AB223)*'10. Inputs &amp; Calcs'!AB196,0))</f>
        <v>547879.5</v>
      </c>
      <c r="AC259" s="612">
        <f ca="1">IF('5. Dashboard Live'!$AA$19='14. Permanent Info'!$M$7,('10. Inputs &amp; Calcs'!AC205+'10. Inputs &amp; Calcs'!AC223)*'10. Inputs &amp; Calcs'!AC196,IF('5. Dashboard Live'!$AA$19='14. Permanent Info'!$N$7,('10. Inputs &amp; Calcs'!AC205+'10. Inputs &amp; Calcs'!AC223)*'10. Inputs &amp; Calcs'!AC196,0))</f>
        <v>0</v>
      </c>
      <c r="AD259" s="612">
        <f ca="1">SUM(I259:AC259)</f>
        <v>2629821.5999999992</v>
      </c>
    </row>
    <row r="260" spans="1:30" outlineLevel="2" x14ac:dyDescent="0.45">
      <c r="A260" s="1111"/>
      <c r="B260" s="1129" t="str">
        <f t="shared" si="60"/>
        <v>Sales</v>
      </c>
      <c r="D260" s="583" t="str">
        <f>'12. Inputs-Props &amp; Debtors 2016'!C$79</f>
        <v>Gau</v>
      </c>
      <c r="F260" s="596"/>
      <c r="G260" s="596"/>
      <c r="H260" s="596"/>
      <c r="I260" s="612">
        <f t="shared" ca="1" si="111"/>
        <v>14481391.402418166</v>
      </c>
      <c r="J260" s="612">
        <f t="shared" ca="1" si="111"/>
        <v>14481391.402418166</v>
      </c>
      <c r="K260" s="612">
        <f t="shared" ca="1" si="111"/>
        <v>14481391.402418166</v>
      </c>
      <c r="L260" s="612">
        <f ca="1">IF('5. Dashboard Live'!$AA$19='14. Permanent Info'!$M$7,('10. Inputs &amp; Calcs'!L206+'10. Inputs &amp; Calcs'!L224)*'10. Inputs &amp; Calcs'!L197,IF('5. Dashboard Live'!$AA$19='14. Permanent Info'!$N$7,('10. Inputs &amp; Calcs'!L206+'10. Inputs &amp; Calcs'!L224)*'10. Inputs &amp; Calcs'!L197,0))</f>
        <v>15162868.644884905</v>
      </c>
      <c r="M260" s="612">
        <f ca="1">IF('5. Dashboard Live'!$AA$19='14. Permanent Info'!$M$7,('10. Inputs &amp; Calcs'!M206+'10. Inputs &amp; Calcs'!M224)*'10. Inputs &amp; Calcs'!M197,IF('5. Dashboard Live'!$AA$19='14. Permanent Info'!$N$7,('10. Inputs &amp; Calcs'!M206+'10. Inputs &amp; Calcs'!M224)*'10. Inputs &amp; Calcs'!M197,0))</f>
        <v>15162868.644884905</v>
      </c>
      <c r="N260" s="612">
        <f ca="1">IF('5. Dashboard Live'!$AA$19='14. Permanent Info'!$M$7,('10. Inputs &amp; Calcs'!N206+'10. Inputs &amp; Calcs'!N224)*'10. Inputs &amp; Calcs'!N197,IF('5. Dashboard Live'!$AA$19='14. Permanent Info'!$N$7,('10. Inputs &amp; Calcs'!N206+'10. Inputs &amp; Calcs'!N224)*'10. Inputs &amp; Calcs'!N197,0))</f>
        <v>15162868.644884905</v>
      </c>
      <c r="O260" s="612">
        <f ca="1">IF('5. Dashboard Live'!$AA$19='14. Permanent Info'!$M$7,('10. Inputs &amp; Calcs'!O206+'10. Inputs &amp; Calcs'!O224)*'10. Inputs &amp; Calcs'!O197,IF('5. Dashboard Live'!$AA$19='14. Permanent Info'!$N$7,('10. Inputs &amp; Calcs'!O206+'10. Inputs &amp; Calcs'!O224)*'10. Inputs &amp; Calcs'!O197,0))</f>
        <v>15162868.644884905</v>
      </c>
      <c r="P260" s="612">
        <f ca="1">IF('5. Dashboard Live'!$AA$19='14. Permanent Info'!$M$7,('10. Inputs &amp; Calcs'!P206+'10. Inputs &amp; Calcs'!P224)*'10. Inputs &amp; Calcs'!P197,IF('5. Dashboard Live'!$AA$19='14. Permanent Info'!$N$7,('10. Inputs &amp; Calcs'!P206+'10. Inputs &amp; Calcs'!P224)*'10. Inputs &amp; Calcs'!P197,0))</f>
        <v>15162868.644884905</v>
      </c>
      <c r="Q260" s="612">
        <f ca="1">IF('5. Dashboard Live'!$AA$19='14. Permanent Info'!$M$7,('10. Inputs &amp; Calcs'!Q206+'10. Inputs &amp; Calcs'!Q224)*'10. Inputs &amp; Calcs'!Q197,IF('5. Dashboard Live'!$AA$19='14. Permanent Info'!$N$7,('10. Inputs &amp; Calcs'!Q206+'10. Inputs &amp; Calcs'!Q224)*'10. Inputs &amp; Calcs'!Q197,0))</f>
        <v>15162868.644884905</v>
      </c>
      <c r="R260" s="612">
        <f ca="1">IF('5. Dashboard Live'!$AA$19='14. Permanent Info'!$M$7,('10. Inputs &amp; Calcs'!R206+'10. Inputs &amp; Calcs'!R224)*'10. Inputs &amp; Calcs'!R197,IF('5. Dashboard Live'!$AA$19='14. Permanent Info'!$N$7,('10. Inputs &amp; Calcs'!R206+'10. Inputs &amp; Calcs'!R224)*'10. Inputs &amp; Calcs'!R197,0))</f>
        <v>15162868.644884905</v>
      </c>
      <c r="S260" s="612">
        <f ca="1">IF('5. Dashboard Live'!$AA$19='14. Permanent Info'!$M$7,('10. Inputs &amp; Calcs'!S206+'10. Inputs &amp; Calcs'!S224)*'10. Inputs &amp; Calcs'!S197,IF('5. Dashboard Live'!$AA$19='14. Permanent Info'!$N$7,('10. Inputs &amp; Calcs'!S206+'10. Inputs &amp; Calcs'!S224)*'10. Inputs &amp; Calcs'!S197,0))</f>
        <v>15162868.644884905</v>
      </c>
      <c r="T260" s="612">
        <f ca="1">IF('5. Dashboard Live'!$AA$19='14. Permanent Info'!$M$7,('10. Inputs &amp; Calcs'!T206+'10. Inputs &amp; Calcs'!T224)*'10. Inputs &amp; Calcs'!T197,IF('5. Dashboard Live'!$AA$19='14. Permanent Info'!$N$7,('10. Inputs &amp; Calcs'!T206+'10. Inputs &amp; Calcs'!T224)*'10. Inputs &amp; Calcs'!T197,0))</f>
        <v>15162868.644884905</v>
      </c>
      <c r="U260" s="612">
        <f ca="1">IF('5. Dashboard Live'!$AA$19='14. Permanent Info'!$M$7,('10. Inputs &amp; Calcs'!U206+'10. Inputs &amp; Calcs'!U224)*'10. Inputs &amp; Calcs'!U197,IF('5. Dashboard Live'!$AA$19='14. Permanent Info'!$N$7,('10. Inputs &amp; Calcs'!U206+'10. Inputs &amp; Calcs'!U224)*'10. Inputs &amp; Calcs'!U197,0))</f>
        <v>15162868.644884905</v>
      </c>
      <c r="V260" s="612">
        <f ca="1">IF('5. Dashboard Live'!$AA$19='14. Permanent Info'!$M$7,('10. Inputs &amp; Calcs'!V206+'10. Inputs &amp; Calcs'!V224)*'10. Inputs &amp; Calcs'!V197,IF('5. Dashboard Live'!$AA$19='14. Permanent Info'!$N$7,('10. Inputs &amp; Calcs'!V206+'10. Inputs &amp; Calcs'!V224)*'10. Inputs &amp; Calcs'!V197,0))</f>
        <v>15162868.644884905</v>
      </c>
      <c r="W260" s="612">
        <f ca="1">IF('5. Dashboard Live'!$AA$19='14. Permanent Info'!$M$7,('10. Inputs &amp; Calcs'!W206+'10. Inputs &amp; Calcs'!W224)*'10. Inputs &amp; Calcs'!W197,IF('5. Dashboard Live'!$AA$19='14. Permanent Info'!$N$7,('10. Inputs &amp; Calcs'!W206+'10. Inputs &amp; Calcs'!W224)*'10. Inputs &amp; Calcs'!W197,0))</f>
        <v>15162868.644884905</v>
      </c>
      <c r="X260" s="612">
        <f ca="1">IF('5. Dashboard Live'!$AA$19='14. Permanent Info'!$M$7,('10. Inputs &amp; Calcs'!X206+'10. Inputs &amp; Calcs'!X224)*'10. Inputs &amp; Calcs'!X197,IF('5. Dashboard Live'!$AA$19='14. Permanent Info'!$N$7,('10. Inputs &amp; Calcs'!X206+'10. Inputs &amp; Calcs'!X224)*'10. Inputs &amp; Calcs'!X197,0))</f>
        <v>15162868.644884905</v>
      </c>
      <c r="Y260" s="612">
        <f ca="1">IF('5. Dashboard Live'!$AA$19='14. Permanent Info'!$M$7,('10. Inputs &amp; Calcs'!Y206+'10. Inputs &amp; Calcs'!Y224)*'10. Inputs &amp; Calcs'!Y197,IF('5. Dashboard Live'!$AA$19='14. Permanent Info'!$N$7,('10. Inputs &amp; Calcs'!Y206+'10. Inputs &amp; Calcs'!Y224)*'10. Inputs &amp; Calcs'!Y197,0))</f>
        <v>15162868.644884905</v>
      </c>
      <c r="Z260" s="612">
        <f ca="1">IF('5. Dashboard Live'!$AA$19='14. Permanent Info'!$M$7,('10. Inputs &amp; Calcs'!Z206+'10. Inputs &amp; Calcs'!Z224)*'10. Inputs &amp; Calcs'!Z197,IF('5. Dashboard Live'!$AA$19='14. Permanent Info'!$N$7,('10. Inputs &amp; Calcs'!Z206+'10. Inputs &amp; Calcs'!Z224)*'10. Inputs &amp; Calcs'!Z197,0))</f>
        <v>15162868.644884905</v>
      </c>
      <c r="AA260" s="612">
        <f ca="1">IF('5. Dashboard Live'!$AA$19='14. Permanent Info'!$M$7,('10. Inputs &amp; Calcs'!AA206+'10. Inputs &amp; Calcs'!AA224)*'10. Inputs &amp; Calcs'!AA197,IF('5. Dashboard Live'!$AA$19='14. Permanent Info'!$N$7,('10. Inputs &amp; Calcs'!AA206+'10. Inputs &amp; Calcs'!AA224)*'10. Inputs &amp; Calcs'!AA197,0))</f>
        <v>15162868.644884905</v>
      </c>
      <c r="AB260" s="612">
        <f ca="1">IF('5. Dashboard Live'!$AA$19='14. Permanent Info'!$M$7,('10. Inputs &amp; Calcs'!AB206+'10. Inputs &amp; Calcs'!AB224)*'10. Inputs &amp; Calcs'!AB197,IF('5. Dashboard Live'!$AA$19='14. Permanent Info'!$N$7,('10. Inputs &amp; Calcs'!AB206+'10. Inputs &amp; Calcs'!AB224)*'10. Inputs &amp; Calcs'!AB197,0))</f>
        <v>2555539.659250265</v>
      </c>
      <c r="AC260" s="612">
        <f ca="1">IF('5. Dashboard Live'!$AA$19='14. Permanent Info'!$M$7,('10. Inputs &amp; Calcs'!AC206+'10. Inputs &amp; Calcs'!AC224)*'10. Inputs &amp; Calcs'!AC197,IF('5. Dashboard Live'!$AA$19='14. Permanent Info'!$N$7,('10. Inputs &amp; Calcs'!AC206+'10. Inputs &amp; Calcs'!AC224)*'10. Inputs &amp; Calcs'!AC197,0))</f>
        <v>0</v>
      </c>
      <c r="AD260" s="612">
        <f ca="1">SUM(I260:AC260)</f>
        <v>288605612.1846633</v>
      </c>
    </row>
    <row r="261" spans="1:30" outlineLevel="2" x14ac:dyDescent="0.45">
      <c r="A261" s="1111"/>
      <c r="B261" s="1129" t="str">
        <f t="shared" si="60"/>
        <v>Sales</v>
      </c>
      <c r="D261" s="583" t="str">
        <f>'12. Inputs-Props &amp; Debtors 2016'!C$80</f>
        <v>KZN</v>
      </c>
      <c r="F261" s="596"/>
      <c r="G261" s="596"/>
      <c r="H261" s="596"/>
      <c r="I261" s="612">
        <f t="shared" ca="1" si="111"/>
        <v>28474614.691208225</v>
      </c>
      <c r="J261" s="612">
        <f t="shared" ca="1" si="111"/>
        <v>28474614.691208225</v>
      </c>
      <c r="K261" s="612">
        <f t="shared" ca="1" si="111"/>
        <v>28474614.691208225</v>
      </c>
      <c r="L261" s="612">
        <f ca="1">IF('5. Dashboard Live'!$AA$19='14. Permanent Info'!$M$7,('10. Inputs &amp; Calcs'!L207+'10. Inputs &amp; Calcs'!L225)*'10. Inputs &amp; Calcs'!L198,IF('5. Dashboard Live'!$AA$19='14. Permanent Info'!$N$7,('10. Inputs &amp; Calcs'!L207+'10. Inputs &amp; Calcs'!L225)*'10. Inputs &amp; Calcs'!L198,0))</f>
        <v>12457643.927403599</v>
      </c>
      <c r="M261" s="612">
        <f ca="1">IF('5. Dashboard Live'!$AA$19='14. Permanent Info'!$M$7,('10. Inputs &amp; Calcs'!M207+'10. Inputs &amp; Calcs'!M225)*'10. Inputs &amp; Calcs'!M198,IF('5. Dashboard Live'!$AA$19='14. Permanent Info'!$N$7,('10. Inputs &amp; Calcs'!M207+'10. Inputs &amp; Calcs'!M225)*'10. Inputs &amp; Calcs'!M198,0))</f>
        <v>12457643.927403599</v>
      </c>
      <c r="N261" s="612">
        <f ca="1">IF('5. Dashboard Live'!$AA$19='14. Permanent Info'!$M$7,('10. Inputs &amp; Calcs'!N207+'10. Inputs &amp; Calcs'!N225)*'10. Inputs &amp; Calcs'!N198,IF('5. Dashboard Live'!$AA$19='14. Permanent Info'!$N$7,('10. Inputs &amp; Calcs'!N207+'10. Inputs &amp; Calcs'!N225)*'10. Inputs &amp; Calcs'!N198,0))</f>
        <v>12457643.927403599</v>
      </c>
      <c r="O261" s="612">
        <f ca="1">IF('5. Dashboard Live'!$AA$19='14. Permanent Info'!$M$7,('10. Inputs &amp; Calcs'!O207+'10. Inputs &amp; Calcs'!O225)*'10. Inputs &amp; Calcs'!O198,IF('5. Dashboard Live'!$AA$19='14. Permanent Info'!$N$7,('10. Inputs &amp; Calcs'!O207+'10. Inputs &amp; Calcs'!O225)*'10. Inputs &amp; Calcs'!O198,0))</f>
        <v>12457643.927403599</v>
      </c>
      <c r="P261" s="612">
        <f ca="1">IF('5. Dashboard Live'!$AA$19='14. Permanent Info'!$M$7,('10. Inputs &amp; Calcs'!P207+'10. Inputs &amp; Calcs'!P225)*'10. Inputs &amp; Calcs'!P198,IF('5. Dashboard Live'!$AA$19='14. Permanent Info'!$N$7,('10. Inputs &amp; Calcs'!P207+'10. Inputs &amp; Calcs'!P225)*'10. Inputs &amp; Calcs'!P198,0))</f>
        <v>12457643.927403599</v>
      </c>
      <c r="Q261" s="612">
        <f ca="1">IF('5. Dashboard Live'!$AA$19='14. Permanent Info'!$M$7,('10. Inputs &amp; Calcs'!Q207+'10. Inputs &amp; Calcs'!Q225)*'10. Inputs &amp; Calcs'!Q198,IF('5. Dashboard Live'!$AA$19='14. Permanent Info'!$N$7,('10. Inputs &amp; Calcs'!Q207+'10. Inputs &amp; Calcs'!Q225)*'10. Inputs &amp; Calcs'!Q198,0))</f>
        <v>12457643.927403599</v>
      </c>
      <c r="R261" s="612">
        <f ca="1">IF('5. Dashboard Live'!$AA$19='14. Permanent Info'!$M$7,('10. Inputs &amp; Calcs'!R207+'10. Inputs &amp; Calcs'!R225)*'10. Inputs &amp; Calcs'!R198,IF('5. Dashboard Live'!$AA$19='14. Permanent Info'!$N$7,('10. Inputs &amp; Calcs'!R207+'10. Inputs &amp; Calcs'!R225)*'10. Inputs &amp; Calcs'!R198,0))</f>
        <v>12457643.927403599</v>
      </c>
      <c r="S261" s="612">
        <f ca="1">IF('5. Dashboard Live'!$AA$19='14. Permanent Info'!$M$7,('10. Inputs &amp; Calcs'!S207+'10. Inputs &amp; Calcs'!S225)*'10. Inputs &amp; Calcs'!S198,IF('5. Dashboard Live'!$AA$19='14. Permanent Info'!$N$7,('10. Inputs &amp; Calcs'!S207+'10. Inputs &amp; Calcs'!S225)*'10. Inputs &amp; Calcs'!S198,0))</f>
        <v>12457643.927403599</v>
      </c>
      <c r="T261" s="612">
        <f ca="1">IF('5. Dashboard Live'!$AA$19='14. Permanent Info'!$M$7,('10. Inputs &amp; Calcs'!T207+'10. Inputs &amp; Calcs'!T225)*'10. Inputs &amp; Calcs'!T198,IF('5. Dashboard Live'!$AA$19='14. Permanent Info'!$N$7,('10. Inputs &amp; Calcs'!T207+'10. Inputs &amp; Calcs'!T225)*'10. Inputs &amp; Calcs'!T198,0))</f>
        <v>12457643.927403599</v>
      </c>
      <c r="U261" s="612">
        <f ca="1">IF('5. Dashboard Live'!$AA$19='14. Permanent Info'!$M$7,('10. Inputs &amp; Calcs'!U207+'10. Inputs &amp; Calcs'!U225)*'10. Inputs &amp; Calcs'!U198,IF('5. Dashboard Live'!$AA$19='14. Permanent Info'!$N$7,('10. Inputs &amp; Calcs'!U207+'10. Inputs &amp; Calcs'!U225)*'10. Inputs &amp; Calcs'!U198,0))</f>
        <v>12457643.927403599</v>
      </c>
      <c r="V261" s="612">
        <f ca="1">IF('5. Dashboard Live'!$AA$19='14. Permanent Info'!$M$7,('10. Inputs &amp; Calcs'!V207+'10. Inputs &amp; Calcs'!V225)*'10. Inputs &amp; Calcs'!V198,IF('5. Dashboard Live'!$AA$19='14. Permanent Info'!$N$7,('10. Inputs &amp; Calcs'!V207+'10. Inputs &amp; Calcs'!V225)*'10. Inputs &amp; Calcs'!V198,0))</f>
        <v>12457643.927403599</v>
      </c>
      <c r="W261" s="612">
        <f ca="1">IF('5. Dashboard Live'!$AA$19='14. Permanent Info'!$M$7,('10. Inputs &amp; Calcs'!W207+'10. Inputs &amp; Calcs'!W225)*'10. Inputs &amp; Calcs'!W198,IF('5. Dashboard Live'!$AA$19='14. Permanent Info'!$N$7,('10. Inputs &amp; Calcs'!W207+'10. Inputs &amp; Calcs'!W225)*'10. Inputs &amp; Calcs'!W198,0))</f>
        <v>12457643.927403599</v>
      </c>
      <c r="X261" s="612">
        <f ca="1">IF('5. Dashboard Live'!$AA$19='14. Permanent Info'!$M$7,('10. Inputs &amp; Calcs'!X207+'10. Inputs &amp; Calcs'!X225)*'10. Inputs &amp; Calcs'!X198,IF('5. Dashboard Live'!$AA$19='14. Permanent Info'!$N$7,('10. Inputs &amp; Calcs'!X207+'10. Inputs &amp; Calcs'!X225)*'10. Inputs &amp; Calcs'!X198,0))</f>
        <v>12457643.927403599</v>
      </c>
      <c r="Y261" s="612">
        <f ca="1">IF('5. Dashboard Live'!$AA$19='14. Permanent Info'!$M$7,('10. Inputs &amp; Calcs'!Y207+'10. Inputs &amp; Calcs'!Y225)*'10. Inputs &amp; Calcs'!Y198,IF('5. Dashboard Live'!$AA$19='14. Permanent Info'!$N$7,('10. Inputs &amp; Calcs'!Y207+'10. Inputs &amp; Calcs'!Y225)*'10. Inputs &amp; Calcs'!Y198,0))</f>
        <v>12457643.927403599</v>
      </c>
      <c r="Z261" s="612">
        <f ca="1">IF('5. Dashboard Live'!$AA$19='14. Permanent Info'!$M$7,('10. Inputs &amp; Calcs'!Z207+'10. Inputs &amp; Calcs'!Z225)*'10. Inputs &amp; Calcs'!Z198,IF('5. Dashboard Live'!$AA$19='14. Permanent Info'!$N$7,('10. Inputs &amp; Calcs'!Z207+'10. Inputs &amp; Calcs'!Z225)*'10. Inputs &amp; Calcs'!Z198,0))</f>
        <v>12457643.927403599</v>
      </c>
      <c r="AA261" s="612">
        <f ca="1">IF('5. Dashboard Live'!$AA$19='14. Permanent Info'!$M$7,('10. Inputs &amp; Calcs'!AA207+'10. Inputs &amp; Calcs'!AA225)*'10. Inputs &amp; Calcs'!AA198,IF('5. Dashboard Live'!$AA$19='14. Permanent Info'!$N$7,('10. Inputs &amp; Calcs'!AA207+'10. Inputs &amp; Calcs'!AA225)*'10. Inputs &amp; Calcs'!AA198,0))</f>
        <v>12457643.927403599</v>
      </c>
      <c r="AB261" s="612">
        <f ca="1">IF('5. Dashboard Live'!$AA$19='14. Permanent Info'!$M$7,('10. Inputs &amp; Calcs'!AB207+'10. Inputs &amp; Calcs'!AB225)*'10. Inputs &amp; Calcs'!AB198,IF('5. Dashboard Live'!$AA$19='14. Permanent Info'!$N$7,('10. Inputs &amp; Calcs'!AB207+'10. Inputs &amp; Calcs'!AB225)*'10. Inputs &amp; Calcs'!AB198,0))</f>
        <v>333686.89091259637</v>
      </c>
      <c r="AC261" s="612">
        <f ca="1">IF('5. Dashboard Live'!$AA$19='14. Permanent Info'!$M$7,('10. Inputs &amp; Calcs'!AC207+'10. Inputs &amp; Calcs'!AC225)*'10. Inputs &amp; Calcs'!AC198,IF('5. Dashboard Live'!$AA$19='14. Permanent Info'!$N$7,('10. Inputs &amp; Calcs'!AC207+'10. Inputs &amp; Calcs'!AC225)*'10. Inputs &amp; Calcs'!AC198,0))</f>
        <v>0</v>
      </c>
      <c r="AD261" s="612">
        <f ca="1">SUM(I261:AC261)</f>
        <v>285079833.80299479</v>
      </c>
    </row>
    <row r="262" spans="1:30" outlineLevel="2" x14ac:dyDescent="0.45">
      <c r="A262" s="1111"/>
      <c r="B262" s="1129" t="str">
        <f t="shared" si="60"/>
        <v>Sales</v>
      </c>
      <c r="D262" s="583" t="str">
        <f>'12. Inputs-Props &amp; Debtors 2016'!C$81</f>
        <v>WC</v>
      </c>
      <c r="F262" s="596"/>
      <c r="G262" s="596"/>
      <c r="H262" s="596"/>
      <c r="I262" s="612">
        <f t="shared" ca="1" si="111"/>
        <v>10755083.813924564</v>
      </c>
      <c r="J262" s="612">
        <f t="shared" ca="1" si="111"/>
        <v>10755083.813924564</v>
      </c>
      <c r="K262" s="612">
        <f t="shared" ca="1" si="111"/>
        <v>8083886.5268060444</v>
      </c>
      <c r="L262" s="612">
        <f ca="1">IF('5. Dashboard Live'!$AA$19='14. Permanent Info'!$M$7,('10. Inputs &amp; Calcs'!L208+'10. Inputs &amp; Calcs'!L226)*'10. Inputs &amp; Calcs'!L199,IF('5. Dashboard Live'!$AA$19='14. Permanent Info'!$N$7,('10. Inputs &amp; Calcs'!L208+'10. Inputs &amp; Calcs'!L226)*'10. Inputs &amp; Calcs'!L199,0))</f>
        <v>1476187.9744602342</v>
      </c>
      <c r="M262" s="612">
        <f ca="1">IF('5. Dashboard Live'!$AA$19='14. Permanent Info'!$M$7,('10. Inputs &amp; Calcs'!M208+'10. Inputs &amp; Calcs'!M226)*'10. Inputs &amp; Calcs'!M199,IF('5. Dashboard Live'!$AA$19='14. Permanent Info'!$N$7,('10. Inputs &amp; Calcs'!M208+'10. Inputs &amp; Calcs'!M226)*'10. Inputs &amp; Calcs'!M199,0))</f>
        <v>1476187.9744602342</v>
      </c>
      <c r="N262" s="612">
        <f ca="1">IF('5. Dashboard Live'!$AA$19='14. Permanent Info'!$M$7,('10. Inputs &amp; Calcs'!N208+'10. Inputs &amp; Calcs'!N226)*'10. Inputs &amp; Calcs'!N199,IF('5. Dashboard Live'!$AA$19='14. Permanent Info'!$N$7,('10. Inputs &amp; Calcs'!N208+'10. Inputs &amp; Calcs'!N226)*'10. Inputs &amp; Calcs'!N199,0))</f>
        <v>1476187.9744602342</v>
      </c>
      <c r="O262" s="612">
        <f ca="1">IF('5. Dashboard Live'!$AA$19='14. Permanent Info'!$M$7,('10. Inputs &amp; Calcs'!O208+'10. Inputs &amp; Calcs'!O226)*'10. Inputs &amp; Calcs'!O199,IF('5. Dashboard Live'!$AA$19='14. Permanent Info'!$N$7,('10. Inputs &amp; Calcs'!O208+'10. Inputs &amp; Calcs'!O226)*'10. Inputs &amp; Calcs'!O199,0))</f>
        <v>1476187.9744602342</v>
      </c>
      <c r="P262" s="612">
        <f ca="1">IF('5. Dashboard Live'!$AA$19='14. Permanent Info'!$M$7,('10. Inputs &amp; Calcs'!P208+'10. Inputs &amp; Calcs'!P226)*'10. Inputs &amp; Calcs'!P199,IF('5. Dashboard Live'!$AA$19='14. Permanent Info'!$N$7,('10. Inputs &amp; Calcs'!P208+'10. Inputs &amp; Calcs'!P226)*'10. Inputs &amp; Calcs'!P199,0))</f>
        <v>1476187.9744602342</v>
      </c>
      <c r="Q262" s="612">
        <f ca="1">IF('5. Dashboard Live'!$AA$19='14. Permanent Info'!$M$7,('10. Inputs &amp; Calcs'!Q208+'10. Inputs &amp; Calcs'!Q226)*'10. Inputs &amp; Calcs'!Q199,IF('5. Dashboard Live'!$AA$19='14. Permanent Info'!$N$7,('10. Inputs &amp; Calcs'!Q208+'10. Inputs &amp; Calcs'!Q226)*'10. Inputs &amp; Calcs'!Q199,0))</f>
        <v>1476187.9744602342</v>
      </c>
      <c r="R262" s="612">
        <f ca="1">IF('5. Dashboard Live'!$AA$19='14. Permanent Info'!$M$7,('10. Inputs &amp; Calcs'!R208+'10. Inputs &amp; Calcs'!R226)*'10. Inputs &amp; Calcs'!R199,IF('5. Dashboard Live'!$AA$19='14. Permanent Info'!$N$7,('10. Inputs &amp; Calcs'!R208+'10. Inputs &amp; Calcs'!R226)*'10. Inputs &amp; Calcs'!R199,0))</f>
        <v>1476187.9744602342</v>
      </c>
      <c r="S262" s="612">
        <f ca="1">IF('5. Dashboard Live'!$AA$19='14. Permanent Info'!$M$7,('10. Inputs &amp; Calcs'!S208+'10. Inputs &amp; Calcs'!S226)*'10. Inputs &amp; Calcs'!S199,IF('5. Dashboard Live'!$AA$19='14. Permanent Info'!$N$7,('10. Inputs &amp; Calcs'!S208+'10. Inputs &amp; Calcs'!S226)*'10. Inputs &amp; Calcs'!S199,0))</f>
        <v>1476187.9744602342</v>
      </c>
      <c r="T262" s="612">
        <f ca="1">IF('5. Dashboard Live'!$AA$19='14. Permanent Info'!$M$7,('10. Inputs &amp; Calcs'!T208+'10. Inputs &amp; Calcs'!T226)*'10. Inputs &amp; Calcs'!T199,IF('5. Dashboard Live'!$AA$19='14. Permanent Info'!$N$7,('10. Inputs &amp; Calcs'!T208+'10. Inputs &amp; Calcs'!T226)*'10. Inputs &amp; Calcs'!T199,0))</f>
        <v>1476187.9744602342</v>
      </c>
      <c r="U262" s="612">
        <f ca="1">IF('5. Dashboard Live'!$AA$19='14. Permanent Info'!$M$7,('10. Inputs &amp; Calcs'!U208+'10. Inputs &amp; Calcs'!U226)*'10. Inputs &amp; Calcs'!U199,IF('5. Dashboard Live'!$AA$19='14. Permanent Info'!$N$7,('10. Inputs &amp; Calcs'!U208+'10. Inputs &amp; Calcs'!U226)*'10. Inputs &amp; Calcs'!U199,0))</f>
        <v>1476187.9744602342</v>
      </c>
      <c r="V262" s="612">
        <f ca="1">IF('5. Dashboard Live'!$AA$19='14. Permanent Info'!$M$7,('10. Inputs &amp; Calcs'!V208+'10. Inputs &amp; Calcs'!V226)*'10. Inputs &amp; Calcs'!V199,IF('5. Dashboard Live'!$AA$19='14. Permanent Info'!$N$7,('10. Inputs &amp; Calcs'!V208+'10. Inputs &amp; Calcs'!V226)*'10. Inputs &amp; Calcs'!V199,0))</f>
        <v>1476187.9744602342</v>
      </c>
      <c r="W262" s="612">
        <f ca="1">IF('5. Dashboard Live'!$AA$19='14. Permanent Info'!$M$7,('10. Inputs &amp; Calcs'!W208+'10. Inputs &amp; Calcs'!W226)*'10. Inputs &amp; Calcs'!W199,IF('5. Dashboard Live'!$AA$19='14. Permanent Info'!$N$7,('10. Inputs &amp; Calcs'!W208+'10. Inputs &amp; Calcs'!W226)*'10. Inputs &amp; Calcs'!W199,0))</f>
        <v>1476187.9744602342</v>
      </c>
      <c r="X262" s="612">
        <f ca="1">IF('5. Dashboard Live'!$AA$19='14. Permanent Info'!$M$7,('10. Inputs &amp; Calcs'!X208+'10. Inputs &amp; Calcs'!X226)*'10. Inputs &amp; Calcs'!X199,IF('5. Dashboard Live'!$AA$19='14. Permanent Info'!$N$7,('10. Inputs &amp; Calcs'!X208+'10. Inputs &amp; Calcs'!X226)*'10. Inputs &amp; Calcs'!X199,0))</f>
        <v>1476187.9744602342</v>
      </c>
      <c r="Y262" s="612">
        <f ca="1">IF('5. Dashboard Live'!$AA$19='14. Permanent Info'!$M$7,('10. Inputs &amp; Calcs'!Y208+'10. Inputs &amp; Calcs'!Y226)*'10. Inputs &amp; Calcs'!Y199,IF('5. Dashboard Live'!$AA$19='14. Permanent Info'!$N$7,('10. Inputs &amp; Calcs'!Y208+'10. Inputs &amp; Calcs'!Y226)*'10. Inputs &amp; Calcs'!Y199,0))</f>
        <v>1476187.9744602342</v>
      </c>
      <c r="Z262" s="612">
        <f ca="1">IF('5. Dashboard Live'!$AA$19='14. Permanent Info'!$M$7,('10. Inputs &amp; Calcs'!Z208+'10. Inputs &amp; Calcs'!Z226)*'10. Inputs &amp; Calcs'!Z199,IF('5. Dashboard Live'!$AA$19='14. Permanent Info'!$N$7,('10. Inputs &amp; Calcs'!Z208+'10. Inputs &amp; Calcs'!Z226)*'10. Inputs &amp; Calcs'!Z199,0))</f>
        <v>1476187.9744602342</v>
      </c>
      <c r="AA262" s="612">
        <f ca="1">IF('5. Dashboard Live'!$AA$19='14. Permanent Info'!$M$7,('10. Inputs &amp; Calcs'!AA208+'10. Inputs &amp; Calcs'!AA226)*'10. Inputs &amp; Calcs'!AA199,IF('5. Dashboard Live'!$AA$19='14. Permanent Info'!$N$7,('10. Inputs &amp; Calcs'!AA208+'10. Inputs &amp; Calcs'!AA226)*'10. Inputs &amp; Calcs'!AA199,0))</f>
        <v>1476187.9744602342</v>
      </c>
      <c r="AB262" s="612">
        <f ca="1">IF('5. Dashboard Live'!$AA$19='14. Permanent Info'!$M$7,('10. Inputs &amp; Calcs'!AB208+'10. Inputs &amp; Calcs'!AB226)*'10. Inputs &amp; Calcs'!AB199,IF('5. Dashboard Live'!$AA$19='14. Permanent Info'!$N$7,('10. Inputs &amp; Calcs'!AB208+'10. Inputs &amp; Calcs'!AB226)*'10. Inputs &amp; Calcs'!AB199,0))</f>
        <v>562357.32360389875</v>
      </c>
      <c r="AC262" s="612">
        <f ca="1">IF('5. Dashboard Live'!$AA$19='14. Permanent Info'!$M$7,('10. Inputs &amp; Calcs'!AC208+'10. Inputs &amp; Calcs'!AC226)*'10. Inputs &amp; Calcs'!AC199,IF('5. Dashboard Live'!$AA$19='14. Permanent Info'!$N$7,('10. Inputs &amp; Calcs'!AC208+'10. Inputs &amp; Calcs'!AC226)*'10. Inputs &amp; Calcs'!AC199,0))</f>
        <v>0</v>
      </c>
      <c r="AD262" s="612">
        <f ca="1">SUM(I262:AC262)</f>
        <v>53775419.069622852</v>
      </c>
    </row>
    <row r="263" spans="1:30" outlineLevel="2" x14ac:dyDescent="0.45">
      <c r="A263" s="1111"/>
      <c r="B263" s="1129" t="str">
        <f t="shared" si="60"/>
        <v>Sales</v>
      </c>
      <c r="D263" s="583" t="str">
        <f>'12. Inputs-Props &amp; Debtors 2016'!C$82</f>
        <v>Total</v>
      </c>
      <c r="F263" s="596"/>
      <c r="G263" s="596"/>
      <c r="H263" s="596"/>
      <c r="I263" s="613">
        <f ca="1">SUM(I258:I262)</f>
        <v>55417502.15632841</v>
      </c>
      <c r="J263" s="613">
        <f t="shared" ref="J263:AD263" ca="1" si="112">SUM(J258:J262)</f>
        <v>55417502.15632841</v>
      </c>
      <c r="K263" s="613">
        <f t="shared" ca="1" si="112"/>
        <v>52746304.869209886</v>
      </c>
      <c r="L263" s="613">
        <f t="shared" ca="1" si="112"/>
        <v>29383702.707724009</v>
      </c>
      <c r="M263" s="613">
        <f t="shared" ca="1" si="112"/>
        <v>29383702.707724009</v>
      </c>
      <c r="N263" s="613">
        <f t="shared" ca="1" si="112"/>
        <v>29383702.707724009</v>
      </c>
      <c r="O263" s="613">
        <f t="shared" ca="1" si="112"/>
        <v>29383702.707724009</v>
      </c>
      <c r="P263" s="613">
        <f t="shared" ca="1" si="112"/>
        <v>29383702.707724009</v>
      </c>
      <c r="Q263" s="613">
        <f t="shared" ca="1" si="112"/>
        <v>29383702.707724009</v>
      </c>
      <c r="R263" s="613">
        <f t="shared" ca="1" si="112"/>
        <v>29383702.707724009</v>
      </c>
      <c r="S263" s="613">
        <f t="shared" ca="1" si="112"/>
        <v>29383702.707724009</v>
      </c>
      <c r="T263" s="613">
        <f t="shared" ca="1" si="112"/>
        <v>29383702.707724009</v>
      </c>
      <c r="U263" s="613">
        <f t="shared" ca="1" si="112"/>
        <v>29383702.707724009</v>
      </c>
      <c r="V263" s="613">
        <f t="shared" ca="1" si="112"/>
        <v>29383702.707724009</v>
      </c>
      <c r="W263" s="613">
        <f t="shared" ca="1" si="112"/>
        <v>29383702.707724009</v>
      </c>
      <c r="X263" s="613">
        <f t="shared" ca="1" si="112"/>
        <v>29383702.707724009</v>
      </c>
      <c r="Y263" s="613">
        <f t="shared" ca="1" si="112"/>
        <v>29383702.707724009</v>
      </c>
      <c r="Z263" s="613">
        <f t="shared" ca="1" si="112"/>
        <v>29383702.707724009</v>
      </c>
      <c r="AA263" s="613">
        <f t="shared" ca="1" si="112"/>
        <v>29383702.707724009</v>
      </c>
      <c r="AB263" s="613">
        <f t="shared" ca="1" si="112"/>
        <v>4354315.8957173061</v>
      </c>
      <c r="AC263" s="613">
        <f t="shared" ca="1" si="112"/>
        <v>0</v>
      </c>
      <c r="AD263" s="613">
        <f t="shared" ca="1" si="112"/>
        <v>638074868.40116823</v>
      </c>
    </row>
    <row r="264" spans="1:30" outlineLevel="2" x14ac:dyDescent="0.45">
      <c r="B264" s="597" t="str">
        <f t="shared" si="60"/>
        <v>Sales</v>
      </c>
      <c r="F264" s="596"/>
      <c r="G264" s="596"/>
      <c r="H264" s="596"/>
      <c r="I264" s="995"/>
      <c r="J264" s="995"/>
      <c r="K264" s="995"/>
      <c r="L264" s="995"/>
      <c r="M264" s="995"/>
      <c r="N264" s="995"/>
      <c r="O264" s="995"/>
      <c r="P264" s="995"/>
      <c r="Q264" s="995"/>
      <c r="R264" s="995"/>
      <c r="S264" s="995"/>
      <c r="T264" s="995"/>
      <c r="U264" s="995"/>
      <c r="V264" s="995"/>
      <c r="W264" s="995"/>
      <c r="X264" s="995"/>
      <c r="Y264" s="995"/>
      <c r="Z264" s="995"/>
      <c r="AA264" s="995"/>
      <c r="AB264" s="995"/>
      <c r="AC264" s="995"/>
    </row>
    <row r="265" spans="1:30" outlineLevel="2" x14ac:dyDescent="0.45">
      <c r="B265" s="597" t="str">
        <f t="shared" si="60"/>
        <v>Sales</v>
      </c>
      <c r="F265" s="596"/>
      <c r="G265" s="596"/>
      <c r="H265" s="596"/>
      <c r="I265" s="995"/>
      <c r="J265" s="995"/>
      <c r="K265" s="995"/>
      <c r="L265" s="995"/>
      <c r="M265" s="995"/>
      <c r="N265" s="995"/>
      <c r="O265" s="995"/>
      <c r="P265" s="995"/>
      <c r="Q265" s="995"/>
      <c r="R265" s="995"/>
      <c r="S265" s="995"/>
      <c r="T265" s="995"/>
      <c r="U265" s="995"/>
      <c r="V265" s="995"/>
      <c r="W265" s="995"/>
      <c r="X265" s="995"/>
      <c r="Y265" s="995"/>
      <c r="Z265" s="995"/>
      <c r="AA265" s="995"/>
      <c r="AB265" s="995"/>
      <c r="AC265" s="995"/>
    </row>
    <row r="266" spans="1:30" outlineLevel="2" x14ac:dyDescent="0.45">
      <c r="B266" s="597" t="str">
        <f t="shared" si="60"/>
        <v>Sales</v>
      </c>
      <c r="F266" s="596"/>
      <c r="G266" s="596"/>
      <c r="H266" s="596"/>
      <c r="I266" s="995"/>
      <c r="J266" s="1134" t="s">
        <v>1462</v>
      </c>
      <c r="K266" s="615">
        <f>SUMIF($D$87:$D$92,$E$268,K$87:K$92)</f>
        <v>12939980.332631581</v>
      </c>
      <c r="L266" s="995"/>
      <c r="M266" s="995"/>
      <c r="N266" s="995"/>
      <c r="O266" s="995"/>
      <c r="P266" s="995"/>
      <c r="Q266" s="995"/>
      <c r="R266" s="995"/>
      <c r="S266" s="995"/>
      <c r="T266" s="995"/>
      <c r="U266" s="995"/>
      <c r="V266" s="995"/>
      <c r="W266" s="995"/>
      <c r="X266" s="995"/>
      <c r="Y266" s="995"/>
      <c r="Z266" s="995"/>
      <c r="AA266" s="995"/>
      <c r="AB266" s="995"/>
      <c r="AC266" s="1134" t="s">
        <v>1462</v>
      </c>
      <c r="AD266" s="1120">
        <f ca="1">AD218+AD236+AD254</f>
        <v>833828355.4311682</v>
      </c>
    </row>
    <row r="267" spans="1:30" outlineLevel="2" x14ac:dyDescent="0.45">
      <c r="A267" s="1131"/>
      <c r="B267" s="597" t="str">
        <f t="shared" si="60"/>
        <v>Sales</v>
      </c>
      <c r="C267" s="451">
        <f>C257+1</f>
        <v>27</v>
      </c>
      <c r="D267" s="451" t="s">
        <v>1627</v>
      </c>
      <c r="F267" s="596"/>
      <c r="G267" s="596"/>
      <c r="H267" s="596"/>
      <c r="I267" s="995"/>
      <c r="J267" s="995"/>
      <c r="K267" s="615"/>
      <c r="L267" s="995"/>
      <c r="M267" s="995"/>
      <c r="N267" s="995"/>
      <c r="O267" s="995"/>
      <c r="P267" s="995"/>
      <c r="Q267" s="995"/>
      <c r="R267" s="995"/>
      <c r="S267" s="995"/>
      <c r="T267" s="995"/>
      <c r="U267" s="995"/>
      <c r="V267" s="995"/>
      <c r="W267" s="995"/>
      <c r="X267" s="995"/>
      <c r="Y267" s="995"/>
      <c r="Z267" s="995"/>
      <c r="AA267" s="995"/>
      <c r="AB267" s="995"/>
      <c r="AC267" s="995"/>
      <c r="AD267" s="1120"/>
    </row>
    <row r="268" spans="1:30" outlineLevel="2" x14ac:dyDescent="0.45">
      <c r="A268" s="1131"/>
      <c r="B268" s="597" t="str">
        <f t="shared" si="60"/>
        <v>Sales</v>
      </c>
      <c r="D268" s="747" t="s">
        <v>1539</v>
      </c>
      <c r="E268" s="583" t="str">
        <f>'5. Dashboard Live'!$C$12</f>
        <v>EC</v>
      </c>
      <c r="F268" s="596"/>
      <c r="G268" s="596"/>
      <c r="H268" s="615">
        <f>SUMIF($D$87:$D$92,$E$268,H$87:H$92)</f>
        <v>8780700.9399999995</v>
      </c>
      <c r="I268" s="1120">
        <f>H273</f>
        <v>8780700.9399999995</v>
      </c>
      <c r="J268" s="1120">
        <f>I273</f>
        <v>10167127.404210526</v>
      </c>
      <c r="K268" s="1120">
        <f>J273</f>
        <v>11553553.868421052</v>
      </c>
      <c r="L268" s="1120">
        <f>K273</f>
        <v>12939980.332631577</v>
      </c>
      <c r="M268" s="1120">
        <f t="shared" ref="M268:AC268" si="113">L273</f>
        <v>13094027.717543857</v>
      </c>
      <c r="N268" s="1120">
        <f t="shared" si="113"/>
        <v>13248075.102456138</v>
      </c>
      <c r="O268" s="1120">
        <f t="shared" si="113"/>
        <v>13402122.487368418</v>
      </c>
      <c r="P268" s="1120">
        <f t="shared" si="113"/>
        <v>13556169.872280698</v>
      </c>
      <c r="Q268" s="1120">
        <f t="shared" si="113"/>
        <v>13710217.257192979</v>
      </c>
      <c r="R268" s="1120">
        <f t="shared" si="113"/>
        <v>13864264.642105259</v>
      </c>
      <c r="S268" s="1120">
        <f t="shared" si="113"/>
        <v>14018312.027017539</v>
      </c>
      <c r="T268" s="1120">
        <f t="shared" si="113"/>
        <v>14172359.41192982</v>
      </c>
      <c r="U268" s="1120">
        <f t="shared" si="113"/>
        <v>14326406.7968421</v>
      </c>
      <c r="V268" s="1120">
        <f t="shared" si="113"/>
        <v>14480454.18175438</v>
      </c>
      <c r="W268" s="1120">
        <f t="shared" si="113"/>
        <v>14634501.566666661</v>
      </c>
      <c r="X268" s="1120">
        <f t="shared" si="113"/>
        <v>14788548.951578941</v>
      </c>
      <c r="Y268" s="1120">
        <f t="shared" si="113"/>
        <v>14942596.336491222</v>
      </c>
      <c r="Z268" s="1120">
        <f t="shared" si="113"/>
        <v>15096643.721403502</v>
      </c>
      <c r="AA268" s="1120">
        <f t="shared" si="113"/>
        <v>15250691.106315782</v>
      </c>
      <c r="AB268" s="1120">
        <f t="shared" si="113"/>
        <v>15404738.491228063</v>
      </c>
      <c r="AC268" s="1120">
        <f t="shared" si="113"/>
        <v>0</v>
      </c>
      <c r="AD268" s="1120">
        <f>H268</f>
        <v>8780700.9399999995</v>
      </c>
    </row>
    <row r="269" spans="1:30" outlineLevel="2" x14ac:dyDescent="0.45">
      <c r="A269" s="1131"/>
      <c r="B269" s="597" t="str">
        <f t="shared" si="60"/>
        <v>Sales</v>
      </c>
      <c r="D269" s="583" t="str">
        <f>D257</f>
        <v>New Sale Debtors (Rental Properties Sold to Occupants)</v>
      </c>
      <c r="F269" s="596"/>
      <c r="G269" s="596"/>
      <c r="H269" s="596"/>
      <c r="I269" s="1120">
        <f>SUMIF('10. Inputs &amp; Calcs'!$D$258:$D$263,$E$268,'10. Inputs &amp; Calcs'!I$258:I$263)</f>
        <v>1596836.3487774553</v>
      </c>
      <c r="J269" s="1120">
        <f>SUMIF('10. Inputs &amp; Calcs'!$D$258:$D$263,$E$268,'10. Inputs &amp; Calcs'!J$258:J$263)</f>
        <v>1596836.3487774553</v>
      </c>
      <c r="K269" s="1120">
        <f>SUMIF('10. Inputs &amp; Calcs'!$D$258:$D$263,$E$268,'10. Inputs &amp; Calcs'!K$258:K$263)</f>
        <v>1596836.3487774553</v>
      </c>
      <c r="L269" s="1120">
        <f>SUMIF('10. Inputs &amp; Calcs'!$D$258:$D$263,$E$268,'10. Inputs &amp; Calcs'!L$258:L$263)</f>
        <v>177426.2609752728</v>
      </c>
      <c r="M269" s="1120">
        <f>SUMIF('10. Inputs &amp; Calcs'!$D$258:$D$263,$E$268,'10. Inputs &amp; Calcs'!M$258:M$263)</f>
        <v>177426.2609752728</v>
      </c>
      <c r="N269" s="1120">
        <f>SUMIF('10. Inputs &amp; Calcs'!$D$258:$D$263,$E$268,'10. Inputs &amp; Calcs'!N$258:N$263)</f>
        <v>177426.2609752728</v>
      </c>
      <c r="O269" s="1120">
        <f>SUMIF('10. Inputs &amp; Calcs'!$D$258:$D$263,$E$268,'10. Inputs &amp; Calcs'!O$258:O$263)</f>
        <v>177426.2609752728</v>
      </c>
      <c r="P269" s="1120">
        <f>SUMIF('10. Inputs &amp; Calcs'!$D$258:$D$263,$E$268,'10. Inputs &amp; Calcs'!P$258:P$263)</f>
        <v>177426.2609752728</v>
      </c>
      <c r="Q269" s="1120">
        <f>SUMIF('10. Inputs &amp; Calcs'!$D$258:$D$263,$E$268,'10. Inputs &amp; Calcs'!Q$258:Q$263)</f>
        <v>177426.2609752728</v>
      </c>
      <c r="R269" s="1120">
        <f>SUMIF('10. Inputs &amp; Calcs'!$D$258:$D$263,$E$268,'10. Inputs &amp; Calcs'!R$258:R$263)</f>
        <v>177426.2609752728</v>
      </c>
      <c r="S269" s="1120">
        <f>SUMIF('10. Inputs &amp; Calcs'!$D$258:$D$263,$E$268,'10. Inputs &amp; Calcs'!S$258:S$263)</f>
        <v>177426.2609752728</v>
      </c>
      <c r="T269" s="1120">
        <f>SUMIF('10. Inputs &amp; Calcs'!$D$258:$D$263,$E$268,'10. Inputs &amp; Calcs'!T$258:T$263)</f>
        <v>177426.2609752728</v>
      </c>
      <c r="U269" s="1120">
        <f>SUMIF('10. Inputs &amp; Calcs'!$D$258:$D$263,$E$268,'10. Inputs &amp; Calcs'!U$258:U$263)</f>
        <v>177426.2609752728</v>
      </c>
      <c r="V269" s="1120">
        <f>SUMIF('10. Inputs &amp; Calcs'!$D$258:$D$263,$E$268,'10. Inputs &amp; Calcs'!V$258:V$263)</f>
        <v>177426.2609752728</v>
      </c>
      <c r="W269" s="1120">
        <f>SUMIF('10. Inputs &amp; Calcs'!$D$258:$D$263,$E$268,'10. Inputs &amp; Calcs'!W$258:W$263)</f>
        <v>177426.2609752728</v>
      </c>
      <c r="X269" s="1120">
        <f>SUMIF('10. Inputs &amp; Calcs'!$D$258:$D$263,$E$268,'10. Inputs &amp; Calcs'!X$258:X$263)</f>
        <v>177426.2609752728</v>
      </c>
      <c r="Y269" s="1120">
        <f>SUMIF('10. Inputs &amp; Calcs'!$D$258:$D$263,$E$268,'10. Inputs &amp; Calcs'!Y$258:Y$263)</f>
        <v>177426.2609752728</v>
      </c>
      <c r="Z269" s="1120">
        <f>SUMIF('10. Inputs &amp; Calcs'!$D$258:$D$263,$E$268,'10. Inputs &amp; Calcs'!Z$258:Z$263)</f>
        <v>177426.2609752728</v>
      </c>
      <c r="AA269" s="1120">
        <f>SUMIF('10. Inputs &amp; Calcs'!$D$258:$D$263,$E$268,'10. Inputs &amp; Calcs'!AA$258:AA$263)</f>
        <v>177426.2609752728</v>
      </c>
      <c r="AB269" s="1120">
        <f>SUMIF('10. Inputs &amp; Calcs'!$D$258:$D$263,$E$268,'10. Inputs &amp; Calcs'!AB$258:AB$263)</f>
        <v>354852.5219505456</v>
      </c>
      <c r="AC269" s="1120">
        <f>SUMIF('10. Inputs &amp; Calcs'!$D$258:$D$263,$E$268,'10. Inputs &amp; Calcs'!AC$258:AC$263)</f>
        <v>0</v>
      </c>
      <c r="AD269" s="1120">
        <f>SUM(I269:AC269)</f>
        <v>7984181.7438872699</v>
      </c>
    </row>
    <row r="270" spans="1:30" outlineLevel="2" x14ac:dyDescent="0.45">
      <c r="A270" s="1131"/>
      <c r="B270" s="597" t="str">
        <f t="shared" si="60"/>
        <v>Sales</v>
      </c>
      <c r="D270" s="583" t="str">
        <f>D212</f>
        <v>EEDBS Fixed - Total Utilised on Transfer to Tenants</v>
      </c>
      <c r="F270" s="596"/>
      <c r="G270" s="596"/>
      <c r="H270" s="596"/>
      <c r="I270" s="1120">
        <f>-SUMIF('10. Inputs &amp; Calcs'!$D$213:$D$218,$E$268,'10. Inputs &amp; Calcs'!I$213:I$218)</f>
        <v>-210409.8845669291</v>
      </c>
      <c r="J270" s="1120">
        <f>-SUMIF('10. Inputs &amp; Calcs'!$D$213:$D$218,$E$268,'10. Inputs &amp; Calcs'!J$213:J$218)</f>
        <v>-210409.8845669291</v>
      </c>
      <c r="K270" s="1120">
        <f>-SUMIF('10. Inputs &amp; Calcs'!$D$213:$D$218,$E$268,'10. Inputs &amp; Calcs'!K$213:K$218)</f>
        <v>-210409.8845669291</v>
      </c>
      <c r="L270" s="1120">
        <f>-SUMIF('10. Inputs &amp; Calcs'!$D$213:$D$218,$E$268,'10. Inputs &amp; Calcs'!L$213:L$218)</f>
        <v>-23378.876062992123</v>
      </c>
      <c r="M270" s="1120">
        <f>-SUMIF('10. Inputs &amp; Calcs'!$D$213:$D$218,$E$268,'10. Inputs &amp; Calcs'!M$213:M$218)</f>
        <v>-23378.876062992123</v>
      </c>
      <c r="N270" s="1120">
        <f>-SUMIF('10. Inputs &amp; Calcs'!$D$213:$D$218,$E$268,'10. Inputs &amp; Calcs'!N$213:N$218)</f>
        <v>-23378.876062992123</v>
      </c>
      <c r="O270" s="1120">
        <f>-SUMIF('10. Inputs &amp; Calcs'!$D$213:$D$218,$E$268,'10. Inputs &amp; Calcs'!O$213:O$218)</f>
        <v>-23378.876062992123</v>
      </c>
      <c r="P270" s="1120">
        <f>-SUMIF('10. Inputs &amp; Calcs'!$D$213:$D$218,$E$268,'10. Inputs &amp; Calcs'!P$213:P$218)</f>
        <v>-23378.876062992123</v>
      </c>
      <c r="Q270" s="1120">
        <f>-SUMIF('10. Inputs &amp; Calcs'!$D$213:$D$218,$E$268,'10. Inputs &amp; Calcs'!Q$213:Q$218)</f>
        <v>-23378.876062992123</v>
      </c>
      <c r="R270" s="1120">
        <f>-SUMIF('10. Inputs &amp; Calcs'!$D$213:$D$218,$E$268,'10. Inputs &amp; Calcs'!R$213:R$218)</f>
        <v>-23378.876062992123</v>
      </c>
      <c r="S270" s="1120">
        <f>-SUMIF('10. Inputs &amp; Calcs'!$D$213:$D$218,$E$268,'10. Inputs &amp; Calcs'!S$213:S$218)</f>
        <v>-23378.876062992123</v>
      </c>
      <c r="T270" s="1120">
        <f>-SUMIF('10. Inputs &amp; Calcs'!$D$213:$D$218,$E$268,'10. Inputs &amp; Calcs'!T$213:T$218)</f>
        <v>-23378.876062992123</v>
      </c>
      <c r="U270" s="1120">
        <f>-SUMIF('10. Inputs &amp; Calcs'!$D$213:$D$218,$E$268,'10. Inputs &amp; Calcs'!U$213:U$218)</f>
        <v>-23378.876062992123</v>
      </c>
      <c r="V270" s="1120">
        <f>-SUMIF('10. Inputs &amp; Calcs'!$D$213:$D$218,$E$268,'10. Inputs &amp; Calcs'!V$213:V$218)</f>
        <v>-23378.876062992123</v>
      </c>
      <c r="W270" s="1120">
        <f>-SUMIF('10. Inputs &amp; Calcs'!$D$213:$D$218,$E$268,'10. Inputs &amp; Calcs'!W$213:W$218)</f>
        <v>-23378.876062992123</v>
      </c>
      <c r="X270" s="1120">
        <f>-SUMIF('10. Inputs &amp; Calcs'!$D$213:$D$218,$E$268,'10. Inputs &amp; Calcs'!X$213:X$218)</f>
        <v>-23378.876062992123</v>
      </c>
      <c r="Y270" s="1120">
        <f>-SUMIF('10. Inputs &amp; Calcs'!$D$213:$D$218,$E$268,'10. Inputs &amp; Calcs'!Y$213:Y$218)</f>
        <v>-23378.876062992123</v>
      </c>
      <c r="Z270" s="1120">
        <f>-SUMIF('10. Inputs &amp; Calcs'!$D$213:$D$218,$E$268,'10. Inputs &amp; Calcs'!Z$213:Z$218)</f>
        <v>-23378.876062992123</v>
      </c>
      <c r="AA270" s="1120">
        <f>-SUMIF('10. Inputs &amp; Calcs'!$D$213:$D$218,$E$268,'10. Inputs &amp; Calcs'!AA$213:AA$218)</f>
        <v>-23378.876062992123</v>
      </c>
      <c r="AB270" s="1120">
        <f>-SUMIF('10. Inputs &amp; Calcs'!$D$213:$D$218,$E$268,'10. Inputs &amp; Calcs'!AB$213:AB$218)</f>
        <v>-46757.752125984247</v>
      </c>
      <c r="AC270" s="1120">
        <f>-SUMIF('10. Inputs &amp; Calcs'!$D$213:$D$218,$E$268,'10. Inputs &amp; Calcs'!AC$213:AC$218)</f>
        <v>0</v>
      </c>
      <c r="AD270" s="1120">
        <f>SUM(I270:AC270)</f>
        <v>-1052049.422834646</v>
      </c>
    </row>
    <row r="271" spans="1:30" outlineLevel="2" x14ac:dyDescent="0.45">
      <c r="A271" s="1131"/>
      <c r="B271" s="597" t="str">
        <f t="shared" si="60"/>
        <v>Sales</v>
      </c>
      <c r="D271" s="583" t="str">
        <f>D230</f>
        <v>Total New Sale Debtors settled</v>
      </c>
      <c r="F271" s="596"/>
      <c r="G271" s="596"/>
      <c r="H271" s="596"/>
      <c r="I271" s="1120">
        <f>-SUMIF('10. Inputs &amp; Calcs'!$D$231:$D$236,$E$268,'10. Inputs &amp; Calcs'!I$231:I$236)</f>
        <v>0</v>
      </c>
      <c r="J271" s="1120">
        <f>-SUMIF('10. Inputs &amp; Calcs'!$D$231:$D$236,$E$268,'10. Inputs &amp; Calcs'!J$231:J$236)</f>
        <v>0</v>
      </c>
      <c r="K271" s="1120">
        <f>-SUMIF('10. Inputs &amp; Calcs'!$D$231:$D$236,$E$268,'10. Inputs &amp; Calcs'!K$231:K$236)</f>
        <v>0</v>
      </c>
      <c r="L271" s="1120">
        <f>-SUMIF('10. Inputs &amp; Calcs'!$D$231:$D$236,$E$268,'10. Inputs &amp; Calcs'!L$231:L$236)</f>
        <v>0</v>
      </c>
      <c r="M271" s="1120">
        <f>-SUMIF('10. Inputs &amp; Calcs'!$D$231:$D$236,$E$268,'10. Inputs &amp; Calcs'!M$231:M$236)</f>
        <v>0</v>
      </c>
      <c r="N271" s="1120">
        <f>-SUMIF('10. Inputs &amp; Calcs'!$D$231:$D$236,$E$268,'10. Inputs &amp; Calcs'!N$231:N$236)</f>
        <v>0</v>
      </c>
      <c r="O271" s="1120">
        <f>-SUMIF('10. Inputs &amp; Calcs'!$D$231:$D$236,$E$268,'10. Inputs &amp; Calcs'!O$231:O$236)</f>
        <v>0</v>
      </c>
      <c r="P271" s="1120">
        <f>-SUMIF('10. Inputs &amp; Calcs'!$D$231:$D$236,$E$268,'10. Inputs &amp; Calcs'!P$231:P$236)</f>
        <v>0</v>
      </c>
      <c r="Q271" s="1120">
        <f>-SUMIF('10. Inputs &amp; Calcs'!$D$231:$D$236,$E$268,'10. Inputs &amp; Calcs'!Q$231:Q$236)</f>
        <v>0</v>
      </c>
      <c r="R271" s="1120">
        <f>-SUMIF('10. Inputs &amp; Calcs'!$D$231:$D$236,$E$268,'10. Inputs &amp; Calcs'!R$231:R$236)</f>
        <v>0</v>
      </c>
      <c r="S271" s="1120">
        <f>-SUMIF('10. Inputs &amp; Calcs'!$D$231:$D$236,$E$268,'10. Inputs &amp; Calcs'!S$231:S$236)</f>
        <v>0</v>
      </c>
      <c r="T271" s="1120">
        <f>-SUMIF('10. Inputs &amp; Calcs'!$D$231:$D$236,$E$268,'10. Inputs &amp; Calcs'!T$231:T$236)</f>
        <v>0</v>
      </c>
      <c r="U271" s="1120">
        <f>-SUMIF('10. Inputs &amp; Calcs'!$D$231:$D$236,$E$268,'10. Inputs &amp; Calcs'!U$231:U$236)</f>
        <v>0</v>
      </c>
      <c r="V271" s="1120">
        <f>-SUMIF('10. Inputs &amp; Calcs'!$D$231:$D$236,$E$268,'10. Inputs &amp; Calcs'!V$231:V$236)</f>
        <v>0</v>
      </c>
      <c r="W271" s="1120">
        <f>-SUMIF('10. Inputs &amp; Calcs'!$D$231:$D$236,$E$268,'10. Inputs &amp; Calcs'!W$231:W$236)</f>
        <v>0</v>
      </c>
      <c r="X271" s="1120">
        <f>-SUMIF('10. Inputs &amp; Calcs'!$D$231:$D$236,$E$268,'10. Inputs &amp; Calcs'!X$231:X$236)</f>
        <v>0</v>
      </c>
      <c r="Y271" s="1120">
        <f>-SUMIF('10. Inputs &amp; Calcs'!$D$231:$D$236,$E$268,'10. Inputs &amp; Calcs'!Y$231:Y$236)</f>
        <v>0</v>
      </c>
      <c r="Z271" s="1120">
        <f>-SUMIF('10. Inputs &amp; Calcs'!$D$231:$D$236,$E$268,'10. Inputs &amp; Calcs'!Z$231:Z$236)</f>
        <v>0</v>
      </c>
      <c r="AA271" s="1120">
        <f>-SUMIF('10. Inputs &amp; Calcs'!$D$231:$D$236,$E$268,'10. Inputs &amp; Calcs'!AA$231:AA$236)</f>
        <v>0</v>
      </c>
      <c r="AB271" s="1120">
        <f>-SUMIF('10. Inputs &amp; Calcs'!$D$231:$D$236,$E$268,'10. Inputs &amp; Calcs'!AB$231:AB$236)</f>
        <v>-2772852.9284210522</v>
      </c>
      <c r="AC271" s="1120">
        <f>-SUMIF('10. Inputs &amp; Calcs'!$D$231:$D$236,$E$268,'10. Inputs &amp; Calcs'!AC$231:AC$236)</f>
        <v>0</v>
      </c>
      <c r="AD271" s="1120">
        <f>SUM(I271:AC271)</f>
        <v>-2772852.9284210522</v>
      </c>
    </row>
    <row r="272" spans="1:30" outlineLevel="2" x14ac:dyDescent="0.45">
      <c r="A272" s="1131"/>
      <c r="B272" s="597" t="str">
        <f t="shared" si="60"/>
        <v>Sales</v>
      </c>
      <c r="D272" s="583" t="str">
        <f>D248</f>
        <v>Existing Sale Debtors settled</v>
      </c>
      <c r="F272" s="596"/>
      <c r="G272" s="596"/>
      <c r="H272" s="596"/>
      <c r="I272" s="1120">
        <f>-SUMIF('10. Inputs &amp; Calcs'!$D$249:$D$254,$E$268,'10. Inputs &amp; Calcs'!I$249:I$254)</f>
        <v>0</v>
      </c>
      <c r="J272" s="1120">
        <f>-SUMIF('10. Inputs &amp; Calcs'!$D$249:$D$254,$E$268,'10. Inputs &amp; Calcs'!J$249:J$254)</f>
        <v>0</v>
      </c>
      <c r="K272" s="1120">
        <f>-SUMIF('10. Inputs &amp; Calcs'!$D$249:$D$254,$E$268,'10. Inputs &amp; Calcs'!K$249:K$254)</f>
        <v>0</v>
      </c>
      <c r="L272" s="1120">
        <f>-SUMIF('10. Inputs &amp; Calcs'!$D$249:$D$254,$E$268,'10. Inputs &amp; Calcs'!L$249:L$254)</f>
        <v>0</v>
      </c>
      <c r="M272" s="1120">
        <f>-SUMIF('10. Inputs &amp; Calcs'!$D$249:$D$254,$E$268,'10. Inputs &amp; Calcs'!M$249:M$254)</f>
        <v>0</v>
      </c>
      <c r="N272" s="1120">
        <f>-SUMIF('10. Inputs &amp; Calcs'!$D$249:$D$254,$E$268,'10. Inputs &amp; Calcs'!N$249:N$254)</f>
        <v>0</v>
      </c>
      <c r="O272" s="1120">
        <f>-SUMIF('10. Inputs &amp; Calcs'!$D$249:$D$254,$E$268,'10. Inputs &amp; Calcs'!O$249:O$254)</f>
        <v>0</v>
      </c>
      <c r="P272" s="1120">
        <f>-SUMIF('10. Inputs &amp; Calcs'!$D$249:$D$254,$E$268,'10. Inputs &amp; Calcs'!P$249:P$254)</f>
        <v>0</v>
      </c>
      <c r="Q272" s="1120">
        <f>-SUMIF('10. Inputs &amp; Calcs'!$D$249:$D$254,$E$268,'10. Inputs &amp; Calcs'!Q$249:Q$254)</f>
        <v>0</v>
      </c>
      <c r="R272" s="1120">
        <f>-SUMIF('10. Inputs &amp; Calcs'!$D$249:$D$254,$E$268,'10. Inputs &amp; Calcs'!R$249:R$254)</f>
        <v>0</v>
      </c>
      <c r="S272" s="1120">
        <f>-SUMIF('10. Inputs &amp; Calcs'!$D$249:$D$254,$E$268,'10. Inputs &amp; Calcs'!S$249:S$254)</f>
        <v>0</v>
      </c>
      <c r="T272" s="1120">
        <f>-SUMIF('10. Inputs &amp; Calcs'!$D$249:$D$254,$E$268,'10. Inputs &amp; Calcs'!T$249:T$254)</f>
        <v>0</v>
      </c>
      <c r="U272" s="1120">
        <f>-SUMIF('10. Inputs &amp; Calcs'!$D$249:$D$254,$E$268,'10. Inputs &amp; Calcs'!U$249:U$254)</f>
        <v>0</v>
      </c>
      <c r="V272" s="1120">
        <f>-SUMIF('10. Inputs &amp; Calcs'!$D$249:$D$254,$E$268,'10. Inputs &amp; Calcs'!V$249:V$254)</f>
        <v>0</v>
      </c>
      <c r="W272" s="1120">
        <f>-SUMIF('10. Inputs &amp; Calcs'!$D$249:$D$254,$E$268,'10. Inputs &amp; Calcs'!W$249:W$254)</f>
        <v>0</v>
      </c>
      <c r="X272" s="1120">
        <f>-SUMIF('10. Inputs &amp; Calcs'!$D$249:$D$254,$E$268,'10. Inputs &amp; Calcs'!X$249:X$254)</f>
        <v>0</v>
      </c>
      <c r="Y272" s="1120">
        <f>-SUMIF('10. Inputs &amp; Calcs'!$D$249:$D$254,$E$268,'10. Inputs &amp; Calcs'!Y$249:Y$254)</f>
        <v>0</v>
      </c>
      <c r="Z272" s="1120">
        <f>-SUMIF('10. Inputs &amp; Calcs'!$D$249:$D$254,$E$268,'10. Inputs &amp; Calcs'!Z$249:Z$254)</f>
        <v>0</v>
      </c>
      <c r="AA272" s="1120">
        <f>-SUMIF('10. Inputs &amp; Calcs'!$D$249:$D$254,$E$268,'10. Inputs &amp; Calcs'!AA$249:AA$254)</f>
        <v>0</v>
      </c>
      <c r="AB272" s="1120">
        <f>-SUMIF('10. Inputs &amp; Calcs'!$D$249:$D$254,$E$268,'10. Inputs &amp; Calcs'!AB$249:AB$254)</f>
        <v>-12939980.332631577</v>
      </c>
      <c r="AC272" s="1120">
        <f>-SUMIF('10. Inputs &amp; Calcs'!$D$249:$D$254,$E$268,'10. Inputs &amp; Calcs'!AC$249:AC$254)</f>
        <v>0</v>
      </c>
      <c r="AD272" s="1120">
        <f>SUM(I272:AC272)</f>
        <v>-12939980.332631577</v>
      </c>
    </row>
    <row r="273" spans="1:30" outlineLevel="2" x14ac:dyDescent="0.45">
      <c r="A273" s="1131"/>
      <c r="B273" s="597" t="str">
        <f t="shared" si="60"/>
        <v>Sales</v>
      </c>
      <c r="D273" s="747" t="s">
        <v>1544</v>
      </c>
      <c r="F273" s="596"/>
      <c r="G273" s="596"/>
      <c r="H273" s="613">
        <f t="shared" ref="H273:AD273" si="114">SUM(H268:H272)</f>
        <v>8780700.9399999995</v>
      </c>
      <c r="I273" s="613">
        <f t="shared" si="114"/>
        <v>10167127.404210526</v>
      </c>
      <c r="J273" s="613">
        <f t="shared" si="114"/>
        <v>11553553.868421052</v>
      </c>
      <c r="K273" s="613">
        <f t="shared" si="114"/>
        <v>12939980.332631577</v>
      </c>
      <c r="L273" s="613">
        <f t="shared" si="114"/>
        <v>13094027.717543857</v>
      </c>
      <c r="M273" s="613">
        <f t="shared" si="114"/>
        <v>13248075.102456138</v>
      </c>
      <c r="N273" s="613">
        <f t="shared" si="114"/>
        <v>13402122.487368418</v>
      </c>
      <c r="O273" s="613">
        <f t="shared" si="114"/>
        <v>13556169.872280698</v>
      </c>
      <c r="P273" s="613">
        <f t="shared" si="114"/>
        <v>13710217.257192979</v>
      </c>
      <c r="Q273" s="613">
        <f t="shared" si="114"/>
        <v>13864264.642105259</v>
      </c>
      <c r="R273" s="613">
        <f t="shared" si="114"/>
        <v>14018312.027017539</v>
      </c>
      <c r="S273" s="613">
        <f t="shared" si="114"/>
        <v>14172359.41192982</v>
      </c>
      <c r="T273" s="613">
        <f t="shared" si="114"/>
        <v>14326406.7968421</v>
      </c>
      <c r="U273" s="613">
        <f t="shared" si="114"/>
        <v>14480454.18175438</v>
      </c>
      <c r="V273" s="613">
        <f t="shared" si="114"/>
        <v>14634501.566666661</v>
      </c>
      <c r="W273" s="613">
        <f t="shared" si="114"/>
        <v>14788548.951578941</v>
      </c>
      <c r="X273" s="613">
        <f t="shared" si="114"/>
        <v>14942596.336491222</v>
      </c>
      <c r="Y273" s="613">
        <f t="shared" si="114"/>
        <v>15096643.721403502</v>
      </c>
      <c r="Z273" s="613">
        <f t="shared" si="114"/>
        <v>15250691.106315782</v>
      </c>
      <c r="AA273" s="613">
        <f t="shared" si="114"/>
        <v>15404738.491228063</v>
      </c>
      <c r="AB273" s="613">
        <f t="shared" si="114"/>
        <v>0</v>
      </c>
      <c r="AC273" s="613">
        <f t="shared" si="114"/>
        <v>0</v>
      </c>
      <c r="AD273" s="613">
        <f t="shared" si="114"/>
        <v>0</v>
      </c>
    </row>
    <row r="274" spans="1:30" outlineLevel="2" x14ac:dyDescent="0.45">
      <c r="A274" s="1131"/>
      <c r="B274" s="597" t="str">
        <f t="shared" si="60"/>
        <v>Sales</v>
      </c>
      <c r="F274" s="596"/>
      <c r="G274" s="596"/>
      <c r="H274" s="596"/>
    </row>
    <row r="275" spans="1:30" outlineLevel="2" x14ac:dyDescent="0.45">
      <c r="A275" s="1131"/>
      <c r="B275" s="597" t="str">
        <f t="shared" si="60"/>
        <v>Sales</v>
      </c>
      <c r="D275" s="747" t="s">
        <v>1669</v>
      </c>
      <c r="F275" s="596"/>
      <c r="G275" s="596"/>
      <c r="H275" s="596"/>
      <c r="I275" s="1123">
        <f>SUM(I270:I272)</f>
        <v>-210409.8845669291</v>
      </c>
      <c r="J275" s="1123">
        <f t="shared" ref="J275:AD275" si="115">SUM(J270:J272)</f>
        <v>-210409.8845669291</v>
      </c>
      <c r="K275" s="1123">
        <f t="shared" si="115"/>
        <v>-210409.8845669291</v>
      </c>
      <c r="L275" s="1123">
        <f t="shared" si="115"/>
        <v>-23378.876062992123</v>
      </c>
      <c r="M275" s="1123">
        <f t="shared" si="115"/>
        <v>-23378.876062992123</v>
      </c>
      <c r="N275" s="1123">
        <f t="shared" si="115"/>
        <v>-23378.876062992123</v>
      </c>
      <c r="O275" s="1123">
        <f t="shared" si="115"/>
        <v>-23378.876062992123</v>
      </c>
      <c r="P275" s="1123">
        <f t="shared" si="115"/>
        <v>-23378.876062992123</v>
      </c>
      <c r="Q275" s="1123">
        <f t="shared" si="115"/>
        <v>-23378.876062992123</v>
      </c>
      <c r="R275" s="1123">
        <f t="shared" si="115"/>
        <v>-23378.876062992123</v>
      </c>
      <c r="S275" s="1123">
        <f t="shared" si="115"/>
        <v>-23378.876062992123</v>
      </c>
      <c r="T275" s="1123">
        <f t="shared" si="115"/>
        <v>-23378.876062992123</v>
      </c>
      <c r="U275" s="1123">
        <f t="shared" si="115"/>
        <v>-23378.876062992123</v>
      </c>
      <c r="V275" s="1123">
        <f t="shared" si="115"/>
        <v>-23378.876062992123</v>
      </c>
      <c r="W275" s="1123">
        <f t="shared" si="115"/>
        <v>-23378.876062992123</v>
      </c>
      <c r="X275" s="1123">
        <f t="shared" si="115"/>
        <v>-23378.876062992123</v>
      </c>
      <c r="Y275" s="1123">
        <f t="shared" si="115"/>
        <v>-23378.876062992123</v>
      </c>
      <c r="Z275" s="1123">
        <f t="shared" si="115"/>
        <v>-23378.876062992123</v>
      </c>
      <c r="AA275" s="1123">
        <f t="shared" si="115"/>
        <v>-23378.876062992123</v>
      </c>
      <c r="AB275" s="1123">
        <f t="shared" si="115"/>
        <v>-15759591.013178613</v>
      </c>
      <c r="AC275" s="1123">
        <f t="shared" si="115"/>
        <v>0</v>
      </c>
      <c r="AD275" s="1123">
        <f t="shared" si="115"/>
        <v>-16764882.683887275</v>
      </c>
    </row>
    <row r="276" spans="1:30" outlineLevel="2" x14ac:dyDescent="0.45">
      <c r="A276" s="1131"/>
      <c r="B276" s="597" t="str">
        <f t="shared" si="60"/>
        <v>Sales</v>
      </c>
      <c r="F276" s="596"/>
      <c r="G276" s="596"/>
      <c r="H276" s="596"/>
      <c r="I276" s="995"/>
      <c r="J276" s="995"/>
      <c r="K276" s="995"/>
      <c r="L276" s="995"/>
      <c r="M276" s="995"/>
      <c r="N276" s="995"/>
      <c r="O276" s="995"/>
      <c r="P276" s="995"/>
      <c r="Q276" s="995"/>
      <c r="R276" s="995"/>
      <c r="S276" s="995"/>
      <c r="T276" s="995"/>
      <c r="U276" s="995"/>
      <c r="V276" s="995"/>
      <c r="W276" s="995"/>
      <c r="X276" s="995"/>
      <c r="Y276" s="995"/>
      <c r="Z276" s="995"/>
      <c r="AA276" s="995"/>
      <c r="AB276" s="995"/>
      <c r="AC276" s="995"/>
      <c r="AD276" s="1120">
        <f>AD275/(-SUMIF(D106:D111,E268,AD106:AD111)+SUMIF(D51:D56,E268,AD51:AD56))</f>
        <v>-57023.410489412498</v>
      </c>
    </row>
    <row r="277" spans="1:30" outlineLevel="2" x14ac:dyDescent="0.45">
      <c r="A277" s="1131"/>
      <c r="B277" s="597" t="str">
        <f t="shared" si="60"/>
        <v>Sales</v>
      </c>
      <c r="F277" s="596"/>
      <c r="G277" s="596"/>
      <c r="H277" s="596"/>
      <c r="I277" s="995"/>
      <c r="J277" s="995"/>
      <c r="K277" s="995"/>
      <c r="L277" s="995"/>
      <c r="M277" s="995"/>
      <c r="N277" s="995"/>
      <c r="O277" s="995"/>
      <c r="P277" s="995"/>
      <c r="Q277" s="995"/>
      <c r="R277" s="995"/>
      <c r="S277" s="995"/>
      <c r="T277" s="995"/>
      <c r="U277" s="995"/>
      <c r="V277" s="995"/>
      <c r="W277" s="995"/>
      <c r="X277" s="995"/>
      <c r="Y277" s="995"/>
      <c r="Z277" s="995"/>
      <c r="AA277" s="995"/>
      <c r="AB277" s="995"/>
      <c r="AC277" s="995"/>
      <c r="AD277" s="1120"/>
    </row>
    <row r="278" spans="1:30" outlineLevel="2" x14ac:dyDescent="0.45">
      <c r="A278" s="1131"/>
      <c r="B278" s="597" t="str">
        <f t="shared" si="60"/>
        <v>Sales</v>
      </c>
      <c r="C278" s="451">
        <f>C267+1</f>
        <v>28</v>
      </c>
      <c r="D278" s="451" t="s">
        <v>1628</v>
      </c>
      <c r="F278" s="596"/>
      <c r="G278" s="596"/>
      <c r="H278" s="596"/>
      <c r="I278" s="995"/>
      <c r="J278" s="995"/>
      <c r="K278" s="995"/>
      <c r="L278" s="995"/>
      <c r="M278" s="995"/>
      <c r="N278" s="995"/>
      <c r="O278" s="995"/>
      <c r="P278" s="995"/>
      <c r="Q278" s="995"/>
      <c r="R278" s="995"/>
      <c r="S278" s="995"/>
      <c r="T278" s="995"/>
      <c r="U278" s="995"/>
      <c r="V278" s="995"/>
      <c r="W278" s="995"/>
      <c r="X278" s="995"/>
      <c r="Y278" s="995"/>
      <c r="Z278" s="995"/>
      <c r="AA278" s="995"/>
      <c r="AB278" s="995"/>
      <c r="AC278" s="995"/>
      <c r="AD278" s="1120"/>
    </row>
    <row r="279" spans="1:30" outlineLevel="2" x14ac:dyDescent="0.45">
      <c r="A279" s="1131"/>
      <c r="B279" s="597" t="str">
        <f t="shared" si="60"/>
        <v>Sales</v>
      </c>
      <c r="D279" s="583" t="str">
        <f>'12. Inputs-Props &amp; Debtors 2016'!C$77</f>
        <v>EC</v>
      </c>
      <c r="F279" s="596"/>
      <c r="G279" s="596"/>
      <c r="H279" s="596"/>
      <c r="I279" s="1120">
        <f t="shared" ref="I279:R284" si="116">SUMIF($E$308:$E$310,$D279,I$308:I$310)+SUMIF($E$317:$E$319,$D279,I$317:I$319)+SUMIF($E$326:$E$328,$D279,I$326:I$328)+SUMIF($E$335:$E$337,$D279,I$335:I$337)+SUMIF($E$344:$E$346,$D279,I$344:I$346)+SUMIF($E$353:$E$355,$D279,I$353:I$355)</f>
        <v>-210409.8845669291</v>
      </c>
      <c r="J279" s="1120">
        <f t="shared" si="116"/>
        <v>-210409.8845669291</v>
      </c>
      <c r="K279" s="1120">
        <f t="shared" si="116"/>
        <v>-210409.8845669291</v>
      </c>
      <c r="L279" s="1120">
        <f t="shared" si="116"/>
        <v>-23378.876062992123</v>
      </c>
      <c r="M279" s="1120">
        <f t="shared" si="116"/>
        <v>-23378.876062992123</v>
      </c>
      <c r="N279" s="1120">
        <f t="shared" si="116"/>
        <v>-23378.876062992123</v>
      </c>
      <c r="O279" s="1120">
        <f t="shared" si="116"/>
        <v>-23378.876062992123</v>
      </c>
      <c r="P279" s="1120">
        <f t="shared" si="116"/>
        <v>-23378.876062992123</v>
      </c>
      <c r="Q279" s="1120">
        <f t="shared" si="116"/>
        <v>-23378.876062992123</v>
      </c>
      <c r="R279" s="1120">
        <f t="shared" si="116"/>
        <v>-23378.876062992123</v>
      </c>
      <c r="S279" s="1120">
        <f t="shared" ref="S279:AC284" si="117">SUMIF($E$308:$E$310,$D279,S$308:S$310)+SUMIF($E$317:$E$319,$D279,S$317:S$319)+SUMIF($E$326:$E$328,$D279,S$326:S$328)+SUMIF($E$335:$E$337,$D279,S$335:S$337)+SUMIF($E$344:$E$346,$D279,S$344:S$346)+SUMIF($E$353:$E$355,$D279,S$353:S$355)</f>
        <v>-23378.876062992123</v>
      </c>
      <c r="T279" s="1120">
        <f t="shared" si="117"/>
        <v>-23378.876062992123</v>
      </c>
      <c r="U279" s="1120">
        <f t="shared" si="117"/>
        <v>-23378.876062992123</v>
      </c>
      <c r="V279" s="1120">
        <f t="shared" si="117"/>
        <v>-23378.876062992123</v>
      </c>
      <c r="W279" s="1120">
        <f t="shared" si="117"/>
        <v>-23378.876062992123</v>
      </c>
      <c r="X279" s="1120">
        <f t="shared" si="117"/>
        <v>-23378.876062992123</v>
      </c>
      <c r="Y279" s="1120">
        <f t="shared" si="117"/>
        <v>-23378.876062992123</v>
      </c>
      <c r="Z279" s="1120">
        <f t="shared" si="117"/>
        <v>-23378.876062992123</v>
      </c>
      <c r="AA279" s="1120">
        <f t="shared" si="117"/>
        <v>-23378.876062992123</v>
      </c>
      <c r="AB279" s="1120">
        <f t="shared" si="117"/>
        <v>-15759591.013178613</v>
      </c>
      <c r="AC279" s="1120">
        <f t="shared" si="117"/>
        <v>0</v>
      </c>
      <c r="AD279" s="1120">
        <f>SUM(I279:AC279)</f>
        <v>-16764882.683887275</v>
      </c>
    </row>
    <row r="280" spans="1:30" outlineLevel="2" x14ac:dyDescent="0.45">
      <c r="A280" s="1131"/>
      <c r="B280" s="597" t="str">
        <f t="shared" si="60"/>
        <v>Sales</v>
      </c>
      <c r="D280" s="583" t="str">
        <f>'12. Inputs-Props &amp; Debtors 2016'!C$78</f>
        <v>FS</v>
      </c>
      <c r="F280" s="596"/>
      <c r="G280" s="596"/>
      <c r="H280" s="596"/>
      <c r="I280" s="1120">
        <f t="shared" ca="1" si="116"/>
        <v>-39429</v>
      </c>
      <c r="J280" s="1120">
        <f t="shared" ca="1" si="116"/>
        <v>-39429</v>
      </c>
      <c r="K280" s="1120">
        <f t="shared" ca="1" si="116"/>
        <v>-39429</v>
      </c>
      <c r="L280" s="1120">
        <f t="shared" ca="1" si="116"/>
        <v>-39429</v>
      </c>
      <c r="M280" s="1120">
        <f t="shared" ca="1" si="116"/>
        <v>-39429</v>
      </c>
      <c r="N280" s="1120">
        <f t="shared" ca="1" si="116"/>
        <v>-39429</v>
      </c>
      <c r="O280" s="1120">
        <f t="shared" ca="1" si="116"/>
        <v>-39429</v>
      </c>
      <c r="P280" s="1120">
        <f t="shared" ca="1" si="116"/>
        <v>-39429</v>
      </c>
      <c r="Q280" s="1120">
        <f t="shared" ca="1" si="116"/>
        <v>-39429</v>
      </c>
      <c r="R280" s="1120">
        <f t="shared" ca="1" si="116"/>
        <v>-39429</v>
      </c>
      <c r="S280" s="1120">
        <f t="shared" ca="1" si="117"/>
        <v>-39429</v>
      </c>
      <c r="T280" s="1120">
        <f t="shared" ca="1" si="117"/>
        <v>-39429</v>
      </c>
      <c r="U280" s="1120">
        <f t="shared" ca="1" si="117"/>
        <v>-39429</v>
      </c>
      <c r="V280" s="1120">
        <f t="shared" ca="1" si="117"/>
        <v>-39429</v>
      </c>
      <c r="W280" s="1120">
        <f t="shared" ca="1" si="117"/>
        <v>-39429</v>
      </c>
      <c r="X280" s="1120">
        <f t="shared" ca="1" si="117"/>
        <v>-39429</v>
      </c>
      <c r="Y280" s="1120">
        <f t="shared" ca="1" si="117"/>
        <v>-39429</v>
      </c>
      <c r="Z280" s="1120">
        <f t="shared" ca="1" si="117"/>
        <v>-39429</v>
      </c>
      <c r="AA280" s="1120">
        <f t="shared" ca="1" si="117"/>
        <v>-39429</v>
      </c>
      <c r="AB280" s="1120">
        <f t="shared" ca="1" si="117"/>
        <v>-1915744.05</v>
      </c>
      <c r="AC280" s="1120">
        <f t="shared" ca="1" si="117"/>
        <v>0</v>
      </c>
      <c r="AD280" s="1120">
        <f ca="1">SUM(I280:AC280)</f>
        <v>-2664895.0499999998</v>
      </c>
    </row>
    <row r="281" spans="1:30" outlineLevel="2" x14ac:dyDescent="0.45">
      <c r="A281" s="1131"/>
      <c r="B281" s="597" t="str">
        <f t="shared" si="60"/>
        <v>Sales</v>
      </c>
      <c r="D281" s="583" t="str">
        <f>'12. Inputs-Props &amp; Debtors 2016'!C$79</f>
        <v>Gau</v>
      </c>
      <c r="F281" s="596"/>
      <c r="G281" s="596"/>
      <c r="H281" s="596"/>
      <c r="I281" s="1120">
        <f t="shared" ca="1" si="116"/>
        <v>-1520513.3739093961</v>
      </c>
      <c r="J281" s="1120">
        <f t="shared" ca="1" si="116"/>
        <v>-1520513.3739093961</v>
      </c>
      <c r="K281" s="1120">
        <f t="shared" ca="1" si="116"/>
        <v>-1520513.3739093961</v>
      </c>
      <c r="L281" s="1120">
        <f t="shared" ca="1" si="116"/>
        <v>-1592066.9444463088</v>
      </c>
      <c r="M281" s="1120">
        <f t="shared" ca="1" si="116"/>
        <v>-1592066.9444463088</v>
      </c>
      <c r="N281" s="1120">
        <f t="shared" ca="1" si="116"/>
        <v>-1592066.9444463088</v>
      </c>
      <c r="O281" s="1120">
        <f t="shared" ca="1" si="116"/>
        <v>-1592066.9444463088</v>
      </c>
      <c r="P281" s="1120">
        <f t="shared" ca="1" si="116"/>
        <v>-1592066.9444463088</v>
      </c>
      <c r="Q281" s="1120">
        <f t="shared" ca="1" si="116"/>
        <v>-1592066.9444463088</v>
      </c>
      <c r="R281" s="1120">
        <f t="shared" ca="1" si="116"/>
        <v>-1592066.9444463088</v>
      </c>
      <c r="S281" s="1120">
        <f t="shared" ca="1" si="117"/>
        <v>-1592066.9444463088</v>
      </c>
      <c r="T281" s="1120">
        <f t="shared" ca="1" si="117"/>
        <v>-1592066.9444463088</v>
      </c>
      <c r="U281" s="1120">
        <f t="shared" ca="1" si="117"/>
        <v>-1592066.9444463088</v>
      </c>
      <c r="V281" s="1120">
        <f t="shared" ca="1" si="117"/>
        <v>-1592066.9444463088</v>
      </c>
      <c r="W281" s="1120">
        <f t="shared" ca="1" si="117"/>
        <v>-1592066.9444463088</v>
      </c>
      <c r="X281" s="1120">
        <f t="shared" ca="1" si="117"/>
        <v>-1592066.9444463088</v>
      </c>
      <c r="Y281" s="1120">
        <f t="shared" ca="1" si="117"/>
        <v>-1592066.9444463088</v>
      </c>
      <c r="Z281" s="1120">
        <f t="shared" ca="1" si="117"/>
        <v>-1592066.9444463088</v>
      </c>
      <c r="AA281" s="1120">
        <f t="shared" ca="1" si="117"/>
        <v>-1592066.9444463088</v>
      </c>
      <c r="AB281" s="1120">
        <f t="shared" ca="1" si="117"/>
        <v>-328102299.55179405</v>
      </c>
      <c r="AC281" s="1120">
        <f t="shared" ca="1" si="117"/>
        <v>0</v>
      </c>
      <c r="AD281" s="1120">
        <f ca="1">SUM(I281:AC281)</f>
        <v>-358136910.7846632</v>
      </c>
    </row>
    <row r="282" spans="1:30" outlineLevel="2" x14ac:dyDescent="0.45">
      <c r="A282" s="1131"/>
      <c r="B282" s="597" t="str">
        <f t="shared" si="60"/>
        <v>Sales</v>
      </c>
      <c r="D282" s="583" t="str">
        <f>'12. Inputs-Props &amp; Debtors 2016'!C$80</f>
        <v>KZN</v>
      </c>
      <c r="F282" s="596"/>
      <c r="G282" s="596"/>
      <c r="H282" s="596"/>
      <c r="I282" s="1120">
        <f t="shared" ca="1" si="116"/>
        <v>-5046912</v>
      </c>
      <c r="J282" s="1120">
        <f t="shared" ca="1" si="116"/>
        <v>-5046912</v>
      </c>
      <c r="K282" s="1120">
        <f t="shared" ca="1" si="116"/>
        <v>-5046912</v>
      </c>
      <c r="L282" s="1120">
        <f t="shared" ca="1" si="116"/>
        <v>-2208024</v>
      </c>
      <c r="M282" s="1120">
        <f t="shared" ca="1" si="116"/>
        <v>-2208024</v>
      </c>
      <c r="N282" s="1120">
        <f t="shared" ca="1" si="116"/>
        <v>-2208024</v>
      </c>
      <c r="O282" s="1120">
        <f t="shared" ca="1" si="116"/>
        <v>-2208024</v>
      </c>
      <c r="P282" s="1120">
        <f t="shared" ca="1" si="116"/>
        <v>-2208024</v>
      </c>
      <c r="Q282" s="1120">
        <f t="shared" ca="1" si="116"/>
        <v>-2208024</v>
      </c>
      <c r="R282" s="1120">
        <f t="shared" ca="1" si="116"/>
        <v>-2208024</v>
      </c>
      <c r="S282" s="1120">
        <f t="shared" ca="1" si="117"/>
        <v>-2208024</v>
      </c>
      <c r="T282" s="1120">
        <f t="shared" ca="1" si="117"/>
        <v>-2208024</v>
      </c>
      <c r="U282" s="1120">
        <f t="shared" ca="1" si="117"/>
        <v>-2208024</v>
      </c>
      <c r="V282" s="1120">
        <f t="shared" ca="1" si="117"/>
        <v>-2208024</v>
      </c>
      <c r="W282" s="1120">
        <f t="shared" ca="1" si="117"/>
        <v>-2208024</v>
      </c>
      <c r="X282" s="1120">
        <f t="shared" ca="1" si="117"/>
        <v>-2208024</v>
      </c>
      <c r="Y282" s="1120">
        <f t="shared" ca="1" si="117"/>
        <v>-2208024</v>
      </c>
      <c r="Z282" s="1120">
        <f t="shared" ca="1" si="117"/>
        <v>-2208024</v>
      </c>
      <c r="AA282" s="1120">
        <f t="shared" ca="1" si="117"/>
        <v>-2208024</v>
      </c>
      <c r="AB282" s="1120">
        <f t="shared" ca="1" si="117"/>
        <v>-305808966.51299489</v>
      </c>
      <c r="AC282" s="1120">
        <f t="shared" ca="1" si="117"/>
        <v>0</v>
      </c>
      <c r="AD282" s="1120">
        <f ca="1">SUM(I282:AC282)</f>
        <v>-356278086.51299489</v>
      </c>
    </row>
    <row r="283" spans="1:30" outlineLevel="2" x14ac:dyDescent="0.45">
      <c r="A283" s="1131"/>
      <c r="B283" s="597" t="str">
        <f t="shared" si="60"/>
        <v>Sales</v>
      </c>
      <c r="D283" s="583" t="str">
        <f>'12. Inputs-Props &amp; Debtors 2016'!C$81</f>
        <v>WC</v>
      </c>
      <c r="F283" s="596"/>
      <c r="G283" s="596"/>
      <c r="H283" s="596"/>
      <c r="I283" s="1120">
        <f t="shared" ca="1" si="116"/>
        <v>-2811433.6077560242</v>
      </c>
      <c r="J283" s="1120">
        <f t="shared" ca="1" si="116"/>
        <v>-2811433.6077560242</v>
      </c>
      <c r="K283" s="1120">
        <f t="shared" ca="1" si="116"/>
        <v>-2113169.0515813255</v>
      </c>
      <c r="L283" s="1120">
        <f t="shared" ca="1" si="116"/>
        <v>-385883.04420180724</v>
      </c>
      <c r="M283" s="1120">
        <f t="shared" ca="1" si="116"/>
        <v>-385883.04420180724</v>
      </c>
      <c r="N283" s="1120">
        <f t="shared" ca="1" si="116"/>
        <v>-385883.04420180724</v>
      </c>
      <c r="O283" s="1120">
        <f t="shared" ca="1" si="116"/>
        <v>-385883.04420180724</v>
      </c>
      <c r="P283" s="1120">
        <f t="shared" ca="1" si="116"/>
        <v>-385883.04420180724</v>
      </c>
      <c r="Q283" s="1120">
        <f t="shared" ca="1" si="116"/>
        <v>-385883.04420180724</v>
      </c>
      <c r="R283" s="1120">
        <f t="shared" ca="1" si="116"/>
        <v>-385883.04420180724</v>
      </c>
      <c r="S283" s="1120">
        <f t="shared" ca="1" si="117"/>
        <v>-385883.04420180724</v>
      </c>
      <c r="T283" s="1120">
        <f t="shared" ca="1" si="117"/>
        <v>-385883.04420180724</v>
      </c>
      <c r="U283" s="1120">
        <f t="shared" ca="1" si="117"/>
        <v>-385883.04420180724</v>
      </c>
      <c r="V283" s="1120">
        <f t="shared" ca="1" si="117"/>
        <v>-385883.04420180724</v>
      </c>
      <c r="W283" s="1120">
        <f t="shared" ca="1" si="117"/>
        <v>-385883.04420180724</v>
      </c>
      <c r="X283" s="1120">
        <f t="shared" ca="1" si="117"/>
        <v>-385883.04420180724</v>
      </c>
      <c r="Y283" s="1120">
        <f t="shared" ca="1" si="117"/>
        <v>-385883.04420180724</v>
      </c>
      <c r="Z283" s="1120">
        <f t="shared" ca="1" si="117"/>
        <v>-385883.04420180724</v>
      </c>
      <c r="AA283" s="1120">
        <f t="shared" ca="1" si="117"/>
        <v>-385883.04420180724</v>
      </c>
      <c r="AB283" s="1120">
        <f t="shared" ca="1" si="117"/>
        <v>-86073415.425300524</v>
      </c>
      <c r="AC283" s="1120">
        <f t="shared" ca="1" si="117"/>
        <v>0</v>
      </c>
      <c r="AD283" s="1120">
        <f ca="1">SUM(I283:AC283)</f>
        <v>-99983580.399622828</v>
      </c>
    </row>
    <row r="284" spans="1:30" outlineLevel="2" x14ac:dyDescent="0.45">
      <c r="A284" s="1131"/>
      <c r="B284" s="597" t="str">
        <f t="shared" si="60"/>
        <v>Sales</v>
      </c>
      <c r="D284" s="583" t="str">
        <f>'12. Inputs-Props &amp; Debtors 2016'!C$82</f>
        <v>Total</v>
      </c>
      <c r="F284" s="596"/>
      <c r="G284" s="596"/>
      <c r="H284" s="596"/>
      <c r="I284" s="1121">
        <f t="shared" ca="1" si="116"/>
        <v>-9628697.8662323505</v>
      </c>
      <c r="J284" s="1121">
        <f t="shared" ca="1" si="116"/>
        <v>-9628697.8662323505</v>
      </c>
      <c r="K284" s="1121">
        <f t="shared" ca="1" si="116"/>
        <v>-8930433.3100576513</v>
      </c>
      <c r="L284" s="1121">
        <f t="shared" ca="1" si="116"/>
        <v>-4248781.8647111077</v>
      </c>
      <c r="M284" s="1121">
        <f t="shared" ca="1" si="116"/>
        <v>-4248781.8647111077</v>
      </c>
      <c r="N284" s="1121">
        <f t="shared" ca="1" si="116"/>
        <v>-4248781.8647111077</v>
      </c>
      <c r="O284" s="1121">
        <f t="shared" ca="1" si="116"/>
        <v>-4248781.8647111077</v>
      </c>
      <c r="P284" s="1121">
        <f t="shared" ca="1" si="116"/>
        <v>-4248781.8647111077</v>
      </c>
      <c r="Q284" s="1121">
        <f t="shared" ca="1" si="116"/>
        <v>-4248781.8647111077</v>
      </c>
      <c r="R284" s="1121">
        <f t="shared" ca="1" si="116"/>
        <v>-4248781.8647111077</v>
      </c>
      <c r="S284" s="1121">
        <f t="shared" ca="1" si="117"/>
        <v>-4248781.8647111077</v>
      </c>
      <c r="T284" s="1121">
        <f t="shared" ca="1" si="117"/>
        <v>-4248781.8647111077</v>
      </c>
      <c r="U284" s="1121">
        <f t="shared" ca="1" si="117"/>
        <v>-4248781.8647111077</v>
      </c>
      <c r="V284" s="1121">
        <f t="shared" ca="1" si="117"/>
        <v>-4248781.8647111077</v>
      </c>
      <c r="W284" s="1121">
        <f t="shared" ca="1" si="117"/>
        <v>-4248781.8647111077</v>
      </c>
      <c r="X284" s="1121">
        <f t="shared" ca="1" si="117"/>
        <v>-4248781.8647111077</v>
      </c>
      <c r="Y284" s="1121">
        <f t="shared" ca="1" si="117"/>
        <v>-4248781.8647111077</v>
      </c>
      <c r="Z284" s="1121">
        <f t="shared" ca="1" si="117"/>
        <v>-4248781.8647111077</v>
      </c>
      <c r="AA284" s="1121">
        <f t="shared" ca="1" si="117"/>
        <v>-4248781.8647111077</v>
      </c>
      <c r="AB284" s="1121">
        <f t="shared" ca="1" si="117"/>
        <v>-737660016.55326807</v>
      </c>
      <c r="AC284" s="1121">
        <f t="shared" ca="1" si="117"/>
        <v>0</v>
      </c>
      <c r="AD284" s="1121">
        <f ca="1">SUM(AD279:AD283)</f>
        <v>-833828355.4311682</v>
      </c>
    </row>
    <row r="285" spans="1:30" outlineLevel="2" x14ac:dyDescent="0.45">
      <c r="A285" s="1131"/>
      <c r="B285" s="597" t="str">
        <f t="shared" si="60"/>
        <v>Sales</v>
      </c>
      <c r="F285" s="596"/>
      <c r="G285" s="596"/>
      <c r="H285" s="596"/>
      <c r="I285" s="995"/>
      <c r="J285" s="995"/>
      <c r="K285" s="995"/>
      <c r="L285" s="995"/>
      <c r="M285" s="995"/>
      <c r="N285" s="995"/>
      <c r="O285" s="995"/>
      <c r="P285" s="995"/>
      <c r="Q285" s="995"/>
      <c r="R285" s="995"/>
      <c r="S285" s="995"/>
      <c r="T285" s="995"/>
      <c r="U285" s="995"/>
      <c r="V285" s="995"/>
      <c r="W285" s="995"/>
      <c r="X285" s="995"/>
      <c r="Y285" s="995"/>
      <c r="Z285" s="995"/>
      <c r="AA285" s="995"/>
      <c r="AB285" s="995"/>
      <c r="AC285" s="995"/>
      <c r="AD285" s="1120"/>
    </row>
    <row r="286" spans="1:30" outlineLevel="2" x14ac:dyDescent="0.45">
      <c r="A286" s="1131"/>
      <c r="B286" s="597" t="str">
        <f t="shared" si="60"/>
        <v>Sales</v>
      </c>
      <c r="F286" s="596"/>
      <c r="G286" s="596"/>
      <c r="H286" s="596"/>
      <c r="I286" s="995"/>
      <c r="J286" s="995"/>
      <c r="K286" s="995"/>
      <c r="L286" s="995"/>
      <c r="M286" s="995"/>
      <c r="N286" s="995"/>
      <c r="O286" s="995"/>
      <c r="P286" s="995"/>
      <c r="Q286" s="995"/>
      <c r="R286" s="995"/>
      <c r="S286" s="995"/>
      <c r="T286" s="995"/>
      <c r="U286" s="995"/>
      <c r="V286" s="995"/>
      <c r="W286" s="995"/>
      <c r="X286" s="995"/>
      <c r="Y286" s="995"/>
      <c r="Z286" s="995"/>
      <c r="AA286" s="995"/>
      <c r="AB286" s="995"/>
      <c r="AC286" s="995"/>
      <c r="AD286" s="1120"/>
    </row>
    <row r="287" spans="1:30" outlineLevel="2" x14ac:dyDescent="0.45">
      <c r="A287" s="1131"/>
      <c r="B287" s="597" t="str">
        <f t="shared" si="60"/>
        <v>Sales</v>
      </c>
      <c r="C287" s="451">
        <f>C278+1</f>
        <v>29</v>
      </c>
      <c r="D287" s="451" t="s">
        <v>1629</v>
      </c>
      <c r="F287" s="596"/>
      <c r="G287" s="596"/>
      <c r="H287" s="596"/>
      <c r="I287" s="995"/>
      <c r="J287" s="995"/>
      <c r="K287" s="995"/>
      <c r="L287" s="995"/>
      <c r="M287" s="995"/>
      <c r="N287" s="995"/>
      <c r="O287" s="995"/>
      <c r="P287" s="995"/>
      <c r="Q287" s="995"/>
      <c r="R287" s="995"/>
      <c r="S287" s="995"/>
      <c r="T287" s="995"/>
      <c r="U287" s="995"/>
      <c r="V287" s="995"/>
      <c r="W287" s="995"/>
      <c r="X287" s="995"/>
      <c r="Y287" s="995"/>
      <c r="Z287" s="995"/>
      <c r="AA287" s="995"/>
      <c r="AB287" s="995"/>
      <c r="AC287" s="995"/>
      <c r="AD287" s="1120"/>
    </row>
    <row r="288" spans="1:30" outlineLevel="2" x14ac:dyDescent="0.45">
      <c r="A288" s="1131"/>
      <c r="B288" s="597" t="str">
        <f t="shared" si="60"/>
        <v>Sales</v>
      </c>
      <c r="D288" s="583" t="str">
        <f>'12. Inputs-Props &amp; Debtors 2016'!C$77</f>
        <v>EC</v>
      </c>
      <c r="F288" s="596"/>
      <c r="G288" s="596"/>
      <c r="H288" s="596"/>
      <c r="I288" s="1130">
        <v>-210409.8845669291</v>
      </c>
      <c r="J288" s="1130">
        <v>-210409.8845669291</v>
      </c>
      <c r="K288" s="1130">
        <v>-210409.8845669291</v>
      </c>
      <c r="L288" s="1130">
        <v>-23378.876062992123</v>
      </c>
      <c r="M288" s="1130">
        <v>-23378.876062992123</v>
      </c>
      <c r="N288" s="1130">
        <v>-23378.876062992123</v>
      </c>
      <c r="O288" s="1130">
        <v>-23378.876062992123</v>
      </c>
      <c r="P288" s="1130">
        <v>-23378.876062992123</v>
      </c>
      <c r="Q288" s="1130">
        <v>-23378.876062992123</v>
      </c>
      <c r="R288" s="1130">
        <v>-23378.876062992123</v>
      </c>
      <c r="S288" s="1130">
        <v>-23378.876062992123</v>
      </c>
      <c r="T288" s="1130">
        <v>-23378.876062992123</v>
      </c>
      <c r="U288" s="1130">
        <v>-23378.876062992123</v>
      </c>
      <c r="V288" s="1130">
        <v>-23378.876062992123</v>
      </c>
      <c r="W288" s="1130">
        <v>-23378.876062992123</v>
      </c>
      <c r="X288" s="1130">
        <v>-23378.876062992123</v>
      </c>
      <c r="Y288" s="1130">
        <v>-23378.876062992123</v>
      </c>
      <c r="Z288" s="1130">
        <v>-23378.876062992123</v>
      </c>
      <c r="AA288" s="1130">
        <v>-23378.876062992123</v>
      </c>
      <c r="AB288" s="1130">
        <v>-15759591.013178613</v>
      </c>
      <c r="AC288" s="1130">
        <v>0</v>
      </c>
      <c r="AD288" s="1130">
        <v>-16764882.683887275</v>
      </c>
    </row>
    <row r="289" spans="1:30" outlineLevel="2" x14ac:dyDescent="0.45">
      <c r="A289" s="1131"/>
      <c r="B289" s="597" t="str">
        <f t="shared" si="60"/>
        <v>Sales</v>
      </c>
      <c r="D289" s="583" t="str">
        <f>'12. Inputs-Props &amp; Debtors 2016'!C$78</f>
        <v>FS</v>
      </c>
      <c r="F289" s="596"/>
      <c r="G289" s="596"/>
      <c r="H289" s="596"/>
      <c r="I289" s="1130">
        <v>-39429</v>
      </c>
      <c r="J289" s="1130">
        <v>-39429</v>
      </c>
      <c r="K289" s="1130">
        <v>-39429</v>
      </c>
      <c r="L289" s="1130">
        <v>-39429</v>
      </c>
      <c r="M289" s="1130">
        <v>-39429</v>
      </c>
      <c r="N289" s="1130">
        <v>-39429</v>
      </c>
      <c r="O289" s="1130">
        <v>-39429</v>
      </c>
      <c r="P289" s="1130">
        <v>-39429</v>
      </c>
      <c r="Q289" s="1130">
        <v>-39429</v>
      </c>
      <c r="R289" s="1130">
        <v>-39429</v>
      </c>
      <c r="S289" s="1130">
        <v>-39429</v>
      </c>
      <c r="T289" s="1130">
        <v>-39429</v>
      </c>
      <c r="U289" s="1130">
        <v>-39429</v>
      </c>
      <c r="V289" s="1130">
        <v>-39429</v>
      </c>
      <c r="W289" s="1130">
        <v>-39429</v>
      </c>
      <c r="X289" s="1130">
        <v>-39429</v>
      </c>
      <c r="Y289" s="1130">
        <v>-39429</v>
      </c>
      <c r="Z289" s="1130">
        <v>-39429</v>
      </c>
      <c r="AA289" s="1130">
        <v>-39429</v>
      </c>
      <c r="AB289" s="1130">
        <v>-1915744.05</v>
      </c>
      <c r="AC289" s="1130">
        <v>0</v>
      </c>
      <c r="AD289" s="1130">
        <v>-2664895.0499999998</v>
      </c>
    </row>
    <row r="290" spans="1:30" outlineLevel="2" x14ac:dyDescent="0.45">
      <c r="A290" s="1131"/>
      <c r="B290" s="597" t="str">
        <f t="shared" si="60"/>
        <v>Sales</v>
      </c>
      <c r="D290" s="583" t="str">
        <f>'12. Inputs-Props &amp; Debtors 2016'!C$79</f>
        <v>Gau</v>
      </c>
      <c r="F290" s="596"/>
      <c r="G290" s="596"/>
      <c r="H290" s="596"/>
      <c r="I290" s="1130">
        <v>-1520513.3739093961</v>
      </c>
      <c r="J290" s="1130">
        <v>-1520513.3739093961</v>
      </c>
      <c r="K290" s="1130">
        <v>-1520513.3739093961</v>
      </c>
      <c r="L290" s="1130">
        <v>-1592066.9444463088</v>
      </c>
      <c r="M290" s="1130">
        <v>-1592066.9444463088</v>
      </c>
      <c r="N290" s="1130">
        <v>-1592066.9444463088</v>
      </c>
      <c r="O290" s="1130">
        <v>-1592066.9444463088</v>
      </c>
      <c r="P290" s="1130">
        <v>-1592066.9444463088</v>
      </c>
      <c r="Q290" s="1130">
        <v>-1592066.9444463088</v>
      </c>
      <c r="R290" s="1130">
        <v>-1592066.9444463088</v>
      </c>
      <c r="S290" s="1130">
        <v>-1592066.9444463088</v>
      </c>
      <c r="T290" s="1130">
        <v>-1592066.9444463088</v>
      </c>
      <c r="U290" s="1130">
        <v>-1592066.9444463088</v>
      </c>
      <c r="V290" s="1130">
        <v>-1592066.9444463088</v>
      </c>
      <c r="W290" s="1130">
        <v>-1592066.9444463088</v>
      </c>
      <c r="X290" s="1130">
        <v>-1592066.9444463088</v>
      </c>
      <c r="Y290" s="1130">
        <v>-1592066.9444463088</v>
      </c>
      <c r="Z290" s="1130">
        <v>-1592066.9444463088</v>
      </c>
      <c r="AA290" s="1130">
        <v>-1592066.9444463088</v>
      </c>
      <c r="AB290" s="1130">
        <v>-328102299.55179405</v>
      </c>
      <c r="AC290" s="1130">
        <v>0</v>
      </c>
      <c r="AD290" s="1130">
        <v>-358136910.7846632</v>
      </c>
    </row>
    <row r="291" spans="1:30" outlineLevel="2" x14ac:dyDescent="0.45">
      <c r="A291" s="1131"/>
      <c r="B291" s="597" t="str">
        <f t="shared" si="60"/>
        <v>Sales</v>
      </c>
      <c r="D291" s="583" t="str">
        <f>'12. Inputs-Props &amp; Debtors 2016'!C$80</f>
        <v>KZN</v>
      </c>
      <c r="F291" s="596"/>
      <c r="G291" s="596"/>
      <c r="H291" s="596"/>
      <c r="I291" s="1130">
        <v>-5046912</v>
      </c>
      <c r="J291" s="1130">
        <v>-5046912</v>
      </c>
      <c r="K291" s="1130">
        <v>-5046912</v>
      </c>
      <c r="L291" s="1130">
        <v>-2208024</v>
      </c>
      <c r="M291" s="1130">
        <v>-2208024</v>
      </c>
      <c r="N291" s="1130">
        <v>-2208024</v>
      </c>
      <c r="O291" s="1130">
        <v>-2208024</v>
      </c>
      <c r="P291" s="1130">
        <v>-2208024</v>
      </c>
      <c r="Q291" s="1130">
        <v>-2208024</v>
      </c>
      <c r="R291" s="1130">
        <v>-2208024</v>
      </c>
      <c r="S291" s="1130">
        <v>-2208024</v>
      </c>
      <c r="T291" s="1130">
        <v>-2208024</v>
      </c>
      <c r="U291" s="1130">
        <v>-2208024</v>
      </c>
      <c r="V291" s="1130">
        <v>-2208024</v>
      </c>
      <c r="W291" s="1130">
        <v>-2208024</v>
      </c>
      <c r="X291" s="1130">
        <v>-2208024</v>
      </c>
      <c r="Y291" s="1130">
        <v>-2208024</v>
      </c>
      <c r="Z291" s="1130">
        <v>-2208024</v>
      </c>
      <c r="AA291" s="1130">
        <v>-2208024</v>
      </c>
      <c r="AB291" s="1130">
        <v>-305808966.51299489</v>
      </c>
      <c r="AC291" s="1130">
        <v>0</v>
      </c>
      <c r="AD291" s="1130">
        <v>-356278086.51299489</v>
      </c>
    </row>
    <row r="292" spans="1:30" outlineLevel="2" x14ac:dyDescent="0.45">
      <c r="A292" s="1131"/>
      <c r="B292" s="597" t="str">
        <f t="shared" si="60"/>
        <v>Sales</v>
      </c>
      <c r="D292" s="583" t="str">
        <f>'12. Inputs-Props &amp; Debtors 2016'!C$81</f>
        <v>WC</v>
      </c>
      <c r="F292" s="596"/>
      <c r="G292" s="596"/>
      <c r="H292" s="596"/>
      <c r="I292" s="1130">
        <v>-2811433.6077560242</v>
      </c>
      <c r="J292" s="1130">
        <v>-2811433.6077560242</v>
      </c>
      <c r="K292" s="1130">
        <v>-2113169.0515813255</v>
      </c>
      <c r="L292" s="1130">
        <v>-385883.04420180724</v>
      </c>
      <c r="M292" s="1130">
        <v>-385883.04420180724</v>
      </c>
      <c r="N292" s="1130">
        <v>-385883.04420180724</v>
      </c>
      <c r="O292" s="1130">
        <v>-385883.04420180724</v>
      </c>
      <c r="P292" s="1130">
        <v>-385883.04420180724</v>
      </c>
      <c r="Q292" s="1130">
        <v>-385883.04420180724</v>
      </c>
      <c r="R292" s="1130">
        <v>-385883.04420180724</v>
      </c>
      <c r="S292" s="1130">
        <v>-385883.04420180724</v>
      </c>
      <c r="T292" s="1130">
        <v>-385883.04420180724</v>
      </c>
      <c r="U292" s="1130">
        <v>-385883.04420180724</v>
      </c>
      <c r="V292" s="1130">
        <v>-385883.04420180724</v>
      </c>
      <c r="W292" s="1130">
        <v>-385883.04420180724</v>
      </c>
      <c r="X292" s="1130">
        <v>-385883.04420180724</v>
      </c>
      <c r="Y292" s="1130">
        <v>-385883.04420180724</v>
      </c>
      <c r="Z292" s="1130">
        <v>-385883.04420180724</v>
      </c>
      <c r="AA292" s="1130">
        <v>-385883.04420180724</v>
      </c>
      <c r="AB292" s="1130">
        <v>-86073415.425300524</v>
      </c>
      <c r="AC292" s="1130">
        <v>0</v>
      </c>
      <c r="AD292" s="1130">
        <v>-99983580.399622828</v>
      </c>
    </row>
    <row r="293" spans="1:30" outlineLevel="2" x14ac:dyDescent="0.45">
      <c r="A293" s="1131"/>
      <c r="B293" s="597" t="str">
        <f t="shared" si="60"/>
        <v>Sales</v>
      </c>
      <c r="D293" s="583" t="str">
        <f>'12. Inputs-Props &amp; Debtors 2016'!C$82</f>
        <v>Total</v>
      </c>
      <c r="F293" s="596"/>
      <c r="G293" s="596"/>
      <c r="H293" s="596"/>
      <c r="I293" s="1132">
        <v>-9628697.8662323505</v>
      </c>
      <c r="J293" s="1132">
        <v>-9628697.8662323505</v>
      </c>
      <c r="K293" s="1132">
        <v>-8930433.3100576513</v>
      </c>
      <c r="L293" s="1132">
        <v>-4248781.8647111077</v>
      </c>
      <c r="M293" s="1132">
        <v>-4248781.8647111077</v>
      </c>
      <c r="N293" s="1132">
        <v>-4248781.8647111077</v>
      </c>
      <c r="O293" s="1132">
        <v>-4248781.8647111077</v>
      </c>
      <c r="P293" s="1132">
        <v>-4248781.8647111077</v>
      </c>
      <c r="Q293" s="1132">
        <v>-4248781.8647111077</v>
      </c>
      <c r="R293" s="1132">
        <v>-4248781.8647111077</v>
      </c>
      <c r="S293" s="1132">
        <v>-4248781.8647111077</v>
      </c>
      <c r="T293" s="1132">
        <v>-4248781.8647111077</v>
      </c>
      <c r="U293" s="1132">
        <v>-4248781.8647111077</v>
      </c>
      <c r="V293" s="1132">
        <v>-4248781.8647111077</v>
      </c>
      <c r="W293" s="1132">
        <v>-4248781.8647111077</v>
      </c>
      <c r="X293" s="1132">
        <v>-4248781.8647111077</v>
      </c>
      <c r="Y293" s="1132">
        <v>-4248781.8647111077</v>
      </c>
      <c r="Z293" s="1132">
        <v>-4248781.8647111077</v>
      </c>
      <c r="AA293" s="1132">
        <v>-4248781.8647111077</v>
      </c>
      <c r="AB293" s="1132">
        <v>-737660016.55326807</v>
      </c>
      <c r="AC293" s="1132">
        <v>0</v>
      </c>
      <c r="AD293" s="1132">
        <v>-833828355.4311682</v>
      </c>
    </row>
    <row r="294" spans="1:30" outlineLevel="2" x14ac:dyDescent="0.45">
      <c r="A294" s="1131"/>
      <c r="B294" s="597" t="str">
        <f t="shared" si="60"/>
        <v>Sales</v>
      </c>
      <c r="F294" s="596"/>
      <c r="G294" s="596"/>
      <c r="H294" s="596"/>
      <c r="I294" s="995"/>
      <c r="J294" s="995"/>
      <c r="K294" s="995"/>
      <c r="L294" s="995"/>
      <c r="M294" s="995"/>
      <c r="N294" s="995"/>
      <c r="O294" s="995"/>
      <c r="P294" s="995"/>
      <c r="Q294" s="995"/>
      <c r="R294" s="995"/>
      <c r="S294" s="995"/>
      <c r="T294" s="995"/>
      <c r="U294" s="995"/>
      <c r="V294" s="995"/>
      <c r="W294" s="995"/>
      <c r="X294" s="995"/>
      <c r="Y294" s="995"/>
      <c r="Z294" s="995"/>
      <c r="AA294" s="995"/>
      <c r="AB294" s="995"/>
      <c r="AC294" s="995"/>
      <c r="AD294" s="1120"/>
    </row>
    <row r="295" spans="1:30" outlineLevel="2" x14ac:dyDescent="0.45">
      <c r="A295" s="1131"/>
      <c r="B295" s="597" t="str">
        <f t="shared" si="60"/>
        <v>Sales</v>
      </c>
      <c r="F295" s="596"/>
      <c r="G295" s="596"/>
      <c r="H295" s="596"/>
      <c r="I295" s="995"/>
      <c r="J295" s="995"/>
      <c r="K295" s="995"/>
      <c r="L295" s="995"/>
      <c r="M295" s="995"/>
      <c r="N295" s="995"/>
      <c r="O295" s="995"/>
      <c r="P295" s="995"/>
      <c r="Q295" s="995"/>
      <c r="R295" s="995"/>
      <c r="S295" s="995"/>
      <c r="T295" s="995"/>
      <c r="U295" s="995"/>
      <c r="V295" s="995"/>
      <c r="W295" s="995"/>
      <c r="X295" s="995"/>
      <c r="Y295" s="995"/>
      <c r="Z295" s="995"/>
      <c r="AA295" s="995"/>
      <c r="AB295" s="995"/>
      <c r="AC295" s="995"/>
      <c r="AD295" s="1120"/>
    </row>
    <row r="296" spans="1:30" outlineLevel="2" x14ac:dyDescent="0.45">
      <c r="A296" s="1131"/>
      <c r="B296" s="597" t="str">
        <f t="shared" si="60"/>
        <v>Sales</v>
      </c>
      <c r="C296" s="451">
        <f>C287+1</f>
        <v>30</v>
      </c>
      <c r="D296" s="451" t="s">
        <v>1630</v>
      </c>
      <c r="F296" s="596"/>
      <c r="G296" s="596"/>
      <c r="H296" s="596"/>
      <c r="I296" s="995"/>
      <c r="J296" s="995"/>
      <c r="K296" s="995"/>
      <c r="L296" s="995"/>
      <c r="M296" s="995"/>
      <c r="N296" s="995"/>
      <c r="O296" s="995"/>
      <c r="P296" s="995"/>
      <c r="Q296" s="995"/>
      <c r="R296" s="995"/>
      <c r="S296" s="995"/>
      <c r="T296" s="995"/>
      <c r="U296" s="995"/>
      <c r="V296" s="995"/>
      <c r="W296" s="995"/>
      <c r="X296" s="995"/>
      <c r="Y296" s="995"/>
      <c r="Z296" s="995"/>
      <c r="AA296" s="995"/>
      <c r="AB296" s="995"/>
      <c r="AC296" s="995"/>
      <c r="AD296" s="1120"/>
    </row>
    <row r="297" spans="1:30" outlineLevel="2" x14ac:dyDescent="0.45">
      <c r="A297" s="1131"/>
      <c r="B297" s="597" t="str">
        <f t="shared" si="60"/>
        <v>Sales</v>
      </c>
      <c r="D297" s="583" t="str">
        <f>'12. Inputs-Props &amp; Debtors 2016'!C$77</f>
        <v>EC</v>
      </c>
      <c r="F297" s="596"/>
      <c r="G297" s="596"/>
      <c r="H297" s="596"/>
      <c r="I297" s="1130">
        <f t="shared" ref="I297:R297" si="118">IF(I$10="MTEF",I288,0)</f>
        <v>0</v>
      </c>
      <c r="J297" s="1130">
        <f t="shared" si="118"/>
        <v>0</v>
      </c>
      <c r="K297" s="1130">
        <f t="shared" si="118"/>
        <v>-210409.8845669291</v>
      </c>
      <c r="L297" s="1130">
        <f t="shared" si="118"/>
        <v>-23378.876062992123</v>
      </c>
      <c r="M297" s="1130">
        <f t="shared" si="118"/>
        <v>-23378.876062992123</v>
      </c>
      <c r="N297" s="1130">
        <f t="shared" si="118"/>
        <v>-23378.876062992123</v>
      </c>
      <c r="O297" s="1130">
        <f t="shared" si="118"/>
        <v>-23378.876062992123</v>
      </c>
      <c r="P297" s="1130">
        <f t="shared" si="118"/>
        <v>0</v>
      </c>
      <c r="Q297" s="1130">
        <f t="shared" si="118"/>
        <v>0</v>
      </c>
      <c r="R297" s="1130">
        <f t="shared" si="118"/>
        <v>0</v>
      </c>
      <c r="S297" s="1130">
        <f t="shared" ref="S297:AC297" si="119">IF(S$10="MTEF",S288,0)</f>
        <v>0</v>
      </c>
      <c r="T297" s="1130">
        <f t="shared" si="119"/>
        <v>0</v>
      </c>
      <c r="U297" s="1130">
        <f t="shared" si="119"/>
        <v>0</v>
      </c>
      <c r="V297" s="1130">
        <f t="shared" si="119"/>
        <v>0</v>
      </c>
      <c r="W297" s="1130">
        <f t="shared" si="119"/>
        <v>0</v>
      </c>
      <c r="X297" s="1130">
        <f t="shared" si="119"/>
        <v>0</v>
      </c>
      <c r="Y297" s="1130">
        <f t="shared" si="119"/>
        <v>0</v>
      </c>
      <c r="Z297" s="1130">
        <f t="shared" si="119"/>
        <v>0</v>
      </c>
      <c r="AA297" s="1130">
        <f t="shared" si="119"/>
        <v>0</v>
      </c>
      <c r="AB297" s="1130">
        <f t="shared" si="119"/>
        <v>0</v>
      </c>
      <c r="AC297" s="1130">
        <f t="shared" si="119"/>
        <v>0</v>
      </c>
      <c r="AD297" s="1120">
        <f t="shared" ref="AD297:AD302" si="120">SUM(I297:AC297)</f>
        <v>-303925.3888188976</v>
      </c>
    </row>
    <row r="298" spans="1:30" outlineLevel="2" x14ac:dyDescent="0.45">
      <c r="A298" s="1131"/>
      <c r="B298" s="597" t="str">
        <f t="shared" si="60"/>
        <v>Sales</v>
      </c>
      <c r="D298" s="583" t="str">
        <f>'12. Inputs-Props &amp; Debtors 2016'!C$78</f>
        <v>FS</v>
      </c>
      <c r="F298" s="596"/>
      <c r="G298" s="596"/>
      <c r="H298" s="596"/>
      <c r="I298" s="1130">
        <f t="shared" ref="I298:J302" si="121">IF(I$10="MTEF",I289,0)</f>
        <v>0</v>
      </c>
      <c r="J298" s="1130">
        <f t="shared" si="121"/>
        <v>0</v>
      </c>
      <c r="K298" s="1130">
        <f t="shared" ref="K298:AC298" si="122">IF(K$10="MTEF",K289,0)</f>
        <v>-39429</v>
      </c>
      <c r="L298" s="1130">
        <f t="shared" si="122"/>
        <v>-39429</v>
      </c>
      <c r="M298" s="1130">
        <f t="shared" si="122"/>
        <v>-39429</v>
      </c>
      <c r="N298" s="1130">
        <f t="shared" si="122"/>
        <v>-39429</v>
      </c>
      <c r="O298" s="1130">
        <f t="shared" si="122"/>
        <v>-39429</v>
      </c>
      <c r="P298" s="1130">
        <f t="shared" si="122"/>
        <v>0</v>
      </c>
      <c r="Q298" s="1130">
        <f t="shared" si="122"/>
        <v>0</v>
      </c>
      <c r="R298" s="1130">
        <f t="shared" si="122"/>
        <v>0</v>
      </c>
      <c r="S298" s="1130">
        <f t="shared" si="122"/>
        <v>0</v>
      </c>
      <c r="T298" s="1130">
        <f t="shared" si="122"/>
        <v>0</v>
      </c>
      <c r="U298" s="1130">
        <f t="shared" si="122"/>
        <v>0</v>
      </c>
      <c r="V298" s="1130">
        <f t="shared" si="122"/>
        <v>0</v>
      </c>
      <c r="W298" s="1130">
        <f t="shared" si="122"/>
        <v>0</v>
      </c>
      <c r="X298" s="1130">
        <f t="shared" si="122"/>
        <v>0</v>
      </c>
      <c r="Y298" s="1130">
        <f t="shared" si="122"/>
        <v>0</v>
      </c>
      <c r="Z298" s="1130">
        <f t="shared" si="122"/>
        <v>0</v>
      </c>
      <c r="AA298" s="1130">
        <f t="shared" si="122"/>
        <v>0</v>
      </c>
      <c r="AB298" s="1130">
        <f t="shared" si="122"/>
        <v>0</v>
      </c>
      <c r="AC298" s="1130">
        <f t="shared" si="122"/>
        <v>0</v>
      </c>
      <c r="AD298" s="1120">
        <f t="shared" si="120"/>
        <v>-197145</v>
      </c>
    </row>
    <row r="299" spans="1:30" outlineLevel="2" x14ac:dyDescent="0.45">
      <c r="A299" s="1131"/>
      <c r="B299" s="597" t="str">
        <f t="shared" si="60"/>
        <v>Sales</v>
      </c>
      <c r="D299" s="583" t="str">
        <f>'12. Inputs-Props &amp; Debtors 2016'!C$79</f>
        <v>Gau</v>
      </c>
      <c r="F299" s="596"/>
      <c r="G299" s="596"/>
      <c r="H299" s="596"/>
      <c r="I299" s="1130">
        <f t="shared" si="121"/>
        <v>0</v>
      </c>
      <c r="J299" s="1130">
        <f t="shared" si="121"/>
        <v>0</v>
      </c>
      <c r="K299" s="1130">
        <f t="shared" ref="K299:AC299" si="123">IF(K$10="MTEF",K290,0)</f>
        <v>-1520513.3739093961</v>
      </c>
      <c r="L299" s="1130">
        <f t="shared" si="123"/>
        <v>-1592066.9444463088</v>
      </c>
      <c r="M299" s="1130">
        <f t="shared" si="123"/>
        <v>-1592066.9444463088</v>
      </c>
      <c r="N299" s="1130">
        <f t="shared" si="123"/>
        <v>-1592066.9444463088</v>
      </c>
      <c r="O299" s="1130">
        <f t="shared" si="123"/>
        <v>-1592066.9444463088</v>
      </c>
      <c r="P299" s="1130">
        <f t="shared" si="123"/>
        <v>0</v>
      </c>
      <c r="Q299" s="1130">
        <f t="shared" si="123"/>
        <v>0</v>
      </c>
      <c r="R299" s="1130">
        <f t="shared" si="123"/>
        <v>0</v>
      </c>
      <c r="S299" s="1130">
        <f t="shared" si="123"/>
        <v>0</v>
      </c>
      <c r="T299" s="1130">
        <f t="shared" si="123"/>
        <v>0</v>
      </c>
      <c r="U299" s="1130">
        <f t="shared" si="123"/>
        <v>0</v>
      </c>
      <c r="V299" s="1130">
        <f t="shared" si="123"/>
        <v>0</v>
      </c>
      <c r="W299" s="1130">
        <f t="shared" si="123"/>
        <v>0</v>
      </c>
      <c r="X299" s="1130">
        <f t="shared" si="123"/>
        <v>0</v>
      </c>
      <c r="Y299" s="1130">
        <f t="shared" si="123"/>
        <v>0</v>
      </c>
      <c r="Z299" s="1130">
        <f t="shared" si="123"/>
        <v>0</v>
      </c>
      <c r="AA299" s="1130">
        <f t="shared" si="123"/>
        <v>0</v>
      </c>
      <c r="AB299" s="1130">
        <f t="shared" si="123"/>
        <v>0</v>
      </c>
      <c r="AC299" s="1130">
        <f t="shared" si="123"/>
        <v>0</v>
      </c>
      <c r="AD299" s="1120">
        <f t="shared" si="120"/>
        <v>-7888781.1516946303</v>
      </c>
    </row>
    <row r="300" spans="1:30" outlineLevel="2" x14ac:dyDescent="0.45">
      <c r="A300" s="1131"/>
      <c r="B300" s="597" t="str">
        <f t="shared" si="60"/>
        <v>Sales</v>
      </c>
      <c r="D300" s="583" t="str">
        <f>'12. Inputs-Props &amp; Debtors 2016'!C$80</f>
        <v>KZN</v>
      </c>
      <c r="F300" s="596"/>
      <c r="G300" s="596"/>
      <c r="H300" s="596"/>
      <c r="I300" s="1130">
        <f t="shared" si="121"/>
        <v>0</v>
      </c>
      <c r="J300" s="1130">
        <f t="shared" si="121"/>
        <v>0</v>
      </c>
      <c r="K300" s="1130">
        <f t="shared" ref="K300:AC300" si="124">IF(K$10="MTEF",K291,0)</f>
        <v>-5046912</v>
      </c>
      <c r="L300" s="1130">
        <f t="shared" si="124"/>
        <v>-2208024</v>
      </c>
      <c r="M300" s="1130">
        <f t="shared" si="124"/>
        <v>-2208024</v>
      </c>
      <c r="N300" s="1130">
        <f t="shared" si="124"/>
        <v>-2208024</v>
      </c>
      <c r="O300" s="1130">
        <f t="shared" si="124"/>
        <v>-2208024</v>
      </c>
      <c r="P300" s="1130">
        <f t="shared" si="124"/>
        <v>0</v>
      </c>
      <c r="Q300" s="1130">
        <f t="shared" si="124"/>
        <v>0</v>
      </c>
      <c r="R300" s="1130">
        <f t="shared" si="124"/>
        <v>0</v>
      </c>
      <c r="S300" s="1130">
        <f t="shared" si="124"/>
        <v>0</v>
      </c>
      <c r="T300" s="1130">
        <f t="shared" si="124"/>
        <v>0</v>
      </c>
      <c r="U300" s="1130">
        <f t="shared" si="124"/>
        <v>0</v>
      </c>
      <c r="V300" s="1130">
        <f t="shared" si="124"/>
        <v>0</v>
      </c>
      <c r="W300" s="1130">
        <f t="shared" si="124"/>
        <v>0</v>
      </c>
      <c r="X300" s="1130">
        <f t="shared" si="124"/>
        <v>0</v>
      </c>
      <c r="Y300" s="1130">
        <f t="shared" si="124"/>
        <v>0</v>
      </c>
      <c r="Z300" s="1130">
        <f t="shared" si="124"/>
        <v>0</v>
      </c>
      <c r="AA300" s="1130">
        <f t="shared" si="124"/>
        <v>0</v>
      </c>
      <c r="AB300" s="1130">
        <f t="shared" si="124"/>
        <v>0</v>
      </c>
      <c r="AC300" s="1130">
        <f t="shared" si="124"/>
        <v>0</v>
      </c>
      <c r="AD300" s="1120">
        <f t="shared" si="120"/>
        <v>-13879008</v>
      </c>
    </row>
    <row r="301" spans="1:30" outlineLevel="2" x14ac:dyDescent="0.45">
      <c r="A301" s="1131"/>
      <c r="B301" s="597" t="str">
        <f t="shared" si="60"/>
        <v>Sales</v>
      </c>
      <c r="D301" s="583" t="str">
        <f>'12. Inputs-Props &amp; Debtors 2016'!C$81</f>
        <v>WC</v>
      </c>
      <c r="F301" s="596"/>
      <c r="G301" s="596"/>
      <c r="H301" s="596"/>
      <c r="I301" s="1130">
        <f t="shared" si="121"/>
        <v>0</v>
      </c>
      <c r="J301" s="1130">
        <f t="shared" si="121"/>
        <v>0</v>
      </c>
      <c r="K301" s="1130">
        <f t="shared" ref="K301:AC301" si="125">IF(K$10="MTEF",K292,0)</f>
        <v>-2113169.0515813255</v>
      </c>
      <c r="L301" s="1130">
        <f t="shared" si="125"/>
        <v>-385883.04420180724</v>
      </c>
      <c r="M301" s="1130">
        <f t="shared" si="125"/>
        <v>-385883.04420180724</v>
      </c>
      <c r="N301" s="1130">
        <f t="shared" si="125"/>
        <v>-385883.04420180724</v>
      </c>
      <c r="O301" s="1130">
        <f t="shared" si="125"/>
        <v>-385883.04420180724</v>
      </c>
      <c r="P301" s="1130">
        <f t="shared" si="125"/>
        <v>0</v>
      </c>
      <c r="Q301" s="1130">
        <f t="shared" si="125"/>
        <v>0</v>
      </c>
      <c r="R301" s="1130">
        <f t="shared" si="125"/>
        <v>0</v>
      </c>
      <c r="S301" s="1130">
        <f t="shared" si="125"/>
        <v>0</v>
      </c>
      <c r="T301" s="1130">
        <f t="shared" si="125"/>
        <v>0</v>
      </c>
      <c r="U301" s="1130">
        <f t="shared" si="125"/>
        <v>0</v>
      </c>
      <c r="V301" s="1130">
        <f t="shared" si="125"/>
        <v>0</v>
      </c>
      <c r="W301" s="1130">
        <f t="shared" si="125"/>
        <v>0</v>
      </c>
      <c r="X301" s="1130">
        <f t="shared" si="125"/>
        <v>0</v>
      </c>
      <c r="Y301" s="1130">
        <f t="shared" si="125"/>
        <v>0</v>
      </c>
      <c r="Z301" s="1130">
        <f t="shared" si="125"/>
        <v>0</v>
      </c>
      <c r="AA301" s="1130">
        <f t="shared" si="125"/>
        <v>0</v>
      </c>
      <c r="AB301" s="1130">
        <f t="shared" si="125"/>
        <v>0</v>
      </c>
      <c r="AC301" s="1130">
        <f t="shared" si="125"/>
        <v>0</v>
      </c>
      <c r="AD301" s="1120">
        <f t="shared" si="120"/>
        <v>-3656701.228388554</v>
      </c>
    </row>
    <row r="302" spans="1:30" outlineLevel="2" x14ac:dyDescent="0.45">
      <c r="A302" s="1131"/>
      <c r="B302" s="597" t="str">
        <f t="shared" si="60"/>
        <v>Sales</v>
      </c>
      <c r="D302" s="583" t="str">
        <f>'12. Inputs-Props &amp; Debtors 2016'!C$82</f>
        <v>Total</v>
      </c>
      <c r="F302" s="596"/>
      <c r="G302" s="596"/>
      <c r="H302" s="596"/>
      <c r="I302" s="1132">
        <f t="shared" si="121"/>
        <v>0</v>
      </c>
      <c r="J302" s="1132">
        <f t="shared" si="121"/>
        <v>0</v>
      </c>
      <c r="K302" s="1132">
        <f t="shared" ref="K302:AC302" si="126">IF(K$10="MTEF",K293,0)</f>
        <v>-8930433.3100576513</v>
      </c>
      <c r="L302" s="1132">
        <f t="shared" si="126"/>
        <v>-4248781.8647111077</v>
      </c>
      <c r="M302" s="1132">
        <f t="shared" si="126"/>
        <v>-4248781.8647111077</v>
      </c>
      <c r="N302" s="1132">
        <f t="shared" si="126"/>
        <v>-4248781.8647111077</v>
      </c>
      <c r="O302" s="1132">
        <f t="shared" si="126"/>
        <v>-4248781.8647111077</v>
      </c>
      <c r="P302" s="1132">
        <f t="shared" si="126"/>
        <v>0</v>
      </c>
      <c r="Q302" s="1132">
        <f t="shared" si="126"/>
        <v>0</v>
      </c>
      <c r="R302" s="1132">
        <f t="shared" si="126"/>
        <v>0</v>
      </c>
      <c r="S302" s="1132">
        <f t="shared" si="126"/>
        <v>0</v>
      </c>
      <c r="T302" s="1132">
        <f t="shared" si="126"/>
        <v>0</v>
      </c>
      <c r="U302" s="1132">
        <f t="shared" si="126"/>
        <v>0</v>
      </c>
      <c r="V302" s="1132">
        <f t="shared" si="126"/>
        <v>0</v>
      </c>
      <c r="W302" s="1132">
        <f t="shared" si="126"/>
        <v>0</v>
      </c>
      <c r="X302" s="1132">
        <f t="shared" si="126"/>
        <v>0</v>
      </c>
      <c r="Y302" s="1132">
        <f t="shared" si="126"/>
        <v>0</v>
      </c>
      <c r="Z302" s="1132">
        <f t="shared" si="126"/>
        <v>0</v>
      </c>
      <c r="AA302" s="1132">
        <f t="shared" si="126"/>
        <v>0</v>
      </c>
      <c r="AB302" s="1132">
        <f t="shared" si="126"/>
        <v>0</v>
      </c>
      <c r="AC302" s="1132">
        <f t="shared" si="126"/>
        <v>0</v>
      </c>
      <c r="AD302" s="1121">
        <f t="shared" si="120"/>
        <v>-25925560.768902078</v>
      </c>
    </row>
    <row r="303" spans="1:30" outlineLevel="2" x14ac:dyDescent="0.45">
      <c r="A303" s="1131"/>
      <c r="B303" s="597" t="str">
        <f t="shared" si="60"/>
        <v>Sales</v>
      </c>
      <c r="F303" s="596"/>
      <c r="G303" s="596"/>
      <c r="H303" s="596"/>
      <c r="I303" s="995"/>
      <c r="J303" s="995"/>
      <c r="K303" s="995"/>
      <c r="L303" s="995"/>
      <c r="M303" s="995"/>
      <c r="N303" s="995"/>
      <c r="O303" s="995"/>
      <c r="P303" s="995"/>
      <c r="Q303" s="995"/>
      <c r="R303" s="995"/>
      <c r="S303" s="995"/>
      <c r="T303" s="995"/>
      <c r="U303" s="995"/>
      <c r="V303" s="995"/>
      <c r="W303" s="995"/>
      <c r="X303" s="995"/>
      <c r="Y303" s="995"/>
      <c r="Z303" s="995"/>
      <c r="AA303" s="995"/>
      <c r="AB303" s="995"/>
      <c r="AC303" s="995"/>
      <c r="AD303" s="1120"/>
    </row>
    <row r="304" spans="1:30" outlineLevel="2" x14ac:dyDescent="0.45">
      <c r="A304" s="1131"/>
      <c r="B304" s="597" t="str">
        <f t="shared" si="60"/>
        <v>Sales</v>
      </c>
      <c r="D304" s="451"/>
      <c r="F304" s="596"/>
      <c r="G304" s="596"/>
      <c r="H304" s="596"/>
      <c r="I304" s="995"/>
      <c r="J304" s="995"/>
      <c r="K304" s="995"/>
      <c r="L304" s="995"/>
      <c r="M304" s="995"/>
      <c r="N304" s="995"/>
      <c r="O304" s="995"/>
      <c r="P304" s="995"/>
      <c r="Q304" s="995"/>
      <c r="R304" s="995"/>
      <c r="S304" s="995"/>
      <c r="T304" s="995"/>
      <c r="U304" s="995"/>
      <c r="V304" s="995"/>
      <c r="W304" s="995"/>
      <c r="X304" s="995"/>
      <c r="Y304" s="995"/>
      <c r="Z304" s="995"/>
      <c r="AA304" s="995"/>
      <c r="AB304" s="995"/>
      <c r="AC304" s="995"/>
      <c r="AD304" s="1120"/>
    </row>
    <row r="305" spans="1:30" outlineLevel="2" x14ac:dyDescent="0.45">
      <c r="A305" s="1131"/>
      <c r="B305" s="597" t="str">
        <f t="shared" si="60"/>
        <v>Sales</v>
      </c>
      <c r="C305" s="451">
        <f>C296+1</f>
        <v>31</v>
      </c>
      <c r="D305" s="451" t="str">
        <f>"Debtors Control Accounts per Province - "&amp;E308</f>
        <v>Debtors Control Accounts per Province - EC</v>
      </c>
      <c r="F305" s="596"/>
      <c r="G305" s="596"/>
      <c r="H305" s="596"/>
      <c r="I305" s="995"/>
      <c r="J305" s="995"/>
      <c r="K305" s="995"/>
      <c r="L305" s="995"/>
      <c r="M305" s="995"/>
      <c r="N305" s="995"/>
      <c r="O305" s="995"/>
      <c r="P305" s="995"/>
      <c r="Q305" s="995"/>
      <c r="R305" s="995"/>
      <c r="S305" s="995"/>
      <c r="T305" s="995"/>
      <c r="U305" s="995"/>
      <c r="V305" s="995"/>
      <c r="W305" s="995"/>
      <c r="X305" s="995"/>
      <c r="Y305" s="995"/>
      <c r="Z305" s="995"/>
      <c r="AA305" s="995"/>
      <c r="AB305" s="995"/>
      <c r="AC305" s="995"/>
      <c r="AD305" s="995"/>
    </row>
    <row r="306" spans="1:30" outlineLevel="2" x14ac:dyDescent="0.45">
      <c r="A306" s="1131"/>
      <c r="B306" s="597" t="str">
        <f t="shared" si="60"/>
        <v>Sales</v>
      </c>
      <c r="D306" s="747" t="str">
        <f>D$268</f>
        <v>Balance b/f</v>
      </c>
      <c r="F306" s="596"/>
      <c r="G306" s="596"/>
      <c r="H306" s="615">
        <f>SUMIF($D$87:$D$92,$E308,H$87:H$92)</f>
        <v>8780700.9399999995</v>
      </c>
      <c r="I306" s="1120">
        <f>H311</f>
        <v>8780700.9399999995</v>
      </c>
      <c r="J306" s="1120">
        <f t="shared" ref="J306:AC306" si="127">I311</f>
        <v>10167127.404210526</v>
      </c>
      <c r="K306" s="1120">
        <f t="shared" si="127"/>
        <v>11553553.868421052</v>
      </c>
      <c r="L306" s="1120">
        <f t="shared" si="127"/>
        <v>12939980.332631577</v>
      </c>
      <c r="M306" s="1120">
        <f t="shared" si="127"/>
        <v>13094027.717543857</v>
      </c>
      <c r="N306" s="1120">
        <f t="shared" si="127"/>
        <v>13248075.102456138</v>
      </c>
      <c r="O306" s="1120">
        <f t="shared" si="127"/>
        <v>13402122.487368418</v>
      </c>
      <c r="P306" s="1120">
        <f t="shared" si="127"/>
        <v>13556169.872280698</v>
      </c>
      <c r="Q306" s="1120">
        <f t="shared" si="127"/>
        <v>13710217.257192979</v>
      </c>
      <c r="R306" s="1120">
        <f t="shared" si="127"/>
        <v>13864264.642105259</v>
      </c>
      <c r="S306" s="1120">
        <f t="shared" si="127"/>
        <v>14018312.027017539</v>
      </c>
      <c r="T306" s="1120">
        <f t="shared" si="127"/>
        <v>14172359.41192982</v>
      </c>
      <c r="U306" s="1120">
        <f t="shared" si="127"/>
        <v>14326406.7968421</v>
      </c>
      <c r="V306" s="1120">
        <f t="shared" si="127"/>
        <v>14480454.18175438</v>
      </c>
      <c r="W306" s="1120">
        <f t="shared" si="127"/>
        <v>14634501.566666661</v>
      </c>
      <c r="X306" s="1120">
        <f t="shared" si="127"/>
        <v>14788548.951578941</v>
      </c>
      <c r="Y306" s="1120">
        <f t="shared" si="127"/>
        <v>14942596.336491222</v>
      </c>
      <c r="Z306" s="1120">
        <f t="shared" si="127"/>
        <v>15096643.721403502</v>
      </c>
      <c r="AA306" s="1120">
        <f t="shared" si="127"/>
        <v>15250691.106315782</v>
      </c>
      <c r="AB306" s="1120">
        <f t="shared" si="127"/>
        <v>15404738.491228063</v>
      </c>
      <c r="AC306" s="1120">
        <f t="shared" si="127"/>
        <v>0</v>
      </c>
      <c r="AD306" s="1120">
        <f>H306</f>
        <v>8780700.9399999995</v>
      </c>
    </row>
    <row r="307" spans="1:30" outlineLevel="2" x14ac:dyDescent="0.45">
      <c r="A307" s="1131"/>
      <c r="B307" s="597" t="str">
        <f t="shared" si="60"/>
        <v>Sales</v>
      </c>
      <c r="D307" s="747" t="str">
        <f>D$269</f>
        <v>New Sale Debtors (Rental Properties Sold to Occupants)</v>
      </c>
      <c r="F307" s="596"/>
      <c r="G307" s="596"/>
      <c r="H307" s="596"/>
      <c r="I307" s="1120">
        <f>SUMIF('10. Inputs &amp; Calcs'!$D$258:$D$263,$E308,'10. Inputs &amp; Calcs'!I$258:I$263)</f>
        <v>1596836.3487774553</v>
      </c>
      <c r="J307" s="1120">
        <f>SUMIF('10. Inputs &amp; Calcs'!$D$258:$D$263,$E308,'10. Inputs &amp; Calcs'!J$258:J$263)</f>
        <v>1596836.3487774553</v>
      </c>
      <c r="K307" s="1120">
        <f>SUMIF('10. Inputs &amp; Calcs'!$D$258:$D$263,$E308,'10. Inputs &amp; Calcs'!K$258:K$263)</f>
        <v>1596836.3487774553</v>
      </c>
      <c r="L307" s="1120">
        <f>SUMIF('10. Inputs &amp; Calcs'!$D$258:$D$263,$E308,'10. Inputs &amp; Calcs'!L$258:L$263)</f>
        <v>177426.2609752728</v>
      </c>
      <c r="M307" s="1120">
        <f>SUMIF('10. Inputs &amp; Calcs'!$D$258:$D$263,$E308,'10. Inputs &amp; Calcs'!M$258:M$263)</f>
        <v>177426.2609752728</v>
      </c>
      <c r="N307" s="1120">
        <f>SUMIF('10. Inputs &amp; Calcs'!$D$258:$D$263,$E308,'10. Inputs &amp; Calcs'!N$258:N$263)</f>
        <v>177426.2609752728</v>
      </c>
      <c r="O307" s="1120">
        <f>SUMIF('10. Inputs &amp; Calcs'!$D$258:$D$263,$E308,'10. Inputs &amp; Calcs'!O$258:O$263)</f>
        <v>177426.2609752728</v>
      </c>
      <c r="P307" s="1120">
        <f>SUMIF('10. Inputs &amp; Calcs'!$D$258:$D$263,$E308,'10. Inputs &amp; Calcs'!P$258:P$263)</f>
        <v>177426.2609752728</v>
      </c>
      <c r="Q307" s="1120">
        <f>SUMIF('10. Inputs &amp; Calcs'!$D$258:$D$263,$E308,'10. Inputs &amp; Calcs'!Q$258:Q$263)</f>
        <v>177426.2609752728</v>
      </c>
      <c r="R307" s="1120">
        <f>SUMIF('10. Inputs &amp; Calcs'!$D$258:$D$263,$E308,'10. Inputs &amp; Calcs'!R$258:R$263)</f>
        <v>177426.2609752728</v>
      </c>
      <c r="S307" s="1120">
        <f>SUMIF('10. Inputs &amp; Calcs'!$D$258:$D$263,$E308,'10. Inputs &amp; Calcs'!S$258:S$263)</f>
        <v>177426.2609752728</v>
      </c>
      <c r="T307" s="1120">
        <f>SUMIF('10. Inputs &amp; Calcs'!$D$258:$D$263,$E308,'10. Inputs &amp; Calcs'!T$258:T$263)</f>
        <v>177426.2609752728</v>
      </c>
      <c r="U307" s="1120">
        <f>SUMIF('10. Inputs &amp; Calcs'!$D$258:$D$263,$E308,'10. Inputs &amp; Calcs'!U$258:U$263)</f>
        <v>177426.2609752728</v>
      </c>
      <c r="V307" s="1120">
        <f>SUMIF('10. Inputs &amp; Calcs'!$D$258:$D$263,$E308,'10. Inputs &amp; Calcs'!V$258:V$263)</f>
        <v>177426.2609752728</v>
      </c>
      <c r="W307" s="1120">
        <f>SUMIF('10. Inputs &amp; Calcs'!$D$258:$D$263,$E308,'10. Inputs &amp; Calcs'!W$258:W$263)</f>
        <v>177426.2609752728</v>
      </c>
      <c r="X307" s="1120">
        <f>SUMIF('10. Inputs &amp; Calcs'!$D$258:$D$263,$E308,'10. Inputs &amp; Calcs'!X$258:X$263)</f>
        <v>177426.2609752728</v>
      </c>
      <c r="Y307" s="1120">
        <f>SUMIF('10. Inputs &amp; Calcs'!$D$258:$D$263,$E308,'10. Inputs &amp; Calcs'!Y$258:Y$263)</f>
        <v>177426.2609752728</v>
      </c>
      <c r="Z307" s="1120">
        <f>SUMIF('10. Inputs &amp; Calcs'!$D$258:$D$263,$E308,'10. Inputs &amp; Calcs'!Z$258:Z$263)</f>
        <v>177426.2609752728</v>
      </c>
      <c r="AA307" s="1120">
        <f>SUMIF('10. Inputs &amp; Calcs'!$D$258:$D$263,$E308,'10. Inputs &amp; Calcs'!AA$258:AA$263)</f>
        <v>177426.2609752728</v>
      </c>
      <c r="AB307" s="1120">
        <f>SUMIF('10. Inputs &amp; Calcs'!$D$258:$D$263,$E308,'10. Inputs &amp; Calcs'!AB$258:AB$263)</f>
        <v>354852.5219505456</v>
      </c>
      <c r="AC307" s="1120">
        <f>SUMIF('10. Inputs &amp; Calcs'!$D$258:$D$263,$E308,'10. Inputs &amp; Calcs'!AC$258:AC$263)</f>
        <v>0</v>
      </c>
      <c r="AD307" s="1120">
        <f>SUM(I307:AC307)</f>
        <v>7984181.7438872699</v>
      </c>
    </row>
    <row r="308" spans="1:30" outlineLevel="2" x14ac:dyDescent="0.45">
      <c r="A308" s="1131"/>
      <c r="B308" s="597" t="str">
        <f t="shared" si="60"/>
        <v>Sales</v>
      </c>
      <c r="D308" s="747" t="str">
        <f>D$270</f>
        <v>EEDBS Fixed - Total Utilised on Transfer to Tenants</v>
      </c>
      <c r="E308" s="583" t="str">
        <f>$D$33</f>
        <v>EC</v>
      </c>
      <c r="H308" s="596"/>
      <c r="I308" s="1120">
        <f>-SUMIF('10. Inputs &amp; Calcs'!$D$213:$D$218,$E308,'10. Inputs &amp; Calcs'!I$213:I$218)</f>
        <v>-210409.8845669291</v>
      </c>
      <c r="J308" s="1120">
        <f>-SUMIF('10. Inputs &amp; Calcs'!$D$213:$D$218,$E308,'10. Inputs &amp; Calcs'!J$213:J$218)</f>
        <v>-210409.8845669291</v>
      </c>
      <c r="K308" s="1120">
        <f>-SUMIF('10. Inputs &amp; Calcs'!$D$213:$D$218,$E308,'10. Inputs &amp; Calcs'!K$213:K$218)</f>
        <v>-210409.8845669291</v>
      </c>
      <c r="L308" s="1120">
        <f>-SUMIF('10. Inputs &amp; Calcs'!$D$213:$D$218,$E308,'10. Inputs &amp; Calcs'!L$213:L$218)</f>
        <v>-23378.876062992123</v>
      </c>
      <c r="M308" s="1120">
        <f>-SUMIF('10. Inputs &amp; Calcs'!$D$213:$D$218,$E308,'10. Inputs &amp; Calcs'!M$213:M$218)</f>
        <v>-23378.876062992123</v>
      </c>
      <c r="N308" s="1120">
        <f>-SUMIF('10. Inputs &amp; Calcs'!$D$213:$D$218,$E308,'10. Inputs &amp; Calcs'!N$213:N$218)</f>
        <v>-23378.876062992123</v>
      </c>
      <c r="O308" s="1120">
        <f>-SUMIF('10. Inputs &amp; Calcs'!$D$213:$D$218,$E308,'10. Inputs &amp; Calcs'!O$213:O$218)</f>
        <v>-23378.876062992123</v>
      </c>
      <c r="P308" s="1120">
        <f>-SUMIF('10. Inputs &amp; Calcs'!$D$213:$D$218,$E308,'10. Inputs &amp; Calcs'!P$213:P$218)</f>
        <v>-23378.876062992123</v>
      </c>
      <c r="Q308" s="1120">
        <f>-SUMIF('10. Inputs &amp; Calcs'!$D$213:$D$218,$E308,'10. Inputs &amp; Calcs'!Q$213:Q$218)</f>
        <v>-23378.876062992123</v>
      </c>
      <c r="R308" s="1120">
        <f>-SUMIF('10. Inputs &amp; Calcs'!$D$213:$D$218,$E308,'10. Inputs &amp; Calcs'!R$213:R$218)</f>
        <v>-23378.876062992123</v>
      </c>
      <c r="S308" s="1120">
        <f>-SUMIF('10. Inputs &amp; Calcs'!$D$213:$D$218,$E308,'10. Inputs &amp; Calcs'!S$213:S$218)</f>
        <v>-23378.876062992123</v>
      </c>
      <c r="T308" s="1120">
        <f>-SUMIF('10. Inputs &amp; Calcs'!$D$213:$D$218,$E308,'10. Inputs &amp; Calcs'!T$213:T$218)</f>
        <v>-23378.876062992123</v>
      </c>
      <c r="U308" s="1120">
        <f>-SUMIF('10. Inputs &amp; Calcs'!$D$213:$D$218,$E308,'10. Inputs &amp; Calcs'!U$213:U$218)</f>
        <v>-23378.876062992123</v>
      </c>
      <c r="V308" s="1120">
        <f>-SUMIF('10. Inputs &amp; Calcs'!$D$213:$D$218,$E308,'10. Inputs &amp; Calcs'!V$213:V$218)</f>
        <v>-23378.876062992123</v>
      </c>
      <c r="W308" s="1120">
        <f>-SUMIF('10. Inputs &amp; Calcs'!$D$213:$D$218,$E308,'10. Inputs &amp; Calcs'!W$213:W$218)</f>
        <v>-23378.876062992123</v>
      </c>
      <c r="X308" s="1120">
        <f>-SUMIF('10. Inputs &amp; Calcs'!$D$213:$D$218,$E308,'10. Inputs &amp; Calcs'!X$213:X$218)</f>
        <v>-23378.876062992123</v>
      </c>
      <c r="Y308" s="1120">
        <f>-SUMIF('10. Inputs &amp; Calcs'!$D$213:$D$218,$E308,'10. Inputs &amp; Calcs'!Y$213:Y$218)</f>
        <v>-23378.876062992123</v>
      </c>
      <c r="Z308" s="1120">
        <f>-SUMIF('10. Inputs &amp; Calcs'!$D$213:$D$218,$E308,'10. Inputs &amp; Calcs'!Z$213:Z$218)</f>
        <v>-23378.876062992123</v>
      </c>
      <c r="AA308" s="1120">
        <f>-SUMIF('10. Inputs &amp; Calcs'!$D$213:$D$218,$E308,'10. Inputs &amp; Calcs'!AA$213:AA$218)</f>
        <v>-23378.876062992123</v>
      </c>
      <c r="AB308" s="1120">
        <f>-SUMIF('10. Inputs &amp; Calcs'!$D$213:$D$218,$E308,'10. Inputs &amp; Calcs'!AB$213:AB$218)</f>
        <v>-46757.752125984247</v>
      </c>
      <c r="AC308" s="1120">
        <f>-SUMIF('10. Inputs &amp; Calcs'!$D$213:$D$218,$E308,'10. Inputs &amp; Calcs'!AC$213:AC$218)</f>
        <v>0</v>
      </c>
      <c r="AD308" s="1120">
        <f>SUM(I308:AC308)</f>
        <v>-1052049.422834646</v>
      </c>
    </row>
    <row r="309" spans="1:30" outlineLevel="2" x14ac:dyDescent="0.45">
      <c r="A309" s="1131"/>
      <c r="B309" s="597" t="str">
        <f t="shared" si="60"/>
        <v>Sales</v>
      </c>
      <c r="D309" s="747" t="str">
        <f>D$271</f>
        <v>Total New Sale Debtors settled</v>
      </c>
      <c r="E309" s="583" t="str">
        <f>E308</f>
        <v>EC</v>
      </c>
      <c r="H309" s="596"/>
      <c r="I309" s="1120">
        <f>-SUMIF('10. Inputs &amp; Calcs'!$D$231:$D$236,$E308,'10. Inputs &amp; Calcs'!I$231:I$236)</f>
        <v>0</v>
      </c>
      <c r="J309" s="1120">
        <f>-SUMIF('10. Inputs &amp; Calcs'!$D$231:$D$236,$E308,'10. Inputs &amp; Calcs'!J$231:J$236)</f>
        <v>0</v>
      </c>
      <c r="K309" s="1120">
        <f>-SUMIF('10. Inputs &amp; Calcs'!$D$231:$D$236,$E308,'10. Inputs &amp; Calcs'!K$231:K$236)</f>
        <v>0</v>
      </c>
      <c r="L309" s="1120">
        <f>-SUMIF('10. Inputs &amp; Calcs'!$D$231:$D$236,$E308,'10. Inputs &amp; Calcs'!L$231:L$236)</f>
        <v>0</v>
      </c>
      <c r="M309" s="1120">
        <f>-SUMIF('10. Inputs &amp; Calcs'!$D$231:$D$236,$E308,'10. Inputs &amp; Calcs'!M$231:M$236)</f>
        <v>0</v>
      </c>
      <c r="N309" s="1120">
        <f>-SUMIF('10. Inputs &amp; Calcs'!$D$231:$D$236,$E308,'10. Inputs &amp; Calcs'!N$231:N$236)</f>
        <v>0</v>
      </c>
      <c r="O309" s="1120">
        <f>-SUMIF('10. Inputs &amp; Calcs'!$D$231:$D$236,$E308,'10. Inputs &amp; Calcs'!O$231:O$236)</f>
        <v>0</v>
      </c>
      <c r="P309" s="1120">
        <f>-SUMIF('10. Inputs &amp; Calcs'!$D$231:$D$236,$E308,'10. Inputs &amp; Calcs'!P$231:P$236)</f>
        <v>0</v>
      </c>
      <c r="Q309" s="1120">
        <f>-SUMIF('10. Inputs &amp; Calcs'!$D$231:$D$236,$E308,'10. Inputs &amp; Calcs'!Q$231:Q$236)</f>
        <v>0</v>
      </c>
      <c r="R309" s="1120">
        <f>-SUMIF('10. Inputs &amp; Calcs'!$D$231:$D$236,$E308,'10. Inputs &amp; Calcs'!R$231:R$236)</f>
        <v>0</v>
      </c>
      <c r="S309" s="1120">
        <f>-SUMIF('10. Inputs &amp; Calcs'!$D$231:$D$236,$E308,'10. Inputs &amp; Calcs'!S$231:S$236)</f>
        <v>0</v>
      </c>
      <c r="T309" s="1120">
        <f>-SUMIF('10. Inputs &amp; Calcs'!$D$231:$D$236,$E308,'10. Inputs &amp; Calcs'!T$231:T$236)</f>
        <v>0</v>
      </c>
      <c r="U309" s="1120">
        <f>-SUMIF('10. Inputs &amp; Calcs'!$D$231:$D$236,$E308,'10. Inputs &amp; Calcs'!U$231:U$236)</f>
        <v>0</v>
      </c>
      <c r="V309" s="1120">
        <f>-SUMIF('10. Inputs &amp; Calcs'!$D$231:$D$236,$E308,'10. Inputs &amp; Calcs'!V$231:V$236)</f>
        <v>0</v>
      </c>
      <c r="W309" s="1120">
        <f>-SUMIF('10. Inputs &amp; Calcs'!$D$231:$D$236,$E308,'10. Inputs &amp; Calcs'!W$231:W$236)</f>
        <v>0</v>
      </c>
      <c r="X309" s="1120">
        <f>-SUMIF('10. Inputs &amp; Calcs'!$D$231:$D$236,$E308,'10. Inputs &amp; Calcs'!X$231:X$236)</f>
        <v>0</v>
      </c>
      <c r="Y309" s="1120">
        <f>-SUMIF('10. Inputs &amp; Calcs'!$D$231:$D$236,$E308,'10. Inputs &amp; Calcs'!Y$231:Y$236)</f>
        <v>0</v>
      </c>
      <c r="Z309" s="1120">
        <f>-SUMIF('10. Inputs &amp; Calcs'!$D$231:$D$236,$E308,'10. Inputs &amp; Calcs'!Z$231:Z$236)</f>
        <v>0</v>
      </c>
      <c r="AA309" s="1120">
        <f>-SUMIF('10. Inputs &amp; Calcs'!$D$231:$D$236,$E308,'10. Inputs &amp; Calcs'!AA$231:AA$236)</f>
        <v>0</v>
      </c>
      <c r="AB309" s="1120">
        <f>-SUMIF('10. Inputs &amp; Calcs'!$D$231:$D$236,$E308,'10. Inputs &amp; Calcs'!AB$231:AB$236)</f>
        <v>-2772852.9284210522</v>
      </c>
      <c r="AC309" s="1120">
        <f>-SUMIF('10. Inputs &amp; Calcs'!$D$231:$D$236,$E308,'10. Inputs &amp; Calcs'!AC$231:AC$236)</f>
        <v>0</v>
      </c>
      <c r="AD309" s="1120">
        <f>SUM(I309:AC309)</f>
        <v>-2772852.9284210522</v>
      </c>
    </row>
    <row r="310" spans="1:30" outlineLevel="2" x14ac:dyDescent="0.45">
      <c r="A310" s="1131"/>
      <c r="B310" s="597" t="str">
        <f t="shared" si="60"/>
        <v>Sales</v>
      </c>
      <c r="D310" s="747" t="str">
        <f>D$272</f>
        <v>Existing Sale Debtors settled</v>
      </c>
      <c r="E310" s="583" t="str">
        <f>E308</f>
        <v>EC</v>
      </c>
      <c r="H310" s="596"/>
      <c r="I310" s="1120">
        <f>-SUMIF('10. Inputs &amp; Calcs'!$D$249:$D$254,$E308,'10. Inputs &amp; Calcs'!I$249:I$254)</f>
        <v>0</v>
      </c>
      <c r="J310" s="1120">
        <f>-SUMIF('10. Inputs &amp; Calcs'!$D$249:$D$254,$E308,'10. Inputs &amp; Calcs'!J$249:J$254)</f>
        <v>0</v>
      </c>
      <c r="K310" s="1120">
        <f>-SUMIF('10. Inputs &amp; Calcs'!$D$249:$D$254,$E308,'10. Inputs &amp; Calcs'!K$249:K$254)</f>
        <v>0</v>
      </c>
      <c r="L310" s="1120">
        <f>-SUMIF('10. Inputs &amp; Calcs'!$D$249:$D$254,$E308,'10. Inputs &amp; Calcs'!L$249:L$254)</f>
        <v>0</v>
      </c>
      <c r="M310" s="1120">
        <f>-SUMIF('10. Inputs &amp; Calcs'!$D$249:$D$254,$E308,'10. Inputs &amp; Calcs'!M$249:M$254)</f>
        <v>0</v>
      </c>
      <c r="N310" s="1120">
        <f>-SUMIF('10. Inputs &amp; Calcs'!$D$249:$D$254,$E308,'10. Inputs &amp; Calcs'!N$249:N$254)</f>
        <v>0</v>
      </c>
      <c r="O310" s="1120">
        <f>-SUMIF('10. Inputs &amp; Calcs'!$D$249:$D$254,$E308,'10. Inputs &amp; Calcs'!O$249:O$254)</f>
        <v>0</v>
      </c>
      <c r="P310" s="1120">
        <f>-SUMIF('10. Inputs &amp; Calcs'!$D$249:$D$254,$E308,'10. Inputs &amp; Calcs'!P$249:P$254)</f>
        <v>0</v>
      </c>
      <c r="Q310" s="1120">
        <f>-SUMIF('10. Inputs &amp; Calcs'!$D$249:$D$254,$E308,'10. Inputs &amp; Calcs'!Q$249:Q$254)</f>
        <v>0</v>
      </c>
      <c r="R310" s="1120">
        <f>-SUMIF('10. Inputs &amp; Calcs'!$D$249:$D$254,$E308,'10. Inputs &amp; Calcs'!R$249:R$254)</f>
        <v>0</v>
      </c>
      <c r="S310" s="1120">
        <f>-SUMIF('10. Inputs &amp; Calcs'!$D$249:$D$254,$E308,'10. Inputs &amp; Calcs'!S$249:S$254)</f>
        <v>0</v>
      </c>
      <c r="T310" s="1120">
        <f>-SUMIF('10. Inputs &amp; Calcs'!$D$249:$D$254,$E308,'10. Inputs &amp; Calcs'!T$249:T$254)</f>
        <v>0</v>
      </c>
      <c r="U310" s="1120">
        <f>-SUMIF('10. Inputs &amp; Calcs'!$D$249:$D$254,$E308,'10. Inputs &amp; Calcs'!U$249:U$254)</f>
        <v>0</v>
      </c>
      <c r="V310" s="1120">
        <f>-SUMIF('10. Inputs &amp; Calcs'!$D$249:$D$254,$E308,'10. Inputs &amp; Calcs'!V$249:V$254)</f>
        <v>0</v>
      </c>
      <c r="W310" s="1120">
        <f>-SUMIF('10. Inputs &amp; Calcs'!$D$249:$D$254,$E308,'10. Inputs &amp; Calcs'!W$249:W$254)</f>
        <v>0</v>
      </c>
      <c r="X310" s="1120">
        <f>-SUMIF('10. Inputs &amp; Calcs'!$D$249:$D$254,$E308,'10. Inputs &amp; Calcs'!X$249:X$254)</f>
        <v>0</v>
      </c>
      <c r="Y310" s="1120">
        <f>-SUMIF('10. Inputs &amp; Calcs'!$D$249:$D$254,$E308,'10. Inputs &amp; Calcs'!Y$249:Y$254)</f>
        <v>0</v>
      </c>
      <c r="Z310" s="1120">
        <f>-SUMIF('10. Inputs &amp; Calcs'!$D$249:$D$254,$E308,'10. Inputs &amp; Calcs'!Z$249:Z$254)</f>
        <v>0</v>
      </c>
      <c r="AA310" s="1120">
        <f>-SUMIF('10. Inputs &amp; Calcs'!$D$249:$D$254,$E308,'10. Inputs &amp; Calcs'!AA$249:AA$254)</f>
        <v>0</v>
      </c>
      <c r="AB310" s="1120">
        <f>-SUMIF('10. Inputs &amp; Calcs'!$D$249:$D$254,$E308,'10. Inputs &amp; Calcs'!AB$249:AB$254)</f>
        <v>-12939980.332631577</v>
      </c>
      <c r="AC310" s="1120">
        <f>-SUMIF('10. Inputs &amp; Calcs'!$D$249:$D$254,$E308,'10. Inputs &amp; Calcs'!AC$249:AC$254)</f>
        <v>0</v>
      </c>
      <c r="AD310" s="1120">
        <f>SUM(I310:AC310)</f>
        <v>-12939980.332631577</v>
      </c>
    </row>
    <row r="311" spans="1:30" outlineLevel="2" x14ac:dyDescent="0.45">
      <c r="A311" s="1131"/>
      <c r="B311" s="597" t="str">
        <f t="shared" si="60"/>
        <v>Sales</v>
      </c>
      <c r="D311" s="747" t="str">
        <f>D$273</f>
        <v>Balance c/f</v>
      </c>
      <c r="H311" s="613">
        <f>SUM(H306:H310)</f>
        <v>8780700.9399999995</v>
      </c>
      <c r="I311" s="613">
        <f>SUM(I306:I310)</f>
        <v>10167127.404210526</v>
      </c>
      <c r="J311" s="613">
        <f t="shared" ref="J311:AC311" si="128">SUM(J306:J310)</f>
        <v>11553553.868421052</v>
      </c>
      <c r="K311" s="613">
        <f t="shared" si="128"/>
        <v>12939980.332631577</v>
      </c>
      <c r="L311" s="613">
        <f t="shared" si="128"/>
        <v>13094027.717543857</v>
      </c>
      <c r="M311" s="613">
        <f t="shared" si="128"/>
        <v>13248075.102456138</v>
      </c>
      <c r="N311" s="613">
        <f t="shared" si="128"/>
        <v>13402122.487368418</v>
      </c>
      <c r="O311" s="613">
        <f t="shared" si="128"/>
        <v>13556169.872280698</v>
      </c>
      <c r="P311" s="613">
        <f t="shared" si="128"/>
        <v>13710217.257192979</v>
      </c>
      <c r="Q311" s="613">
        <f t="shared" si="128"/>
        <v>13864264.642105259</v>
      </c>
      <c r="R311" s="613">
        <f t="shared" si="128"/>
        <v>14018312.027017539</v>
      </c>
      <c r="S311" s="613">
        <f t="shared" si="128"/>
        <v>14172359.41192982</v>
      </c>
      <c r="T311" s="613">
        <f t="shared" si="128"/>
        <v>14326406.7968421</v>
      </c>
      <c r="U311" s="613">
        <f t="shared" si="128"/>
        <v>14480454.18175438</v>
      </c>
      <c r="V311" s="613">
        <f t="shared" si="128"/>
        <v>14634501.566666661</v>
      </c>
      <c r="W311" s="613">
        <f t="shared" si="128"/>
        <v>14788548.951578941</v>
      </c>
      <c r="X311" s="613">
        <f t="shared" si="128"/>
        <v>14942596.336491222</v>
      </c>
      <c r="Y311" s="613">
        <f t="shared" si="128"/>
        <v>15096643.721403502</v>
      </c>
      <c r="Z311" s="613">
        <f t="shared" si="128"/>
        <v>15250691.106315782</v>
      </c>
      <c r="AA311" s="613">
        <f t="shared" si="128"/>
        <v>15404738.491228063</v>
      </c>
      <c r="AB311" s="613">
        <f t="shared" si="128"/>
        <v>0</v>
      </c>
      <c r="AC311" s="613">
        <f t="shared" si="128"/>
        <v>0</v>
      </c>
      <c r="AD311" s="613">
        <f>SUM(AD306:AD310)</f>
        <v>0</v>
      </c>
    </row>
    <row r="312" spans="1:30" outlineLevel="2" x14ac:dyDescent="0.45">
      <c r="A312" s="1131"/>
      <c r="B312" s="597" t="str">
        <f t="shared" si="60"/>
        <v>Sales</v>
      </c>
    </row>
    <row r="313" spans="1:30" outlineLevel="2" x14ac:dyDescent="0.45">
      <c r="A313" s="1131"/>
      <c r="B313" s="597" t="str">
        <f t="shared" si="60"/>
        <v>Sales</v>
      </c>
    </row>
    <row r="314" spans="1:30" outlineLevel="2" x14ac:dyDescent="0.45">
      <c r="A314" s="1131"/>
      <c r="B314" s="597" t="str">
        <f t="shared" si="60"/>
        <v>Sales</v>
      </c>
      <c r="C314" s="451">
        <f>C305+1</f>
        <v>32</v>
      </c>
      <c r="D314" s="451" t="str">
        <f>"Debtors Control Accounts per Province - "&amp;E317</f>
        <v>Debtors Control Accounts per Province - FS</v>
      </c>
      <c r="F314" s="596"/>
      <c r="G314" s="596"/>
      <c r="H314" s="596"/>
      <c r="I314" s="995"/>
      <c r="J314" s="995"/>
      <c r="K314" s="995"/>
      <c r="L314" s="995"/>
      <c r="M314" s="995"/>
      <c r="N314" s="995"/>
      <c r="O314" s="995"/>
      <c r="P314" s="995"/>
      <c r="Q314" s="995"/>
      <c r="R314" s="995"/>
      <c r="S314" s="995"/>
      <c r="T314" s="995"/>
      <c r="U314" s="995"/>
      <c r="V314" s="995"/>
      <c r="W314" s="995"/>
      <c r="X314" s="995"/>
      <c r="Y314" s="995"/>
      <c r="Z314" s="995"/>
      <c r="AA314" s="995"/>
      <c r="AB314" s="995"/>
      <c r="AC314" s="995"/>
      <c r="AD314" s="995"/>
    </row>
    <row r="315" spans="1:30" outlineLevel="2" x14ac:dyDescent="0.45">
      <c r="A315" s="1131"/>
      <c r="B315" s="597" t="str">
        <f t="shared" si="60"/>
        <v>Sales</v>
      </c>
      <c r="D315" s="747" t="str">
        <f>D$268</f>
        <v>Balance b/f</v>
      </c>
      <c r="F315" s="596"/>
      <c r="G315" s="596"/>
      <c r="H315" s="615">
        <f>SUMIF($D$87:$D$92,$E317,H$87:H$92)</f>
        <v>35073.449999999997</v>
      </c>
      <c r="I315" s="1120">
        <f>H320</f>
        <v>35073.449999999997</v>
      </c>
      <c r="J315" s="1120">
        <f t="shared" ref="J315:AC315" ca="1" si="129">I320</f>
        <v>105220.34999999998</v>
      </c>
      <c r="K315" s="1120">
        <f t="shared" ca="1" si="129"/>
        <v>175367.24999999997</v>
      </c>
      <c r="L315" s="1120">
        <f t="shared" ca="1" si="129"/>
        <v>245514.14999999997</v>
      </c>
      <c r="M315" s="1120">
        <f t="shared" ca="1" si="129"/>
        <v>315661.04999999993</v>
      </c>
      <c r="N315" s="1120">
        <f t="shared" ca="1" si="129"/>
        <v>385807.94999999995</v>
      </c>
      <c r="O315" s="1120">
        <f t="shared" ca="1" si="129"/>
        <v>455954.85</v>
      </c>
      <c r="P315" s="1120">
        <f t="shared" ca="1" si="129"/>
        <v>526101.75</v>
      </c>
      <c r="Q315" s="1120">
        <f t="shared" ca="1" si="129"/>
        <v>596248.65</v>
      </c>
      <c r="R315" s="1120">
        <f t="shared" ca="1" si="129"/>
        <v>666395.55000000005</v>
      </c>
      <c r="S315" s="1120">
        <f t="shared" ca="1" si="129"/>
        <v>736542.45000000007</v>
      </c>
      <c r="T315" s="1120">
        <f t="shared" ca="1" si="129"/>
        <v>806689.35000000009</v>
      </c>
      <c r="U315" s="1120">
        <f t="shared" ca="1" si="129"/>
        <v>876836.25000000012</v>
      </c>
      <c r="V315" s="1120">
        <f t="shared" ca="1" si="129"/>
        <v>946983.15000000014</v>
      </c>
      <c r="W315" s="1120">
        <f t="shared" ca="1" si="129"/>
        <v>1017130.05</v>
      </c>
      <c r="X315" s="1120">
        <f t="shared" ca="1" si="129"/>
        <v>1087276.95</v>
      </c>
      <c r="Y315" s="1120">
        <f t="shared" ca="1" si="129"/>
        <v>1157423.8499999999</v>
      </c>
      <c r="Z315" s="1120">
        <f t="shared" ca="1" si="129"/>
        <v>1227570.7499999998</v>
      </c>
      <c r="AA315" s="1120">
        <f t="shared" ca="1" si="129"/>
        <v>1297717.6499999997</v>
      </c>
      <c r="AB315" s="1120">
        <f t="shared" ca="1" si="129"/>
        <v>1367864.5499999996</v>
      </c>
      <c r="AC315" s="1120">
        <f t="shared" ca="1" si="129"/>
        <v>-5.2386894822120667E-10</v>
      </c>
      <c r="AD315" s="1120">
        <f>H315</f>
        <v>35073.449999999997</v>
      </c>
    </row>
    <row r="316" spans="1:30" outlineLevel="2" x14ac:dyDescent="0.45">
      <c r="A316" s="1131"/>
      <c r="B316" s="597" t="str">
        <f t="shared" si="60"/>
        <v>Sales</v>
      </c>
      <c r="D316" s="747" t="str">
        <f>D$269</f>
        <v>New Sale Debtors (Rental Properties Sold to Occupants)</v>
      </c>
      <c r="F316" s="596"/>
      <c r="G316" s="596"/>
      <c r="H316" s="596"/>
      <c r="I316" s="1120">
        <f ca="1">SUMIF('10. Inputs &amp; Calcs'!$D$258:$D$263,$E317,'10. Inputs &amp; Calcs'!I$258:I$263)</f>
        <v>109575.9</v>
      </c>
      <c r="J316" s="1120">
        <f ca="1">SUMIF('10. Inputs &amp; Calcs'!$D$258:$D$263,$E317,'10. Inputs &amp; Calcs'!J$258:J$263)</f>
        <v>109575.9</v>
      </c>
      <c r="K316" s="1120">
        <f ca="1">SUMIF('10. Inputs &amp; Calcs'!$D$258:$D$263,$E317,'10. Inputs &amp; Calcs'!K$258:K$263)</f>
        <v>109575.9</v>
      </c>
      <c r="L316" s="1120">
        <f ca="1">SUMIF('10. Inputs &amp; Calcs'!$D$258:$D$263,$E317,'10. Inputs &amp; Calcs'!L$258:L$263)</f>
        <v>109575.9</v>
      </c>
      <c r="M316" s="1120">
        <f ca="1">SUMIF('10. Inputs &amp; Calcs'!$D$258:$D$263,$E317,'10. Inputs &amp; Calcs'!M$258:M$263)</f>
        <v>109575.9</v>
      </c>
      <c r="N316" s="1120">
        <f ca="1">SUMIF('10. Inputs &amp; Calcs'!$D$258:$D$263,$E317,'10. Inputs &amp; Calcs'!N$258:N$263)</f>
        <v>109575.9</v>
      </c>
      <c r="O316" s="1120">
        <f ca="1">SUMIF('10. Inputs &amp; Calcs'!$D$258:$D$263,$E317,'10. Inputs &amp; Calcs'!O$258:O$263)</f>
        <v>109575.9</v>
      </c>
      <c r="P316" s="1120">
        <f ca="1">SUMIF('10. Inputs &amp; Calcs'!$D$258:$D$263,$E317,'10. Inputs &amp; Calcs'!P$258:P$263)</f>
        <v>109575.9</v>
      </c>
      <c r="Q316" s="1120">
        <f ca="1">SUMIF('10. Inputs &amp; Calcs'!$D$258:$D$263,$E317,'10. Inputs &amp; Calcs'!Q$258:Q$263)</f>
        <v>109575.9</v>
      </c>
      <c r="R316" s="1120">
        <f ca="1">SUMIF('10. Inputs &amp; Calcs'!$D$258:$D$263,$E317,'10. Inputs &amp; Calcs'!R$258:R$263)</f>
        <v>109575.9</v>
      </c>
      <c r="S316" s="1120">
        <f ca="1">SUMIF('10. Inputs &amp; Calcs'!$D$258:$D$263,$E317,'10. Inputs &amp; Calcs'!S$258:S$263)</f>
        <v>109575.9</v>
      </c>
      <c r="T316" s="1120">
        <f ca="1">SUMIF('10. Inputs &amp; Calcs'!$D$258:$D$263,$E317,'10. Inputs &amp; Calcs'!T$258:T$263)</f>
        <v>109575.9</v>
      </c>
      <c r="U316" s="1120">
        <f ca="1">SUMIF('10. Inputs &amp; Calcs'!$D$258:$D$263,$E317,'10. Inputs &amp; Calcs'!U$258:U$263)</f>
        <v>109575.9</v>
      </c>
      <c r="V316" s="1120">
        <f ca="1">SUMIF('10. Inputs &amp; Calcs'!$D$258:$D$263,$E317,'10. Inputs &amp; Calcs'!V$258:V$263)</f>
        <v>109575.9</v>
      </c>
      <c r="W316" s="1120">
        <f ca="1">SUMIF('10. Inputs &amp; Calcs'!$D$258:$D$263,$E317,'10. Inputs &amp; Calcs'!W$258:W$263)</f>
        <v>109575.9</v>
      </c>
      <c r="X316" s="1120">
        <f ca="1">SUMIF('10. Inputs &amp; Calcs'!$D$258:$D$263,$E317,'10. Inputs &amp; Calcs'!X$258:X$263)</f>
        <v>109575.9</v>
      </c>
      <c r="Y316" s="1120">
        <f ca="1">SUMIF('10. Inputs &amp; Calcs'!$D$258:$D$263,$E317,'10. Inputs &amp; Calcs'!Y$258:Y$263)</f>
        <v>109575.9</v>
      </c>
      <c r="Z316" s="1120">
        <f ca="1">SUMIF('10. Inputs &amp; Calcs'!$D$258:$D$263,$E317,'10. Inputs &amp; Calcs'!Z$258:Z$263)</f>
        <v>109575.9</v>
      </c>
      <c r="AA316" s="1120">
        <f ca="1">SUMIF('10. Inputs &amp; Calcs'!$D$258:$D$263,$E317,'10. Inputs &amp; Calcs'!AA$258:AA$263)</f>
        <v>109575.9</v>
      </c>
      <c r="AB316" s="1120">
        <f ca="1">SUMIF('10. Inputs &amp; Calcs'!$D$258:$D$263,$E317,'10. Inputs &amp; Calcs'!AB$258:AB$263)</f>
        <v>547879.5</v>
      </c>
      <c r="AC316" s="1120">
        <f ca="1">SUMIF('10. Inputs &amp; Calcs'!$D$258:$D$263,$E317,'10. Inputs &amp; Calcs'!AC$258:AC$263)</f>
        <v>0</v>
      </c>
      <c r="AD316" s="1120">
        <f ca="1">SUM(I316:AC316)</f>
        <v>2629821.5999999992</v>
      </c>
    </row>
    <row r="317" spans="1:30" outlineLevel="2" x14ac:dyDescent="0.45">
      <c r="A317" s="1131"/>
      <c r="B317" s="597" t="str">
        <f t="shared" si="60"/>
        <v>Sales</v>
      </c>
      <c r="D317" s="747" t="str">
        <f>D$270</f>
        <v>EEDBS Fixed - Total Utilised on Transfer to Tenants</v>
      </c>
      <c r="E317" s="583" t="str">
        <f>$D$34</f>
        <v>FS</v>
      </c>
      <c r="H317" s="596"/>
      <c r="I317" s="1120">
        <f ca="1">-SUMIF('10. Inputs &amp; Calcs'!$D$213:$D$218,$E317,'10. Inputs &amp; Calcs'!I$213:I$218)</f>
        <v>-39429</v>
      </c>
      <c r="J317" s="1120">
        <f ca="1">-SUMIF('10. Inputs &amp; Calcs'!$D$213:$D$218,$E317,'10. Inputs &amp; Calcs'!J$213:J$218)</f>
        <v>-39429</v>
      </c>
      <c r="K317" s="1120">
        <f ca="1">-SUMIF('10. Inputs &amp; Calcs'!$D$213:$D$218,$E317,'10. Inputs &amp; Calcs'!K$213:K$218)</f>
        <v>-39429</v>
      </c>
      <c r="L317" s="1120">
        <f ca="1">-SUMIF('10. Inputs &amp; Calcs'!$D$213:$D$218,$E317,'10. Inputs &amp; Calcs'!L$213:L$218)</f>
        <v>-39429</v>
      </c>
      <c r="M317" s="1120">
        <f ca="1">-SUMIF('10. Inputs &amp; Calcs'!$D$213:$D$218,$E317,'10. Inputs &amp; Calcs'!M$213:M$218)</f>
        <v>-39429</v>
      </c>
      <c r="N317" s="1120">
        <f ca="1">-SUMIF('10. Inputs &amp; Calcs'!$D$213:$D$218,$E317,'10. Inputs &amp; Calcs'!N$213:N$218)</f>
        <v>-39429</v>
      </c>
      <c r="O317" s="1120">
        <f ca="1">-SUMIF('10. Inputs &amp; Calcs'!$D$213:$D$218,$E317,'10. Inputs &amp; Calcs'!O$213:O$218)</f>
        <v>-39429</v>
      </c>
      <c r="P317" s="1120">
        <f ca="1">-SUMIF('10. Inputs &amp; Calcs'!$D$213:$D$218,$E317,'10. Inputs &amp; Calcs'!P$213:P$218)</f>
        <v>-39429</v>
      </c>
      <c r="Q317" s="1120">
        <f ca="1">-SUMIF('10. Inputs &amp; Calcs'!$D$213:$D$218,$E317,'10. Inputs &amp; Calcs'!Q$213:Q$218)</f>
        <v>-39429</v>
      </c>
      <c r="R317" s="1120">
        <f ca="1">-SUMIF('10. Inputs &amp; Calcs'!$D$213:$D$218,$E317,'10. Inputs &amp; Calcs'!R$213:R$218)</f>
        <v>-39429</v>
      </c>
      <c r="S317" s="1120">
        <f ca="1">-SUMIF('10. Inputs &amp; Calcs'!$D$213:$D$218,$E317,'10. Inputs &amp; Calcs'!S$213:S$218)</f>
        <v>-39429</v>
      </c>
      <c r="T317" s="1120">
        <f ca="1">-SUMIF('10. Inputs &amp; Calcs'!$D$213:$D$218,$E317,'10. Inputs &amp; Calcs'!T$213:T$218)</f>
        <v>-39429</v>
      </c>
      <c r="U317" s="1120">
        <f ca="1">-SUMIF('10. Inputs &amp; Calcs'!$D$213:$D$218,$E317,'10. Inputs &amp; Calcs'!U$213:U$218)</f>
        <v>-39429</v>
      </c>
      <c r="V317" s="1120">
        <f ca="1">-SUMIF('10. Inputs &amp; Calcs'!$D$213:$D$218,$E317,'10. Inputs &amp; Calcs'!V$213:V$218)</f>
        <v>-39429</v>
      </c>
      <c r="W317" s="1120">
        <f ca="1">-SUMIF('10. Inputs &amp; Calcs'!$D$213:$D$218,$E317,'10. Inputs &amp; Calcs'!W$213:W$218)</f>
        <v>-39429</v>
      </c>
      <c r="X317" s="1120">
        <f ca="1">-SUMIF('10. Inputs &amp; Calcs'!$D$213:$D$218,$E317,'10. Inputs &amp; Calcs'!X$213:X$218)</f>
        <v>-39429</v>
      </c>
      <c r="Y317" s="1120">
        <f ca="1">-SUMIF('10. Inputs &amp; Calcs'!$D$213:$D$218,$E317,'10. Inputs &amp; Calcs'!Y$213:Y$218)</f>
        <v>-39429</v>
      </c>
      <c r="Z317" s="1120">
        <f ca="1">-SUMIF('10. Inputs &amp; Calcs'!$D$213:$D$218,$E317,'10. Inputs &amp; Calcs'!Z$213:Z$218)</f>
        <v>-39429</v>
      </c>
      <c r="AA317" s="1120">
        <f ca="1">-SUMIF('10. Inputs &amp; Calcs'!$D$213:$D$218,$E317,'10. Inputs &amp; Calcs'!AA$213:AA$218)</f>
        <v>-39429</v>
      </c>
      <c r="AB317" s="1120">
        <f ca="1">-SUMIF('10. Inputs &amp; Calcs'!$D$213:$D$218,$E317,'10. Inputs &amp; Calcs'!AB$213:AB$218)</f>
        <v>-197145</v>
      </c>
      <c r="AC317" s="1120">
        <f ca="1">-SUMIF('10. Inputs &amp; Calcs'!$D$213:$D$218,$E317,'10. Inputs &amp; Calcs'!AC$213:AC$218)</f>
        <v>0</v>
      </c>
      <c r="AD317" s="1120">
        <f ca="1">SUM(I317:AC317)</f>
        <v>-946296</v>
      </c>
    </row>
    <row r="318" spans="1:30" outlineLevel="2" x14ac:dyDescent="0.45">
      <c r="A318" s="1131"/>
      <c r="B318" s="597" t="str">
        <f t="shared" si="60"/>
        <v>Sales</v>
      </c>
      <c r="D318" s="747" t="str">
        <f>D$271</f>
        <v>Total New Sale Debtors settled</v>
      </c>
      <c r="E318" s="583" t="str">
        <f>E317</f>
        <v>FS</v>
      </c>
      <c r="H318" s="596"/>
      <c r="I318" s="1120">
        <f ca="1">-SUMIF('10. Inputs &amp; Calcs'!$D$231:$D$236,$E317,'10. Inputs &amp; Calcs'!I$231:I$236)</f>
        <v>0</v>
      </c>
      <c r="J318" s="1120">
        <f ca="1">-SUMIF('10. Inputs &amp; Calcs'!$D$231:$D$236,$E317,'10. Inputs &amp; Calcs'!J$231:J$236)</f>
        <v>0</v>
      </c>
      <c r="K318" s="1120">
        <f ca="1">-SUMIF('10. Inputs &amp; Calcs'!$D$231:$D$236,$E317,'10. Inputs &amp; Calcs'!K$231:K$236)</f>
        <v>0</v>
      </c>
      <c r="L318" s="1120">
        <f>-SUMIF('10. Inputs &amp; Calcs'!$D$231:$D$236,$E317,'10. Inputs &amp; Calcs'!L$231:L$236)</f>
        <v>0</v>
      </c>
      <c r="M318" s="1120">
        <f>-SUMIF('10. Inputs &amp; Calcs'!$D$231:$D$236,$E317,'10. Inputs &amp; Calcs'!M$231:M$236)</f>
        <v>0</v>
      </c>
      <c r="N318" s="1120">
        <f>-SUMIF('10. Inputs &amp; Calcs'!$D$231:$D$236,$E317,'10. Inputs &amp; Calcs'!N$231:N$236)</f>
        <v>0</v>
      </c>
      <c r="O318" s="1120">
        <f>-SUMIF('10. Inputs &amp; Calcs'!$D$231:$D$236,$E317,'10. Inputs &amp; Calcs'!O$231:O$236)</f>
        <v>0</v>
      </c>
      <c r="P318" s="1120">
        <f>-SUMIF('10. Inputs &amp; Calcs'!$D$231:$D$236,$E317,'10. Inputs &amp; Calcs'!P$231:P$236)</f>
        <v>0</v>
      </c>
      <c r="Q318" s="1120">
        <f>-SUMIF('10. Inputs &amp; Calcs'!$D$231:$D$236,$E317,'10. Inputs &amp; Calcs'!Q$231:Q$236)</f>
        <v>0</v>
      </c>
      <c r="R318" s="1120">
        <f>-SUMIF('10. Inputs &amp; Calcs'!$D$231:$D$236,$E317,'10. Inputs &amp; Calcs'!R$231:R$236)</f>
        <v>0</v>
      </c>
      <c r="S318" s="1120">
        <f>-SUMIF('10. Inputs &amp; Calcs'!$D$231:$D$236,$E317,'10. Inputs &amp; Calcs'!S$231:S$236)</f>
        <v>0</v>
      </c>
      <c r="T318" s="1120">
        <f>-SUMIF('10. Inputs &amp; Calcs'!$D$231:$D$236,$E317,'10. Inputs &amp; Calcs'!T$231:T$236)</f>
        <v>0</v>
      </c>
      <c r="U318" s="1120">
        <f>-SUMIF('10. Inputs &amp; Calcs'!$D$231:$D$236,$E317,'10. Inputs &amp; Calcs'!U$231:U$236)</f>
        <v>0</v>
      </c>
      <c r="V318" s="1120">
        <f>-SUMIF('10. Inputs &amp; Calcs'!$D$231:$D$236,$E317,'10. Inputs &amp; Calcs'!V$231:V$236)</f>
        <v>0</v>
      </c>
      <c r="W318" s="1120">
        <f>-SUMIF('10. Inputs &amp; Calcs'!$D$231:$D$236,$E317,'10. Inputs &amp; Calcs'!W$231:W$236)</f>
        <v>0</v>
      </c>
      <c r="X318" s="1120">
        <f>-SUMIF('10. Inputs &amp; Calcs'!$D$231:$D$236,$E317,'10. Inputs &amp; Calcs'!X$231:X$236)</f>
        <v>0</v>
      </c>
      <c r="Y318" s="1120">
        <f>-SUMIF('10. Inputs &amp; Calcs'!$D$231:$D$236,$E317,'10. Inputs &amp; Calcs'!Y$231:Y$236)</f>
        <v>0</v>
      </c>
      <c r="Z318" s="1120">
        <f>-SUMIF('10. Inputs &amp; Calcs'!$D$231:$D$236,$E317,'10. Inputs &amp; Calcs'!Z$231:Z$236)</f>
        <v>0</v>
      </c>
      <c r="AA318" s="1120">
        <f>-SUMIF('10. Inputs &amp; Calcs'!$D$231:$D$236,$E317,'10. Inputs &amp; Calcs'!AA$231:AA$236)</f>
        <v>0</v>
      </c>
      <c r="AB318" s="1120">
        <f>-SUMIF('10. Inputs &amp; Calcs'!$D$231:$D$236,$E317,'10. Inputs &amp; Calcs'!AB$231:AB$236)</f>
        <v>-1473084.9000000001</v>
      </c>
      <c r="AC318" s="1120">
        <f>-SUMIF('10. Inputs &amp; Calcs'!$D$231:$D$236,$E317,'10. Inputs &amp; Calcs'!AC$231:AC$236)</f>
        <v>0</v>
      </c>
      <c r="AD318" s="1120">
        <f ca="1">SUM(I318:AC318)</f>
        <v>-1473084.9000000001</v>
      </c>
    </row>
    <row r="319" spans="1:30" outlineLevel="2" x14ac:dyDescent="0.45">
      <c r="A319" s="1131"/>
      <c r="B319" s="597" t="str">
        <f t="shared" si="60"/>
        <v>Sales</v>
      </c>
      <c r="D319" s="747" t="str">
        <f>D$272</f>
        <v>Existing Sale Debtors settled</v>
      </c>
      <c r="E319" s="583" t="str">
        <f>E317</f>
        <v>FS</v>
      </c>
      <c r="H319" s="596"/>
      <c r="I319" s="1120">
        <f>-SUMIF('10. Inputs &amp; Calcs'!$D$249:$D$254,$E317,'10. Inputs &amp; Calcs'!I$249:I$254)</f>
        <v>0</v>
      </c>
      <c r="J319" s="1120">
        <f>-SUMIF('10. Inputs &amp; Calcs'!$D$249:$D$254,$E317,'10. Inputs &amp; Calcs'!J$249:J$254)</f>
        <v>0</v>
      </c>
      <c r="K319" s="1120">
        <f>-SUMIF('10. Inputs &amp; Calcs'!$D$249:$D$254,$E317,'10. Inputs &amp; Calcs'!K$249:K$254)</f>
        <v>0</v>
      </c>
      <c r="L319" s="1120">
        <f>-SUMIF('10. Inputs &amp; Calcs'!$D$249:$D$254,$E317,'10. Inputs &amp; Calcs'!L$249:L$254)</f>
        <v>0</v>
      </c>
      <c r="M319" s="1120">
        <f>-SUMIF('10. Inputs &amp; Calcs'!$D$249:$D$254,$E317,'10. Inputs &amp; Calcs'!M$249:M$254)</f>
        <v>0</v>
      </c>
      <c r="N319" s="1120">
        <f>-SUMIF('10. Inputs &amp; Calcs'!$D$249:$D$254,$E317,'10. Inputs &amp; Calcs'!N$249:N$254)</f>
        <v>0</v>
      </c>
      <c r="O319" s="1120">
        <f>-SUMIF('10. Inputs &amp; Calcs'!$D$249:$D$254,$E317,'10. Inputs &amp; Calcs'!O$249:O$254)</f>
        <v>0</v>
      </c>
      <c r="P319" s="1120">
        <f>-SUMIF('10. Inputs &amp; Calcs'!$D$249:$D$254,$E317,'10. Inputs &amp; Calcs'!P$249:P$254)</f>
        <v>0</v>
      </c>
      <c r="Q319" s="1120">
        <f>-SUMIF('10. Inputs &amp; Calcs'!$D$249:$D$254,$E317,'10. Inputs &amp; Calcs'!Q$249:Q$254)</f>
        <v>0</v>
      </c>
      <c r="R319" s="1120">
        <f>-SUMIF('10. Inputs &amp; Calcs'!$D$249:$D$254,$E317,'10. Inputs &amp; Calcs'!R$249:R$254)</f>
        <v>0</v>
      </c>
      <c r="S319" s="1120">
        <f>-SUMIF('10. Inputs &amp; Calcs'!$D$249:$D$254,$E317,'10. Inputs &amp; Calcs'!S$249:S$254)</f>
        <v>0</v>
      </c>
      <c r="T319" s="1120">
        <f>-SUMIF('10. Inputs &amp; Calcs'!$D$249:$D$254,$E317,'10. Inputs &amp; Calcs'!T$249:T$254)</f>
        <v>0</v>
      </c>
      <c r="U319" s="1120">
        <f>-SUMIF('10. Inputs &amp; Calcs'!$D$249:$D$254,$E317,'10. Inputs &amp; Calcs'!U$249:U$254)</f>
        <v>0</v>
      </c>
      <c r="V319" s="1120">
        <f>-SUMIF('10. Inputs &amp; Calcs'!$D$249:$D$254,$E317,'10. Inputs &amp; Calcs'!V$249:V$254)</f>
        <v>0</v>
      </c>
      <c r="W319" s="1120">
        <f>-SUMIF('10. Inputs &amp; Calcs'!$D$249:$D$254,$E317,'10. Inputs &amp; Calcs'!W$249:W$254)</f>
        <v>0</v>
      </c>
      <c r="X319" s="1120">
        <f>-SUMIF('10. Inputs &amp; Calcs'!$D$249:$D$254,$E317,'10. Inputs &amp; Calcs'!X$249:X$254)</f>
        <v>0</v>
      </c>
      <c r="Y319" s="1120">
        <f>-SUMIF('10. Inputs &amp; Calcs'!$D$249:$D$254,$E317,'10. Inputs &amp; Calcs'!Y$249:Y$254)</f>
        <v>0</v>
      </c>
      <c r="Z319" s="1120">
        <f>-SUMIF('10. Inputs &amp; Calcs'!$D$249:$D$254,$E317,'10. Inputs &amp; Calcs'!Z$249:Z$254)</f>
        <v>0</v>
      </c>
      <c r="AA319" s="1120">
        <f>-SUMIF('10. Inputs &amp; Calcs'!$D$249:$D$254,$E317,'10. Inputs &amp; Calcs'!AA$249:AA$254)</f>
        <v>0</v>
      </c>
      <c r="AB319" s="1120">
        <f>-SUMIF('10. Inputs &amp; Calcs'!$D$249:$D$254,$E317,'10. Inputs &amp; Calcs'!AB$249:AB$254)</f>
        <v>-245514.14999999997</v>
      </c>
      <c r="AC319" s="1120">
        <f>-SUMIF('10. Inputs &amp; Calcs'!$D$249:$D$254,$E317,'10. Inputs &amp; Calcs'!AC$249:AC$254)</f>
        <v>0</v>
      </c>
      <c r="AD319" s="1120">
        <f>SUM(I319:AC319)</f>
        <v>-245514.14999999997</v>
      </c>
    </row>
    <row r="320" spans="1:30" outlineLevel="2" x14ac:dyDescent="0.45">
      <c r="A320" s="1131"/>
      <c r="B320" s="597" t="str">
        <f t="shared" si="60"/>
        <v>Sales</v>
      </c>
      <c r="D320" s="747" t="str">
        <f>D$273</f>
        <v>Balance c/f</v>
      </c>
      <c r="H320" s="613">
        <f t="shared" ref="H320:AD320" si="130">SUM(H315:H319)</f>
        <v>35073.449999999997</v>
      </c>
      <c r="I320" s="613">
        <f t="shared" ca="1" si="130"/>
        <v>105220.34999999998</v>
      </c>
      <c r="J320" s="613">
        <f t="shared" ca="1" si="130"/>
        <v>175367.24999999997</v>
      </c>
      <c r="K320" s="613">
        <f t="shared" ca="1" si="130"/>
        <v>245514.14999999997</v>
      </c>
      <c r="L320" s="613">
        <f t="shared" ca="1" si="130"/>
        <v>315661.04999999993</v>
      </c>
      <c r="M320" s="613">
        <f t="shared" ca="1" si="130"/>
        <v>385807.94999999995</v>
      </c>
      <c r="N320" s="613">
        <f t="shared" ca="1" si="130"/>
        <v>455954.85</v>
      </c>
      <c r="O320" s="613">
        <f t="shared" ca="1" si="130"/>
        <v>526101.75</v>
      </c>
      <c r="P320" s="613">
        <f t="shared" ca="1" si="130"/>
        <v>596248.65</v>
      </c>
      <c r="Q320" s="613">
        <f t="shared" ca="1" si="130"/>
        <v>666395.55000000005</v>
      </c>
      <c r="R320" s="613">
        <f t="shared" ca="1" si="130"/>
        <v>736542.45000000007</v>
      </c>
      <c r="S320" s="613">
        <f t="shared" ca="1" si="130"/>
        <v>806689.35000000009</v>
      </c>
      <c r="T320" s="613">
        <f t="shared" ca="1" si="130"/>
        <v>876836.25000000012</v>
      </c>
      <c r="U320" s="613">
        <f t="shared" ca="1" si="130"/>
        <v>946983.15000000014</v>
      </c>
      <c r="V320" s="613">
        <f t="shared" ca="1" si="130"/>
        <v>1017130.05</v>
      </c>
      <c r="W320" s="613">
        <f t="shared" ca="1" si="130"/>
        <v>1087276.95</v>
      </c>
      <c r="X320" s="613">
        <f t="shared" ca="1" si="130"/>
        <v>1157423.8499999999</v>
      </c>
      <c r="Y320" s="613">
        <f t="shared" ca="1" si="130"/>
        <v>1227570.7499999998</v>
      </c>
      <c r="Z320" s="613">
        <f t="shared" ca="1" si="130"/>
        <v>1297717.6499999997</v>
      </c>
      <c r="AA320" s="613">
        <f t="shared" ca="1" si="130"/>
        <v>1367864.5499999996</v>
      </c>
      <c r="AB320" s="613">
        <f t="shared" ca="1" si="130"/>
        <v>-5.2386894822120667E-10</v>
      </c>
      <c r="AC320" s="613">
        <f t="shared" ca="1" si="130"/>
        <v>-5.2386894822120667E-10</v>
      </c>
      <c r="AD320" s="613">
        <f t="shared" ca="1" si="130"/>
        <v>-7.5669959187507629E-10</v>
      </c>
    </row>
    <row r="321" spans="1:30" outlineLevel="2" x14ac:dyDescent="0.45">
      <c r="A321" s="1131"/>
      <c r="B321" s="597" t="str">
        <f t="shared" si="60"/>
        <v>Sales</v>
      </c>
    </row>
    <row r="322" spans="1:30" outlineLevel="2" x14ac:dyDescent="0.45">
      <c r="A322" s="1131"/>
      <c r="B322" s="597" t="str">
        <f t="shared" si="60"/>
        <v>Sales</v>
      </c>
      <c r="D322" s="451"/>
    </row>
    <row r="323" spans="1:30" outlineLevel="2" x14ac:dyDescent="0.45">
      <c r="A323" s="1131"/>
      <c r="B323" s="597" t="str">
        <f t="shared" si="60"/>
        <v>Sales</v>
      </c>
      <c r="C323" s="451">
        <f>C314+1</f>
        <v>33</v>
      </c>
      <c r="D323" s="451" t="str">
        <f>"Debtors Control Accounts per Province - "&amp;E326</f>
        <v>Debtors Control Accounts per Province - Gau</v>
      </c>
      <c r="F323" s="596"/>
      <c r="G323" s="596"/>
      <c r="H323" s="596"/>
      <c r="I323" s="995"/>
      <c r="J323" s="995"/>
      <c r="K323" s="995"/>
      <c r="L323" s="995"/>
      <c r="M323" s="995"/>
      <c r="N323" s="995"/>
      <c r="O323" s="995"/>
      <c r="P323" s="995"/>
      <c r="Q323" s="995"/>
      <c r="R323" s="995"/>
      <c r="S323" s="995"/>
      <c r="T323" s="995"/>
      <c r="U323" s="995"/>
      <c r="V323" s="995"/>
      <c r="W323" s="995"/>
      <c r="X323" s="995"/>
      <c r="Y323" s="995"/>
      <c r="Z323" s="995"/>
      <c r="AA323" s="995"/>
      <c r="AB323" s="995"/>
      <c r="AC323" s="995"/>
      <c r="AD323" s="995"/>
    </row>
    <row r="324" spans="1:30" outlineLevel="2" x14ac:dyDescent="0.45">
      <c r="A324" s="1131"/>
      <c r="B324" s="597" t="str">
        <f t="shared" si="60"/>
        <v>Sales</v>
      </c>
      <c r="D324" s="747" t="str">
        <f>D$268</f>
        <v>Balance b/f</v>
      </c>
      <c r="F324" s="596"/>
      <c r="G324" s="596"/>
      <c r="H324" s="615">
        <f>SUMIF($D$87:$D$92,$E326,H$87:H$92)</f>
        <v>69531298.599999994</v>
      </c>
      <c r="I324" s="1120">
        <f>H329</f>
        <v>69531298.599999994</v>
      </c>
      <c r="J324" s="1120">
        <f t="shared" ref="J324:AC324" ca="1" si="131">I329</f>
        <v>82492176.628508762</v>
      </c>
      <c r="K324" s="1120">
        <f t="shared" ca="1" si="131"/>
        <v>95453054.657017529</v>
      </c>
      <c r="L324" s="1120">
        <f t="shared" ca="1" si="131"/>
        <v>108413932.6855263</v>
      </c>
      <c r="M324" s="1120">
        <f t="shared" ca="1" si="131"/>
        <v>121984734.38596489</v>
      </c>
      <c r="N324" s="1120">
        <f t="shared" ca="1" si="131"/>
        <v>135555536.08640349</v>
      </c>
      <c r="O324" s="1120">
        <f t="shared" ca="1" si="131"/>
        <v>149126337.78684211</v>
      </c>
      <c r="P324" s="1120">
        <f t="shared" ca="1" si="131"/>
        <v>162697139.48728073</v>
      </c>
      <c r="Q324" s="1120">
        <f t="shared" ca="1" si="131"/>
        <v>176267941.18771935</v>
      </c>
      <c r="R324" s="1120">
        <f t="shared" ca="1" si="131"/>
        <v>189838742.88815796</v>
      </c>
      <c r="S324" s="1120">
        <f t="shared" ca="1" si="131"/>
        <v>203409544.58859658</v>
      </c>
      <c r="T324" s="1120">
        <f t="shared" ca="1" si="131"/>
        <v>216980346.2890352</v>
      </c>
      <c r="U324" s="1120">
        <f t="shared" ca="1" si="131"/>
        <v>230551147.98947382</v>
      </c>
      <c r="V324" s="1120">
        <f t="shared" ca="1" si="131"/>
        <v>244121949.68991244</v>
      </c>
      <c r="W324" s="1120">
        <f t="shared" ca="1" si="131"/>
        <v>257692751.39035106</v>
      </c>
      <c r="X324" s="1120">
        <f t="shared" ca="1" si="131"/>
        <v>271263553.09078962</v>
      </c>
      <c r="Y324" s="1120">
        <f t="shared" ca="1" si="131"/>
        <v>284834354.79122818</v>
      </c>
      <c r="Z324" s="1120">
        <f t="shared" ca="1" si="131"/>
        <v>298405156.49166673</v>
      </c>
      <c r="AA324" s="1120">
        <f t="shared" ca="1" si="131"/>
        <v>311975958.19210529</v>
      </c>
      <c r="AB324" s="1120">
        <f t="shared" ca="1" si="131"/>
        <v>325546759.89254385</v>
      </c>
      <c r="AC324" s="1120">
        <f t="shared" ca="1" si="131"/>
        <v>0</v>
      </c>
      <c r="AD324" s="1120">
        <f>H324</f>
        <v>69531298.599999994</v>
      </c>
    </row>
    <row r="325" spans="1:30" outlineLevel="2" x14ac:dyDescent="0.45">
      <c r="A325" s="1131"/>
      <c r="B325" s="597" t="str">
        <f t="shared" si="60"/>
        <v>Sales</v>
      </c>
      <c r="D325" s="747" t="str">
        <f>D$269</f>
        <v>New Sale Debtors (Rental Properties Sold to Occupants)</v>
      </c>
      <c r="F325" s="596"/>
      <c r="G325" s="596"/>
      <c r="H325" s="596"/>
      <c r="I325" s="1120">
        <f ca="1">SUMIF('10. Inputs &amp; Calcs'!$D$258:$D$263,$E326,'10. Inputs &amp; Calcs'!I$258:I$263)</f>
        <v>14481391.402418166</v>
      </c>
      <c r="J325" s="1120">
        <f ca="1">SUMIF('10. Inputs &amp; Calcs'!$D$258:$D$263,$E326,'10. Inputs &amp; Calcs'!J$258:J$263)</f>
        <v>14481391.402418166</v>
      </c>
      <c r="K325" s="1120">
        <f ca="1">SUMIF('10. Inputs &amp; Calcs'!$D$258:$D$263,$E326,'10. Inputs &amp; Calcs'!K$258:K$263)</f>
        <v>14481391.402418166</v>
      </c>
      <c r="L325" s="1120">
        <f ca="1">SUMIF('10. Inputs &amp; Calcs'!$D$258:$D$263,$E326,'10. Inputs &amp; Calcs'!L$258:L$263)</f>
        <v>15162868.644884905</v>
      </c>
      <c r="M325" s="1120">
        <f ca="1">SUMIF('10. Inputs &amp; Calcs'!$D$258:$D$263,$E326,'10. Inputs &amp; Calcs'!M$258:M$263)</f>
        <v>15162868.644884905</v>
      </c>
      <c r="N325" s="1120">
        <f ca="1">SUMIF('10. Inputs &amp; Calcs'!$D$258:$D$263,$E326,'10. Inputs &amp; Calcs'!N$258:N$263)</f>
        <v>15162868.644884905</v>
      </c>
      <c r="O325" s="1120">
        <f ca="1">SUMIF('10. Inputs &amp; Calcs'!$D$258:$D$263,$E326,'10. Inputs &amp; Calcs'!O$258:O$263)</f>
        <v>15162868.644884905</v>
      </c>
      <c r="P325" s="1120">
        <f ca="1">SUMIF('10. Inputs &amp; Calcs'!$D$258:$D$263,$E326,'10. Inputs &amp; Calcs'!P$258:P$263)</f>
        <v>15162868.644884905</v>
      </c>
      <c r="Q325" s="1120">
        <f ca="1">SUMIF('10. Inputs &amp; Calcs'!$D$258:$D$263,$E326,'10. Inputs &amp; Calcs'!Q$258:Q$263)</f>
        <v>15162868.644884905</v>
      </c>
      <c r="R325" s="1120">
        <f ca="1">SUMIF('10. Inputs &amp; Calcs'!$D$258:$D$263,$E326,'10. Inputs &amp; Calcs'!R$258:R$263)</f>
        <v>15162868.644884905</v>
      </c>
      <c r="S325" s="1120">
        <f ca="1">SUMIF('10. Inputs &amp; Calcs'!$D$258:$D$263,$E326,'10. Inputs &amp; Calcs'!S$258:S$263)</f>
        <v>15162868.644884905</v>
      </c>
      <c r="T325" s="1120">
        <f ca="1">SUMIF('10. Inputs &amp; Calcs'!$D$258:$D$263,$E326,'10. Inputs &amp; Calcs'!T$258:T$263)</f>
        <v>15162868.644884905</v>
      </c>
      <c r="U325" s="1120">
        <f ca="1">SUMIF('10. Inputs &amp; Calcs'!$D$258:$D$263,$E326,'10. Inputs &amp; Calcs'!U$258:U$263)</f>
        <v>15162868.644884905</v>
      </c>
      <c r="V325" s="1120">
        <f ca="1">SUMIF('10. Inputs &amp; Calcs'!$D$258:$D$263,$E326,'10. Inputs &amp; Calcs'!V$258:V$263)</f>
        <v>15162868.644884905</v>
      </c>
      <c r="W325" s="1120">
        <f ca="1">SUMIF('10. Inputs &amp; Calcs'!$D$258:$D$263,$E326,'10. Inputs &amp; Calcs'!W$258:W$263)</f>
        <v>15162868.644884905</v>
      </c>
      <c r="X325" s="1120">
        <f ca="1">SUMIF('10. Inputs &amp; Calcs'!$D$258:$D$263,$E326,'10. Inputs &amp; Calcs'!X$258:X$263)</f>
        <v>15162868.644884905</v>
      </c>
      <c r="Y325" s="1120">
        <f ca="1">SUMIF('10. Inputs &amp; Calcs'!$D$258:$D$263,$E326,'10. Inputs &amp; Calcs'!Y$258:Y$263)</f>
        <v>15162868.644884905</v>
      </c>
      <c r="Z325" s="1120">
        <f ca="1">SUMIF('10. Inputs &amp; Calcs'!$D$258:$D$263,$E326,'10. Inputs &amp; Calcs'!Z$258:Z$263)</f>
        <v>15162868.644884905</v>
      </c>
      <c r="AA325" s="1120">
        <f ca="1">SUMIF('10. Inputs &amp; Calcs'!$D$258:$D$263,$E326,'10. Inputs &amp; Calcs'!AA$258:AA$263)</f>
        <v>15162868.644884905</v>
      </c>
      <c r="AB325" s="1120">
        <f ca="1">SUMIF('10. Inputs &amp; Calcs'!$D$258:$D$263,$E326,'10. Inputs &amp; Calcs'!AB$258:AB$263)</f>
        <v>2555539.659250265</v>
      </c>
      <c r="AC325" s="1120">
        <f ca="1">SUMIF('10. Inputs &amp; Calcs'!$D$258:$D$263,$E326,'10. Inputs &amp; Calcs'!AC$258:AC$263)</f>
        <v>0</v>
      </c>
      <c r="AD325" s="1120">
        <f ca="1">SUM(I325:AC325)</f>
        <v>288605612.1846633</v>
      </c>
    </row>
    <row r="326" spans="1:30" outlineLevel="2" x14ac:dyDescent="0.45">
      <c r="A326" s="1131"/>
      <c r="B326" s="597" t="str">
        <f t="shared" si="60"/>
        <v>Sales</v>
      </c>
      <c r="D326" s="747" t="str">
        <f>D$270</f>
        <v>EEDBS Fixed - Total Utilised on Transfer to Tenants</v>
      </c>
      <c r="E326" s="583" t="str">
        <f>$D$35</f>
        <v>Gau</v>
      </c>
      <c r="H326" s="596"/>
      <c r="I326" s="1120">
        <f ca="1">-SUMIF('10. Inputs &amp; Calcs'!$D$213:$D$218,$E326,'10. Inputs &amp; Calcs'!I$213:I$218)</f>
        <v>-1520513.3739093961</v>
      </c>
      <c r="J326" s="1120">
        <f ca="1">-SUMIF('10. Inputs &amp; Calcs'!$D$213:$D$218,$E326,'10. Inputs &amp; Calcs'!J$213:J$218)</f>
        <v>-1520513.3739093961</v>
      </c>
      <c r="K326" s="1120">
        <f ca="1">-SUMIF('10. Inputs &amp; Calcs'!$D$213:$D$218,$E326,'10. Inputs &amp; Calcs'!K$213:K$218)</f>
        <v>-1520513.3739093961</v>
      </c>
      <c r="L326" s="1120">
        <f ca="1">-SUMIF('10. Inputs &amp; Calcs'!$D$213:$D$218,$E326,'10. Inputs &amp; Calcs'!L$213:L$218)</f>
        <v>-1592066.9444463088</v>
      </c>
      <c r="M326" s="1120">
        <f ca="1">-SUMIF('10. Inputs &amp; Calcs'!$D$213:$D$218,$E326,'10. Inputs &amp; Calcs'!M$213:M$218)</f>
        <v>-1592066.9444463088</v>
      </c>
      <c r="N326" s="1120">
        <f ca="1">-SUMIF('10. Inputs &amp; Calcs'!$D$213:$D$218,$E326,'10. Inputs &amp; Calcs'!N$213:N$218)</f>
        <v>-1592066.9444463088</v>
      </c>
      <c r="O326" s="1120">
        <f ca="1">-SUMIF('10. Inputs &amp; Calcs'!$D$213:$D$218,$E326,'10. Inputs &amp; Calcs'!O$213:O$218)</f>
        <v>-1592066.9444463088</v>
      </c>
      <c r="P326" s="1120">
        <f ca="1">-SUMIF('10. Inputs &amp; Calcs'!$D$213:$D$218,$E326,'10. Inputs &amp; Calcs'!P$213:P$218)</f>
        <v>-1592066.9444463088</v>
      </c>
      <c r="Q326" s="1120">
        <f ca="1">-SUMIF('10. Inputs &amp; Calcs'!$D$213:$D$218,$E326,'10. Inputs &amp; Calcs'!Q$213:Q$218)</f>
        <v>-1592066.9444463088</v>
      </c>
      <c r="R326" s="1120">
        <f ca="1">-SUMIF('10. Inputs &amp; Calcs'!$D$213:$D$218,$E326,'10. Inputs &amp; Calcs'!R$213:R$218)</f>
        <v>-1592066.9444463088</v>
      </c>
      <c r="S326" s="1120">
        <f ca="1">-SUMIF('10. Inputs &amp; Calcs'!$D$213:$D$218,$E326,'10. Inputs &amp; Calcs'!S$213:S$218)</f>
        <v>-1592066.9444463088</v>
      </c>
      <c r="T326" s="1120">
        <f ca="1">-SUMIF('10. Inputs &amp; Calcs'!$D$213:$D$218,$E326,'10. Inputs &amp; Calcs'!T$213:T$218)</f>
        <v>-1592066.9444463088</v>
      </c>
      <c r="U326" s="1120">
        <f ca="1">-SUMIF('10. Inputs &amp; Calcs'!$D$213:$D$218,$E326,'10. Inputs &amp; Calcs'!U$213:U$218)</f>
        <v>-1592066.9444463088</v>
      </c>
      <c r="V326" s="1120">
        <f ca="1">-SUMIF('10. Inputs &amp; Calcs'!$D$213:$D$218,$E326,'10. Inputs &amp; Calcs'!V$213:V$218)</f>
        <v>-1592066.9444463088</v>
      </c>
      <c r="W326" s="1120">
        <f ca="1">-SUMIF('10. Inputs &amp; Calcs'!$D$213:$D$218,$E326,'10. Inputs &amp; Calcs'!W$213:W$218)</f>
        <v>-1592066.9444463088</v>
      </c>
      <c r="X326" s="1120">
        <f ca="1">-SUMIF('10. Inputs &amp; Calcs'!$D$213:$D$218,$E326,'10. Inputs &amp; Calcs'!X$213:X$218)</f>
        <v>-1592066.9444463088</v>
      </c>
      <c r="Y326" s="1120">
        <f ca="1">-SUMIF('10. Inputs &amp; Calcs'!$D$213:$D$218,$E326,'10. Inputs &amp; Calcs'!Y$213:Y$218)</f>
        <v>-1592066.9444463088</v>
      </c>
      <c r="Z326" s="1120">
        <f ca="1">-SUMIF('10. Inputs &amp; Calcs'!$D$213:$D$218,$E326,'10. Inputs &amp; Calcs'!Z$213:Z$218)</f>
        <v>-1592066.9444463088</v>
      </c>
      <c r="AA326" s="1120">
        <f ca="1">-SUMIF('10. Inputs &amp; Calcs'!$D$213:$D$218,$E326,'10. Inputs &amp; Calcs'!AA$213:AA$218)</f>
        <v>-1592066.9444463088</v>
      </c>
      <c r="AB326" s="1120">
        <f ca="1">-SUMIF('10. Inputs &amp; Calcs'!$D$213:$D$218,$E326,'10. Inputs &amp; Calcs'!AB$213:AB$218)</f>
        <v>-268325.88951342285</v>
      </c>
      <c r="AC326" s="1120">
        <f ca="1">-SUMIF('10. Inputs &amp; Calcs'!$D$213:$D$218,$E326,'10. Inputs &amp; Calcs'!AC$213:AC$218)</f>
        <v>0</v>
      </c>
      <c r="AD326" s="1120">
        <f ca="1">SUM(I326:AC326)</f>
        <v>-30302937.122382563</v>
      </c>
    </row>
    <row r="327" spans="1:30" outlineLevel="2" x14ac:dyDescent="0.45">
      <c r="A327" s="1131"/>
      <c r="B327" s="597" t="str">
        <f t="shared" si="60"/>
        <v>Sales</v>
      </c>
      <c r="D327" s="747" t="str">
        <f>D$271</f>
        <v>Total New Sale Debtors settled</v>
      </c>
      <c r="E327" s="583" t="str">
        <f>E326</f>
        <v>Gau</v>
      </c>
      <c r="H327" s="596"/>
      <c r="I327" s="1120">
        <f ca="1">-SUMIF('10. Inputs &amp; Calcs'!$D$231:$D$236,$E326,'10. Inputs &amp; Calcs'!I$231:I$236)</f>
        <v>0</v>
      </c>
      <c r="J327" s="1120">
        <f ca="1">-SUMIF('10. Inputs &amp; Calcs'!$D$231:$D$236,$E326,'10. Inputs &amp; Calcs'!J$231:J$236)</f>
        <v>0</v>
      </c>
      <c r="K327" s="1120">
        <f ca="1">-SUMIF('10. Inputs &amp; Calcs'!$D$231:$D$236,$E326,'10. Inputs &amp; Calcs'!K$231:K$236)</f>
        <v>0</v>
      </c>
      <c r="L327" s="1120">
        <f>-SUMIF('10. Inputs &amp; Calcs'!$D$231:$D$236,$E326,'10. Inputs &amp; Calcs'!L$231:L$236)</f>
        <v>0</v>
      </c>
      <c r="M327" s="1120">
        <f>-SUMIF('10. Inputs &amp; Calcs'!$D$231:$D$236,$E326,'10. Inputs &amp; Calcs'!M$231:M$236)</f>
        <v>0</v>
      </c>
      <c r="N327" s="1120">
        <f>-SUMIF('10. Inputs &amp; Calcs'!$D$231:$D$236,$E326,'10. Inputs &amp; Calcs'!N$231:N$236)</f>
        <v>0</v>
      </c>
      <c r="O327" s="1120">
        <f>-SUMIF('10. Inputs &amp; Calcs'!$D$231:$D$236,$E326,'10. Inputs &amp; Calcs'!O$231:O$236)</f>
        <v>0</v>
      </c>
      <c r="P327" s="1120">
        <f>-SUMIF('10. Inputs &amp; Calcs'!$D$231:$D$236,$E326,'10. Inputs &amp; Calcs'!P$231:P$236)</f>
        <v>0</v>
      </c>
      <c r="Q327" s="1120">
        <f>-SUMIF('10. Inputs &amp; Calcs'!$D$231:$D$236,$E326,'10. Inputs &amp; Calcs'!Q$231:Q$236)</f>
        <v>0</v>
      </c>
      <c r="R327" s="1120">
        <f>-SUMIF('10. Inputs &amp; Calcs'!$D$231:$D$236,$E326,'10. Inputs &amp; Calcs'!R$231:R$236)</f>
        <v>0</v>
      </c>
      <c r="S327" s="1120">
        <f>-SUMIF('10. Inputs &amp; Calcs'!$D$231:$D$236,$E326,'10. Inputs &amp; Calcs'!S$231:S$236)</f>
        <v>0</v>
      </c>
      <c r="T327" s="1120">
        <f>-SUMIF('10. Inputs &amp; Calcs'!$D$231:$D$236,$E326,'10. Inputs &amp; Calcs'!T$231:T$236)</f>
        <v>0</v>
      </c>
      <c r="U327" s="1120">
        <f>-SUMIF('10. Inputs &amp; Calcs'!$D$231:$D$236,$E326,'10. Inputs &amp; Calcs'!U$231:U$236)</f>
        <v>0</v>
      </c>
      <c r="V327" s="1120">
        <f>-SUMIF('10. Inputs &amp; Calcs'!$D$231:$D$236,$E326,'10. Inputs &amp; Calcs'!V$231:V$236)</f>
        <v>0</v>
      </c>
      <c r="W327" s="1120">
        <f>-SUMIF('10. Inputs &amp; Calcs'!$D$231:$D$236,$E326,'10. Inputs &amp; Calcs'!W$231:W$236)</f>
        <v>0</v>
      </c>
      <c r="X327" s="1120">
        <f>-SUMIF('10. Inputs &amp; Calcs'!$D$231:$D$236,$E326,'10. Inputs &amp; Calcs'!X$231:X$236)</f>
        <v>0</v>
      </c>
      <c r="Y327" s="1120">
        <f>-SUMIF('10. Inputs &amp; Calcs'!$D$231:$D$236,$E326,'10. Inputs &amp; Calcs'!Y$231:Y$236)</f>
        <v>0</v>
      </c>
      <c r="Z327" s="1120">
        <f>-SUMIF('10. Inputs &amp; Calcs'!$D$231:$D$236,$E326,'10. Inputs &amp; Calcs'!Z$231:Z$236)</f>
        <v>0</v>
      </c>
      <c r="AA327" s="1120">
        <f>-SUMIF('10. Inputs &amp; Calcs'!$D$231:$D$236,$E326,'10. Inputs &amp; Calcs'!AA$231:AA$236)</f>
        <v>0</v>
      </c>
      <c r="AB327" s="1120">
        <f>-SUMIF('10. Inputs &amp; Calcs'!$D$231:$D$236,$E326,'10. Inputs &amp; Calcs'!AB$231:AB$236)</f>
        <v>-219420040.97675431</v>
      </c>
      <c r="AC327" s="1120">
        <f>-SUMIF('10. Inputs &amp; Calcs'!$D$231:$D$236,$E326,'10. Inputs &amp; Calcs'!AC$231:AC$236)</f>
        <v>0</v>
      </c>
      <c r="AD327" s="1120">
        <f ca="1">SUM(I327:AC327)</f>
        <v>-219420040.97675431</v>
      </c>
    </row>
    <row r="328" spans="1:30" outlineLevel="2" x14ac:dyDescent="0.45">
      <c r="A328" s="1131"/>
      <c r="B328" s="597" t="str">
        <f t="shared" si="60"/>
        <v>Sales</v>
      </c>
      <c r="D328" s="747" t="str">
        <f>D$272</f>
        <v>Existing Sale Debtors settled</v>
      </c>
      <c r="E328" s="583" t="str">
        <f>E326</f>
        <v>Gau</v>
      </c>
      <c r="H328" s="596"/>
      <c r="I328" s="1120">
        <f>-SUMIF('10. Inputs &amp; Calcs'!$D$249:$D$254,$E326,'10. Inputs &amp; Calcs'!I$249:I$254)</f>
        <v>0</v>
      </c>
      <c r="J328" s="1120">
        <f>-SUMIF('10. Inputs &amp; Calcs'!$D$249:$D$254,$E326,'10. Inputs &amp; Calcs'!J$249:J$254)</f>
        <v>0</v>
      </c>
      <c r="K328" s="1120">
        <f>-SUMIF('10. Inputs &amp; Calcs'!$D$249:$D$254,$E326,'10. Inputs &amp; Calcs'!K$249:K$254)</f>
        <v>0</v>
      </c>
      <c r="L328" s="1120">
        <f>-SUMIF('10. Inputs &amp; Calcs'!$D$249:$D$254,$E326,'10. Inputs &amp; Calcs'!L$249:L$254)</f>
        <v>0</v>
      </c>
      <c r="M328" s="1120">
        <f>-SUMIF('10. Inputs &amp; Calcs'!$D$249:$D$254,$E326,'10. Inputs &amp; Calcs'!M$249:M$254)</f>
        <v>0</v>
      </c>
      <c r="N328" s="1120">
        <f>-SUMIF('10. Inputs &amp; Calcs'!$D$249:$D$254,$E326,'10. Inputs &amp; Calcs'!N$249:N$254)</f>
        <v>0</v>
      </c>
      <c r="O328" s="1120">
        <f>-SUMIF('10. Inputs &amp; Calcs'!$D$249:$D$254,$E326,'10. Inputs &amp; Calcs'!O$249:O$254)</f>
        <v>0</v>
      </c>
      <c r="P328" s="1120">
        <f>-SUMIF('10. Inputs &amp; Calcs'!$D$249:$D$254,$E326,'10. Inputs &amp; Calcs'!P$249:P$254)</f>
        <v>0</v>
      </c>
      <c r="Q328" s="1120">
        <f>-SUMIF('10. Inputs &amp; Calcs'!$D$249:$D$254,$E326,'10. Inputs &amp; Calcs'!Q$249:Q$254)</f>
        <v>0</v>
      </c>
      <c r="R328" s="1120">
        <f>-SUMIF('10. Inputs &amp; Calcs'!$D$249:$D$254,$E326,'10. Inputs &amp; Calcs'!R$249:R$254)</f>
        <v>0</v>
      </c>
      <c r="S328" s="1120">
        <f>-SUMIF('10. Inputs &amp; Calcs'!$D$249:$D$254,$E326,'10. Inputs &amp; Calcs'!S$249:S$254)</f>
        <v>0</v>
      </c>
      <c r="T328" s="1120">
        <f>-SUMIF('10. Inputs &amp; Calcs'!$D$249:$D$254,$E326,'10. Inputs &amp; Calcs'!T$249:T$254)</f>
        <v>0</v>
      </c>
      <c r="U328" s="1120">
        <f>-SUMIF('10. Inputs &amp; Calcs'!$D$249:$D$254,$E326,'10. Inputs &amp; Calcs'!U$249:U$254)</f>
        <v>0</v>
      </c>
      <c r="V328" s="1120">
        <f>-SUMIF('10. Inputs &amp; Calcs'!$D$249:$D$254,$E326,'10. Inputs &amp; Calcs'!V$249:V$254)</f>
        <v>0</v>
      </c>
      <c r="W328" s="1120">
        <f>-SUMIF('10. Inputs &amp; Calcs'!$D$249:$D$254,$E326,'10. Inputs &amp; Calcs'!W$249:W$254)</f>
        <v>0</v>
      </c>
      <c r="X328" s="1120">
        <f>-SUMIF('10. Inputs &amp; Calcs'!$D$249:$D$254,$E326,'10. Inputs &amp; Calcs'!X$249:X$254)</f>
        <v>0</v>
      </c>
      <c r="Y328" s="1120">
        <f>-SUMIF('10. Inputs &amp; Calcs'!$D$249:$D$254,$E326,'10. Inputs &amp; Calcs'!Y$249:Y$254)</f>
        <v>0</v>
      </c>
      <c r="Z328" s="1120">
        <f>-SUMIF('10. Inputs &amp; Calcs'!$D$249:$D$254,$E326,'10. Inputs &amp; Calcs'!Z$249:Z$254)</f>
        <v>0</v>
      </c>
      <c r="AA328" s="1120">
        <f>-SUMIF('10. Inputs &amp; Calcs'!$D$249:$D$254,$E326,'10. Inputs &amp; Calcs'!AA$249:AA$254)</f>
        <v>0</v>
      </c>
      <c r="AB328" s="1120">
        <f>-SUMIF('10. Inputs &amp; Calcs'!$D$249:$D$254,$E326,'10. Inputs &amp; Calcs'!AB$249:AB$254)</f>
        <v>-108413932.68552631</v>
      </c>
      <c r="AC328" s="1120">
        <f>-SUMIF('10. Inputs &amp; Calcs'!$D$249:$D$254,$E326,'10. Inputs &amp; Calcs'!AC$249:AC$254)</f>
        <v>0</v>
      </c>
      <c r="AD328" s="1120">
        <f>SUM(I328:AC328)</f>
        <v>-108413932.68552631</v>
      </c>
    </row>
    <row r="329" spans="1:30" outlineLevel="2" x14ac:dyDescent="0.45">
      <c r="A329" s="1131"/>
      <c r="B329" s="597" t="str">
        <f t="shared" si="60"/>
        <v>Sales</v>
      </c>
      <c r="D329" s="747" t="str">
        <f>D$273</f>
        <v>Balance c/f</v>
      </c>
      <c r="H329" s="613">
        <f t="shared" ref="H329:AD329" si="132">SUM(H324:H328)</f>
        <v>69531298.599999994</v>
      </c>
      <c r="I329" s="613">
        <f t="shared" ca="1" si="132"/>
        <v>82492176.628508762</v>
      </c>
      <c r="J329" s="613">
        <f t="shared" ca="1" si="132"/>
        <v>95453054.657017529</v>
      </c>
      <c r="K329" s="613">
        <f t="shared" ca="1" si="132"/>
        <v>108413932.6855263</v>
      </c>
      <c r="L329" s="613">
        <f t="shared" ca="1" si="132"/>
        <v>121984734.38596489</v>
      </c>
      <c r="M329" s="613">
        <f t="shared" ca="1" si="132"/>
        <v>135555536.08640349</v>
      </c>
      <c r="N329" s="613">
        <f t="shared" ca="1" si="132"/>
        <v>149126337.78684211</v>
      </c>
      <c r="O329" s="613">
        <f t="shared" ca="1" si="132"/>
        <v>162697139.48728073</v>
      </c>
      <c r="P329" s="613">
        <f t="shared" ca="1" si="132"/>
        <v>176267941.18771935</v>
      </c>
      <c r="Q329" s="613">
        <f t="shared" ca="1" si="132"/>
        <v>189838742.88815796</v>
      </c>
      <c r="R329" s="613">
        <f t="shared" ca="1" si="132"/>
        <v>203409544.58859658</v>
      </c>
      <c r="S329" s="613">
        <f t="shared" ca="1" si="132"/>
        <v>216980346.2890352</v>
      </c>
      <c r="T329" s="613">
        <f t="shared" ca="1" si="132"/>
        <v>230551147.98947382</v>
      </c>
      <c r="U329" s="613">
        <f t="shared" ca="1" si="132"/>
        <v>244121949.68991244</v>
      </c>
      <c r="V329" s="613">
        <f t="shared" ca="1" si="132"/>
        <v>257692751.39035106</v>
      </c>
      <c r="W329" s="613">
        <f t="shared" ca="1" si="132"/>
        <v>271263553.09078962</v>
      </c>
      <c r="X329" s="613">
        <f t="shared" ca="1" si="132"/>
        <v>284834354.79122818</v>
      </c>
      <c r="Y329" s="613">
        <f t="shared" ca="1" si="132"/>
        <v>298405156.49166673</v>
      </c>
      <c r="Z329" s="613">
        <f t="shared" ca="1" si="132"/>
        <v>311975958.19210529</v>
      </c>
      <c r="AA329" s="613">
        <f t="shared" ca="1" si="132"/>
        <v>325546759.89254385</v>
      </c>
      <c r="AB329" s="613">
        <f t="shared" ca="1" si="132"/>
        <v>0</v>
      </c>
      <c r="AC329" s="613">
        <f t="shared" ca="1" si="132"/>
        <v>0</v>
      </c>
      <c r="AD329" s="613">
        <f t="shared" ca="1" si="132"/>
        <v>1.1920928955078125E-7</v>
      </c>
    </row>
    <row r="330" spans="1:30" outlineLevel="2" x14ac:dyDescent="0.45">
      <c r="A330" s="1131"/>
      <c r="B330" s="597" t="str">
        <f t="shared" si="60"/>
        <v>Sales</v>
      </c>
    </row>
    <row r="331" spans="1:30" outlineLevel="2" x14ac:dyDescent="0.45">
      <c r="A331" s="1131"/>
      <c r="B331" s="597" t="str">
        <f t="shared" si="60"/>
        <v>Sales</v>
      </c>
    </row>
    <row r="332" spans="1:30" outlineLevel="2" x14ac:dyDescent="0.45">
      <c r="A332" s="1131"/>
      <c r="B332" s="597" t="str">
        <f t="shared" si="60"/>
        <v>Sales</v>
      </c>
      <c r="C332" s="451">
        <f>C323+1</f>
        <v>34</v>
      </c>
      <c r="D332" s="451" t="str">
        <f>"Debtors Control Accounts per Province - "&amp;E335</f>
        <v>Debtors Control Accounts per Province - KZN</v>
      </c>
      <c r="F332" s="596"/>
      <c r="G332" s="596"/>
      <c r="H332" s="596"/>
      <c r="I332" s="995"/>
      <c r="J332" s="995"/>
      <c r="K332" s="995"/>
      <c r="L332" s="995"/>
      <c r="M332" s="995"/>
      <c r="N332" s="995"/>
      <c r="O332" s="995"/>
      <c r="P332" s="995"/>
      <c r="Q332" s="995"/>
      <c r="R332" s="995"/>
      <c r="S332" s="995"/>
      <c r="T332" s="995"/>
      <c r="U332" s="995"/>
      <c r="V332" s="995"/>
      <c r="W332" s="995"/>
      <c r="X332" s="995"/>
      <c r="Y332" s="995"/>
      <c r="Z332" s="995"/>
      <c r="AA332" s="995"/>
      <c r="AB332" s="995"/>
      <c r="AC332" s="995"/>
      <c r="AD332" s="995"/>
    </row>
    <row r="333" spans="1:30" outlineLevel="2" x14ac:dyDescent="0.45">
      <c r="A333" s="1131"/>
      <c r="B333" s="597" t="str">
        <f t="shared" si="60"/>
        <v>Sales</v>
      </c>
      <c r="D333" s="747" t="str">
        <f>D$268</f>
        <v>Balance b/f</v>
      </c>
      <c r="F333" s="596"/>
      <c r="G333" s="596"/>
      <c r="H333" s="615">
        <f>SUMIF($D$87:$D$92,$E335,H$87:H$92)</f>
        <v>71198252.709999993</v>
      </c>
      <c r="I333" s="1120">
        <f>H338</f>
        <v>71198252.709999993</v>
      </c>
      <c r="J333" s="1120">
        <f t="shared" ref="J333:AC333" ca="1" si="133">I338</f>
        <v>94625955.401208222</v>
      </c>
      <c r="K333" s="1120">
        <f t="shared" ca="1" si="133"/>
        <v>118053658.09241645</v>
      </c>
      <c r="L333" s="1120">
        <f t="shared" ca="1" si="133"/>
        <v>141481360.78362468</v>
      </c>
      <c r="M333" s="1120">
        <f t="shared" ca="1" si="133"/>
        <v>151730980.71102828</v>
      </c>
      <c r="N333" s="1120">
        <f t="shared" ca="1" si="133"/>
        <v>161980600.63843188</v>
      </c>
      <c r="O333" s="1120">
        <f t="shared" ca="1" si="133"/>
        <v>172230220.56583548</v>
      </c>
      <c r="P333" s="1120">
        <f t="shared" ca="1" si="133"/>
        <v>182479840.49323907</v>
      </c>
      <c r="Q333" s="1120">
        <f t="shared" ca="1" si="133"/>
        <v>192729460.42064267</v>
      </c>
      <c r="R333" s="1120">
        <f t="shared" ca="1" si="133"/>
        <v>202979080.34804627</v>
      </c>
      <c r="S333" s="1120">
        <f t="shared" ca="1" si="133"/>
        <v>213228700.27544987</v>
      </c>
      <c r="T333" s="1120">
        <f t="shared" ca="1" si="133"/>
        <v>223478320.20285347</v>
      </c>
      <c r="U333" s="1120">
        <f t="shared" ca="1" si="133"/>
        <v>233727940.13025707</v>
      </c>
      <c r="V333" s="1120">
        <f t="shared" ca="1" si="133"/>
        <v>243977560.05766067</v>
      </c>
      <c r="W333" s="1120">
        <f t="shared" ca="1" si="133"/>
        <v>254227179.98506427</v>
      </c>
      <c r="X333" s="1120">
        <f t="shared" ca="1" si="133"/>
        <v>264476799.91246787</v>
      </c>
      <c r="Y333" s="1120">
        <f t="shared" ca="1" si="133"/>
        <v>274726419.83987147</v>
      </c>
      <c r="Z333" s="1120">
        <f t="shared" ca="1" si="133"/>
        <v>284976039.76727509</v>
      </c>
      <c r="AA333" s="1120">
        <f t="shared" ca="1" si="133"/>
        <v>295225659.69467866</v>
      </c>
      <c r="AB333" s="1120">
        <f t="shared" ca="1" si="133"/>
        <v>305475279.62208223</v>
      </c>
      <c r="AC333" s="1120">
        <f t="shared" ca="1" si="133"/>
        <v>0</v>
      </c>
      <c r="AD333" s="1120">
        <f>H333</f>
        <v>71198252.709999993</v>
      </c>
    </row>
    <row r="334" spans="1:30" outlineLevel="2" x14ac:dyDescent="0.45">
      <c r="A334" s="1131"/>
      <c r="B334" s="597" t="str">
        <f t="shared" si="60"/>
        <v>Sales</v>
      </c>
      <c r="D334" s="747" t="str">
        <f>D$269</f>
        <v>New Sale Debtors (Rental Properties Sold to Occupants)</v>
      </c>
      <c r="F334" s="596"/>
      <c r="G334" s="596"/>
      <c r="H334" s="596"/>
      <c r="I334" s="1120">
        <f ca="1">SUMIF('10. Inputs &amp; Calcs'!$D$258:$D$263,$E335,'10. Inputs &amp; Calcs'!I$258:I$263)</f>
        <v>28474614.691208225</v>
      </c>
      <c r="J334" s="1120">
        <f ca="1">SUMIF('10. Inputs &amp; Calcs'!$D$258:$D$263,$E335,'10. Inputs &amp; Calcs'!J$258:J$263)</f>
        <v>28474614.691208225</v>
      </c>
      <c r="K334" s="1120">
        <f ca="1">SUMIF('10. Inputs &amp; Calcs'!$D$258:$D$263,$E335,'10. Inputs &amp; Calcs'!K$258:K$263)</f>
        <v>28474614.691208225</v>
      </c>
      <c r="L334" s="1120">
        <f ca="1">SUMIF('10. Inputs &amp; Calcs'!$D$258:$D$263,$E335,'10. Inputs &amp; Calcs'!L$258:L$263)</f>
        <v>12457643.927403599</v>
      </c>
      <c r="M334" s="1120">
        <f ca="1">SUMIF('10. Inputs &amp; Calcs'!$D$258:$D$263,$E335,'10. Inputs &amp; Calcs'!M$258:M$263)</f>
        <v>12457643.927403599</v>
      </c>
      <c r="N334" s="1120">
        <f ca="1">SUMIF('10. Inputs &amp; Calcs'!$D$258:$D$263,$E335,'10. Inputs &amp; Calcs'!N$258:N$263)</f>
        <v>12457643.927403599</v>
      </c>
      <c r="O334" s="1120">
        <f ca="1">SUMIF('10. Inputs &amp; Calcs'!$D$258:$D$263,$E335,'10. Inputs &amp; Calcs'!O$258:O$263)</f>
        <v>12457643.927403599</v>
      </c>
      <c r="P334" s="1120">
        <f ca="1">SUMIF('10. Inputs &amp; Calcs'!$D$258:$D$263,$E335,'10. Inputs &amp; Calcs'!P$258:P$263)</f>
        <v>12457643.927403599</v>
      </c>
      <c r="Q334" s="1120">
        <f ca="1">SUMIF('10. Inputs &amp; Calcs'!$D$258:$D$263,$E335,'10. Inputs &amp; Calcs'!Q$258:Q$263)</f>
        <v>12457643.927403599</v>
      </c>
      <c r="R334" s="1120">
        <f ca="1">SUMIF('10. Inputs &amp; Calcs'!$D$258:$D$263,$E335,'10. Inputs &amp; Calcs'!R$258:R$263)</f>
        <v>12457643.927403599</v>
      </c>
      <c r="S334" s="1120">
        <f ca="1">SUMIF('10. Inputs &amp; Calcs'!$D$258:$D$263,$E335,'10. Inputs &amp; Calcs'!S$258:S$263)</f>
        <v>12457643.927403599</v>
      </c>
      <c r="T334" s="1120">
        <f ca="1">SUMIF('10. Inputs &amp; Calcs'!$D$258:$D$263,$E335,'10. Inputs &amp; Calcs'!T$258:T$263)</f>
        <v>12457643.927403599</v>
      </c>
      <c r="U334" s="1120">
        <f ca="1">SUMIF('10. Inputs &amp; Calcs'!$D$258:$D$263,$E335,'10. Inputs &amp; Calcs'!U$258:U$263)</f>
        <v>12457643.927403599</v>
      </c>
      <c r="V334" s="1120">
        <f ca="1">SUMIF('10. Inputs &amp; Calcs'!$D$258:$D$263,$E335,'10. Inputs &amp; Calcs'!V$258:V$263)</f>
        <v>12457643.927403599</v>
      </c>
      <c r="W334" s="1120">
        <f ca="1">SUMIF('10. Inputs &amp; Calcs'!$D$258:$D$263,$E335,'10. Inputs &amp; Calcs'!W$258:W$263)</f>
        <v>12457643.927403599</v>
      </c>
      <c r="X334" s="1120">
        <f ca="1">SUMIF('10. Inputs &amp; Calcs'!$D$258:$D$263,$E335,'10. Inputs &amp; Calcs'!X$258:X$263)</f>
        <v>12457643.927403599</v>
      </c>
      <c r="Y334" s="1120">
        <f ca="1">SUMIF('10. Inputs &amp; Calcs'!$D$258:$D$263,$E335,'10. Inputs &amp; Calcs'!Y$258:Y$263)</f>
        <v>12457643.927403599</v>
      </c>
      <c r="Z334" s="1120">
        <f ca="1">SUMIF('10. Inputs &amp; Calcs'!$D$258:$D$263,$E335,'10. Inputs &amp; Calcs'!Z$258:Z$263)</f>
        <v>12457643.927403599</v>
      </c>
      <c r="AA334" s="1120">
        <f ca="1">SUMIF('10. Inputs &amp; Calcs'!$D$258:$D$263,$E335,'10. Inputs &amp; Calcs'!AA$258:AA$263)</f>
        <v>12457643.927403599</v>
      </c>
      <c r="AB334" s="1120">
        <f ca="1">SUMIF('10. Inputs &amp; Calcs'!$D$258:$D$263,$E335,'10. Inputs &amp; Calcs'!AB$258:AB$263)</f>
        <v>333686.89091259637</v>
      </c>
      <c r="AC334" s="1120">
        <f ca="1">SUMIF('10. Inputs &amp; Calcs'!$D$258:$D$263,$E335,'10. Inputs &amp; Calcs'!AC$258:AC$263)</f>
        <v>0</v>
      </c>
      <c r="AD334" s="1120">
        <f ca="1">SUM(I334:AC334)</f>
        <v>285079833.80299479</v>
      </c>
    </row>
    <row r="335" spans="1:30" outlineLevel="2" x14ac:dyDescent="0.45">
      <c r="A335" s="1131"/>
      <c r="B335" s="597" t="str">
        <f t="shared" si="60"/>
        <v>Sales</v>
      </c>
      <c r="D335" s="747" t="str">
        <f>D$270</f>
        <v>EEDBS Fixed - Total Utilised on Transfer to Tenants</v>
      </c>
      <c r="E335" s="583" t="str">
        <f>$D$36</f>
        <v>KZN</v>
      </c>
      <c r="H335" s="596"/>
      <c r="I335" s="1120">
        <f ca="1">-SUMIF('10. Inputs &amp; Calcs'!$D$213:$D$218,$E335,'10. Inputs &amp; Calcs'!I$213:I$218)</f>
        <v>-5046912</v>
      </c>
      <c r="J335" s="1120">
        <f ca="1">-SUMIF('10. Inputs &amp; Calcs'!$D$213:$D$218,$E335,'10. Inputs &amp; Calcs'!J$213:J$218)</f>
        <v>-5046912</v>
      </c>
      <c r="K335" s="1120">
        <f ca="1">-SUMIF('10. Inputs &amp; Calcs'!$D$213:$D$218,$E335,'10. Inputs &amp; Calcs'!K$213:K$218)</f>
        <v>-5046912</v>
      </c>
      <c r="L335" s="1120">
        <f ca="1">-SUMIF('10. Inputs &amp; Calcs'!$D$213:$D$218,$E335,'10. Inputs &amp; Calcs'!L$213:L$218)</f>
        <v>-2208024</v>
      </c>
      <c r="M335" s="1120">
        <f ca="1">-SUMIF('10. Inputs &amp; Calcs'!$D$213:$D$218,$E335,'10. Inputs &amp; Calcs'!M$213:M$218)</f>
        <v>-2208024</v>
      </c>
      <c r="N335" s="1120">
        <f ca="1">-SUMIF('10. Inputs &amp; Calcs'!$D$213:$D$218,$E335,'10. Inputs &amp; Calcs'!N$213:N$218)</f>
        <v>-2208024</v>
      </c>
      <c r="O335" s="1120">
        <f ca="1">-SUMIF('10. Inputs &amp; Calcs'!$D$213:$D$218,$E335,'10. Inputs &amp; Calcs'!O$213:O$218)</f>
        <v>-2208024</v>
      </c>
      <c r="P335" s="1120">
        <f ca="1">-SUMIF('10. Inputs &amp; Calcs'!$D$213:$D$218,$E335,'10. Inputs &amp; Calcs'!P$213:P$218)</f>
        <v>-2208024</v>
      </c>
      <c r="Q335" s="1120">
        <f ca="1">-SUMIF('10. Inputs &amp; Calcs'!$D$213:$D$218,$E335,'10. Inputs &amp; Calcs'!Q$213:Q$218)</f>
        <v>-2208024</v>
      </c>
      <c r="R335" s="1120">
        <f ca="1">-SUMIF('10. Inputs &amp; Calcs'!$D$213:$D$218,$E335,'10. Inputs &amp; Calcs'!R$213:R$218)</f>
        <v>-2208024</v>
      </c>
      <c r="S335" s="1120">
        <f ca="1">-SUMIF('10. Inputs &amp; Calcs'!$D$213:$D$218,$E335,'10. Inputs &amp; Calcs'!S$213:S$218)</f>
        <v>-2208024</v>
      </c>
      <c r="T335" s="1120">
        <f ca="1">-SUMIF('10. Inputs &amp; Calcs'!$D$213:$D$218,$E335,'10. Inputs &amp; Calcs'!T$213:T$218)</f>
        <v>-2208024</v>
      </c>
      <c r="U335" s="1120">
        <f ca="1">-SUMIF('10. Inputs &amp; Calcs'!$D$213:$D$218,$E335,'10. Inputs &amp; Calcs'!U$213:U$218)</f>
        <v>-2208024</v>
      </c>
      <c r="V335" s="1120">
        <f ca="1">-SUMIF('10. Inputs &amp; Calcs'!$D$213:$D$218,$E335,'10. Inputs &amp; Calcs'!V$213:V$218)</f>
        <v>-2208024</v>
      </c>
      <c r="W335" s="1120">
        <f ca="1">-SUMIF('10. Inputs &amp; Calcs'!$D$213:$D$218,$E335,'10. Inputs &amp; Calcs'!W$213:W$218)</f>
        <v>-2208024</v>
      </c>
      <c r="X335" s="1120">
        <f ca="1">-SUMIF('10. Inputs &amp; Calcs'!$D$213:$D$218,$E335,'10. Inputs &amp; Calcs'!X$213:X$218)</f>
        <v>-2208024</v>
      </c>
      <c r="Y335" s="1120">
        <f ca="1">-SUMIF('10. Inputs &amp; Calcs'!$D$213:$D$218,$E335,'10. Inputs &amp; Calcs'!Y$213:Y$218)</f>
        <v>-2208024</v>
      </c>
      <c r="Z335" s="1120">
        <f ca="1">-SUMIF('10. Inputs &amp; Calcs'!$D$213:$D$218,$E335,'10. Inputs &amp; Calcs'!Z$213:Z$218)</f>
        <v>-2208024</v>
      </c>
      <c r="AA335" s="1120">
        <f ca="1">-SUMIF('10. Inputs &amp; Calcs'!$D$213:$D$218,$E335,'10. Inputs &amp; Calcs'!AA$213:AA$218)</f>
        <v>-2208024</v>
      </c>
      <c r="AB335" s="1120">
        <f ca="1">-SUMIF('10. Inputs &amp; Calcs'!$D$213:$D$218,$E335,'10. Inputs &amp; Calcs'!AB$213:AB$218)</f>
        <v>-59143.5</v>
      </c>
      <c r="AC335" s="1120">
        <f ca="1">-SUMIF('10. Inputs &amp; Calcs'!$D$213:$D$218,$E335,'10. Inputs &amp; Calcs'!AC$213:AC$218)</f>
        <v>0</v>
      </c>
      <c r="AD335" s="1120">
        <f ca="1">SUM(I335:AC335)</f>
        <v>-50528263.5</v>
      </c>
    </row>
    <row r="336" spans="1:30" outlineLevel="2" x14ac:dyDescent="0.45">
      <c r="A336" s="1131"/>
      <c r="B336" s="597" t="str">
        <f t="shared" ref="B336:B379" si="134">B335</f>
        <v>Sales</v>
      </c>
      <c r="D336" s="747" t="str">
        <f>D$271</f>
        <v>Total New Sale Debtors settled</v>
      </c>
      <c r="E336" s="583" t="str">
        <f>E335</f>
        <v>KZN</v>
      </c>
      <c r="H336" s="596"/>
      <c r="I336" s="1120">
        <f ca="1">-SUMIF('10. Inputs &amp; Calcs'!$D$231:$D$236,$E335,'10. Inputs &amp; Calcs'!I$231:I$236)</f>
        <v>0</v>
      </c>
      <c r="J336" s="1120">
        <f ca="1">-SUMIF('10. Inputs &amp; Calcs'!$D$231:$D$236,$E335,'10. Inputs &amp; Calcs'!J$231:J$236)</f>
        <v>0</v>
      </c>
      <c r="K336" s="1120">
        <f ca="1">-SUMIF('10. Inputs &amp; Calcs'!$D$231:$D$236,$E335,'10. Inputs &amp; Calcs'!K$231:K$236)</f>
        <v>0</v>
      </c>
      <c r="L336" s="1120">
        <f>-SUMIF('10. Inputs &amp; Calcs'!$D$231:$D$236,$E335,'10. Inputs &amp; Calcs'!L$231:L$236)</f>
        <v>0</v>
      </c>
      <c r="M336" s="1120">
        <f>-SUMIF('10. Inputs &amp; Calcs'!$D$231:$D$236,$E335,'10. Inputs &amp; Calcs'!M$231:M$236)</f>
        <v>0</v>
      </c>
      <c r="N336" s="1120">
        <f>-SUMIF('10. Inputs &amp; Calcs'!$D$231:$D$236,$E335,'10. Inputs &amp; Calcs'!N$231:N$236)</f>
        <v>0</v>
      </c>
      <c r="O336" s="1120">
        <f>-SUMIF('10. Inputs &amp; Calcs'!$D$231:$D$236,$E335,'10. Inputs &amp; Calcs'!O$231:O$236)</f>
        <v>0</v>
      </c>
      <c r="P336" s="1120">
        <f>-SUMIF('10. Inputs &amp; Calcs'!$D$231:$D$236,$E335,'10. Inputs &amp; Calcs'!P$231:P$236)</f>
        <v>0</v>
      </c>
      <c r="Q336" s="1120">
        <f>-SUMIF('10. Inputs &amp; Calcs'!$D$231:$D$236,$E335,'10. Inputs &amp; Calcs'!Q$231:Q$236)</f>
        <v>0</v>
      </c>
      <c r="R336" s="1120">
        <f>-SUMIF('10. Inputs &amp; Calcs'!$D$231:$D$236,$E335,'10. Inputs &amp; Calcs'!R$231:R$236)</f>
        <v>0</v>
      </c>
      <c r="S336" s="1120">
        <f>-SUMIF('10. Inputs &amp; Calcs'!$D$231:$D$236,$E335,'10. Inputs &amp; Calcs'!S$231:S$236)</f>
        <v>0</v>
      </c>
      <c r="T336" s="1120">
        <f>-SUMIF('10. Inputs &amp; Calcs'!$D$231:$D$236,$E335,'10. Inputs &amp; Calcs'!T$231:T$236)</f>
        <v>0</v>
      </c>
      <c r="U336" s="1120">
        <f>-SUMIF('10. Inputs &amp; Calcs'!$D$231:$D$236,$E335,'10. Inputs &amp; Calcs'!U$231:U$236)</f>
        <v>0</v>
      </c>
      <c r="V336" s="1120">
        <f>-SUMIF('10. Inputs &amp; Calcs'!$D$231:$D$236,$E335,'10. Inputs &amp; Calcs'!V$231:V$236)</f>
        <v>0</v>
      </c>
      <c r="W336" s="1120">
        <f>-SUMIF('10. Inputs &amp; Calcs'!$D$231:$D$236,$E335,'10. Inputs &amp; Calcs'!W$231:W$236)</f>
        <v>0</v>
      </c>
      <c r="X336" s="1120">
        <f>-SUMIF('10. Inputs &amp; Calcs'!$D$231:$D$236,$E335,'10. Inputs &amp; Calcs'!X$231:X$236)</f>
        <v>0</v>
      </c>
      <c r="Y336" s="1120">
        <f>-SUMIF('10. Inputs &amp; Calcs'!$D$231:$D$236,$E335,'10. Inputs &amp; Calcs'!Y$231:Y$236)</f>
        <v>0</v>
      </c>
      <c r="Z336" s="1120">
        <f>-SUMIF('10. Inputs &amp; Calcs'!$D$231:$D$236,$E335,'10. Inputs &amp; Calcs'!Z$231:Z$236)</f>
        <v>0</v>
      </c>
      <c r="AA336" s="1120">
        <f>-SUMIF('10. Inputs &amp; Calcs'!$D$231:$D$236,$E335,'10. Inputs &amp; Calcs'!AA$231:AA$236)</f>
        <v>0</v>
      </c>
      <c r="AB336" s="1120">
        <f>-SUMIF('10. Inputs &amp; Calcs'!$D$231:$D$236,$E335,'10. Inputs &amp; Calcs'!AB$231:AB$236)</f>
        <v>-164268462.22937018</v>
      </c>
      <c r="AC336" s="1120">
        <f>-SUMIF('10. Inputs &amp; Calcs'!$D$231:$D$236,$E335,'10. Inputs &amp; Calcs'!AC$231:AC$236)</f>
        <v>0</v>
      </c>
      <c r="AD336" s="1120">
        <f ca="1">SUM(I336:AC336)</f>
        <v>-164268462.22937018</v>
      </c>
    </row>
    <row r="337" spans="1:30" outlineLevel="2" x14ac:dyDescent="0.45">
      <c r="A337" s="1131"/>
      <c r="B337" s="597" t="str">
        <f t="shared" si="134"/>
        <v>Sales</v>
      </c>
      <c r="D337" s="747" t="str">
        <f>D$272</f>
        <v>Existing Sale Debtors settled</v>
      </c>
      <c r="E337" s="583" t="str">
        <f>E335</f>
        <v>KZN</v>
      </c>
      <c r="H337" s="596"/>
      <c r="I337" s="1120">
        <f>-SUMIF('10. Inputs &amp; Calcs'!$D$249:$D$254,$E335,'10. Inputs &amp; Calcs'!I$249:I$254)</f>
        <v>0</v>
      </c>
      <c r="J337" s="1120">
        <f>-SUMIF('10. Inputs &amp; Calcs'!$D$249:$D$254,$E335,'10. Inputs &amp; Calcs'!J$249:J$254)</f>
        <v>0</v>
      </c>
      <c r="K337" s="1120">
        <f>-SUMIF('10. Inputs &amp; Calcs'!$D$249:$D$254,$E335,'10. Inputs &amp; Calcs'!K$249:K$254)</f>
        <v>0</v>
      </c>
      <c r="L337" s="1120">
        <f>-SUMIF('10. Inputs &amp; Calcs'!$D$249:$D$254,$E335,'10. Inputs &amp; Calcs'!L$249:L$254)</f>
        <v>0</v>
      </c>
      <c r="M337" s="1120">
        <f>-SUMIF('10. Inputs &amp; Calcs'!$D$249:$D$254,$E335,'10. Inputs &amp; Calcs'!M$249:M$254)</f>
        <v>0</v>
      </c>
      <c r="N337" s="1120">
        <f>-SUMIF('10. Inputs &amp; Calcs'!$D$249:$D$254,$E335,'10. Inputs &amp; Calcs'!N$249:N$254)</f>
        <v>0</v>
      </c>
      <c r="O337" s="1120">
        <f>-SUMIF('10. Inputs &amp; Calcs'!$D$249:$D$254,$E335,'10. Inputs &amp; Calcs'!O$249:O$254)</f>
        <v>0</v>
      </c>
      <c r="P337" s="1120">
        <f>-SUMIF('10. Inputs &amp; Calcs'!$D$249:$D$254,$E335,'10. Inputs &amp; Calcs'!P$249:P$254)</f>
        <v>0</v>
      </c>
      <c r="Q337" s="1120">
        <f>-SUMIF('10. Inputs &amp; Calcs'!$D$249:$D$254,$E335,'10. Inputs &amp; Calcs'!Q$249:Q$254)</f>
        <v>0</v>
      </c>
      <c r="R337" s="1120">
        <f>-SUMIF('10. Inputs &amp; Calcs'!$D$249:$D$254,$E335,'10. Inputs &amp; Calcs'!R$249:R$254)</f>
        <v>0</v>
      </c>
      <c r="S337" s="1120">
        <f>-SUMIF('10. Inputs &amp; Calcs'!$D$249:$D$254,$E335,'10. Inputs &amp; Calcs'!S$249:S$254)</f>
        <v>0</v>
      </c>
      <c r="T337" s="1120">
        <f>-SUMIF('10. Inputs &amp; Calcs'!$D$249:$D$254,$E335,'10. Inputs &amp; Calcs'!T$249:T$254)</f>
        <v>0</v>
      </c>
      <c r="U337" s="1120">
        <f>-SUMIF('10. Inputs &amp; Calcs'!$D$249:$D$254,$E335,'10. Inputs &amp; Calcs'!U$249:U$254)</f>
        <v>0</v>
      </c>
      <c r="V337" s="1120">
        <f>-SUMIF('10. Inputs &amp; Calcs'!$D$249:$D$254,$E335,'10. Inputs &amp; Calcs'!V$249:V$254)</f>
        <v>0</v>
      </c>
      <c r="W337" s="1120">
        <f>-SUMIF('10. Inputs &amp; Calcs'!$D$249:$D$254,$E335,'10. Inputs &amp; Calcs'!W$249:W$254)</f>
        <v>0</v>
      </c>
      <c r="X337" s="1120">
        <f>-SUMIF('10. Inputs &amp; Calcs'!$D$249:$D$254,$E335,'10. Inputs &amp; Calcs'!X$249:X$254)</f>
        <v>0</v>
      </c>
      <c r="Y337" s="1120">
        <f>-SUMIF('10. Inputs &amp; Calcs'!$D$249:$D$254,$E335,'10. Inputs &amp; Calcs'!Y$249:Y$254)</f>
        <v>0</v>
      </c>
      <c r="Z337" s="1120">
        <f>-SUMIF('10. Inputs &amp; Calcs'!$D$249:$D$254,$E335,'10. Inputs &amp; Calcs'!Z$249:Z$254)</f>
        <v>0</v>
      </c>
      <c r="AA337" s="1120">
        <f>-SUMIF('10. Inputs &amp; Calcs'!$D$249:$D$254,$E335,'10. Inputs &amp; Calcs'!AA$249:AA$254)</f>
        <v>0</v>
      </c>
      <c r="AB337" s="1120">
        <f>-SUMIF('10. Inputs &amp; Calcs'!$D$249:$D$254,$E335,'10. Inputs &amp; Calcs'!AB$249:AB$254)</f>
        <v>-141481360.78362468</v>
      </c>
      <c r="AC337" s="1120">
        <f>-SUMIF('10. Inputs &amp; Calcs'!$D$249:$D$254,$E335,'10. Inputs &amp; Calcs'!AC$249:AC$254)</f>
        <v>0</v>
      </c>
      <c r="AD337" s="1120">
        <f>SUM(I337:AC337)</f>
        <v>-141481360.78362468</v>
      </c>
    </row>
    <row r="338" spans="1:30" outlineLevel="2" x14ac:dyDescent="0.45">
      <c r="A338" s="1131"/>
      <c r="B338" s="597" t="str">
        <f t="shared" si="134"/>
        <v>Sales</v>
      </c>
      <c r="D338" s="747" t="str">
        <f>D$273</f>
        <v>Balance c/f</v>
      </c>
      <c r="H338" s="613">
        <f t="shared" ref="H338:AD338" si="135">SUM(H333:H337)</f>
        <v>71198252.709999993</v>
      </c>
      <c r="I338" s="613">
        <f t="shared" ca="1" si="135"/>
        <v>94625955.401208222</v>
      </c>
      <c r="J338" s="613">
        <f t="shared" ca="1" si="135"/>
        <v>118053658.09241645</v>
      </c>
      <c r="K338" s="613">
        <f t="shared" ca="1" si="135"/>
        <v>141481360.78362468</v>
      </c>
      <c r="L338" s="613">
        <f t="shared" ca="1" si="135"/>
        <v>151730980.71102828</v>
      </c>
      <c r="M338" s="613">
        <f t="shared" ca="1" si="135"/>
        <v>161980600.63843188</v>
      </c>
      <c r="N338" s="613">
        <f t="shared" ca="1" si="135"/>
        <v>172230220.56583548</v>
      </c>
      <c r="O338" s="613">
        <f t="shared" ca="1" si="135"/>
        <v>182479840.49323907</v>
      </c>
      <c r="P338" s="613">
        <f t="shared" ca="1" si="135"/>
        <v>192729460.42064267</v>
      </c>
      <c r="Q338" s="613">
        <f t="shared" ca="1" si="135"/>
        <v>202979080.34804627</v>
      </c>
      <c r="R338" s="613">
        <f t="shared" ca="1" si="135"/>
        <v>213228700.27544987</v>
      </c>
      <c r="S338" s="613">
        <f t="shared" ca="1" si="135"/>
        <v>223478320.20285347</v>
      </c>
      <c r="T338" s="613">
        <f t="shared" ca="1" si="135"/>
        <v>233727940.13025707</v>
      </c>
      <c r="U338" s="613">
        <f t="shared" ca="1" si="135"/>
        <v>243977560.05766067</v>
      </c>
      <c r="V338" s="613">
        <f t="shared" ca="1" si="135"/>
        <v>254227179.98506427</v>
      </c>
      <c r="W338" s="613">
        <f t="shared" ca="1" si="135"/>
        <v>264476799.91246787</v>
      </c>
      <c r="X338" s="613">
        <f t="shared" ca="1" si="135"/>
        <v>274726419.83987147</v>
      </c>
      <c r="Y338" s="613">
        <f t="shared" ca="1" si="135"/>
        <v>284976039.76727509</v>
      </c>
      <c r="Z338" s="613">
        <f t="shared" ca="1" si="135"/>
        <v>295225659.69467866</v>
      </c>
      <c r="AA338" s="613">
        <f t="shared" ca="1" si="135"/>
        <v>305475279.62208223</v>
      </c>
      <c r="AB338" s="613">
        <f t="shared" ca="1" si="135"/>
        <v>0</v>
      </c>
      <c r="AC338" s="613">
        <f t="shared" ca="1" si="135"/>
        <v>0</v>
      </c>
      <c r="AD338" s="613">
        <f t="shared" ca="1" si="135"/>
        <v>0</v>
      </c>
    </row>
    <row r="339" spans="1:30" outlineLevel="2" x14ac:dyDescent="0.45">
      <c r="A339" s="1131"/>
      <c r="B339" s="597" t="str">
        <f t="shared" si="134"/>
        <v>Sales</v>
      </c>
    </row>
    <row r="340" spans="1:30" outlineLevel="2" x14ac:dyDescent="0.45">
      <c r="A340" s="1131"/>
      <c r="B340" s="597" t="str">
        <f t="shared" si="134"/>
        <v>Sales</v>
      </c>
    </row>
    <row r="341" spans="1:30" outlineLevel="2" x14ac:dyDescent="0.45">
      <c r="A341" s="1131"/>
      <c r="B341" s="597" t="str">
        <f t="shared" si="134"/>
        <v>Sales</v>
      </c>
      <c r="C341" s="451">
        <f>C332+1</f>
        <v>35</v>
      </c>
      <c r="D341" s="451" t="str">
        <f>"Debtors Control Accounts per Province - "&amp;E344</f>
        <v>Debtors Control Accounts per Province - WC</v>
      </c>
      <c r="F341" s="596"/>
      <c r="G341" s="596"/>
      <c r="H341" s="596"/>
      <c r="I341" s="995"/>
      <c r="J341" s="995"/>
      <c r="K341" s="995"/>
      <c r="L341" s="995"/>
      <c r="M341" s="995"/>
      <c r="N341" s="995"/>
      <c r="O341" s="995"/>
      <c r="P341" s="995"/>
      <c r="Q341" s="995"/>
      <c r="R341" s="995"/>
      <c r="S341" s="995"/>
      <c r="T341" s="995"/>
      <c r="U341" s="995"/>
      <c r="V341" s="995"/>
      <c r="W341" s="995"/>
      <c r="X341" s="995"/>
      <c r="Y341" s="995"/>
      <c r="Z341" s="995"/>
      <c r="AA341" s="995"/>
      <c r="AB341" s="995"/>
      <c r="AC341" s="995"/>
      <c r="AD341" s="995"/>
    </row>
    <row r="342" spans="1:30" outlineLevel="2" x14ac:dyDescent="0.45">
      <c r="A342" s="1131"/>
      <c r="B342" s="597" t="str">
        <f t="shared" si="134"/>
        <v>Sales</v>
      </c>
      <c r="D342" s="747" t="str">
        <f>D$268</f>
        <v>Balance b/f</v>
      </c>
      <c r="F342" s="596"/>
      <c r="G342" s="596"/>
      <c r="H342" s="615">
        <f>SUMIF($D$87:$D$92,$E344,H$87:H$92)</f>
        <v>46208161.329999998</v>
      </c>
      <c r="I342" s="1120">
        <f>H347</f>
        <v>46208161.329999998</v>
      </c>
      <c r="J342" s="1120">
        <f t="shared" ref="J342:AC342" ca="1" si="136">I347</f>
        <v>54151811.536168538</v>
      </c>
      <c r="K342" s="1120">
        <f t="shared" ca="1" si="136"/>
        <v>62095461.742337078</v>
      </c>
      <c r="L342" s="1120">
        <f t="shared" ca="1" si="136"/>
        <v>68066179.217561796</v>
      </c>
      <c r="M342" s="1120">
        <f t="shared" ca="1" si="136"/>
        <v>69156484.147820219</v>
      </c>
      <c r="N342" s="1120">
        <f t="shared" ca="1" si="136"/>
        <v>70246789.078078642</v>
      </c>
      <c r="O342" s="1120">
        <f t="shared" ca="1" si="136"/>
        <v>71337094.008337066</v>
      </c>
      <c r="P342" s="1120">
        <f t="shared" ca="1" si="136"/>
        <v>72427398.938595489</v>
      </c>
      <c r="Q342" s="1120">
        <f t="shared" ca="1" si="136"/>
        <v>73517703.868853912</v>
      </c>
      <c r="R342" s="1120">
        <f t="shared" ca="1" si="136"/>
        <v>74608008.799112335</v>
      </c>
      <c r="S342" s="1120">
        <f t="shared" ca="1" si="136"/>
        <v>75698313.729370758</v>
      </c>
      <c r="T342" s="1120">
        <f t="shared" ca="1" si="136"/>
        <v>76788618.659629181</v>
      </c>
      <c r="U342" s="1120">
        <f t="shared" ca="1" si="136"/>
        <v>77878923.589887604</v>
      </c>
      <c r="V342" s="1120">
        <f t="shared" ca="1" si="136"/>
        <v>78969228.520146027</v>
      </c>
      <c r="W342" s="1120">
        <f t="shared" ca="1" si="136"/>
        <v>80059533.45040445</v>
      </c>
      <c r="X342" s="1120">
        <f t="shared" ca="1" si="136"/>
        <v>81149838.380662873</v>
      </c>
      <c r="Y342" s="1120">
        <f t="shared" ca="1" si="136"/>
        <v>82240143.310921296</v>
      </c>
      <c r="Z342" s="1120">
        <f t="shared" ca="1" si="136"/>
        <v>83330448.24117972</v>
      </c>
      <c r="AA342" s="1120">
        <f t="shared" ca="1" si="136"/>
        <v>84420753.171438143</v>
      </c>
      <c r="AB342" s="1120">
        <f t="shared" ca="1" si="136"/>
        <v>85511058.101696566</v>
      </c>
      <c r="AC342" s="1120">
        <f t="shared" ca="1" si="136"/>
        <v>0</v>
      </c>
      <c r="AD342" s="1120">
        <f>H342</f>
        <v>46208161.329999998</v>
      </c>
    </row>
    <row r="343" spans="1:30" outlineLevel="2" x14ac:dyDescent="0.45">
      <c r="A343" s="1131"/>
      <c r="B343" s="597" t="str">
        <f t="shared" si="134"/>
        <v>Sales</v>
      </c>
      <c r="D343" s="747" t="str">
        <f>D$269</f>
        <v>New Sale Debtors (Rental Properties Sold to Occupants)</v>
      </c>
      <c r="F343" s="596"/>
      <c r="G343" s="596"/>
      <c r="H343" s="596"/>
      <c r="I343" s="1120">
        <f ca="1">SUMIF('10. Inputs &amp; Calcs'!$D$258:$D$263,$E344,'10. Inputs &amp; Calcs'!I$258:I$263)</f>
        <v>10755083.813924564</v>
      </c>
      <c r="J343" s="1120">
        <f ca="1">SUMIF('10. Inputs &amp; Calcs'!$D$258:$D$263,$E344,'10. Inputs &amp; Calcs'!J$258:J$263)</f>
        <v>10755083.813924564</v>
      </c>
      <c r="K343" s="1120">
        <f ca="1">SUMIF('10. Inputs &amp; Calcs'!$D$258:$D$263,$E344,'10. Inputs &amp; Calcs'!K$258:K$263)</f>
        <v>8083886.5268060444</v>
      </c>
      <c r="L343" s="1120">
        <f ca="1">SUMIF('10. Inputs &amp; Calcs'!$D$258:$D$263,$E344,'10. Inputs &amp; Calcs'!L$258:L$263)</f>
        <v>1476187.9744602342</v>
      </c>
      <c r="M343" s="1120">
        <f ca="1">SUMIF('10. Inputs &amp; Calcs'!$D$258:$D$263,$E344,'10. Inputs &amp; Calcs'!M$258:M$263)</f>
        <v>1476187.9744602342</v>
      </c>
      <c r="N343" s="1120">
        <f ca="1">SUMIF('10. Inputs &amp; Calcs'!$D$258:$D$263,$E344,'10. Inputs &amp; Calcs'!N$258:N$263)</f>
        <v>1476187.9744602342</v>
      </c>
      <c r="O343" s="1120">
        <f ca="1">SUMIF('10. Inputs &amp; Calcs'!$D$258:$D$263,$E344,'10. Inputs &amp; Calcs'!O$258:O$263)</f>
        <v>1476187.9744602342</v>
      </c>
      <c r="P343" s="1120">
        <f ca="1">SUMIF('10. Inputs &amp; Calcs'!$D$258:$D$263,$E344,'10. Inputs &amp; Calcs'!P$258:P$263)</f>
        <v>1476187.9744602342</v>
      </c>
      <c r="Q343" s="1120">
        <f ca="1">SUMIF('10. Inputs &amp; Calcs'!$D$258:$D$263,$E344,'10. Inputs &amp; Calcs'!Q$258:Q$263)</f>
        <v>1476187.9744602342</v>
      </c>
      <c r="R343" s="1120">
        <f ca="1">SUMIF('10. Inputs &amp; Calcs'!$D$258:$D$263,$E344,'10. Inputs &amp; Calcs'!R$258:R$263)</f>
        <v>1476187.9744602342</v>
      </c>
      <c r="S343" s="1120">
        <f ca="1">SUMIF('10. Inputs &amp; Calcs'!$D$258:$D$263,$E344,'10. Inputs &amp; Calcs'!S$258:S$263)</f>
        <v>1476187.9744602342</v>
      </c>
      <c r="T343" s="1120">
        <f ca="1">SUMIF('10. Inputs &amp; Calcs'!$D$258:$D$263,$E344,'10. Inputs &amp; Calcs'!T$258:T$263)</f>
        <v>1476187.9744602342</v>
      </c>
      <c r="U343" s="1120">
        <f ca="1">SUMIF('10. Inputs &amp; Calcs'!$D$258:$D$263,$E344,'10. Inputs &amp; Calcs'!U$258:U$263)</f>
        <v>1476187.9744602342</v>
      </c>
      <c r="V343" s="1120">
        <f ca="1">SUMIF('10. Inputs &amp; Calcs'!$D$258:$D$263,$E344,'10. Inputs &amp; Calcs'!V$258:V$263)</f>
        <v>1476187.9744602342</v>
      </c>
      <c r="W343" s="1120">
        <f ca="1">SUMIF('10. Inputs &amp; Calcs'!$D$258:$D$263,$E344,'10. Inputs &amp; Calcs'!W$258:W$263)</f>
        <v>1476187.9744602342</v>
      </c>
      <c r="X343" s="1120">
        <f ca="1">SUMIF('10. Inputs &amp; Calcs'!$D$258:$D$263,$E344,'10. Inputs &amp; Calcs'!X$258:X$263)</f>
        <v>1476187.9744602342</v>
      </c>
      <c r="Y343" s="1120">
        <f ca="1">SUMIF('10. Inputs &amp; Calcs'!$D$258:$D$263,$E344,'10. Inputs &amp; Calcs'!Y$258:Y$263)</f>
        <v>1476187.9744602342</v>
      </c>
      <c r="Z343" s="1120">
        <f ca="1">SUMIF('10. Inputs &amp; Calcs'!$D$258:$D$263,$E344,'10. Inputs &amp; Calcs'!Z$258:Z$263)</f>
        <v>1476187.9744602342</v>
      </c>
      <c r="AA343" s="1120">
        <f ca="1">SUMIF('10. Inputs &amp; Calcs'!$D$258:$D$263,$E344,'10. Inputs &amp; Calcs'!AA$258:AA$263)</f>
        <v>1476187.9744602342</v>
      </c>
      <c r="AB343" s="1120">
        <f ca="1">SUMIF('10. Inputs &amp; Calcs'!$D$258:$D$263,$E344,'10. Inputs &amp; Calcs'!AB$258:AB$263)</f>
        <v>562357.32360389875</v>
      </c>
      <c r="AC343" s="1120">
        <f ca="1">SUMIF('10. Inputs &amp; Calcs'!$D$258:$D$263,$E344,'10. Inputs &amp; Calcs'!AC$258:AC$263)</f>
        <v>0</v>
      </c>
      <c r="AD343" s="1120">
        <f ca="1">SUM(I343:AC343)</f>
        <v>53775419.069622852</v>
      </c>
    </row>
    <row r="344" spans="1:30" outlineLevel="2" x14ac:dyDescent="0.45">
      <c r="A344" s="1131"/>
      <c r="B344" s="597" t="str">
        <f t="shared" si="134"/>
        <v>Sales</v>
      </c>
      <c r="D344" s="747" t="str">
        <f>D$270</f>
        <v>EEDBS Fixed - Total Utilised on Transfer to Tenants</v>
      </c>
      <c r="E344" s="583" t="str">
        <f>$D$37</f>
        <v>WC</v>
      </c>
      <c r="H344" s="596"/>
      <c r="I344" s="1120">
        <f ca="1">-SUMIF('10. Inputs &amp; Calcs'!$D$213:$D$218,$E344,'10. Inputs &amp; Calcs'!I$213:I$218)</f>
        <v>-2811433.6077560242</v>
      </c>
      <c r="J344" s="1120">
        <f ca="1">-SUMIF('10. Inputs &amp; Calcs'!$D$213:$D$218,$E344,'10. Inputs &amp; Calcs'!J$213:J$218)</f>
        <v>-2811433.6077560242</v>
      </c>
      <c r="K344" s="1120">
        <f ca="1">-SUMIF('10. Inputs &amp; Calcs'!$D$213:$D$218,$E344,'10. Inputs &amp; Calcs'!K$213:K$218)</f>
        <v>-2113169.0515813255</v>
      </c>
      <c r="L344" s="1120">
        <f ca="1">-SUMIF('10. Inputs &amp; Calcs'!$D$213:$D$218,$E344,'10. Inputs &amp; Calcs'!L$213:L$218)</f>
        <v>-385883.04420180724</v>
      </c>
      <c r="M344" s="1120">
        <f ca="1">-SUMIF('10. Inputs &amp; Calcs'!$D$213:$D$218,$E344,'10. Inputs &amp; Calcs'!M$213:M$218)</f>
        <v>-385883.04420180724</v>
      </c>
      <c r="N344" s="1120">
        <f ca="1">-SUMIF('10. Inputs &amp; Calcs'!$D$213:$D$218,$E344,'10. Inputs &amp; Calcs'!N$213:N$218)</f>
        <v>-385883.04420180724</v>
      </c>
      <c r="O344" s="1120">
        <f ca="1">-SUMIF('10. Inputs &amp; Calcs'!$D$213:$D$218,$E344,'10. Inputs &amp; Calcs'!O$213:O$218)</f>
        <v>-385883.04420180724</v>
      </c>
      <c r="P344" s="1120">
        <f ca="1">-SUMIF('10. Inputs &amp; Calcs'!$D$213:$D$218,$E344,'10. Inputs &amp; Calcs'!P$213:P$218)</f>
        <v>-385883.04420180724</v>
      </c>
      <c r="Q344" s="1120">
        <f ca="1">-SUMIF('10. Inputs &amp; Calcs'!$D$213:$D$218,$E344,'10. Inputs &amp; Calcs'!Q$213:Q$218)</f>
        <v>-385883.04420180724</v>
      </c>
      <c r="R344" s="1120">
        <f ca="1">-SUMIF('10. Inputs &amp; Calcs'!$D$213:$D$218,$E344,'10. Inputs &amp; Calcs'!R$213:R$218)</f>
        <v>-385883.04420180724</v>
      </c>
      <c r="S344" s="1120">
        <f ca="1">-SUMIF('10. Inputs &amp; Calcs'!$D$213:$D$218,$E344,'10. Inputs &amp; Calcs'!S$213:S$218)</f>
        <v>-385883.04420180724</v>
      </c>
      <c r="T344" s="1120">
        <f ca="1">-SUMIF('10. Inputs &amp; Calcs'!$D$213:$D$218,$E344,'10. Inputs &amp; Calcs'!T$213:T$218)</f>
        <v>-385883.04420180724</v>
      </c>
      <c r="U344" s="1120">
        <f ca="1">-SUMIF('10. Inputs &amp; Calcs'!$D$213:$D$218,$E344,'10. Inputs &amp; Calcs'!U$213:U$218)</f>
        <v>-385883.04420180724</v>
      </c>
      <c r="V344" s="1120">
        <f ca="1">-SUMIF('10. Inputs &amp; Calcs'!$D$213:$D$218,$E344,'10. Inputs &amp; Calcs'!V$213:V$218)</f>
        <v>-385883.04420180724</v>
      </c>
      <c r="W344" s="1120">
        <f ca="1">-SUMIF('10. Inputs &amp; Calcs'!$D$213:$D$218,$E344,'10. Inputs &amp; Calcs'!W$213:W$218)</f>
        <v>-385883.04420180724</v>
      </c>
      <c r="X344" s="1120">
        <f ca="1">-SUMIF('10. Inputs &amp; Calcs'!$D$213:$D$218,$E344,'10. Inputs &amp; Calcs'!X$213:X$218)</f>
        <v>-385883.04420180724</v>
      </c>
      <c r="Y344" s="1120">
        <f ca="1">-SUMIF('10. Inputs &amp; Calcs'!$D$213:$D$218,$E344,'10. Inputs &amp; Calcs'!Y$213:Y$218)</f>
        <v>-385883.04420180724</v>
      </c>
      <c r="Z344" s="1120">
        <f ca="1">-SUMIF('10. Inputs &amp; Calcs'!$D$213:$D$218,$E344,'10. Inputs &amp; Calcs'!Z$213:Z$218)</f>
        <v>-385883.04420180724</v>
      </c>
      <c r="AA344" s="1120">
        <f ca="1">-SUMIF('10. Inputs &amp; Calcs'!$D$213:$D$218,$E344,'10. Inputs &amp; Calcs'!AA$213:AA$218)</f>
        <v>-385883.04420180724</v>
      </c>
      <c r="AB344" s="1120">
        <f ca="1">-SUMIF('10. Inputs &amp; Calcs'!$D$213:$D$218,$E344,'10. Inputs &amp; Calcs'!AB$213:AB$218)</f>
        <v>-147003.06445783132</v>
      </c>
      <c r="AC344" s="1120">
        <f ca="1">-SUMIF('10. Inputs &amp; Calcs'!$D$213:$D$218,$E344,'10. Inputs &amp; Calcs'!AC$213:AC$218)</f>
        <v>0</v>
      </c>
      <c r="AD344" s="1120">
        <f ca="1">SUM(I344:AC344)</f>
        <v>-14057168.038780132</v>
      </c>
    </row>
    <row r="345" spans="1:30" outlineLevel="2" x14ac:dyDescent="0.45">
      <c r="A345" s="1131"/>
      <c r="B345" s="597" t="str">
        <f t="shared" si="134"/>
        <v>Sales</v>
      </c>
      <c r="D345" s="747" t="str">
        <f>D$271</f>
        <v>Total New Sale Debtors settled</v>
      </c>
      <c r="E345" s="583" t="str">
        <f>E344</f>
        <v>WC</v>
      </c>
      <c r="H345" s="596"/>
      <c r="I345" s="1120">
        <f ca="1">-SUMIF('10. Inputs &amp; Calcs'!$D$231:$D$236,$E344,'10. Inputs &amp; Calcs'!I$231:I$236)</f>
        <v>0</v>
      </c>
      <c r="J345" s="1120">
        <f ca="1">-SUMIF('10. Inputs &amp; Calcs'!$D$231:$D$236,$E344,'10. Inputs &amp; Calcs'!J$231:J$236)</f>
        <v>0</v>
      </c>
      <c r="K345" s="1120">
        <f ca="1">-SUMIF('10. Inputs &amp; Calcs'!$D$231:$D$236,$E344,'10. Inputs &amp; Calcs'!K$231:K$236)</f>
        <v>0</v>
      </c>
      <c r="L345" s="1120">
        <f>-SUMIF('10. Inputs &amp; Calcs'!$D$231:$D$236,$E344,'10. Inputs &amp; Calcs'!L$231:L$236)</f>
        <v>0</v>
      </c>
      <c r="M345" s="1120">
        <f>-SUMIF('10. Inputs &amp; Calcs'!$D$231:$D$236,$E344,'10. Inputs &amp; Calcs'!M$231:M$236)</f>
        <v>0</v>
      </c>
      <c r="N345" s="1120">
        <f>-SUMIF('10. Inputs &amp; Calcs'!$D$231:$D$236,$E344,'10. Inputs &amp; Calcs'!N$231:N$236)</f>
        <v>0</v>
      </c>
      <c r="O345" s="1120">
        <f>-SUMIF('10. Inputs &amp; Calcs'!$D$231:$D$236,$E344,'10. Inputs &amp; Calcs'!O$231:O$236)</f>
        <v>0</v>
      </c>
      <c r="P345" s="1120">
        <f>-SUMIF('10. Inputs &amp; Calcs'!$D$231:$D$236,$E344,'10. Inputs &amp; Calcs'!P$231:P$236)</f>
        <v>0</v>
      </c>
      <c r="Q345" s="1120">
        <f>-SUMIF('10. Inputs &amp; Calcs'!$D$231:$D$236,$E344,'10. Inputs &amp; Calcs'!Q$231:Q$236)</f>
        <v>0</v>
      </c>
      <c r="R345" s="1120">
        <f>-SUMIF('10. Inputs &amp; Calcs'!$D$231:$D$236,$E344,'10. Inputs &amp; Calcs'!R$231:R$236)</f>
        <v>0</v>
      </c>
      <c r="S345" s="1120">
        <f>-SUMIF('10. Inputs &amp; Calcs'!$D$231:$D$236,$E344,'10. Inputs &amp; Calcs'!S$231:S$236)</f>
        <v>0</v>
      </c>
      <c r="T345" s="1120">
        <f>-SUMIF('10. Inputs &amp; Calcs'!$D$231:$D$236,$E344,'10. Inputs &amp; Calcs'!T$231:T$236)</f>
        <v>0</v>
      </c>
      <c r="U345" s="1120">
        <f>-SUMIF('10. Inputs &amp; Calcs'!$D$231:$D$236,$E344,'10. Inputs &amp; Calcs'!U$231:U$236)</f>
        <v>0</v>
      </c>
      <c r="V345" s="1120">
        <f>-SUMIF('10. Inputs &amp; Calcs'!$D$231:$D$236,$E344,'10. Inputs &amp; Calcs'!V$231:V$236)</f>
        <v>0</v>
      </c>
      <c r="W345" s="1120">
        <f>-SUMIF('10. Inputs &amp; Calcs'!$D$231:$D$236,$E344,'10. Inputs &amp; Calcs'!W$231:W$236)</f>
        <v>0</v>
      </c>
      <c r="X345" s="1120">
        <f>-SUMIF('10. Inputs &amp; Calcs'!$D$231:$D$236,$E344,'10. Inputs &amp; Calcs'!X$231:X$236)</f>
        <v>0</v>
      </c>
      <c r="Y345" s="1120">
        <f>-SUMIF('10. Inputs &amp; Calcs'!$D$231:$D$236,$E344,'10. Inputs &amp; Calcs'!Y$231:Y$236)</f>
        <v>0</v>
      </c>
      <c r="Z345" s="1120">
        <f>-SUMIF('10. Inputs &amp; Calcs'!$D$231:$D$236,$E344,'10. Inputs &amp; Calcs'!Z$231:Z$236)</f>
        <v>0</v>
      </c>
      <c r="AA345" s="1120">
        <f>-SUMIF('10. Inputs &amp; Calcs'!$D$231:$D$236,$E344,'10. Inputs &amp; Calcs'!AA$231:AA$236)</f>
        <v>0</v>
      </c>
      <c r="AB345" s="1120">
        <f>-SUMIF('10. Inputs &amp; Calcs'!$D$231:$D$236,$E344,'10. Inputs &amp; Calcs'!AB$231:AB$236)</f>
        <v>-17860233.143280897</v>
      </c>
      <c r="AC345" s="1120">
        <f>-SUMIF('10. Inputs &amp; Calcs'!$D$231:$D$236,$E344,'10. Inputs &amp; Calcs'!AC$231:AC$236)</f>
        <v>0</v>
      </c>
      <c r="AD345" s="1120">
        <f ca="1">SUM(I345:AC345)</f>
        <v>-17860233.143280897</v>
      </c>
    </row>
    <row r="346" spans="1:30" outlineLevel="2" x14ac:dyDescent="0.45">
      <c r="A346" s="1131"/>
      <c r="B346" s="597" t="str">
        <f t="shared" si="134"/>
        <v>Sales</v>
      </c>
      <c r="D346" s="747" t="str">
        <f>D$272</f>
        <v>Existing Sale Debtors settled</v>
      </c>
      <c r="E346" s="583" t="str">
        <f>E344</f>
        <v>WC</v>
      </c>
      <c r="H346" s="596"/>
      <c r="I346" s="1120">
        <f>-SUMIF('10. Inputs &amp; Calcs'!$D$249:$D$254,$E344,'10. Inputs &amp; Calcs'!I$249:I$254)</f>
        <v>0</v>
      </c>
      <c r="J346" s="1120">
        <f>-SUMIF('10. Inputs &amp; Calcs'!$D$249:$D$254,$E344,'10. Inputs &amp; Calcs'!J$249:J$254)</f>
        <v>0</v>
      </c>
      <c r="K346" s="1120">
        <f>-SUMIF('10. Inputs &amp; Calcs'!$D$249:$D$254,$E344,'10. Inputs &amp; Calcs'!K$249:K$254)</f>
        <v>0</v>
      </c>
      <c r="L346" s="1120">
        <f>-SUMIF('10. Inputs &amp; Calcs'!$D$249:$D$254,$E344,'10. Inputs &amp; Calcs'!L$249:L$254)</f>
        <v>0</v>
      </c>
      <c r="M346" s="1120">
        <f>-SUMIF('10. Inputs &amp; Calcs'!$D$249:$D$254,$E344,'10. Inputs &amp; Calcs'!M$249:M$254)</f>
        <v>0</v>
      </c>
      <c r="N346" s="1120">
        <f>-SUMIF('10. Inputs &amp; Calcs'!$D$249:$D$254,$E344,'10. Inputs &amp; Calcs'!N$249:N$254)</f>
        <v>0</v>
      </c>
      <c r="O346" s="1120">
        <f>-SUMIF('10. Inputs &amp; Calcs'!$D$249:$D$254,$E344,'10. Inputs &amp; Calcs'!O$249:O$254)</f>
        <v>0</v>
      </c>
      <c r="P346" s="1120">
        <f>-SUMIF('10. Inputs &amp; Calcs'!$D$249:$D$254,$E344,'10. Inputs &amp; Calcs'!P$249:P$254)</f>
        <v>0</v>
      </c>
      <c r="Q346" s="1120">
        <f>-SUMIF('10. Inputs &amp; Calcs'!$D$249:$D$254,$E344,'10. Inputs &amp; Calcs'!Q$249:Q$254)</f>
        <v>0</v>
      </c>
      <c r="R346" s="1120">
        <f>-SUMIF('10. Inputs &amp; Calcs'!$D$249:$D$254,$E344,'10. Inputs &amp; Calcs'!R$249:R$254)</f>
        <v>0</v>
      </c>
      <c r="S346" s="1120">
        <f>-SUMIF('10. Inputs &amp; Calcs'!$D$249:$D$254,$E344,'10. Inputs &amp; Calcs'!S$249:S$254)</f>
        <v>0</v>
      </c>
      <c r="T346" s="1120">
        <f>-SUMIF('10. Inputs &amp; Calcs'!$D$249:$D$254,$E344,'10. Inputs &amp; Calcs'!T$249:T$254)</f>
        <v>0</v>
      </c>
      <c r="U346" s="1120">
        <f>-SUMIF('10. Inputs &amp; Calcs'!$D$249:$D$254,$E344,'10. Inputs &amp; Calcs'!U$249:U$254)</f>
        <v>0</v>
      </c>
      <c r="V346" s="1120">
        <f>-SUMIF('10. Inputs &amp; Calcs'!$D$249:$D$254,$E344,'10. Inputs &amp; Calcs'!V$249:V$254)</f>
        <v>0</v>
      </c>
      <c r="W346" s="1120">
        <f>-SUMIF('10. Inputs &amp; Calcs'!$D$249:$D$254,$E344,'10. Inputs &amp; Calcs'!W$249:W$254)</f>
        <v>0</v>
      </c>
      <c r="X346" s="1120">
        <f>-SUMIF('10. Inputs &amp; Calcs'!$D$249:$D$254,$E344,'10. Inputs &amp; Calcs'!X$249:X$254)</f>
        <v>0</v>
      </c>
      <c r="Y346" s="1120">
        <f>-SUMIF('10. Inputs &amp; Calcs'!$D$249:$D$254,$E344,'10. Inputs &amp; Calcs'!Y$249:Y$254)</f>
        <v>0</v>
      </c>
      <c r="Z346" s="1120">
        <f>-SUMIF('10. Inputs &amp; Calcs'!$D$249:$D$254,$E344,'10. Inputs &amp; Calcs'!Z$249:Z$254)</f>
        <v>0</v>
      </c>
      <c r="AA346" s="1120">
        <f>-SUMIF('10. Inputs &amp; Calcs'!$D$249:$D$254,$E344,'10. Inputs &amp; Calcs'!AA$249:AA$254)</f>
        <v>0</v>
      </c>
      <c r="AB346" s="1120">
        <f>-SUMIF('10. Inputs &amp; Calcs'!$D$249:$D$254,$E344,'10. Inputs &amp; Calcs'!AB$249:AB$254)</f>
        <v>-68066179.217561796</v>
      </c>
      <c r="AC346" s="1120">
        <f>-SUMIF('10. Inputs &amp; Calcs'!$D$249:$D$254,$E344,'10. Inputs &amp; Calcs'!AC$249:AC$254)</f>
        <v>0</v>
      </c>
      <c r="AD346" s="1120">
        <f>SUM(I346:AC346)</f>
        <v>-68066179.217561796</v>
      </c>
    </row>
    <row r="347" spans="1:30" outlineLevel="2" x14ac:dyDescent="0.45">
      <c r="A347" s="1131"/>
      <c r="B347" s="597" t="str">
        <f t="shared" si="134"/>
        <v>Sales</v>
      </c>
      <c r="D347" s="747" t="str">
        <f>D$273</f>
        <v>Balance c/f</v>
      </c>
      <c r="H347" s="613">
        <f t="shared" ref="H347:AD347" si="137">SUM(H342:H346)</f>
        <v>46208161.329999998</v>
      </c>
      <c r="I347" s="613">
        <f t="shared" ca="1" si="137"/>
        <v>54151811.536168538</v>
      </c>
      <c r="J347" s="613">
        <f t="shared" ca="1" si="137"/>
        <v>62095461.742337078</v>
      </c>
      <c r="K347" s="613">
        <f t="shared" ca="1" si="137"/>
        <v>68066179.217561796</v>
      </c>
      <c r="L347" s="613">
        <f t="shared" ca="1" si="137"/>
        <v>69156484.147820219</v>
      </c>
      <c r="M347" s="613">
        <f t="shared" ca="1" si="137"/>
        <v>70246789.078078642</v>
      </c>
      <c r="N347" s="613">
        <f t="shared" ca="1" si="137"/>
        <v>71337094.008337066</v>
      </c>
      <c r="O347" s="613">
        <f t="shared" ca="1" si="137"/>
        <v>72427398.938595489</v>
      </c>
      <c r="P347" s="613">
        <f t="shared" ca="1" si="137"/>
        <v>73517703.868853912</v>
      </c>
      <c r="Q347" s="613">
        <f t="shared" ca="1" si="137"/>
        <v>74608008.799112335</v>
      </c>
      <c r="R347" s="613">
        <f t="shared" ca="1" si="137"/>
        <v>75698313.729370758</v>
      </c>
      <c r="S347" s="613">
        <f t="shared" ca="1" si="137"/>
        <v>76788618.659629181</v>
      </c>
      <c r="T347" s="613">
        <f t="shared" ca="1" si="137"/>
        <v>77878923.589887604</v>
      </c>
      <c r="U347" s="613">
        <f t="shared" ca="1" si="137"/>
        <v>78969228.520146027</v>
      </c>
      <c r="V347" s="613">
        <f t="shared" ca="1" si="137"/>
        <v>80059533.45040445</v>
      </c>
      <c r="W347" s="613">
        <f t="shared" ca="1" si="137"/>
        <v>81149838.380662873</v>
      </c>
      <c r="X347" s="613">
        <f t="shared" ca="1" si="137"/>
        <v>82240143.310921296</v>
      </c>
      <c r="Y347" s="613">
        <f t="shared" ca="1" si="137"/>
        <v>83330448.24117972</v>
      </c>
      <c r="Z347" s="613">
        <f t="shared" ca="1" si="137"/>
        <v>84420753.171438143</v>
      </c>
      <c r="AA347" s="613">
        <f t="shared" ca="1" si="137"/>
        <v>85511058.101696566</v>
      </c>
      <c r="AB347" s="613">
        <f t="shared" ca="1" si="137"/>
        <v>0</v>
      </c>
      <c r="AC347" s="613">
        <f t="shared" ca="1" si="137"/>
        <v>0</v>
      </c>
      <c r="AD347" s="613">
        <f t="shared" ca="1" si="137"/>
        <v>0</v>
      </c>
    </row>
    <row r="348" spans="1:30" outlineLevel="2" x14ac:dyDescent="0.45">
      <c r="A348" s="1131"/>
      <c r="B348" s="597" t="str">
        <f t="shared" si="134"/>
        <v>Sales</v>
      </c>
      <c r="D348" s="747" t="s">
        <v>15</v>
      </c>
      <c r="AD348" s="612">
        <f ca="1">SUM(AD344:AD346)</f>
        <v>-99983580.399622828</v>
      </c>
    </row>
    <row r="349" spans="1:30" outlineLevel="2" x14ac:dyDescent="0.45">
      <c r="A349" s="1131"/>
      <c r="B349" s="597" t="str">
        <f t="shared" si="134"/>
        <v>Sales</v>
      </c>
    </row>
    <row r="350" spans="1:30" outlineLevel="2" x14ac:dyDescent="0.45">
      <c r="A350" s="1131"/>
      <c r="B350" s="597" t="str">
        <f t="shared" si="134"/>
        <v>Sales</v>
      </c>
      <c r="C350" s="451">
        <f>C341+1</f>
        <v>36</v>
      </c>
      <c r="D350" s="451" t="str">
        <f>"Debtors Control Accounts per Province - "&amp;E353</f>
        <v>Debtors Control Accounts per Province - Total</v>
      </c>
      <c r="F350" s="596"/>
      <c r="G350" s="596"/>
      <c r="H350" s="596"/>
      <c r="I350" s="995"/>
      <c r="J350" s="995"/>
      <c r="K350" s="995"/>
      <c r="L350" s="995"/>
      <c r="M350" s="995"/>
      <c r="N350" s="995"/>
      <c r="O350" s="995"/>
      <c r="P350" s="995"/>
      <c r="Q350" s="995"/>
      <c r="R350" s="995"/>
      <c r="S350" s="995"/>
      <c r="T350" s="995"/>
      <c r="U350" s="995"/>
      <c r="V350" s="995"/>
      <c r="W350" s="995"/>
      <c r="X350" s="995"/>
      <c r="Y350" s="995"/>
      <c r="Z350" s="995"/>
      <c r="AA350" s="995"/>
      <c r="AB350" s="995"/>
      <c r="AC350" s="995"/>
      <c r="AD350" s="995"/>
    </row>
    <row r="351" spans="1:30" outlineLevel="2" x14ac:dyDescent="0.45">
      <c r="A351" s="1131"/>
      <c r="B351" s="597" t="str">
        <f t="shared" si="134"/>
        <v>Sales</v>
      </c>
      <c r="D351" s="747" t="str">
        <f>D$268</f>
        <v>Balance b/f</v>
      </c>
      <c r="F351" s="596"/>
      <c r="G351" s="596"/>
      <c r="H351" s="615">
        <f>SUMIF($D$87:$D$92,$E353,H$87:H$92)</f>
        <v>195753487.02999997</v>
      </c>
      <c r="I351" s="1120">
        <f>H356</f>
        <v>195753487.02999997</v>
      </c>
      <c r="J351" s="1120">
        <f t="shared" ref="J351:AC351" ca="1" si="138">I356</f>
        <v>241542291.32009602</v>
      </c>
      <c r="K351" s="1120">
        <f t="shared" ca="1" si="138"/>
        <v>287331095.61019212</v>
      </c>
      <c r="L351" s="1120">
        <f t="shared" ca="1" si="138"/>
        <v>331146967.16934437</v>
      </c>
      <c r="M351" s="1120">
        <f t="shared" ca="1" si="138"/>
        <v>356281888.01235729</v>
      </c>
      <c r="N351" s="1120">
        <f t="shared" ca="1" si="138"/>
        <v>381416808.85537022</v>
      </c>
      <c r="O351" s="1120">
        <f t="shared" ca="1" si="138"/>
        <v>406551729.69838315</v>
      </c>
      <c r="P351" s="1120">
        <f t="shared" ca="1" si="138"/>
        <v>431686650.54139608</v>
      </c>
      <c r="Q351" s="1120">
        <f t="shared" ca="1" si="138"/>
        <v>456821571.38440901</v>
      </c>
      <c r="R351" s="1120">
        <f t="shared" ca="1" si="138"/>
        <v>481956492.22742194</v>
      </c>
      <c r="S351" s="1120">
        <f t="shared" ca="1" si="138"/>
        <v>507091413.07043487</v>
      </c>
      <c r="T351" s="1120">
        <f t="shared" ca="1" si="138"/>
        <v>532226333.9134478</v>
      </c>
      <c r="U351" s="1120">
        <f t="shared" ca="1" si="138"/>
        <v>557361254.75646067</v>
      </c>
      <c r="V351" s="1120">
        <f t="shared" ca="1" si="138"/>
        <v>582496175.59947348</v>
      </c>
      <c r="W351" s="1120">
        <f t="shared" ca="1" si="138"/>
        <v>607631096.44248629</v>
      </c>
      <c r="X351" s="1120">
        <f t="shared" ca="1" si="138"/>
        <v>632766017.2854991</v>
      </c>
      <c r="Y351" s="1120">
        <f t="shared" ca="1" si="138"/>
        <v>657900938.12851191</v>
      </c>
      <c r="Z351" s="1120">
        <f t="shared" ca="1" si="138"/>
        <v>683035858.97152472</v>
      </c>
      <c r="AA351" s="1120">
        <f t="shared" ca="1" si="138"/>
        <v>708170779.81453753</v>
      </c>
      <c r="AB351" s="1120">
        <f t="shared" ca="1" si="138"/>
        <v>733305700.65755033</v>
      </c>
      <c r="AC351" s="1120">
        <f t="shared" ca="1" si="138"/>
        <v>-4.76837158203125E-7</v>
      </c>
      <c r="AD351" s="1120">
        <f>H351</f>
        <v>195753487.02999997</v>
      </c>
    </row>
    <row r="352" spans="1:30" outlineLevel="2" x14ac:dyDescent="0.45">
      <c r="A352" s="1131"/>
      <c r="B352" s="597" t="str">
        <f t="shared" si="134"/>
        <v>Sales</v>
      </c>
      <c r="D352" s="747" t="str">
        <f>D$269</f>
        <v>New Sale Debtors (Rental Properties Sold to Occupants)</v>
      </c>
      <c r="F352" s="596"/>
      <c r="G352" s="596"/>
      <c r="H352" s="596"/>
      <c r="I352" s="1120">
        <f ca="1">SUMIF('10. Inputs &amp; Calcs'!$D$258:$D$263,$E353,'10. Inputs &amp; Calcs'!I$258:I$263)</f>
        <v>55417502.15632841</v>
      </c>
      <c r="J352" s="1120">
        <f ca="1">SUMIF('10. Inputs &amp; Calcs'!$D$258:$D$263,$E353,'10. Inputs &amp; Calcs'!J$258:J$263)</f>
        <v>55417502.15632841</v>
      </c>
      <c r="K352" s="1120">
        <f ca="1">SUMIF('10. Inputs &amp; Calcs'!$D$258:$D$263,$E353,'10. Inputs &amp; Calcs'!K$258:K$263)</f>
        <v>52746304.869209886</v>
      </c>
      <c r="L352" s="1120">
        <f ca="1">SUMIF('10. Inputs &amp; Calcs'!$D$258:$D$263,$E353,'10. Inputs &amp; Calcs'!L$258:L$263)</f>
        <v>29383702.707724009</v>
      </c>
      <c r="M352" s="1120">
        <f ca="1">SUMIF('10. Inputs &amp; Calcs'!$D$258:$D$263,$E353,'10. Inputs &amp; Calcs'!M$258:M$263)</f>
        <v>29383702.707724009</v>
      </c>
      <c r="N352" s="1120">
        <f ca="1">SUMIF('10. Inputs &amp; Calcs'!$D$258:$D$263,$E353,'10. Inputs &amp; Calcs'!N$258:N$263)</f>
        <v>29383702.707724009</v>
      </c>
      <c r="O352" s="1120">
        <f ca="1">SUMIF('10. Inputs &amp; Calcs'!$D$258:$D$263,$E353,'10. Inputs &amp; Calcs'!O$258:O$263)</f>
        <v>29383702.707724009</v>
      </c>
      <c r="P352" s="1120">
        <f ca="1">SUMIF('10. Inputs &amp; Calcs'!$D$258:$D$263,$E353,'10. Inputs &amp; Calcs'!P$258:P$263)</f>
        <v>29383702.707724009</v>
      </c>
      <c r="Q352" s="1120">
        <f ca="1">SUMIF('10. Inputs &amp; Calcs'!$D$258:$D$263,$E353,'10. Inputs &amp; Calcs'!Q$258:Q$263)</f>
        <v>29383702.707724009</v>
      </c>
      <c r="R352" s="1120">
        <f ca="1">SUMIF('10. Inputs &amp; Calcs'!$D$258:$D$263,$E353,'10. Inputs &amp; Calcs'!R$258:R$263)</f>
        <v>29383702.707724009</v>
      </c>
      <c r="S352" s="1120">
        <f ca="1">SUMIF('10. Inputs &amp; Calcs'!$D$258:$D$263,$E353,'10. Inputs &amp; Calcs'!S$258:S$263)</f>
        <v>29383702.707724009</v>
      </c>
      <c r="T352" s="1120">
        <f ca="1">SUMIF('10. Inputs &amp; Calcs'!$D$258:$D$263,$E353,'10. Inputs &amp; Calcs'!T$258:T$263)</f>
        <v>29383702.707724009</v>
      </c>
      <c r="U352" s="1120">
        <f ca="1">SUMIF('10. Inputs &amp; Calcs'!$D$258:$D$263,$E353,'10. Inputs &amp; Calcs'!U$258:U$263)</f>
        <v>29383702.707724009</v>
      </c>
      <c r="V352" s="1120">
        <f ca="1">SUMIF('10. Inputs &amp; Calcs'!$D$258:$D$263,$E353,'10. Inputs &amp; Calcs'!V$258:V$263)</f>
        <v>29383702.707724009</v>
      </c>
      <c r="W352" s="1120">
        <f ca="1">SUMIF('10. Inputs &amp; Calcs'!$D$258:$D$263,$E353,'10. Inputs &amp; Calcs'!W$258:W$263)</f>
        <v>29383702.707724009</v>
      </c>
      <c r="X352" s="1120">
        <f ca="1">SUMIF('10. Inputs &amp; Calcs'!$D$258:$D$263,$E353,'10. Inputs &amp; Calcs'!X$258:X$263)</f>
        <v>29383702.707724009</v>
      </c>
      <c r="Y352" s="1120">
        <f ca="1">SUMIF('10. Inputs &amp; Calcs'!$D$258:$D$263,$E353,'10. Inputs &amp; Calcs'!Y$258:Y$263)</f>
        <v>29383702.707724009</v>
      </c>
      <c r="Z352" s="1120">
        <f ca="1">SUMIF('10. Inputs &amp; Calcs'!$D$258:$D$263,$E353,'10. Inputs &amp; Calcs'!Z$258:Z$263)</f>
        <v>29383702.707724009</v>
      </c>
      <c r="AA352" s="1120">
        <f ca="1">SUMIF('10. Inputs &amp; Calcs'!$D$258:$D$263,$E353,'10. Inputs &amp; Calcs'!AA$258:AA$263)</f>
        <v>29383702.707724009</v>
      </c>
      <c r="AB352" s="1120">
        <f ca="1">SUMIF('10. Inputs &amp; Calcs'!$D$258:$D$263,$E353,'10. Inputs &amp; Calcs'!AB$258:AB$263)</f>
        <v>4354315.8957173061</v>
      </c>
      <c r="AC352" s="1120">
        <f ca="1">SUMIF('10. Inputs &amp; Calcs'!$D$258:$D$263,$E353,'10. Inputs &amp; Calcs'!AC$258:AC$263)</f>
        <v>0</v>
      </c>
      <c r="AD352" s="1120">
        <f ca="1">SUM(I352:AC352)</f>
        <v>638074868.40116823</v>
      </c>
    </row>
    <row r="353" spans="1:30" outlineLevel="2" x14ac:dyDescent="0.45">
      <c r="A353" s="1131"/>
      <c r="B353" s="597" t="str">
        <f t="shared" si="134"/>
        <v>Sales</v>
      </c>
      <c r="D353" s="747" t="str">
        <f>D$270</f>
        <v>EEDBS Fixed - Total Utilised on Transfer to Tenants</v>
      </c>
      <c r="E353" s="583" t="str">
        <f>$D$38</f>
        <v>Total</v>
      </c>
      <c r="H353" s="596"/>
      <c r="I353" s="1120">
        <f ca="1">-SUMIF('10. Inputs &amp; Calcs'!$D$213:$D$218,$E353,'10. Inputs &amp; Calcs'!I$213:I$218)</f>
        <v>-9628697.8662323505</v>
      </c>
      <c r="J353" s="1120">
        <f ca="1">-SUMIF('10. Inputs &amp; Calcs'!$D$213:$D$218,$E353,'10. Inputs &amp; Calcs'!J$213:J$218)</f>
        <v>-9628697.8662323505</v>
      </c>
      <c r="K353" s="1120">
        <f ca="1">-SUMIF('10. Inputs &amp; Calcs'!$D$213:$D$218,$E353,'10. Inputs &amp; Calcs'!K$213:K$218)</f>
        <v>-8930433.3100576513</v>
      </c>
      <c r="L353" s="1120">
        <f ca="1">-SUMIF('10. Inputs &amp; Calcs'!$D$213:$D$218,$E353,'10. Inputs &amp; Calcs'!L$213:L$218)</f>
        <v>-4248781.8647111077</v>
      </c>
      <c r="M353" s="1120">
        <f ca="1">-SUMIF('10. Inputs &amp; Calcs'!$D$213:$D$218,$E353,'10. Inputs &amp; Calcs'!M$213:M$218)</f>
        <v>-4248781.8647111077</v>
      </c>
      <c r="N353" s="1120">
        <f ca="1">-SUMIF('10. Inputs &amp; Calcs'!$D$213:$D$218,$E353,'10. Inputs &amp; Calcs'!N$213:N$218)</f>
        <v>-4248781.8647111077</v>
      </c>
      <c r="O353" s="1120">
        <f ca="1">-SUMIF('10. Inputs &amp; Calcs'!$D$213:$D$218,$E353,'10. Inputs &amp; Calcs'!O$213:O$218)</f>
        <v>-4248781.8647111077</v>
      </c>
      <c r="P353" s="1120">
        <f ca="1">-SUMIF('10. Inputs &amp; Calcs'!$D$213:$D$218,$E353,'10. Inputs &amp; Calcs'!P$213:P$218)</f>
        <v>-4248781.8647111077</v>
      </c>
      <c r="Q353" s="1120">
        <f ca="1">-SUMIF('10. Inputs &amp; Calcs'!$D$213:$D$218,$E353,'10. Inputs &amp; Calcs'!Q$213:Q$218)</f>
        <v>-4248781.8647111077</v>
      </c>
      <c r="R353" s="1120">
        <f ca="1">-SUMIF('10. Inputs &amp; Calcs'!$D$213:$D$218,$E353,'10. Inputs &amp; Calcs'!R$213:R$218)</f>
        <v>-4248781.8647111077</v>
      </c>
      <c r="S353" s="1120">
        <f ca="1">-SUMIF('10. Inputs &amp; Calcs'!$D$213:$D$218,$E353,'10. Inputs &amp; Calcs'!S$213:S$218)</f>
        <v>-4248781.8647111077</v>
      </c>
      <c r="T353" s="1120">
        <f ca="1">-SUMIF('10. Inputs &amp; Calcs'!$D$213:$D$218,$E353,'10. Inputs &amp; Calcs'!T$213:T$218)</f>
        <v>-4248781.8647111077</v>
      </c>
      <c r="U353" s="1120">
        <f ca="1">-SUMIF('10. Inputs &amp; Calcs'!$D$213:$D$218,$E353,'10. Inputs &amp; Calcs'!U$213:U$218)</f>
        <v>-4248781.8647111077</v>
      </c>
      <c r="V353" s="1120">
        <f ca="1">-SUMIF('10. Inputs &amp; Calcs'!$D$213:$D$218,$E353,'10. Inputs &amp; Calcs'!V$213:V$218)</f>
        <v>-4248781.8647111077</v>
      </c>
      <c r="W353" s="1120">
        <f ca="1">-SUMIF('10. Inputs &amp; Calcs'!$D$213:$D$218,$E353,'10. Inputs &amp; Calcs'!W$213:W$218)</f>
        <v>-4248781.8647111077</v>
      </c>
      <c r="X353" s="1120">
        <f ca="1">-SUMIF('10. Inputs &amp; Calcs'!$D$213:$D$218,$E353,'10. Inputs &amp; Calcs'!X$213:X$218)</f>
        <v>-4248781.8647111077</v>
      </c>
      <c r="Y353" s="1120">
        <f ca="1">-SUMIF('10. Inputs &amp; Calcs'!$D$213:$D$218,$E353,'10. Inputs &amp; Calcs'!Y$213:Y$218)</f>
        <v>-4248781.8647111077</v>
      </c>
      <c r="Z353" s="1120">
        <f ca="1">-SUMIF('10. Inputs &amp; Calcs'!$D$213:$D$218,$E353,'10. Inputs &amp; Calcs'!Z$213:Z$218)</f>
        <v>-4248781.8647111077</v>
      </c>
      <c r="AA353" s="1120">
        <f ca="1">-SUMIF('10. Inputs &amp; Calcs'!$D$213:$D$218,$E353,'10. Inputs &amp; Calcs'!AA$213:AA$218)</f>
        <v>-4248781.8647111077</v>
      </c>
      <c r="AB353" s="1120">
        <f ca="1">-SUMIF('10. Inputs &amp; Calcs'!$D$213:$D$218,$E353,'10. Inputs &amp; Calcs'!AB$213:AB$218)</f>
        <v>-718375.20609723835</v>
      </c>
      <c r="AC353" s="1120">
        <f ca="1">-SUMIF('10. Inputs &amp; Calcs'!$D$213:$D$218,$E353,'10. Inputs &amp; Calcs'!AC$213:AC$218)</f>
        <v>0</v>
      </c>
      <c r="AD353" s="1120">
        <f ca="1">SUM(I353:AC353)</f>
        <v>-96886714.083997294</v>
      </c>
    </row>
    <row r="354" spans="1:30" outlineLevel="2" x14ac:dyDescent="0.45">
      <c r="A354" s="1131"/>
      <c r="B354" s="597" t="str">
        <f t="shared" si="134"/>
        <v>Sales</v>
      </c>
      <c r="D354" s="747" t="str">
        <f>D$271</f>
        <v>Total New Sale Debtors settled</v>
      </c>
      <c r="E354" s="583" t="str">
        <f>E353</f>
        <v>Total</v>
      </c>
      <c r="H354" s="596"/>
      <c r="I354" s="1120">
        <f ca="1">-SUMIF('10. Inputs &amp; Calcs'!$D$231:$D$236,$E353,'10. Inputs &amp; Calcs'!I$231:I$236)</f>
        <v>0</v>
      </c>
      <c r="J354" s="1120">
        <f ca="1">-SUMIF('10. Inputs &amp; Calcs'!$D$231:$D$236,$E353,'10. Inputs &amp; Calcs'!J$231:J$236)</f>
        <v>0</v>
      </c>
      <c r="K354" s="1120">
        <f ca="1">-SUMIF('10. Inputs &amp; Calcs'!$D$231:$D$236,$E353,'10. Inputs &amp; Calcs'!K$231:K$236)</f>
        <v>0</v>
      </c>
      <c r="L354" s="1120">
        <f>-SUMIF('10. Inputs &amp; Calcs'!$D$231:$D$236,$E353,'10. Inputs &amp; Calcs'!L$231:L$236)</f>
        <v>0</v>
      </c>
      <c r="M354" s="1120">
        <f>-SUMIF('10. Inputs &amp; Calcs'!$D$231:$D$236,$E353,'10. Inputs &amp; Calcs'!M$231:M$236)</f>
        <v>0</v>
      </c>
      <c r="N354" s="1120">
        <f>-SUMIF('10. Inputs &amp; Calcs'!$D$231:$D$236,$E353,'10. Inputs &amp; Calcs'!N$231:N$236)</f>
        <v>0</v>
      </c>
      <c r="O354" s="1120">
        <f>-SUMIF('10. Inputs &amp; Calcs'!$D$231:$D$236,$E353,'10. Inputs &amp; Calcs'!O$231:O$236)</f>
        <v>0</v>
      </c>
      <c r="P354" s="1120">
        <f>-SUMIF('10. Inputs &amp; Calcs'!$D$231:$D$236,$E353,'10. Inputs &amp; Calcs'!P$231:P$236)</f>
        <v>0</v>
      </c>
      <c r="Q354" s="1120">
        <f>-SUMIF('10. Inputs &amp; Calcs'!$D$231:$D$236,$E353,'10. Inputs &amp; Calcs'!Q$231:Q$236)</f>
        <v>0</v>
      </c>
      <c r="R354" s="1120">
        <f>-SUMIF('10. Inputs &amp; Calcs'!$D$231:$D$236,$E353,'10. Inputs &amp; Calcs'!R$231:R$236)</f>
        <v>0</v>
      </c>
      <c r="S354" s="1120">
        <f>-SUMIF('10. Inputs &amp; Calcs'!$D$231:$D$236,$E353,'10. Inputs &amp; Calcs'!S$231:S$236)</f>
        <v>0</v>
      </c>
      <c r="T354" s="1120">
        <f>-SUMIF('10. Inputs &amp; Calcs'!$D$231:$D$236,$E353,'10. Inputs &amp; Calcs'!T$231:T$236)</f>
        <v>0</v>
      </c>
      <c r="U354" s="1120">
        <f>-SUMIF('10. Inputs &amp; Calcs'!$D$231:$D$236,$E353,'10. Inputs &amp; Calcs'!U$231:U$236)</f>
        <v>0</v>
      </c>
      <c r="V354" s="1120">
        <f>-SUMIF('10. Inputs &amp; Calcs'!$D$231:$D$236,$E353,'10. Inputs &amp; Calcs'!V$231:V$236)</f>
        <v>0</v>
      </c>
      <c r="W354" s="1120">
        <f>-SUMIF('10. Inputs &amp; Calcs'!$D$231:$D$236,$E353,'10. Inputs &amp; Calcs'!W$231:W$236)</f>
        <v>0</v>
      </c>
      <c r="X354" s="1120">
        <f>-SUMIF('10. Inputs &amp; Calcs'!$D$231:$D$236,$E353,'10. Inputs &amp; Calcs'!X$231:X$236)</f>
        <v>0</v>
      </c>
      <c r="Y354" s="1120">
        <f>-SUMIF('10. Inputs &amp; Calcs'!$D$231:$D$236,$E353,'10. Inputs &amp; Calcs'!Y$231:Y$236)</f>
        <v>0</v>
      </c>
      <c r="Z354" s="1120">
        <f>-SUMIF('10. Inputs &amp; Calcs'!$D$231:$D$236,$E353,'10. Inputs &amp; Calcs'!Z$231:Z$236)</f>
        <v>0</v>
      </c>
      <c r="AA354" s="1120">
        <f>-SUMIF('10. Inputs &amp; Calcs'!$D$231:$D$236,$E353,'10. Inputs &amp; Calcs'!AA$231:AA$236)</f>
        <v>0</v>
      </c>
      <c r="AB354" s="1120">
        <f>-SUMIF('10. Inputs &amp; Calcs'!$D$231:$D$236,$E353,'10. Inputs &amp; Calcs'!AB$231:AB$236)</f>
        <v>-405794674.17782646</v>
      </c>
      <c r="AC354" s="1120">
        <f>-SUMIF('10. Inputs &amp; Calcs'!$D$231:$D$236,$E353,'10. Inputs &amp; Calcs'!AC$231:AC$236)</f>
        <v>0</v>
      </c>
      <c r="AD354" s="1120">
        <f ca="1">SUM(I354:AC354)</f>
        <v>-405794674.17782646</v>
      </c>
    </row>
    <row r="355" spans="1:30" outlineLevel="2" x14ac:dyDescent="0.45">
      <c r="A355" s="1131"/>
      <c r="B355" s="597" t="str">
        <f t="shared" si="134"/>
        <v>Sales</v>
      </c>
      <c r="D355" s="747" t="str">
        <f>D$272</f>
        <v>Existing Sale Debtors settled</v>
      </c>
      <c r="E355" s="583" t="str">
        <f>E353</f>
        <v>Total</v>
      </c>
      <c r="H355" s="596"/>
      <c r="I355" s="1120">
        <f>-SUMIF('10. Inputs &amp; Calcs'!$D$249:$D$254,$E353,'10. Inputs &amp; Calcs'!I$249:I$254)</f>
        <v>0</v>
      </c>
      <c r="J355" s="1120">
        <f>-SUMIF('10. Inputs &amp; Calcs'!$D$249:$D$254,$E353,'10. Inputs &amp; Calcs'!J$249:J$254)</f>
        <v>0</v>
      </c>
      <c r="K355" s="1120">
        <f>-SUMIF('10. Inputs &amp; Calcs'!$D$249:$D$254,$E353,'10. Inputs &amp; Calcs'!K$249:K$254)</f>
        <v>0</v>
      </c>
      <c r="L355" s="1120">
        <f>-SUMIF('10. Inputs &amp; Calcs'!$D$249:$D$254,$E353,'10. Inputs &amp; Calcs'!L$249:L$254)</f>
        <v>0</v>
      </c>
      <c r="M355" s="1120">
        <f>-SUMIF('10. Inputs &amp; Calcs'!$D$249:$D$254,$E353,'10. Inputs &amp; Calcs'!M$249:M$254)</f>
        <v>0</v>
      </c>
      <c r="N355" s="1120">
        <f>-SUMIF('10. Inputs &amp; Calcs'!$D$249:$D$254,$E353,'10. Inputs &amp; Calcs'!N$249:N$254)</f>
        <v>0</v>
      </c>
      <c r="O355" s="1120">
        <f>-SUMIF('10. Inputs &amp; Calcs'!$D$249:$D$254,$E353,'10. Inputs &amp; Calcs'!O$249:O$254)</f>
        <v>0</v>
      </c>
      <c r="P355" s="1120">
        <f>-SUMIF('10. Inputs &amp; Calcs'!$D$249:$D$254,$E353,'10. Inputs &amp; Calcs'!P$249:P$254)</f>
        <v>0</v>
      </c>
      <c r="Q355" s="1120">
        <f>-SUMIF('10. Inputs &amp; Calcs'!$D$249:$D$254,$E353,'10. Inputs &amp; Calcs'!Q$249:Q$254)</f>
        <v>0</v>
      </c>
      <c r="R355" s="1120">
        <f>-SUMIF('10. Inputs &amp; Calcs'!$D$249:$D$254,$E353,'10. Inputs &amp; Calcs'!R$249:R$254)</f>
        <v>0</v>
      </c>
      <c r="S355" s="1120">
        <f>-SUMIF('10. Inputs &amp; Calcs'!$D$249:$D$254,$E353,'10. Inputs &amp; Calcs'!S$249:S$254)</f>
        <v>0</v>
      </c>
      <c r="T355" s="1120">
        <f>-SUMIF('10. Inputs &amp; Calcs'!$D$249:$D$254,$E353,'10. Inputs &amp; Calcs'!T$249:T$254)</f>
        <v>0</v>
      </c>
      <c r="U355" s="1120">
        <f>-SUMIF('10. Inputs &amp; Calcs'!$D$249:$D$254,$E353,'10. Inputs &amp; Calcs'!U$249:U$254)</f>
        <v>0</v>
      </c>
      <c r="V355" s="1120">
        <f>-SUMIF('10. Inputs &amp; Calcs'!$D$249:$D$254,$E353,'10. Inputs &amp; Calcs'!V$249:V$254)</f>
        <v>0</v>
      </c>
      <c r="W355" s="1120">
        <f>-SUMIF('10. Inputs &amp; Calcs'!$D$249:$D$254,$E353,'10. Inputs &amp; Calcs'!W$249:W$254)</f>
        <v>0</v>
      </c>
      <c r="X355" s="1120">
        <f>-SUMIF('10. Inputs &amp; Calcs'!$D$249:$D$254,$E353,'10. Inputs &amp; Calcs'!X$249:X$254)</f>
        <v>0</v>
      </c>
      <c r="Y355" s="1120">
        <f>-SUMIF('10. Inputs &amp; Calcs'!$D$249:$D$254,$E353,'10. Inputs &amp; Calcs'!Y$249:Y$254)</f>
        <v>0</v>
      </c>
      <c r="Z355" s="1120">
        <f>-SUMIF('10. Inputs &amp; Calcs'!$D$249:$D$254,$E353,'10. Inputs &amp; Calcs'!Z$249:Z$254)</f>
        <v>0</v>
      </c>
      <c r="AA355" s="1120">
        <f>-SUMIF('10. Inputs &amp; Calcs'!$D$249:$D$254,$E353,'10. Inputs &amp; Calcs'!AA$249:AA$254)</f>
        <v>0</v>
      </c>
      <c r="AB355" s="1120">
        <f>-SUMIF('10. Inputs &amp; Calcs'!$D$249:$D$254,$E353,'10. Inputs &amp; Calcs'!AB$249:AB$254)</f>
        <v>-331146967.16934437</v>
      </c>
      <c r="AC355" s="1120">
        <f>-SUMIF('10. Inputs &amp; Calcs'!$D$249:$D$254,$E353,'10. Inputs &amp; Calcs'!AC$249:AC$254)</f>
        <v>0</v>
      </c>
      <c r="AD355" s="1120">
        <f>SUM(I355:AC355)</f>
        <v>-331146967.16934437</v>
      </c>
    </row>
    <row r="356" spans="1:30" outlineLevel="2" x14ac:dyDescent="0.45">
      <c r="A356" s="1131"/>
      <c r="B356" s="597" t="str">
        <f t="shared" si="134"/>
        <v>Sales</v>
      </c>
      <c r="D356" s="747" t="str">
        <f>D$273</f>
        <v>Balance c/f</v>
      </c>
      <c r="H356" s="613">
        <f t="shared" ref="H356:AD356" si="139">SUM(H351:H355)</f>
        <v>195753487.02999997</v>
      </c>
      <c r="I356" s="613">
        <f t="shared" ca="1" si="139"/>
        <v>241542291.32009602</v>
      </c>
      <c r="J356" s="613">
        <f t="shared" ca="1" si="139"/>
        <v>287331095.61019212</v>
      </c>
      <c r="K356" s="613">
        <f t="shared" ca="1" si="139"/>
        <v>331146967.16934437</v>
      </c>
      <c r="L356" s="613">
        <f t="shared" ca="1" si="139"/>
        <v>356281888.01235729</v>
      </c>
      <c r="M356" s="613">
        <f t="shared" ca="1" si="139"/>
        <v>381416808.85537022</v>
      </c>
      <c r="N356" s="613">
        <f t="shared" ca="1" si="139"/>
        <v>406551729.69838315</v>
      </c>
      <c r="O356" s="613">
        <f t="shared" ca="1" si="139"/>
        <v>431686650.54139608</v>
      </c>
      <c r="P356" s="613">
        <f t="shared" ca="1" si="139"/>
        <v>456821571.38440901</v>
      </c>
      <c r="Q356" s="613">
        <f t="shared" ca="1" si="139"/>
        <v>481956492.22742194</v>
      </c>
      <c r="R356" s="613">
        <f t="shared" ca="1" si="139"/>
        <v>507091413.07043487</v>
      </c>
      <c r="S356" s="613">
        <f t="shared" ca="1" si="139"/>
        <v>532226333.9134478</v>
      </c>
      <c r="T356" s="613">
        <f t="shared" ca="1" si="139"/>
        <v>557361254.75646067</v>
      </c>
      <c r="U356" s="613">
        <f t="shared" ca="1" si="139"/>
        <v>582496175.59947348</v>
      </c>
      <c r="V356" s="613">
        <f t="shared" ca="1" si="139"/>
        <v>607631096.44248629</v>
      </c>
      <c r="W356" s="613">
        <f t="shared" ca="1" si="139"/>
        <v>632766017.2854991</v>
      </c>
      <c r="X356" s="613">
        <f t="shared" ca="1" si="139"/>
        <v>657900938.12851191</v>
      </c>
      <c r="Y356" s="613">
        <f t="shared" ca="1" si="139"/>
        <v>683035858.97152472</v>
      </c>
      <c r="Z356" s="613">
        <f t="shared" ca="1" si="139"/>
        <v>708170779.81453753</v>
      </c>
      <c r="AA356" s="613">
        <f t="shared" ca="1" si="139"/>
        <v>733305700.65755033</v>
      </c>
      <c r="AB356" s="613">
        <f t="shared" ca="1" si="139"/>
        <v>-4.76837158203125E-7</v>
      </c>
      <c r="AC356" s="613">
        <f t="shared" ca="1" si="139"/>
        <v>-4.76837158203125E-7</v>
      </c>
      <c r="AD356" s="613">
        <f t="shared" ca="1" si="139"/>
        <v>0</v>
      </c>
    </row>
    <row r="357" spans="1:30" outlineLevel="2" x14ac:dyDescent="0.45">
      <c r="B357" s="597" t="str">
        <f t="shared" si="134"/>
        <v>Sales</v>
      </c>
      <c r="D357" s="747"/>
      <c r="F357" s="596"/>
      <c r="G357" s="596"/>
      <c r="H357" s="596"/>
      <c r="I357" s="612"/>
      <c r="J357" s="612"/>
      <c r="K357" s="612"/>
      <c r="L357" s="769"/>
      <c r="M357" s="612"/>
      <c r="N357" s="612"/>
      <c r="O357" s="612"/>
      <c r="P357" s="612"/>
      <c r="Q357" s="612"/>
      <c r="R357" s="612"/>
      <c r="S357" s="612"/>
      <c r="T357" s="612"/>
      <c r="U357" s="612"/>
      <c r="V357" s="612"/>
      <c r="W357" s="612"/>
      <c r="X357" s="612"/>
      <c r="Y357" s="612"/>
      <c r="Z357" s="612"/>
      <c r="AA357" s="612"/>
      <c r="AB357" s="612"/>
      <c r="AC357" s="612"/>
      <c r="AD357" s="612"/>
    </row>
    <row r="358" spans="1:30" outlineLevel="2" x14ac:dyDescent="0.45">
      <c r="B358" s="597" t="str">
        <f t="shared" si="134"/>
        <v>Sales</v>
      </c>
      <c r="D358" s="747"/>
      <c r="F358" s="596"/>
      <c r="G358" s="596"/>
      <c r="H358" s="596"/>
      <c r="I358" s="612"/>
      <c r="J358" s="612"/>
      <c r="K358" s="612"/>
      <c r="L358" s="612"/>
      <c r="M358" s="612"/>
      <c r="N358" s="612"/>
      <c r="O358" s="612"/>
      <c r="P358" s="612"/>
      <c r="Q358" s="612"/>
      <c r="R358" s="612"/>
      <c r="S358" s="612"/>
      <c r="T358" s="612"/>
      <c r="U358" s="612"/>
      <c r="V358" s="612"/>
      <c r="W358" s="612"/>
      <c r="X358" s="612"/>
      <c r="Y358" s="612"/>
      <c r="Z358" s="612"/>
      <c r="AA358" s="612"/>
      <c r="AB358" s="612"/>
      <c r="AC358" s="612"/>
      <c r="AD358" s="612"/>
    </row>
    <row r="359" spans="1:30" outlineLevel="2" x14ac:dyDescent="0.45">
      <c r="B359" s="597" t="str">
        <f t="shared" si="134"/>
        <v>Sales</v>
      </c>
      <c r="C359" s="451">
        <f>C350+1</f>
        <v>37</v>
      </c>
      <c r="D359" s="451" t="s">
        <v>1613</v>
      </c>
      <c r="F359" s="747" t="s">
        <v>1447</v>
      </c>
      <c r="G359" s="596"/>
      <c r="H359" s="596"/>
      <c r="I359" s="612"/>
      <c r="J359" s="612"/>
      <c r="K359" s="612"/>
      <c r="L359" s="612"/>
      <c r="M359" s="612"/>
      <c r="N359" s="612"/>
      <c r="O359" s="612"/>
      <c r="P359" s="612"/>
      <c r="Q359" s="612"/>
      <c r="R359" s="612"/>
      <c r="S359" s="612"/>
      <c r="T359" s="612"/>
      <c r="U359" s="612"/>
      <c r="V359" s="612"/>
      <c r="W359" s="612"/>
      <c r="X359" s="612"/>
      <c r="Y359" s="612"/>
      <c r="Z359" s="612"/>
      <c r="AA359" s="612"/>
      <c r="AB359" s="612"/>
      <c r="AC359" s="612"/>
      <c r="AD359" s="612"/>
    </row>
    <row r="360" spans="1:30" outlineLevel="2" x14ac:dyDescent="0.45">
      <c r="A360" s="1111"/>
      <c r="B360" s="597" t="str">
        <f t="shared" si="134"/>
        <v>Sales</v>
      </c>
      <c r="D360" s="583" t="str">
        <f>'12. Inputs-Props &amp; Debtors 2016'!C$77</f>
        <v>EC</v>
      </c>
      <c r="F360" s="596"/>
      <c r="G360" s="596"/>
      <c r="H360" s="596"/>
      <c r="I360" s="612">
        <f t="shared" ref="I360:AC360" si="140">-I143</f>
        <v>-210409.8845669291</v>
      </c>
      <c r="J360" s="612">
        <f t="shared" si="140"/>
        <v>-210409.8845669291</v>
      </c>
      <c r="K360" s="612">
        <f t="shared" si="140"/>
        <v>-210409.8845669291</v>
      </c>
      <c r="L360" s="612">
        <f t="shared" si="140"/>
        <v>-23378.876062992123</v>
      </c>
      <c r="M360" s="612">
        <f t="shared" si="140"/>
        <v>-23378.876062992123</v>
      </c>
      <c r="N360" s="612">
        <f t="shared" si="140"/>
        <v>-23378.876062992123</v>
      </c>
      <c r="O360" s="612">
        <f t="shared" si="140"/>
        <v>-23378.876062992123</v>
      </c>
      <c r="P360" s="612">
        <f t="shared" si="140"/>
        <v>-23378.876062992123</v>
      </c>
      <c r="Q360" s="612">
        <f t="shared" si="140"/>
        <v>-23378.876062992123</v>
      </c>
      <c r="R360" s="612">
        <f t="shared" si="140"/>
        <v>-23378.876062992123</v>
      </c>
      <c r="S360" s="612">
        <f t="shared" si="140"/>
        <v>-23378.876062992123</v>
      </c>
      <c r="T360" s="612">
        <f t="shared" si="140"/>
        <v>-23378.876062992123</v>
      </c>
      <c r="U360" s="612">
        <f t="shared" si="140"/>
        <v>-23378.876062992123</v>
      </c>
      <c r="V360" s="612">
        <f t="shared" si="140"/>
        <v>-23378.876062992123</v>
      </c>
      <c r="W360" s="612">
        <f t="shared" si="140"/>
        <v>-23378.876062992123</v>
      </c>
      <c r="X360" s="612">
        <f t="shared" si="140"/>
        <v>-23378.876062992123</v>
      </c>
      <c r="Y360" s="612">
        <f t="shared" si="140"/>
        <v>-23378.876062992123</v>
      </c>
      <c r="Z360" s="612">
        <f t="shared" si="140"/>
        <v>-23378.876062992123</v>
      </c>
      <c r="AA360" s="612">
        <f t="shared" si="140"/>
        <v>-23378.876062992123</v>
      </c>
      <c r="AB360" s="612">
        <f t="shared" si="140"/>
        <v>-15759591.013178615</v>
      </c>
      <c r="AC360" s="612">
        <f t="shared" si="140"/>
        <v>0</v>
      </c>
      <c r="AD360" s="612">
        <f>SUM(I360:AC360)</f>
        <v>-16764882.683887277</v>
      </c>
    </row>
    <row r="361" spans="1:30" outlineLevel="2" x14ac:dyDescent="0.45">
      <c r="A361" s="1111"/>
      <c r="B361" s="597" t="str">
        <f t="shared" si="134"/>
        <v>Sales</v>
      </c>
      <c r="D361" s="583" t="str">
        <f>'12. Inputs-Props &amp; Debtors 2016'!C$78</f>
        <v>FS</v>
      </c>
      <c r="F361" s="596"/>
      <c r="G361" s="596"/>
      <c r="H361" s="596"/>
      <c r="I361" s="612">
        <f t="shared" ref="I361:AC361" ca="1" si="141">-I144</f>
        <v>-39429</v>
      </c>
      <c r="J361" s="612">
        <f t="shared" ca="1" si="141"/>
        <v>-39429</v>
      </c>
      <c r="K361" s="612">
        <f t="shared" ca="1" si="141"/>
        <v>-39429</v>
      </c>
      <c r="L361" s="612">
        <f t="shared" ca="1" si="141"/>
        <v>-39429</v>
      </c>
      <c r="M361" s="612">
        <f t="shared" ca="1" si="141"/>
        <v>-39429</v>
      </c>
      <c r="N361" s="612">
        <f t="shared" ca="1" si="141"/>
        <v>-39429</v>
      </c>
      <c r="O361" s="612">
        <f t="shared" ca="1" si="141"/>
        <v>-39429</v>
      </c>
      <c r="P361" s="612">
        <f t="shared" ca="1" si="141"/>
        <v>-39429</v>
      </c>
      <c r="Q361" s="612">
        <f t="shared" ca="1" si="141"/>
        <v>-39429</v>
      </c>
      <c r="R361" s="612">
        <f t="shared" ca="1" si="141"/>
        <v>-39429</v>
      </c>
      <c r="S361" s="612">
        <f t="shared" ca="1" si="141"/>
        <v>-39429</v>
      </c>
      <c r="T361" s="612">
        <f t="shared" ca="1" si="141"/>
        <v>-39429</v>
      </c>
      <c r="U361" s="612">
        <f t="shared" ca="1" si="141"/>
        <v>-39429</v>
      </c>
      <c r="V361" s="612">
        <f t="shared" ca="1" si="141"/>
        <v>-39429</v>
      </c>
      <c r="W361" s="612">
        <f t="shared" ca="1" si="141"/>
        <v>-39429</v>
      </c>
      <c r="X361" s="612">
        <f t="shared" ca="1" si="141"/>
        <v>-39429</v>
      </c>
      <c r="Y361" s="612">
        <f t="shared" ca="1" si="141"/>
        <v>-39429</v>
      </c>
      <c r="Z361" s="612">
        <f t="shared" ca="1" si="141"/>
        <v>-39429</v>
      </c>
      <c r="AA361" s="612">
        <f t="shared" ca="1" si="141"/>
        <v>-39429</v>
      </c>
      <c r="AB361" s="612">
        <f t="shared" ca="1" si="141"/>
        <v>-1915744.0499999998</v>
      </c>
      <c r="AC361" s="612">
        <f t="shared" si="141"/>
        <v>0</v>
      </c>
      <c r="AD361" s="612">
        <f ca="1">SUM(I361:AC361)</f>
        <v>-2664895.0499999998</v>
      </c>
    </row>
    <row r="362" spans="1:30" outlineLevel="2" x14ac:dyDescent="0.45">
      <c r="A362" s="1111"/>
      <c r="B362" s="597" t="str">
        <f t="shared" si="134"/>
        <v>Sales</v>
      </c>
      <c r="D362" s="583" t="str">
        <f>'12. Inputs-Props &amp; Debtors 2016'!C$79</f>
        <v>Gau</v>
      </c>
      <c r="F362" s="596"/>
      <c r="G362" s="596"/>
      <c r="H362" s="596"/>
      <c r="I362" s="612">
        <f t="shared" ref="I362:AC362" ca="1" si="142">-I145</f>
        <v>-1520513.3739093961</v>
      </c>
      <c r="J362" s="612">
        <f t="shared" ca="1" si="142"/>
        <v>-1520513.3739093961</v>
      </c>
      <c r="K362" s="612">
        <f t="shared" ca="1" si="142"/>
        <v>-1520513.3739093961</v>
      </c>
      <c r="L362" s="612">
        <f t="shared" ca="1" si="142"/>
        <v>-1592066.9444463088</v>
      </c>
      <c r="M362" s="612">
        <f t="shared" ca="1" si="142"/>
        <v>-1592066.9444463088</v>
      </c>
      <c r="N362" s="612">
        <f t="shared" ca="1" si="142"/>
        <v>-1592066.9444463088</v>
      </c>
      <c r="O362" s="612">
        <f t="shared" ca="1" si="142"/>
        <v>-1592066.9444463088</v>
      </c>
      <c r="P362" s="612">
        <f t="shared" ca="1" si="142"/>
        <v>-1592066.9444463088</v>
      </c>
      <c r="Q362" s="612">
        <f t="shared" ca="1" si="142"/>
        <v>-1592066.9444463088</v>
      </c>
      <c r="R362" s="612">
        <f t="shared" ca="1" si="142"/>
        <v>-1592066.9444463088</v>
      </c>
      <c r="S362" s="612">
        <f t="shared" ca="1" si="142"/>
        <v>-1592066.9444463088</v>
      </c>
      <c r="T362" s="612">
        <f t="shared" ca="1" si="142"/>
        <v>-1592066.9444463088</v>
      </c>
      <c r="U362" s="612">
        <f t="shared" ca="1" si="142"/>
        <v>-1592066.9444463088</v>
      </c>
      <c r="V362" s="612">
        <f t="shared" ca="1" si="142"/>
        <v>-1592066.9444463088</v>
      </c>
      <c r="W362" s="612">
        <f t="shared" ca="1" si="142"/>
        <v>-1592066.9444463088</v>
      </c>
      <c r="X362" s="612">
        <f t="shared" ca="1" si="142"/>
        <v>-1592066.9444463088</v>
      </c>
      <c r="Y362" s="612">
        <f t="shared" ca="1" si="142"/>
        <v>-1592066.9444463088</v>
      </c>
      <c r="Z362" s="612">
        <f t="shared" ca="1" si="142"/>
        <v>-1592066.9444463088</v>
      </c>
      <c r="AA362" s="612">
        <f t="shared" ca="1" si="142"/>
        <v>-1592066.9444463088</v>
      </c>
      <c r="AB362" s="612">
        <f t="shared" si="142"/>
        <v>-327833973.66228068</v>
      </c>
      <c r="AC362" s="612">
        <f t="shared" si="142"/>
        <v>0</v>
      </c>
      <c r="AD362" s="612">
        <f ca="1">SUM(I362:AC362)</f>
        <v>-357868584.89514983</v>
      </c>
    </row>
    <row r="363" spans="1:30" outlineLevel="2" x14ac:dyDescent="0.45">
      <c r="A363" s="1111"/>
      <c r="B363" s="597" t="str">
        <f t="shared" si="134"/>
        <v>Sales</v>
      </c>
      <c r="D363" s="583" t="str">
        <f>'12. Inputs-Props &amp; Debtors 2016'!C$80</f>
        <v>KZN</v>
      </c>
      <c r="F363" s="596"/>
      <c r="G363" s="596"/>
      <c r="H363" s="596"/>
      <c r="I363" s="612">
        <f t="shared" ref="I363:AC363" ca="1" si="143">-I146</f>
        <v>-5046912</v>
      </c>
      <c r="J363" s="612">
        <f t="shared" ca="1" si="143"/>
        <v>-5046912</v>
      </c>
      <c r="K363" s="612">
        <f t="shared" ca="1" si="143"/>
        <v>-5046912</v>
      </c>
      <c r="L363" s="612">
        <f t="shared" ca="1" si="143"/>
        <v>-2208024</v>
      </c>
      <c r="M363" s="612">
        <f t="shared" ca="1" si="143"/>
        <v>-2208024</v>
      </c>
      <c r="N363" s="612">
        <f t="shared" ca="1" si="143"/>
        <v>-2208024</v>
      </c>
      <c r="O363" s="612">
        <f t="shared" ca="1" si="143"/>
        <v>-2208024</v>
      </c>
      <c r="P363" s="612">
        <f t="shared" ca="1" si="143"/>
        <v>-2208024</v>
      </c>
      <c r="Q363" s="612">
        <f t="shared" ca="1" si="143"/>
        <v>-2208024</v>
      </c>
      <c r="R363" s="612">
        <f t="shared" ca="1" si="143"/>
        <v>-2208024</v>
      </c>
      <c r="S363" s="612">
        <f t="shared" ca="1" si="143"/>
        <v>-2208024</v>
      </c>
      <c r="T363" s="612">
        <f t="shared" ca="1" si="143"/>
        <v>-2208024</v>
      </c>
      <c r="U363" s="612">
        <f t="shared" ca="1" si="143"/>
        <v>-2208024</v>
      </c>
      <c r="V363" s="612">
        <f t="shared" ca="1" si="143"/>
        <v>-2208024</v>
      </c>
      <c r="W363" s="612">
        <f t="shared" ca="1" si="143"/>
        <v>-2208024</v>
      </c>
      <c r="X363" s="612">
        <f t="shared" ca="1" si="143"/>
        <v>-2208024</v>
      </c>
      <c r="Y363" s="612">
        <f t="shared" ca="1" si="143"/>
        <v>-2208024</v>
      </c>
      <c r="Z363" s="612">
        <f t="shared" ca="1" si="143"/>
        <v>-2208024</v>
      </c>
      <c r="AA363" s="612">
        <f t="shared" ca="1" si="143"/>
        <v>-2208024</v>
      </c>
      <c r="AB363" s="612">
        <f t="shared" ca="1" si="143"/>
        <v>-305808966.51299483</v>
      </c>
      <c r="AC363" s="612">
        <f t="shared" si="143"/>
        <v>0</v>
      </c>
      <c r="AD363" s="612">
        <f ca="1">SUM(I363:AC363)</f>
        <v>-356278086.51299483</v>
      </c>
    </row>
    <row r="364" spans="1:30" outlineLevel="2" x14ac:dyDescent="0.45">
      <c r="A364" s="1111"/>
      <c r="B364" s="597" t="str">
        <f t="shared" si="134"/>
        <v>Sales</v>
      </c>
      <c r="D364" s="583" t="str">
        <f>'12. Inputs-Props &amp; Debtors 2016'!C$81</f>
        <v>WC</v>
      </c>
      <c r="F364" s="596"/>
      <c r="G364" s="596"/>
      <c r="H364" s="596"/>
      <c r="I364" s="612">
        <f t="shared" ref="I364:AC364" ca="1" si="144">-I147</f>
        <v>-2811433.6077560242</v>
      </c>
      <c r="J364" s="612">
        <f t="shared" ca="1" si="144"/>
        <v>-2811433.6077560242</v>
      </c>
      <c r="K364" s="612">
        <f t="shared" ca="1" si="144"/>
        <v>-2113169.0515813255</v>
      </c>
      <c r="L364" s="612">
        <f t="shared" ca="1" si="144"/>
        <v>-385883.04420180724</v>
      </c>
      <c r="M364" s="612">
        <f t="shared" ca="1" si="144"/>
        <v>-385883.04420180724</v>
      </c>
      <c r="N364" s="612">
        <f t="shared" ca="1" si="144"/>
        <v>-385883.04420180724</v>
      </c>
      <c r="O364" s="612">
        <f t="shared" ca="1" si="144"/>
        <v>-385883.04420180724</v>
      </c>
      <c r="P364" s="612">
        <f t="shared" ca="1" si="144"/>
        <v>-385883.04420180724</v>
      </c>
      <c r="Q364" s="612">
        <f t="shared" ca="1" si="144"/>
        <v>-385883.04420180724</v>
      </c>
      <c r="R364" s="612">
        <f t="shared" ca="1" si="144"/>
        <v>-385883.04420180724</v>
      </c>
      <c r="S364" s="612">
        <f t="shared" ca="1" si="144"/>
        <v>-385883.04420180724</v>
      </c>
      <c r="T364" s="612">
        <f t="shared" ca="1" si="144"/>
        <v>-385883.04420180724</v>
      </c>
      <c r="U364" s="612">
        <f t="shared" ca="1" si="144"/>
        <v>-385883.04420180724</v>
      </c>
      <c r="V364" s="612">
        <f t="shared" ca="1" si="144"/>
        <v>-385883.04420180724</v>
      </c>
      <c r="W364" s="612">
        <f t="shared" ca="1" si="144"/>
        <v>-385883.04420180724</v>
      </c>
      <c r="X364" s="612">
        <f t="shared" ca="1" si="144"/>
        <v>-385883.04420180724</v>
      </c>
      <c r="Y364" s="612">
        <f t="shared" ca="1" si="144"/>
        <v>-385883.04420180724</v>
      </c>
      <c r="Z364" s="612">
        <f t="shared" ca="1" si="144"/>
        <v>-385883.04420180724</v>
      </c>
      <c r="AA364" s="612">
        <f t="shared" ca="1" si="144"/>
        <v>-385883.04420180724</v>
      </c>
      <c r="AB364" s="612">
        <f t="shared" ca="1" si="144"/>
        <v>-86073415.425300524</v>
      </c>
      <c r="AC364" s="612">
        <f t="shared" si="144"/>
        <v>0</v>
      </c>
      <c r="AD364" s="612">
        <f ca="1">SUM(I364:AC364)</f>
        <v>-99983580.399622828</v>
      </c>
    </row>
    <row r="365" spans="1:30" outlineLevel="2" x14ac:dyDescent="0.45">
      <c r="A365" s="1111"/>
      <c r="B365" s="597" t="str">
        <f t="shared" si="134"/>
        <v>Sales</v>
      </c>
      <c r="D365" s="583" t="str">
        <f>'12. Inputs-Props &amp; Debtors 2016'!C$82</f>
        <v>Total</v>
      </c>
      <c r="F365" s="596"/>
      <c r="G365" s="596"/>
      <c r="H365" s="596"/>
      <c r="I365" s="613">
        <f ca="1">SUM(I360:I364)</f>
        <v>-9628697.8662323505</v>
      </c>
      <c r="J365" s="613">
        <f ca="1">SUM(J360:J364)</f>
        <v>-9628697.8662323505</v>
      </c>
      <c r="K365" s="613">
        <f t="shared" ref="K365:AD365" ca="1" si="145">SUM(K360:K364)</f>
        <v>-8930433.3100576513</v>
      </c>
      <c r="L365" s="613">
        <f t="shared" ca="1" si="145"/>
        <v>-4248781.8647111077</v>
      </c>
      <c r="M365" s="613">
        <f t="shared" ca="1" si="145"/>
        <v>-4248781.8647111077</v>
      </c>
      <c r="N365" s="613">
        <f t="shared" ca="1" si="145"/>
        <v>-4248781.8647111077</v>
      </c>
      <c r="O365" s="613">
        <f t="shared" ca="1" si="145"/>
        <v>-4248781.8647111077</v>
      </c>
      <c r="P365" s="613">
        <f t="shared" ca="1" si="145"/>
        <v>-4248781.8647111077</v>
      </c>
      <c r="Q365" s="613">
        <f t="shared" ca="1" si="145"/>
        <v>-4248781.8647111077</v>
      </c>
      <c r="R365" s="613">
        <f t="shared" ca="1" si="145"/>
        <v>-4248781.8647111077</v>
      </c>
      <c r="S365" s="613">
        <f t="shared" ca="1" si="145"/>
        <v>-4248781.8647111077</v>
      </c>
      <c r="T365" s="613">
        <f t="shared" ca="1" si="145"/>
        <v>-4248781.8647111077</v>
      </c>
      <c r="U365" s="613">
        <f t="shared" ca="1" si="145"/>
        <v>-4248781.8647111077</v>
      </c>
      <c r="V365" s="613">
        <f t="shared" ca="1" si="145"/>
        <v>-4248781.8647111077</v>
      </c>
      <c r="W365" s="613">
        <f t="shared" ca="1" si="145"/>
        <v>-4248781.8647111077</v>
      </c>
      <c r="X365" s="613">
        <f t="shared" ca="1" si="145"/>
        <v>-4248781.8647111077</v>
      </c>
      <c r="Y365" s="613">
        <f t="shared" ca="1" si="145"/>
        <v>-4248781.8647111077</v>
      </c>
      <c r="Z365" s="613">
        <f t="shared" ca="1" si="145"/>
        <v>-4248781.8647111077</v>
      </c>
      <c r="AA365" s="613">
        <f t="shared" ca="1" si="145"/>
        <v>-4248781.8647111077</v>
      </c>
      <c r="AB365" s="613">
        <f t="shared" ca="1" si="145"/>
        <v>-737391690.66375458</v>
      </c>
      <c r="AC365" s="613">
        <f t="shared" si="145"/>
        <v>0</v>
      </c>
      <c r="AD365" s="613">
        <f t="shared" ca="1" si="145"/>
        <v>-833560029.54165471</v>
      </c>
    </row>
    <row r="366" spans="1:30" outlineLevel="2" x14ac:dyDescent="0.45">
      <c r="B366" s="597" t="str">
        <f t="shared" si="134"/>
        <v>Sales</v>
      </c>
      <c r="D366" s="747"/>
      <c r="F366" s="596"/>
      <c r="G366" s="596"/>
      <c r="H366" s="596"/>
      <c r="I366" s="612"/>
      <c r="J366" s="612"/>
      <c r="K366" s="612"/>
      <c r="L366" s="612"/>
      <c r="M366" s="612"/>
      <c r="N366" s="612"/>
      <c r="O366" s="612"/>
      <c r="P366" s="612"/>
      <c r="Q366" s="612"/>
      <c r="R366" s="612"/>
      <c r="S366" s="612"/>
      <c r="T366" s="612"/>
      <c r="U366" s="612"/>
      <c r="V366" s="612"/>
      <c r="W366" s="612"/>
      <c r="X366" s="612"/>
      <c r="Y366" s="612"/>
      <c r="Z366" s="612"/>
      <c r="AA366" s="612"/>
      <c r="AB366" s="612"/>
      <c r="AC366" s="612"/>
      <c r="AD366" s="612"/>
    </row>
    <row r="367" spans="1:30" outlineLevel="2" x14ac:dyDescent="0.45">
      <c r="B367" s="597" t="str">
        <f t="shared" si="134"/>
        <v>Sales</v>
      </c>
      <c r="D367" s="747"/>
      <c r="F367" s="596"/>
      <c r="G367" s="596"/>
      <c r="H367" s="596"/>
      <c r="I367" s="612"/>
      <c r="J367" s="612"/>
      <c r="K367" s="612"/>
      <c r="L367" s="612"/>
      <c r="M367" s="612"/>
      <c r="N367" s="612"/>
      <c r="O367" s="612"/>
      <c r="P367" s="612"/>
      <c r="Q367" s="612"/>
      <c r="R367" s="612"/>
      <c r="S367" s="612"/>
      <c r="T367" s="612"/>
      <c r="U367" s="612"/>
      <c r="V367" s="612"/>
      <c r="W367" s="612"/>
      <c r="X367" s="612"/>
      <c r="Y367" s="612"/>
      <c r="Z367" s="612"/>
      <c r="AA367" s="612"/>
      <c r="AB367" s="612"/>
      <c r="AC367" s="612"/>
      <c r="AD367" s="612"/>
    </row>
    <row r="368" spans="1:30" outlineLevel="2" x14ac:dyDescent="0.45">
      <c r="B368" s="597" t="str">
        <f>B367</f>
        <v>Sales</v>
      </c>
      <c r="C368" s="451">
        <f>C359+1</f>
        <v>38</v>
      </c>
      <c r="D368" s="451" t="s">
        <v>1617</v>
      </c>
      <c r="F368" s="791" t="s">
        <v>1428</v>
      </c>
      <c r="G368" s="596"/>
      <c r="H368" s="596"/>
      <c r="I368" s="612"/>
      <c r="J368" s="612"/>
      <c r="K368" s="612"/>
      <c r="L368" s="612"/>
      <c r="M368" s="612"/>
      <c r="N368" s="612"/>
      <c r="O368" s="612"/>
      <c r="P368" s="612"/>
      <c r="Q368" s="612"/>
      <c r="R368" s="612"/>
      <c r="S368" s="612"/>
      <c r="T368" s="612"/>
      <c r="U368" s="612"/>
      <c r="V368" s="612"/>
      <c r="W368" s="612"/>
      <c r="X368" s="612"/>
      <c r="Y368" s="612"/>
      <c r="Z368" s="612"/>
      <c r="AA368" s="612"/>
      <c r="AB368" s="612"/>
      <c r="AC368" s="612"/>
      <c r="AD368" s="612"/>
    </row>
    <row r="369" spans="1:32" outlineLevel="2" x14ac:dyDescent="0.45">
      <c r="A369" s="1114"/>
      <c r="B369" s="597" t="str">
        <f t="shared" si="134"/>
        <v>Sales</v>
      </c>
      <c r="D369" s="583" t="str">
        <f>'12. Inputs-Props &amp; Debtors 2016'!C$77</f>
        <v>EC</v>
      </c>
      <c r="F369" s="596"/>
      <c r="G369" s="596"/>
      <c r="H369" s="596"/>
      <c r="I369" s="947">
        <f>IF(AND('10. Inputs &amp; Calcs'!I$4&lt;('5. Dashboard Live'!$AA$16+'10. Inputs &amp; Calcs'!$K$4),'5. Dashboard Live'!$AA$19='14. Permanent Info'!$N$7),I106*I170,0)</f>
        <v>0</v>
      </c>
      <c r="J369" s="947">
        <f>IF(AND('10. Inputs &amp; Calcs'!J$4&lt;('5. Dashboard Live'!$AA$16+'10. Inputs &amp; Calcs'!$K$4),'5. Dashboard Live'!$AA$19='14. Permanent Info'!$N$7),J106*J170,0)</f>
        <v>0</v>
      </c>
      <c r="K369" s="947">
        <f>IF(AND('10. Inputs &amp; Calcs'!K$4&lt;('5. Dashboard Live'!$AA$16+'10. Inputs &amp; Calcs'!$K$4),'5. Dashboard Live'!$AA$19='14. Permanent Info'!$N$7),K106*K170,0)</f>
        <v>0</v>
      </c>
      <c r="L369" s="947">
        <f>IF(AND('10. Inputs &amp; Calcs'!L$4&lt;('5. Dashboard Live'!$AA$16+'10. Inputs &amp; Calcs'!$K$4),'5. Dashboard Live'!$AA$19='14. Permanent Info'!$N$7),L106*L170,0)</f>
        <v>0</v>
      </c>
      <c r="M369" s="947">
        <f>IF(AND('10. Inputs &amp; Calcs'!M$4&lt;('5. Dashboard Live'!$AA$16+'10. Inputs &amp; Calcs'!$K$4),'5. Dashboard Live'!$AA$19='14. Permanent Info'!$N$7),M106*M170,0)</f>
        <v>0</v>
      </c>
      <c r="N369" s="947">
        <f>IF(AND('10. Inputs &amp; Calcs'!N$4&lt;('5. Dashboard Live'!$AA$16+'10. Inputs &amp; Calcs'!$K$4),'5. Dashboard Live'!$AA$19='14. Permanent Info'!$N$7),N106*N170,0)</f>
        <v>0</v>
      </c>
      <c r="O369" s="947">
        <f>IF(AND('10. Inputs &amp; Calcs'!O$4&lt;('5. Dashboard Live'!$AA$16+'10. Inputs &amp; Calcs'!$K$4),'5. Dashboard Live'!$AA$19='14. Permanent Info'!$N$7),O106*O170,0)</f>
        <v>0</v>
      </c>
      <c r="P369" s="947">
        <f>IF(AND('10. Inputs &amp; Calcs'!P$4&lt;('5. Dashboard Live'!$AA$16+'10. Inputs &amp; Calcs'!$K$4),'5. Dashboard Live'!$AA$19='14. Permanent Info'!$N$7),P106*P170,0)</f>
        <v>0</v>
      </c>
      <c r="Q369" s="947">
        <f>IF(AND('10. Inputs &amp; Calcs'!Q$4&lt;('5. Dashboard Live'!$AA$16+'10. Inputs &amp; Calcs'!$K$4),'5. Dashboard Live'!$AA$19='14. Permanent Info'!$N$7),Q106*Q170,0)</f>
        <v>0</v>
      </c>
      <c r="R369" s="947">
        <f>IF(AND('10. Inputs &amp; Calcs'!R$4&lt;('5. Dashboard Live'!$AA$16+'10. Inputs &amp; Calcs'!$K$4),'5. Dashboard Live'!$AA$19='14. Permanent Info'!$N$7),R106*R170,0)</f>
        <v>0</v>
      </c>
      <c r="S369" s="947">
        <f>IF(AND('10. Inputs &amp; Calcs'!S$4&lt;('5. Dashboard Live'!$AA$16+'10. Inputs &amp; Calcs'!$K$4),'5. Dashboard Live'!$AA$19='14. Permanent Info'!$N$7),S106*S170,0)</f>
        <v>0</v>
      </c>
      <c r="T369" s="947">
        <f>IF(AND('10. Inputs &amp; Calcs'!T$4&lt;('5. Dashboard Live'!$AA$16+'10. Inputs &amp; Calcs'!$K$4),'5. Dashboard Live'!$AA$19='14. Permanent Info'!$N$7),T106*T170,0)</f>
        <v>0</v>
      </c>
      <c r="U369" s="947">
        <f>IF(AND('10. Inputs &amp; Calcs'!U$4&lt;('5. Dashboard Live'!$AA$16+'10. Inputs &amp; Calcs'!$K$4),'5. Dashboard Live'!$AA$19='14. Permanent Info'!$N$7),U106*U170,0)</f>
        <v>0</v>
      </c>
      <c r="V369" s="947">
        <f>IF(AND('10. Inputs &amp; Calcs'!V$4&lt;('5. Dashboard Live'!$AA$16+'10. Inputs &amp; Calcs'!$K$4),'5. Dashboard Live'!$AA$19='14. Permanent Info'!$N$7),V106*V170,0)</f>
        <v>0</v>
      </c>
      <c r="W369" s="947">
        <f>IF(AND('10. Inputs &amp; Calcs'!W$4&lt;('5. Dashboard Live'!$AA$16+'10. Inputs &amp; Calcs'!$K$4),'5. Dashboard Live'!$AA$19='14. Permanent Info'!$N$7),W106*W170,0)</f>
        <v>0</v>
      </c>
      <c r="X369" s="947">
        <f>IF(AND('10. Inputs &amp; Calcs'!X$4&lt;('5. Dashboard Live'!$AA$16+'10. Inputs &amp; Calcs'!$K$4),'5. Dashboard Live'!$AA$19='14. Permanent Info'!$N$7),X106*X170,0)</f>
        <v>0</v>
      </c>
      <c r="Y369" s="947">
        <f>IF(AND('10. Inputs &amp; Calcs'!Y$4&lt;('5. Dashboard Live'!$AA$16+'10. Inputs &amp; Calcs'!$K$4),'5. Dashboard Live'!$AA$19='14. Permanent Info'!$N$7),Y106*Y170,0)</f>
        <v>0</v>
      </c>
      <c r="Z369" s="947">
        <f>IF(AND('10. Inputs &amp; Calcs'!Z$4&lt;('5. Dashboard Live'!$AA$16+'10. Inputs &amp; Calcs'!$K$4),'5. Dashboard Live'!$AA$19='14. Permanent Info'!$N$7),Z106*Z170,0)</f>
        <v>0</v>
      </c>
      <c r="AA369" s="947">
        <f>IF(AND('10. Inputs &amp; Calcs'!AA$4&lt;('5. Dashboard Live'!$AA$16+'10. Inputs &amp; Calcs'!$K$4),'5. Dashboard Live'!$AA$19='14. Permanent Info'!$N$7),AA106*AA170,0)</f>
        <v>0</v>
      </c>
      <c r="AB369" s="947">
        <f>IF(AND('10. Inputs &amp; Calcs'!AB$4&lt;('5. Dashboard Live'!$AA$16+'10. Inputs &amp; Calcs'!$K$4),'5. Dashboard Live'!$AA$19='14. Permanent Info'!$N$7),AB106*AB170,0)</f>
        <v>0</v>
      </c>
      <c r="AC369" s="947">
        <f>IF(AND('10. Inputs &amp; Calcs'!AC$4&lt;('5. Dashboard Live'!$AA$16+'10. Inputs &amp; Calcs'!$K$4),'5. Dashboard Live'!$AA$19='14. Permanent Info'!$N$7),AC106*AC170,0)</f>
        <v>0</v>
      </c>
      <c r="AD369" s="612">
        <f>SUM(I369:AC369)</f>
        <v>0</v>
      </c>
    </row>
    <row r="370" spans="1:32" outlineLevel="2" x14ac:dyDescent="0.45">
      <c r="A370" s="1114"/>
      <c r="B370" s="597" t="str">
        <f t="shared" si="134"/>
        <v>Sales</v>
      </c>
      <c r="D370" s="583" t="str">
        <f>'12. Inputs-Props &amp; Debtors 2016'!C$78</f>
        <v>FS</v>
      </c>
      <c r="F370" s="596"/>
      <c r="G370" s="596"/>
      <c r="H370" s="596"/>
      <c r="I370" s="947">
        <f>IF(AND('10. Inputs &amp; Calcs'!I$4&lt;('5. Dashboard Live'!$AA$16+'10. Inputs &amp; Calcs'!$K$4),'5. Dashboard Live'!$AA$19='14. Permanent Info'!$N$7),I107*I171,0)</f>
        <v>0</v>
      </c>
      <c r="J370" s="947">
        <f>IF(AND('10. Inputs &amp; Calcs'!J$4&lt;('5. Dashboard Live'!$AA$16+'10. Inputs &amp; Calcs'!$K$4),'5. Dashboard Live'!$AA$19='14. Permanent Info'!$N$7),J107*J171,0)</f>
        <v>0</v>
      </c>
      <c r="K370" s="947">
        <f>IF(AND('10. Inputs &amp; Calcs'!K$4&lt;('5. Dashboard Live'!$AA$16+'10. Inputs &amp; Calcs'!$K$4),'5. Dashboard Live'!$AA$19='14. Permanent Info'!$N$7),K107*K171,0)</f>
        <v>0</v>
      </c>
      <c r="L370" s="947">
        <f>IF(AND('10. Inputs &amp; Calcs'!L$4&lt;('5. Dashboard Live'!$AA$16+'10. Inputs &amp; Calcs'!$K$4),'5. Dashboard Live'!$AA$19='14. Permanent Info'!$N$7),L107*L171,0)</f>
        <v>0</v>
      </c>
      <c r="M370" s="947">
        <f>IF(AND('10. Inputs &amp; Calcs'!M$4&lt;('5. Dashboard Live'!$AA$16+'10. Inputs &amp; Calcs'!$K$4),'5. Dashboard Live'!$AA$19='14. Permanent Info'!$N$7),M107*M171,0)</f>
        <v>0</v>
      </c>
      <c r="N370" s="947">
        <f>IF(AND('10. Inputs &amp; Calcs'!N$4&lt;('5. Dashboard Live'!$AA$16+'10. Inputs &amp; Calcs'!$K$4),'5. Dashboard Live'!$AA$19='14. Permanent Info'!$N$7),N107*N171,0)</f>
        <v>0</v>
      </c>
      <c r="O370" s="947">
        <f>IF(AND('10. Inputs &amp; Calcs'!O$4&lt;('5. Dashboard Live'!$AA$16+'10. Inputs &amp; Calcs'!$K$4),'5. Dashboard Live'!$AA$19='14. Permanent Info'!$N$7),O107*O171,0)</f>
        <v>0</v>
      </c>
      <c r="P370" s="947">
        <f>IF(AND('10. Inputs &amp; Calcs'!P$4&lt;('5. Dashboard Live'!$AA$16+'10. Inputs &amp; Calcs'!$K$4),'5. Dashboard Live'!$AA$19='14. Permanent Info'!$N$7),P107*P171,0)</f>
        <v>0</v>
      </c>
      <c r="Q370" s="947">
        <f>IF(AND('10. Inputs &amp; Calcs'!Q$4&lt;('5. Dashboard Live'!$AA$16+'10. Inputs &amp; Calcs'!$K$4),'5. Dashboard Live'!$AA$19='14. Permanent Info'!$N$7),Q107*Q171,0)</f>
        <v>0</v>
      </c>
      <c r="R370" s="947">
        <f>IF(AND('10. Inputs &amp; Calcs'!R$4&lt;('5. Dashboard Live'!$AA$16+'10. Inputs &amp; Calcs'!$K$4),'5. Dashboard Live'!$AA$19='14. Permanent Info'!$N$7),R107*R171,0)</f>
        <v>0</v>
      </c>
      <c r="S370" s="947">
        <f>IF(AND('10. Inputs &amp; Calcs'!S$4&lt;('5. Dashboard Live'!$AA$16+'10. Inputs &amp; Calcs'!$K$4),'5. Dashboard Live'!$AA$19='14. Permanent Info'!$N$7),S107*S171,0)</f>
        <v>0</v>
      </c>
      <c r="T370" s="947">
        <f>IF(AND('10. Inputs &amp; Calcs'!T$4&lt;('5. Dashboard Live'!$AA$16+'10. Inputs &amp; Calcs'!$K$4),'5. Dashboard Live'!$AA$19='14. Permanent Info'!$N$7),T107*T171,0)</f>
        <v>0</v>
      </c>
      <c r="U370" s="947">
        <f>IF(AND('10. Inputs &amp; Calcs'!U$4&lt;('5. Dashboard Live'!$AA$16+'10. Inputs &amp; Calcs'!$K$4),'5. Dashboard Live'!$AA$19='14. Permanent Info'!$N$7),U107*U171,0)</f>
        <v>0</v>
      </c>
      <c r="V370" s="947">
        <f>IF(AND('10. Inputs &amp; Calcs'!V$4&lt;('5. Dashboard Live'!$AA$16+'10. Inputs &amp; Calcs'!$K$4),'5. Dashboard Live'!$AA$19='14. Permanent Info'!$N$7),V107*V171,0)</f>
        <v>0</v>
      </c>
      <c r="W370" s="947">
        <f>IF(AND('10. Inputs &amp; Calcs'!W$4&lt;('5. Dashboard Live'!$AA$16+'10. Inputs &amp; Calcs'!$K$4),'5. Dashboard Live'!$AA$19='14. Permanent Info'!$N$7),W107*W171,0)</f>
        <v>0</v>
      </c>
      <c r="X370" s="947">
        <f>IF(AND('10. Inputs &amp; Calcs'!X$4&lt;('5. Dashboard Live'!$AA$16+'10. Inputs &amp; Calcs'!$K$4),'5. Dashboard Live'!$AA$19='14. Permanent Info'!$N$7),X107*X171,0)</f>
        <v>0</v>
      </c>
      <c r="Y370" s="947">
        <f>IF(AND('10. Inputs &amp; Calcs'!Y$4&lt;('5. Dashboard Live'!$AA$16+'10. Inputs &amp; Calcs'!$K$4),'5. Dashboard Live'!$AA$19='14. Permanent Info'!$N$7),Y107*Y171,0)</f>
        <v>0</v>
      </c>
      <c r="Z370" s="947">
        <f>IF(AND('10. Inputs &amp; Calcs'!Z$4&lt;('5. Dashboard Live'!$AA$16+'10. Inputs &amp; Calcs'!$K$4),'5. Dashboard Live'!$AA$19='14. Permanent Info'!$N$7),Z107*Z171,0)</f>
        <v>0</v>
      </c>
      <c r="AA370" s="947">
        <f>IF(AND('10. Inputs &amp; Calcs'!AA$4&lt;('5. Dashboard Live'!$AA$16+'10. Inputs &amp; Calcs'!$K$4),'5. Dashboard Live'!$AA$19='14. Permanent Info'!$N$7),AA107*AA171,0)</f>
        <v>0</v>
      </c>
      <c r="AB370" s="947">
        <f>IF(AND('10. Inputs &amp; Calcs'!AB$4&lt;('5. Dashboard Live'!$AA$16+'10. Inputs &amp; Calcs'!$K$4),'5. Dashboard Live'!$AA$19='14. Permanent Info'!$N$7),AB107*AB171,0)</f>
        <v>0</v>
      </c>
      <c r="AC370" s="947">
        <f>IF(AND('10. Inputs &amp; Calcs'!AC$4&lt;('5. Dashboard Live'!$AA$16+'10. Inputs &amp; Calcs'!$K$4),'5. Dashboard Live'!$AA$19='14. Permanent Info'!$N$7),AC107*AC171,0)</f>
        <v>0</v>
      </c>
      <c r="AD370" s="612">
        <f>SUM(I370:AC370)</f>
        <v>0</v>
      </c>
    </row>
    <row r="371" spans="1:32" outlineLevel="2" x14ac:dyDescent="0.45">
      <c r="A371" s="1114"/>
      <c r="B371" s="597" t="str">
        <f t="shared" si="134"/>
        <v>Sales</v>
      </c>
      <c r="D371" s="583" t="str">
        <f>'12. Inputs-Props &amp; Debtors 2016'!C$79</f>
        <v>Gau</v>
      </c>
      <c r="F371" s="596"/>
      <c r="G371" s="596"/>
      <c r="H371" s="596"/>
      <c r="I371" s="947">
        <f>IF(AND('10. Inputs &amp; Calcs'!I$4&lt;('5. Dashboard Live'!$AA$16+'10. Inputs &amp; Calcs'!$K$4),'5. Dashboard Live'!$AA$19='14. Permanent Info'!$N$7),I108*I172,0)</f>
        <v>0</v>
      </c>
      <c r="J371" s="947">
        <f>IF(AND('10. Inputs &amp; Calcs'!J$4&lt;('5. Dashboard Live'!$AA$16+'10. Inputs &amp; Calcs'!$K$4),'5. Dashboard Live'!$AA$19='14. Permanent Info'!$N$7),J108*J172,0)</f>
        <v>0</v>
      </c>
      <c r="K371" s="947">
        <f>IF(AND('10. Inputs &amp; Calcs'!K$4&lt;('5. Dashboard Live'!$AA$16+'10. Inputs &amp; Calcs'!$K$4),'5. Dashboard Live'!$AA$19='14. Permanent Info'!$N$7),K108*K172,0)</f>
        <v>0</v>
      </c>
      <c r="L371" s="947">
        <f>IF(AND('10. Inputs &amp; Calcs'!L$4&lt;('5. Dashboard Live'!$AA$16+'10. Inputs &amp; Calcs'!$K$4),'5. Dashboard Live'!$AA$19='14. Permanent Info'!$N$7),L108*L172,0)</f>
        <v>0</v>
      </c>
      <c r="M371" s="947">
        <f>IF(AND('10. Inputs &amp; Calcs'!M$4&lt;('5. Dashboard Live'!$AA$16+'10. Inputs &amp; Calcs'!$K$4),'5. Dashboard Live'!$AA$19='14. Permanent Info'!$N$7),M108*M172,0)</f>
        <v>0</v>
      </c>
      <c r="N371" s="947">
        <f>IF(AND('10. Inputs &amp; Calcs'!N$4&lt;('5. Dashboard Live'!$AA$16+'10. Inputs &amp; Calcs'!$K$4),'5. Dashboard Live'!$AA$19='14. Permanent Info'!$N$7),N108*N172,0)</f>
        <v>0</v>
      </c>
      <c r="O371" s="947">
        <f>IF(AND('10. Inputs &amp; Calcs'!O$4&lt;('5. Dashboard Live'!$AA$16+'10. Inputs &amp; Calcs'!$K$4),'5. Dashboard Live'!$AA$19='14. Permanent Info'!$N$7),O108*O172,0)</f>
        <v>0</v>
      </c>
      <c r="P371" s="947">
        <f>IF(AND('10. Inputs &amp; Calcs'!P$4&lt;('5. Dashboard Live'!$AA$16+'10. Inputs &amp; Calcs'!$K$4),'5. Dashboard Live'!$AA$19='14. Permanent Info'!$N$7),P108*P172,0)</f>
        <v>0</v>
      </c>
      <c r="Q371" s="947">
        <f>IF(AND('10. Inputs &amp; Calcs'!Q$4&lt;('5. Dashboard Live'!$AA$16+'10. Inputs &amp; Calcs'!$K$4),'5. Dashboard Live'!$AA$19='14. Permanent Info'!$N$7),Q108*Q172,0)</f>
        <v>0</v>
      </c>
      <c r="R371" s="947">
        <f>IF(AND('10. Inputs &amp; Calcs'!R$4&lt;('5. Dashboard Live'!$AA$16+'10. Inputs &amp; Calcs'!$K$4),'5. Dashboard Live'!$AA$19='14. Permanent Info'!$N$7),R108*R172,0)</f>
        <v>0</v>
      </c>
      <c r="S371" s="947">
        <f>IF(AND('10. Inputs &amp; Calcs'!S$4&lt;('5. Dashboard Live'!$AA$16+'10. Inputs &amp; Calcs'!$K$4),'5. Dashboard Live'!$AA$19='14. Permanent Info'!$N$7),S108*S172,0)</f>
        <v>0</v>
      </c>
      <c r="T371" s="947">
        <f>IF(AND('10. Inputs &amp; Calcs'!T$4&lt;('5. Dashboard Live'!$AA$16+'10. Inputs &amp; Calcs'!$K$4),'5. Dashboard Live'!$AA$19='14. Permanent Info'!$N$7),T108*T172,0)</f>
        <v>0</v>
      </c>
      <c r="U371" s="947">
        <f>IF(AND('10. Inputs &amp; Calcs'!U$4&lt;('5. Dashboard Live'!$AA$16+'10. Inputs &amp; Calcs'!$K$4),'5. Dashboard Live'!$AA$19='14. Permanent Info'!$N$7),U108*U172,0)</f>
        <v>0</v>
      </c>
      <c r="V371" s="947">
        <f>IF(AND('10. Inputs &amp; Calcs'!V$4&lt;('5. Dashboard Live'!$AA$16+'10. Inputs &amp; Calcs'!$K$4),'5. Dashboard Live'!$AA$19='14. Permanent Info'!$N$7),V108*V172,0)</f>
        <v>0</v>
      </c>
      <c r="W371" s="947">
        <f>IF(AND('10. Inputs &amp; Calcs'!W$4&lt;('5. Dashboard Live'!$AA$16+'10. Inputs &amp; Calcs'!$K$4),'5. Dashboard Live'!$AA$19='14. Permanent Info'!$N$7),W108*W172,0)</f>
        <v>0</v>
      </c>
      <c r="X371" s="947">
        <f>IF(AND('10. Inputs &amp; Calcs'!X$4&lt;('5. Dashboard Live'!$AA$16+'10. Inputs &amp; Calcs'!$K$4),'5. Dashboard Live'!$AA$19='14. Permanent Info'!$N$7),X108*X172,0)</f>
        <v>0</v>
      </c>
      <c r="Y371" s="947">
        <f>IF(AND('10. Inputs &amp; Calcs'!Y$4&lt;('5. Dashboard Live'!$AA$16+'10. Inputs &amp; Calcs'!$K$4),'5. Dashboard Live'!$AA$19='14. Permanent Info'!$N$7),Y108*Y172,0)</f>
        <v>0</v>
      </c>
      <c r="Z371" s="947">
        <f>IF(AND('10. Inputs &amp; Calcs'!Z$4&lt;('5. Dashboard Live'!$AA$16+'10. Inputs &amp; Calcs'!$K$4),'5. Dashboard Live'!$AA$19='14. Permanent Info'!$N$7),Z108*Z172,0)</f>
        <v>0</v>
      </c>
      <c r="AA371" s="947">
        <f>IF(AND('10. Inputs &amp; Calcs'!AA$4&lt;('5. Dashboard Live'!$AA$16+'10. Inputs &amp; Calcs'!$K$4),'5. Dashboard Live'!$AA$19='14. Permanent Info'!$N$7),AA108*AA172,0)</f>
        <v>0</v>
      </c>
      <c r="AB371" s="947">
        <f>IF(AND('10. Inputs &amp; Calcs'!AB$4&lt;('5. Dashboard Live'!$AA$16+'10. Inputs &amp; Calcs'!$K$4),'5. Dashboard Live'!$AA$19='14. Permanent Info'!$N$7),AB108*AB172,0)</f>
        <v>0</v>
      </c>
      <c r="AC371" s="947">
        <f>IF(AND('10. Inputs &amp; Calcs'!AC$4&lt;('5. Dashboard Live'!$AA$16+'10. Inputs &amp; Calcs'!$K$4),'5. Dashboard Live'!$AA$19='14. Permanent Info'!$N$7),AC108*AC172,0)</f>
        <v>0</v>
      </c>
      <c r="AD371" s="612">
        <f>SUM(I371:AC371)</f>
        <v>0</v>
      </c>
    </row>
    <row r="372" spans="1:32" outlineLevel="2" x14ac:dyDescent="0.45">
      <c r="A372" s="1114"/>
      <c r="B372" s="597" t="str">
        <f t="shared" si="134"/>
        <v>Sales</v>
      </c>
      <c r="D372" s="583" t="str">
        <f>'12. Inputs-Props &amp; Debtors 2016'!C$80</f>
        <v>KZN</v>
      </c>
      <c r="F372" s="596"/>
      <c r="G372" s="596"/>
      <c r="H372" s="596"/>
      <c r="I372" s="947">
        <f>IF(AND('10. Inputs &amp; Calcs'!I$4&lt;('5. Dashboard Live'!$AA$16+'10. Inputs &amp; Calcs'!$K$4),'5. Dashboard Live'!$AA$19='14. Permanent Info'!$N$7),I109*I173,0)</f>
        <v>0</v>
      </c>
      <c r="J372" s="947">
        <f>IF(AND('10. Inputs &amp; Calcs'!J$4&lt;('5. Dashboard Live'!$AA$16+'10. Inputs &amp; Calcs'!$K$4),'5. Dashboard Live'!$AA$19='14. Permanent Info'!$N$7),J109*J173,0)</f>
        <v>0</v>
      </c>
      <c r="K372" s="947">
        <f>IF(AND('10. Inputs &amp; Calcs'!K$4&lt;('5. Dashboard Live'!$AA$16+'10. Inputs &amp; Calcs'!$K$4),'5. Dashboard Live'!$AA$19='14. Permanent Info'!$N$7),K109*K173,0)</f>
        <v>0</v>
      </c>
      <c r="L372" s="947">
        <f>IF(AND('10. Inputs &amp; Calcs'!L$4&lt;('5. Dashboard Live'!$AA$16+'10. Inputs &amp; Calcs'!$K$4),'5. Dashboard Live'!$AA$19='14. Permanent Info'!$N$7),L109*L173,0)</f>
        <v>0</v>
      </c>
      <c r="M372" s="947">
        <f>IF(AND('10. Inputs &amp; Calcs'!M$4&lt;('5. Dashboard Live'!$AA$16+'10. Inputs &amp; Calcs'!$K$4),'5. Dashboard Live'!$AA$19='14. Permanent Info'!$N$7),M109*M173,0)</f>
        <v>0</v>
      </c>
      <c r="N372" s="947">
        <f>IF(AND('10. Inputs &amp; Calcs'!N$4&lt;('5. Dashboard Live'!$AA$16+'10. Inputs &amp; Calcs'!$K$4),'5. Dashboard Live'!$AA$19='14. Permanent Info'!$N$7),N109*N173,0)</f>
        <v>0</v>
      </c>
      <c r="O372" s="947">
        <f>IF(AND('10. Inputs &amp; Calcs'!O$4&lt;('5. Dashboard Live'!$AA$16+'10. Inputs &amp; Calcs'!$K$4),'5. Dashboard Live'!$AA$19='14. Permanent Info'!$N$7),O109*O173,0)</f>
        <v>0</v>
      </c>
      <c r="P372" s="947">
        <f>IF(AND('10. Inputs &amp; Calcs'!P$4&lt;('5. Dashboard Live'!$AA$16+'10. Inputs &amp; Calcs'!$K$4),'5. Dashboard Live'!$AA$19='14. Permanent Info'!$N$7),P109*P173,0)</f>
        <v>0</v>
      </c>
      <c r="Q372" s="947">
        <f>IF(AND('10. Inputs &amp; Calcs'!Q$4&lt;('5. Dashboard Live'!$AA$16+'10. Inputs &amp; Calcs'!$K$4),'5. Dashboard Live'!$AA$19='14. Permanent Info'!$N$7),Q109*Q173,0)</f>
        <v>0</v>
      </c>
      <c r="R372" s="947">
        <f>IF(AND('10. Inputs &amp; Calcs'!R$4&lt;('5. Dashboard Live'!$AA$16+'10. Inputs &amp; Calcs'!$K$4),'5. Dashboard Live'!$AA$19='14. Permanent Info'!$N$7),R109*R173,0)</f>
        <v>0</v>
      </c>
      <c r="S372" s="947">
        <f>IF(AND('10. Inputs &amp; Calcs'!S$4&lt;('5. Dashboard Live'!$AA$16+'10. Inputs &amp; Calcs'!$K$4),'5. Dashboard Live'!$AA$19='14. Permanent Info'!$N$7),S109*S173,0)</f>
        <v>0</v>
      </c>
      <c r="T372" s="947">
        <f>IF(AND('10. Inputs &amp; Calcs'!T$4&lt;('5. Dashboard Live'!$AA$16+'10. Inputs &amp; Calcs'!$K$4),'5. Dashboard Live'!$AA$19='14. Permanent Info'!$N$7),T109*T173,0)</f>
        <v>0</v>
      </c>
      <c r="U372" s="947">
        <f>IF(AND('10. Inputs &amp; Calcs'!U$4&lt;('5. Dashboard Live'!$AA$16+'10. Inputs &amp; Calcs'!$K$4),'5. Dashboard Live'!$AA$19='14. Permanent Info'!$N$7),U109*U173,0)</f>
        <v>0</v>
      </c>
      <c r="V372" s="947">
        <f>IF(AND('10. Inputs &amp; Calcs'!V$4&lt;('5. Dashboard Live'!$AA$16+'10. Inputs &amp; Calcs'!$K$4),'5. Dashboard Live'!$AA$19='14. Permanent Info'!$N$7),V109*V173,0)</f>
        <v>0</v>
      </c>
      <c r="W372" s="947">
        <f>IF(AND('10. Inputs &amp; Calcs'!W$4&lt;('5. Dashboard Live'!$AA$16+'10. Inputs &amp; Calcs'!$K$4),'5. Dashboard Live'!$AA$19='14. Permanent Info'!$N$7),W109*W173,0)</f>
        <v>0</v>
      </c>
      <c r="X372" s="947">
        <f>IF(AND('10. Inputs &amp; Calcs'!X$4&lt;('5. Dashboard Live'!$AA$16+'10. Inputs &amp; Calcs'!$K$4),'5. Dashboard Live'!$AA$19='14. Permanent Info'!$N$7),X109*X173,0)</f>
        <v>0</v>
      </c>
      <c r="Y372" s="947">
        <f>IF(AND('10. Inputs &amp; Calcs'!Y$4&lt;('5. Dashboard Live'!$AA$16+'10. Inputs &amp; Calcs'!$K$4),'5. Dashboard Live'!$AA$19='14. Permanent Info'!$N$7),Y109*Y173,0)</f>
        <v>0</v>
      </c>
      <c r="Z372" s="947">
        <f>IF(AND('10. Inputs &amp; Calcs'!Z$4&lt;('5. Dashboard Live'!$AA$16+'10. Inputs &amp; Calcs'!$K$4),'5. Dashboard Live'!$AA$19='14. Permanent Info'!$N$7),Z109*Z173,0)</f>
        <v>0</v>
      </c>
      <c r="AA372" s="947">
        <f>IF(AND('10. Inputs &amp; Calcs'!AA$4&lt;('5. Dashboard Live'!$AA$16+'10. Inputs &amp; Calcs'!$K$4),'5. Dashboard Live'!$AA$19='14. Permanent Info'!$N$7),AA109*AA173,0)</f>
        <v>0</v>
      </c>
      <c r="AB372" s="947">
        <f>IF(AND('10. Inputs &amp; Calcs'!AB$4&lt;('5. Dashboard Live'!$AA$16+'10. Inputs &amp; Calcs'!$K$4),'5. Dashboard Live'!$AA$19='14. Permanent Info'!$N$7),AB109*AB173,0)</f>
        <v>0</v>
      </c>
      <c r="AC372" s="947">
        <f>IF(AND('10. Inputs &amp; Calcs'!AC$4&lt;('5. Dashboard Live'!$AA$16+'10. Inputs &amp; Calcs'!$K$4),'5. Dashboard Live'!$AA$19='14. Permanent Info'!$N$7),AC109*AC173,0)</f>
        <v>0</v>
      </c>
      <c r="AD372" s="612">
        <f>SUM(I372:AC372)</f>
        <v>0</v>
      </c>
    </row>
    <row r="373" spans="1:32" outlineLevel="2" x14ac:dyDescent="0.45">
      <c r="A373" s="1114"/>
      <c r="B373" s="597" t="str">
        <f t="shared" si="134"/>
        <v>Sales</v>
      </c>
      <c r="D373" s="583" t="str">
        <f>'12. Inputs-Props &amp; Debtors 2016'!C$81</f>
        <v>WC</v>
      </c>
      <c r="F373" s="596"/>
      <c r="G373" s="596"/>
      <c r="H373" s="596"/>
      <c r="I373" s="947">
        <f>IF(AND('10. Inputs &amp; Calcs'!I$4&lt;('5. Dashboard Live'!$AA$16+'10. Inputs &amp; Calcs'!$K$4),'5. Dashboard Live'!$AA$19='14. Permanent Info'!$N$7),I110*I174,0)</f>
        <v>0</v>
      </c>
      <c r="J373" s="947">
        <f>IF(AND('10. Inputs &amp; Calcs'!J$4&lt;('5. Dashboard Live'!$AA$16+'10. Inputs &amp; Calcs'!$K$4),'5. Dashboard Live'!$AA$19='14. Permanent Info'!$N$7),J110*J174,0)</f>
        <v>0</v>
      </c>
      <c r="K373" s="947">
        <f>IF(AND('10. Inputs &amp; Calcs'!K$4&lt;('5. Dashboard Live'!$AA$16+'10. Inputs &amp; Calcs'!$K$4),'5. Dashboard Live'!$AA$19='14. Permanent Info'!$N$7),K110*K174,0)</f>
        <v>0</v>
      </c>
      <c r="L373" s="947">
        <f>IF(AND('10. Inputs &amp; Calcs'!L$4&lt;('5. Dashboard Live'!$AA$16+'10. Inputs &amp; Calcs'!$K$4),'5. Dashboard Live'!$AA$19='14. Permanent Info'!$N$7),L110*L174,0)</f>
        <v>0</v>
      </c>
      <c r="M373" s="947">
        <f>IF(AND('10. Inputs &amp; Calcs'!M$4&lt;('5. Dashboard Live'!$AA$16+'10. Inputs &amp; Calcs'!$K$4),'5. Dashboard Live'!$AA$19='14. Permanent Info'!$N$7),M110*M174,0)</f>
        <v>0</v>
      </c>
      <c r="N373" s="947">
        <f>IF(AND('10. Inputs &amp; Calcs'!N$4&lt;('5. Dashboard Live'!$AA$16+'10. Inputs &amp; Calcs'!$K$4),'5. Dashboard Live'!$AA$19='14. Permanent Info'!$N$7),N110*N174,0)</f>
        <v>0</v>
      </c>
      <c r="O373" s="947">
        <f>IF(AND('10. Inputs &amp; Calcs'!O$4&lt;('5. Dashboard Live'!$AA$16+'10. Inputs &amp; Calcs'!$K$4),'5. Dashboard Live'!$AA$19='14. Permanent Info'!$N$7),O110*O174,0)</f>
        <v>0</v>
      </c>
      <c r="P373" s="947">
        <f>IF(AND('10. Inputs &amp; Calcs'!P$4&lt;('5. Dashboard Live'!$AA$16+'10. Inputs &amp; Calcs'!$K$4),'5. Dashboard Live'!$AA$19='14. Permanent Info'!$N$7),P110*P174,0)</f>
        <v>0</v>
      </c>
      <c r="Q373" s="947">
        <f>IF(AND('10. Inputs &amp; Calcs'!Q$4&lt;('5. Dashboard Live'!$AA$16+'10. Inputs &amp; Calcs'!$K$4),'5. Dashboard Live'!$AA$19='14. Permanent Info'!$N$7),Q110*Q174,0)</f>
        <v>0</v>
      </c>
      <c r="R373" s="947">
        <f>IF(AND('10. Inputs &amp; Calcs'!R$4&lt;('5. Dashboard Live'!$AA$16+'10. Inputs &amp; Calcs'!$K$4),'5. Dashboard Live'!$AA$19='14. Permanent Info'!$N$7),R110*R174,0)</f>
        <v>0</v>
      </c>
      <c r="S373" s="947">
        <f>IF(AND('10. Inputs &amp; Calcs'!S$4&lt;('5. Dashboard Live'!$AA$16+'10. Inputs &amp; Calcs'!$K$4),'5. Dashboard Live'!$AA$19='14. Permanent Info'!$N$7),S110*S174,0)</f>
        <v>0</v>
      </c>
      <c r="T373" s="947">
        <f>IF(AND('10. Inputs &amp; Calcs'!T$4&lt;('5. Dashboard Live'!$AA$16+'10. Inputs &amp; Calcs'!$K$4),'5. Dashboard Live'!$AA$19='14. Permanent Info'!$N$7),T110*T174,0)</f>
        <v>0</v>
      </c>
      <c r="U373" s="947">
        <f>IF(AND('10. Inputs &amp; Calcs'!U$4&lt;('5. Dashboard Live'!$AA$16+'10. Inputs &amp; Calcs'!$K$4),'5. Dashboard Live'!$AA$19='14. Permanent Info'!$N$7),U110*U174,0)</f>
        <v>0</v>
      </c>
      <c r="V373" s="947">
        <f>IF(AND('10. Inputs &amp; Calcs'!V$4&lt;('5. Dashboard Live'!$AA$16+'10. Inputs &amp; Calcs'!$K$4),'5. Dashboard Live'!$AA$19='14. Permanent Info'!$N$7),V110*V174,0)</f>
        <v>0</v>
      </c>
      <c r="W373" s="947">
        <f>IF(AND('10. Inputs &amp; Calcs'!W$4&lt;('5. Dashboard Live'!$AA$16+'10. Inputs &amp; Calcs'!$K$4),'5. Dashboard Live'!$AA$19='14. Permanent Info'!$N$7),W110*W174,0)</f>
        <v>0</v>
      </c>
      <c r="X373" s="947">
        <f>IF(AND('10. Inputs &amp; Calcs'!X$4&lt;('5. Dashboard Live'!$AA$16+'10. Inputs &amp; Calcs'!$K$4),'5. Dashboard Live'!$AA$19='14. Permanent Info'!$N$7),X110*X174,0)</f>
        <v>0</v>
      </c>
      <c r="Y373" s="947">
        <f>IF(AND('10. Inputs &amp; Calcs'!Y$4&lt;('5. Dashboard Live'!$AA$16+'10. Inputs &amp; Calcs'!$K$4),'5. Dashboard Live'!$AA$19='14. Permanent Info'!$N$7),Y110*Y174,0)</f>
        <v>0</v>
      </c>
      <c r="Z373" s="947">
        <f>IF(AND('10. Inputs &amp; Calcs'!Z$4&lt;('5. Dashboard Live'!$AA$16+'10. Inputs &amp; Calcs'!$K$4),'5. Dashboard Live'!$AA$19='14. Permanent Info'!$N$7),Z110*Z174,0)</f>
        <v>0</v>
      </c>
      <c r="AA373" s="947">
        <f>IF(AND('10. Inputs &amp; Calcs'!AA$4&lt;('5. Dashboard Live'!$AA$16+'10. Inputs &amp; Calcs'!$K$4),'5. Dashboard Live'!$AA$19='14. Permanent Info'!$N$7),AA110*AA174,0)</f>
        <v>0</v>
      </c>
      <c r="AB373" s="947">
        <f>IF(AND('10. Inputs &amp; Calcs'!AB$4&lt;('5. Dashboard Live'!$AA$16+'10. Inputs &amp; Calcs'!$K$4),'5. Dashboard Live'!$AA$19='14. Permanent Info'!$N$7),AB110*AB174,0)</f>
        <v>0</v>
      </c>
      <c r="AC373" s="947">
        <f>IF(AND('10. Inputs &amp; Calcs'!AC$4&lt;('5. Dashboard Live'!$AA$16+'10. Inputs &amp; Calcs'!$K$4),'5. Dashboard Live'!$AA$19='14. Permanent Info'!$N$7),AC110*AC174,0)</f>
        <v>0</v>
      </c>
      <c r="AD373" s="612">
        <f>SUM(I373:AC373)</f>
        <v>0</v>
      </c>
    </row>
    <row r="374" spans="1:32" outlineLevel="2" x14ac:dyDescent="0.45">
      <c r="A374" s="1114"/>
      <c r="B374" s="597" t="str">
        <f t="shared" si="134"/>
        <v>Sales</v>
      </c>
      <c r="D374" s="583" t="str">
        <f>'12. Inputs-Props &amp; Debtors 2016'!C$82</f>
        <v>Total</v>
      </c>
      <c r="F374" s="596"/>
      <c r="G374" s="596"/>
      <c r="H374" s="596"/>
      <c r="I374" s="613">
        <f>SUM(I369:I373)</f>
        <v>0</v>
      </c>
      <c r="J374" s="613">
        <f t="shared" ref="J374:AD374" si="146">SUM(J369:J373)</f>
        <v>0</v>
      </c>
      <c r="K374" s="613">
        <f t="shared" si="146"/>
        <v>0</v>
      </c>
      <c r="L374" s="613">
        <f t="shared" si="146"/>
        <v>0</v>
      </c>
      <c r="M374" s="613">
        <f t="shared" si="146"/>
        <v>0</v>
      </c>
      <c r="N374" s="613">
        <f t="shared" si="146"/>
        <v>0</v>
      </c>
      <c r="O374" s="613">
        <f t="shared" si="146"/>
        <v>0</v>
      </c>
      <c r="P374" s="613">
        <f t="shared" si="146"/>
        <v>0</v>
      </c>
      <c r="Q374" s="613">
        <f t="shared" si="146"/>
        <v>0</v>
      </c>
      <c r="R374" s="613">
        <f t="shared" si="146"/>
        <v>0</v>
      </c>
      <c r="S374" s="613">
        <f t="shared" si="146"/>
        <v>0</v>
      </c>
      <c r="T374" s="613">
        <f t="shared" si="146"/>
        <v>0</v>
      </c>
      <c r="U374" s="613">
        <f t="shared" si="146"/>
        <v>0</v>
      </c>
      <c r="V374" s="613">
        <f t="shared" si="146"/>
        <v>0</v>
      </c>
      <c r="W374" s="613">
        <f t="shared" si="146"/>
        <v>0</v>
      </c>
      <c r="X374" s="613">
        <f t="shared" si="146"/>
        <v>0</v>
      </c>
      <c r="Y374" s="613">
        <f t="shared" si="146"/>
        <v>0</v>
      </c>
      <c r="Z374" s="613">
        <f t="shared" si="146"/>
        <v>0</v>
      </c>
      <c r="AA374" s="613">
        <f t="shared" si="146"/>
        <v>0</v>
      </c>
      <c r="AB374" s="613">
        <f t="shared" si="146"/>
        <v>0</v>
      </c>
      <c r="AC374" s="613">
        <f t="shared" si="146"/>
        <v>0</v>
      </c>
      <c r="AD374" s="613">
        <f t="shared" si="146"/>
        <v>0</v>
      </c>
    </row>
    <row r="375" spans="1:32" outlineLevel="2" x14ac:dyDescent="0.45">
      <c r="B375" s="597" t="str">
        <f t="shared" si="134"/>
        <v>Sales</v>
      </c>
      <c r="D375" s="747"/>
      <c r="F375" s="596"/>
      <c r="G375" s="596"/>
      <c r="H375" s="596"/>
      <c r="I375" s="769"/>
      <c r="J375" s="612"/>
      <c r="K375" s="612"/>
      <c r="L375" s="612"/>
      <c r="M375" s="612"/>
      <c r="N375" s="612"/>
      <c r="O375" s="612"/>
      <c r="P375" s="612"/>
      <c r="Q375" s="612"/>
      <c r="R375" s="612"/>
      <c r="S375" s="612"/>
      <c r="T375" s="612"/>
      <c r="U375" s="612"/>
      <c r="V375" s="612"/>
      <c r="W375" s="612"/>
      <c r="X375" s="612"/>
      <c r="Y375" s="612"/>
      <c r="Z375" s="612"/>
      <c r="AA375" s="612"/>
      <c r="AB375" s="612"/>
      <c r="AC375" s="612"/>
      <c r="AD375" s="612">
        <f ca="1">AD365+AD374</f>
        <v>-833560029.54165471</v>
      </c>
    </row>
    <row r="376" spans="1:32" outlineLevel="2" x14ac:dyDescent="0.45">
      <c r="B376" s="597" t="str">
        <f t="shared" si="134"/>
        <v>Sales</v>
      </c>
      <c r="D376" s="747"/>
      <c r="F376" s="596"/>
      <c r="G376" s="596"/>
      <c r="H376" s="596"/>
      <c r="I376" s="769"/>
      <c r="J376" s="612"/>
      <c r="K376" s="612"/>
      <c r="L376" s="769"/>
      <c r="M376" s="612"/>
      <c r="N376" s="612"/>
      <c r="O376" s="612"/>
      <c r="P376" s="612"/>
      <c r="Q376" s="612"/>
      <c r="R376" s="612"/>
      <c r="S376" s="612"/>
      <c r="T376" s="612"/>
      <c r="U376" s="612"/>
      <c r="V376" s="612"/>
      <c r="W376" s="612"/>
      <c r="X376" s="612"/>
      <c r="Y376" s="612"/>
      <c r="Z376" s="612"/>
      <c r="AA376" s="612"/>
      <c r="AB376" s="612"/>
      <c r="AC376" s="612"/>
      <c r="AD376" s="612"/>
    </row>
    <row r="377" spans="1:32" outlineLevel="2" x14ac:dyDescent="0.45">
      <c r="B377" s="597" t="str">
        <f t="shared" si="134"/>
        <v>Sales</v>
      </c>
      <c r="C377" s="451">
        <f>C368+1</f>
        <v>39</v>
      </c>
      <c r="D377" s="451" t="s">
        <v>1615</v>
      </c>
      <c r="F377" s="596"/>
      <c r="G377" s="596"/>
      <c r="H377" s="596"/>
      <c r="I377" s="769"/>
      <c r="J377" s="612"/>
      <c r="K377" s="612"/>
      <c r="L377" s="612"/>
      <c r="M377" s="612"/>
      <c r="N377" s="612"/>
      <c r="O377" s="612"/>
      <c r="P377" s="612"/>
      <c r="Q377" s="612"/>
      <c r="R377" s="612"/>
      <c r="S377" s="612"/>
      <c r="T377" s="612"/>
      <c r="U377" s="612"/>
      <c r="V377" s="612"/>
      <c r="W377" s="612"/>
      <c r="X377" s="612"/>
      <c r="Y377" s="612"/>
      <c r="Z377" s="612"/>
      <c r="AA377" s="612"/>
      <c r="AB377" s="612"/>
      <c r="AC377" s="612"/>
      <c r="AD377" s="612"/>
    </row>
    <row r="378" spans="1:32" outlineLevel="2" x14ac:dyDescent="0.45">
      <c r="B378" s="597" t="str">
        <f t="shared" si="134"/>
        <v>Sales</v>
      </c>
      <c r="D378" s="583" t="str">
        <f>'12. Inputs-Props &amp; Debtors 2016'!C$77</f>
        <v>EC</v>
      </c>
      <c r="F378" s="596"/>
      <c r="G378" s="596"/>
      <c r="H378" s="596"/>
      <c r="I378" s="612">
        <f t="shared" ref="I378:AD378" si="147">I360+I369</f>
        <v>-210409.8845669291</v>
      </c>
      <c r="J378" s="612">
        <f t="shared" si="147"/>
        <v>-210409.8845669291</v>
      </c>
      <c r="K378" s="612">
        <f t="shared" si="147"/>
        <v>-210409.8845669291</v>
      </c>
      <c r="L378" s="612">
        <f t="shared" si="147"/>
        <v>-23378.876062992123</v>
      </c>
      <c r="M378" s="612">
        <f t="shared" si="147"/>
        <v>-23378.876062992123</v>
      </c>
      <c r="N378" s="612">
        <f t="shared" si="147"/>
        <v>-23378.876062992123</v>
      </c>
      <c r="O378" s="612">
        <f t="shared" si="147"/>
        <v>-23378.876062992123</v>
      </c>
      <c r="P378" s="612">
        <f t="shared" si="147"/>
        <v>-23378.876062992123</v>
      </c>
      <c r="Q378" s="612">
        <f t="shared" si="147"/>
        <v>-23378.876062992123</v>
      </c>
      <c r="R378" s="612">
        <f t="shared" si="147"/>
        <v>-23378.876062992123</v>
      </c>
      <c r="S378" s="612">
        <f t="shared" si="147"/>
        <v>-23378.876062992123</v>
      </c>
      <c r="T378" s="612">
        <f t="shared" si="147"/>
        <v>-23378.876062992123</v>
      </c>
      <c r="U378" s="612">
        <f t="shared" si="147"/>
        <v>-23378.876062992123</v>
      </c>
      <c r="V378" s="612">
        <f t="shared" si="147"/>
        <v>-23378.876062992123</v>
      </c>
      <c r="W378" s="612">
        <f t="shared" si="147"/>
        <v>-23378.876062992123</v>
      </c>
      <c r="X378" s="612">
        <f t="shared" si="147"/>
        <v>-23378.876062992123</v>
      </c>
      <c r="Y378" s="612">
        <f t="shared" si="147"/>
        <v>-23378.876062992123</v>
      </c>
      <c r="Z378" s="612">
        <f t="shared" si="147"/>
        <v>-23378.876062992123</v>
      </c>
      <c r="AA378" s="612">
        <f t="shared" si="147"/>
        <v>-23378.876062992123</v>
      </c>
      <c r="AB378" s="612">
        <f>AB360+AB369</f>
        <v>-15759591.013178615</v>
      </c>
      <c r="AC378" s="612">
        <f t="shared" si="147"/>
        <v>0</v>
      </c>
      <c r="AD378" s="612">
        <f t="shared" si="147"/>
        <v>-16764882.683887277</v>
      </c>
      <c r="AE378" s="893">
        <f>'9b. Forecast Results - EC'!J53</f>
        <v>-16764882.683887275</v>
      </c>
      <c r="AF378" s="612">
        <f t="shared" ref="AF378:AF383" si="148">SUM(AD378:AE378)</f>
        <v>-33529765.367774554</v>
      </c>
    </row>
    <row r="379" spans="1:32" outlineLevel="2" x14ac:dyDescent="0.45">
      <c r="B379" s="597" t="str">
        <f t="shared" si="134"/>
        <v>Sales</v>
      </c>
      <c r="D379" s="583" t="str">
        <f>'12. Inputs-Props &amp; Debtors 2016'!C$78</f>
        <v>FS</v>
      </c>
      <c r="F379" s="596"/>
      <c r="G379" s="596"/>
      <c r="H379" s="596"/>
      <c r="I379" s="612">
        <f t="shared" ref="I379:AD379" ca="1" si="149">I361+I370</f>
        <v>-39429</v>
      </c>
      <c r="J379" s="612">
        <f t="shared" ca="1" si="149"/>
        <v>-39429</v>
      </c>
      <c r="K379" s="612">
        <f t="shared" ca="1" si="149"/>
        <v>-39429</v>
      </c>
      <c r="L379" s="612">
        <f t="shared" ca="1" si="149"/>
        <v>-39429</v>
      </c>
      <c r="M379" s="612">
        <f t="shared" ca="1" si="149"/>
        <v>-39429</v>
      </c>
      <c r="N379" s="612">
        <f t="shared" ca="1" si="149"/>
        <v>-39429</v>
      </c>
      <c r="O379" s="612">
        <f t="shared" ca="1" si="149"/>
        <v>-39429</v>
      </c>
      <c r="P379" s="612">
        <f t="shared" ca="1" si="149"/>
        <v>-39429</v>
      </c>
      <c r="Q379" s="612">
        <f t="shared" ca="1" si="149"/>
        <v>-39429</v>
      </c>
      <c r="R379" s="612">
        <f t="shared" ca="1" si="149"/>
        <v>-39429</v>
      </c>
      <c r="S379" s="612">
        <f t="shared" ca="1" si="149"/>
        <v>-39429</v>
      </c>
      <c r="T379" s="612">
        <f t="shared" ca="1" si="149"/>
        <v>-39429</v>
      </c>
      <c r="U379" s="612">
        <f t="shared" ca="1" si="149"/>
        <v>-39429</v>
      </c>
      <c r="V379" s="612">
        <f t="shared" ca="1" si="149"/>
        <v>-39429</v>
      </c>
      <c r="W379" s="612">
        <f t="shared" ca="1" si="149"/>
        <v>-39429</v>
      </c>
      <c r="X379" s="612">
        <f t="shared" ca="1" si="149"/>
        <v>-39429</v>
      </c>
      <c r="Y379" s="612">
        <f t="shared" ca="1" si="149"/>
        <v>-39429</v>
      </c>
      <c r="Z379" s="612">
        <f t="shared" ca="1" si="149"/>
        <v>-39429</v>
      </c>
      <c r="AA379" s="612">
        <f t="shared" ca="1" si="149"/>
        <v>-39429</v>
      </c>
      <c r="AB379" s="612">
        <f t="shared" ca="1" si="149"/>
        <v>-1915744.0499999998</v>
      </c>
      <c r="AC379" s="612">
        <f t="shared" si="149"/>
        <v>0</v>
      </c>
      <c r="AD379" s="612">
        <f t="shared" ca="1" si="149"/>
        <v>-2664895.0499999998</v>
      </c>
      <c r="AE379" s="893">
        <f>'9c. Forecast Results - FS'!J53</f>
        <v>-2664895.0499999998</v>
      </c>
      <c r="AF379" s="612">
        <f t="shared" ca="1" si="148"/>
        <v>-5329790.0999999996</v>
      </c>
    </row>
    <row r="380" spans="1:32" outlineLevel="2" x14ac:dyDescent="0.45">
      <c r="B380" s="597" t="str">
        <f t="shared" ref="B380:B395" si="150">B379</f>
        <v>Sales</v>
      </c>
      <c r="D380" s="583" t="str">
        <f>'12. Inputs-Props &amp; Debtors 2016'!C$79</f>
        <v>Gau</v>
      </c>
      <c r="F380" s="596"/>
      <c r="G380" s="596"/>
      <c r="H380" s="596"/>
      <c r="I380" s="612">
        <f t="shared" ref="I380:AD380" ca="1" si="151">I362+I371</f>
        <v>-1520513.3739093961</v>
      </c>
      <c r="J380" s="612">
        <f t="shared" ca="1" si="151"/>
        <v>-1520513.3739093961</v>
      </c>
      <c r="K380" s="612">
        <f t="shared" ca="1" si="151"/>
        <v>-1520513.3739093961</v>
      </c>
      <c r="L380" s="612">
        <f t="shared" ca="1" si="151"/>
        <v>-1592066.9444463088</v>
      </c>
      <c r="M380" s="612">
        <f t="shared" ca="1" si="151"/>
        <v>-1592066.9444463088</v>
      </c>
      <c r="N380" s="612">
        <f t="shared" ca="1" si="151"/>
        <v>-1592066.9444463088</v>
      </c>
      <c r="O380" s="612">
        <f t="shared" ca="1" si="151"/>
        <v>-1592066.9444463088</v>
      </c>
      <c r="P380" s="612">
        <f t="shared" ca="1" si="151"/>
        <v>-1592066.9444463088</v>
      </c>
      <c r="Q380" s="612">
        <f t="shared" ca="1" si="151"/>
        <v>-1592066.9444463088</v>
      </c>
      <c r="R380" s="612">
        <f t="shared" ca="1" si="151"/>
        <v>-1592066.9444463088</v>
      </c>
      <c r="S380" s="612">
        <f t="shared" ca="1" si="151"/>
        <v>-1592066.9444463088</v>
      </c>
      <c r="T380" s="612">
        <f t="shared" ca="1" si="151"/>
        <v>-1592066.9444463088</v>
      </c>
      <c r="U380" s="612">
        <f t="shared" ca="1" si="151"/>
        <v>-1592066.9444463088</v>
      </c>
      <c r="V380" s="612">
        <f t="shared" ca="1" si="151"/>
        <v>-1592066.9444463088</v>
      </c>
      <c r="W380" s="612">
        <f t="shared" ca="1" si="151"/>
        <v>-1592066.9444463088</v>
      </c>
      <c r="X380" s="612">
        <f t="shared" ca="1" si="151"/>
        <v>-1592066.9444463088</v>
      </c>
      <c r="Y380" s="612">
        <f t="shared" ca="1" si="151"/>
        <v>-1592066.9444463088</v>
      </c>
      <c r="Z380" s="612">
        <f t="shared" ca="1" si="151"/>
        <v>-1592066.9444463088</v>
      </c>
      <c r="AA380" s="612">
        <f t="shared" ca="1" si="151"/>
        <v>-1592066.9444463088</v>
      </c>
      <c r="AB380" s="612">
        <f t="shared" si="151"/>
        <v>-327833973.66228068</v>
      </c>
      <c r="AC380" s="612">
        <f t="shared" si="151"/>
        <v>0</v>
      </c>
      <c r="AD380" s="612">
        <f t="shared" ca="1" si="151"/>
        <v>-357868584.89514983</v>
      </c>
      <c r="AE380" s="893">
        <f>'9d. Forecast Results - Gau'!J53</f>
        <v>-358136910.7846632</v>
      </c>
      <c r="AF380" s="612">
        <f t="shared" ca="1" si="148"/>
        <v>-716005495.67981303</v>
      </c>
    </row>
    <row r="381" spans="1:32" outlineLevel="2" x14ac:dyDescent="0.45">
      <c r="B381" s="597" t="str">
        <f t="shared" si="150"/>
        <v>Sales</v>
      </c>
      <c r="D381" s="583" t="str">
        <f>'12. Inputs-Props &amp; Debtors 2016'!C$80</f>
        <v>KZN</v>
      </c>
      <c r="F381" s="596"/>
      <c r="G381" s="596"/>
      <c r="H381" s="596"/>
      <c r="I381" s="612">
        <f t="shared" ref="I381:AD381" ca="1" si="152">I363+I372</f>
        <v>-5046912</v>
      </c>
      <c r="J381" s="612">
        <f t="shared" ca="1" si="152"/>
        <v>-5046912</v>
      </c>
      <c r="K381" s="612">
        <f t="shared" ca="1" si="152"/>
        <v>-5046912</v>
      </c>
      <c r="L381" s="612">
        <f t="shared" ca="1" si="152"/>
        <v>-2208024</v>
      </c>
      <c r="M381" s="612">
        <f t="shared" ca="1" si="152"/>
        <v>-2208024</v>
      </c>
      <c r="N381" s="612">
        <f t="shared" ca="1" si="152"/>
        <v>-2208024</v>
      </c>
      <c r="O381" s="612">
        <f t="shared" ca="1" si="152"/>
        <v>-2208024</v>
      </c>
      <c r="P381" s="612">
        <f t="shared" ca="1" si="152"/>
        <v>-2208024</v>
      </c>
      <c r="Q381" s="612">
        <f t="shared" ca="1" si="152"/>
        <v>-2208024</v>
      </c>
      <c r="R381" s="612">
        <f t="shared" ca="1" si="152"/>
        <v>-2208024</v>
      </c>
      <c r="S381" s="612">
        <f t="shared" ca="1" si="152"/>
        <v>-2208024</v>
      </c>
      <c r="T381" s="612">
        <f t="shared" ca="1" si="152"/>
        <v>-2208024</v>
      </c>
      <c r="U381" s="612">
        <f t="shared" ca="1" si="152"/>
        <v>-2208024</v>
      </c>
      <c r="V381" s="612">
        <f t="shared" ca="1" si="152"/>
        <v>-2208024</v>
      </c>
      <c r="W381" s="612">
        <f t="shared" ca="1" si="152"/>
        <v>-2208024</v>
      </c>
      <c r="X381" s="612">
        <f t="shared" ca="1" si="152"/>
        <v>-2208024</v>
      </c>
      <c r="Y381" s="612">
        <f t="shared" ca="1" si="152"/>
        <v>-2208024</v>
      </c>
      <c r="Z381" s="612">
        <f t="shared" ca="1" si="152"/>
        <v>-2208024</v>
      </c>
      <c r="AA381" s="612">
        <f t="shared" ca="1" si="152"/>
        <v>-2208024</v>
      </c>
      <c r="AB381" s="612">
        <f t="shared" ca="1" si="152"/>
        <v>-305808966.51299483</v>
      </c>
      <c r="AC381" s="612">
        <f t="shared" si="152"/>
        <v>0</v>
      </c>
      <c r="AD381" s="612">
        <f t="shared" ca="1" si="152"/>
        <v>-356278086.51299483</v>
      </c>
      <c r="AE381" s="893">
        <f>'9e. Forecast Results - KZN'!J53</f>
        <v>-356278086.51299489</v>
      </c>
      <c r="AF381" s="612">
        <f t="shared" ca="1" si="148"/>
        <v>-712556173.02598977</v>
      </c>
    </row>
    <row r="382" spans="1:32" outlineLevel="2" x14ac:dyDescent="0.45">
      <c r="B382" s="597" t="str">
        <f t="shared" si="150"/>
        <v>Sales</v>
      </c>
      <c r="D382" s="583" t="str">
        <f>'12. Inputs-Props &amp; Debtors 2016'!C$81</f>
        <v>WC</v>
      </c>
      <c r="F382" s="596"/>
      <c r="G382" s="596"/>
      <c r="H382" s="596"/>
      <c r="I382" s="612">
        <f t="shared" ref="I382:AD382" ca="1" si="153">I364+I373</f>
        <v>-2811433.6077560242</v>
      </c>
      <c r="J382" s="612">
        <f t="shared" ca="1" si="153"/>
        <v>-2811433.6077560242</v>
      </c>
      <c r="K382" s="612">
        <f t="shared" ca="1" si="153"/>
        <v>-2113169.0515813255</v>
      </c>
      <c r="L382" s="612">
        <f t="shared" ca="1" si="153"/>
        <v>-385883.04420180724</v>
      </c>
      <c r="M382" s="612">
        <f t="shared" ca="1" si="153"/>
        <v>-385883.04420180724</v>
      </c>
      <c r="N382" s="612">
        <f t="shared" ca="1" si="153"/>
        <v>-385883.04420180724</v>
      </c>
      <c r="O382" s="612">
        <f t="shared" ca="1" si="153"/>
        <v>-385883.04420180724</v>
      </c>
      <c r="P382" s="612">
        <f t="shared" ca="1" si="153"/>
        <v>-385883.04420180724</v>
      </c>
      <c r="Q382" s="612">
        <f t="shared" ca="1" si="153"/>
        <v>-385883.04420180724</v>
      </c>
      <c r="R382" s="612">
        <f t="shared" ca="1" si="153"/>
        <v>-385883.04420180724</v>
      </c>
      <c r="S382" s="612">
        <f t="shared" ca="1" si="153"/>
        <v>-385883.04420180724</v>
      </c>
      <c r="T382" s="612">
        <f t="shared" ca="1" si="153"/>
        <v>-385883.04420180724</v>
      </c>
      <c r="U382" s="612">
        <f t="shared" ca="1" si="153"/>
        <v>-385883.04420180724</v>
      </c>
      <c r="V382" s="612">
        <f t="shared" ca="1" si="153"/>
        <v>-385883.04420180724</v>
      </c>
      <c r="W382" s="612">
        <f t="shared" ca="1" si="153"/>
        <v>-385883.04420180724</v>
      </c>
      <c r="X382" s="612">
        <f t="shared" ca="1" si="153"/>
        <v>-385883.04420180724</v>
      </c>
      <c r="Y382" s="612">
        <f t="shared" ca="1" si="153"/>
        <v>-385883.04420180724</v>
      </c>
      <c r="Z382" s="612">
        <f t="shared" ca="1" si="153"/>
        <v>-385883.04420180724</v>
      </c>
      <c r="AA382" s="612">
        <f t="shared" ca="1" si="153"/>
        <v>-385883.04420180724</v>
      </c>
      <c r="AB382" s="612">
        <f t="shared" ca="1" si="153"/>
        <v>-86073415.425300524</v>
      </c>
      <c r="AC382" s="612">
        <f t="shared" si="153"/>
        <v>0</v>
      </c>
      <c r="AD382" s="612">
        <f t="shared" ca="1" si="153"/>
        <v>-99983580.399622828</v>
      </c>
      <c r="AE382" s="893">
        <f>'9f. Forecast Results - WC'!J53</f>
        <v>-99983580.399622828</v>
      </c>
      <c r="AF382" s="612">
        <f t="shared" ca="1" si="148"/>
        <v>-199967160.79924566</v>
      </c>
    </row>
    <row r="383" spans="1:32" outlineLevel="2" x14ac:dyDescent="0.45">
      <c r="B383" s="597" t="str">
        <f t="shared" si="150"/>
        <v>Sales</v>
      </c>
      <c r="D383" s="583" t="str">
        <f>'12. Inputs-Props &amp; Debtors 2016'!C$82</f>
        <v>Total</v>
      </c>
      <c r="F383" s="596"/>
      <c r="G383" s="596"/>
      <c r="H383" s="596"/>
      <c r="I383" s="613">
        <f ca="1">SUM(I378:I382)</f>
        <v>-9628697.8662323505</v>
      </c>
      <c r="J383" s="613">
        <f t="shared" ref="J383:AD383" ca="1" si="154">SUM(J378:J382)</f>
        <v>-9628697.8662323505</v>
      </c>
      <c r="K383" s="613">
        <f t="shared" ca="1" si="154"/>
        <v>-8930433.3100576513</v>
      </c>
      <c r="L383" s="613">
        <f t="shared" ca="1" si="154"/>
        <v>-4248781.8647111077</v>
      </c>
      <c r="M383" s="613">
        <f t="shared" ca="1" si="154"/>
        <v>-4248781.8647111077</v>
      </c>
      <c r="N383" s="613">
        <f t="shared" ca="1" si="154"/>
        <v>-4248781.8647111077</v>
      </c>
      <c r="O383" s="613">
        <f t="shared" ca="1" si="154"/>
        <v>-4248781.8647111077</v>
      </c>
      <c r="P383" s="613">
        <f t="shared" ca="1" si="154"/>
        <v>-4248781.8647111077</v>
      </c>
      <c r="Q383" s="613">
        <f t="shared" ca="1" si="154"/>
        <v>-4248781.8647111077</v>
      </c>
      <c r="R383" s="613">
        <f t="shared" ca="1" si="154"/>
        <v>-4248781.8647111077</v>
      </c>
      <c r="S383" s="613">
        <f t="shared" ca="1" si="154"/>
        <v>-4248781.8647111077</v>
      </c>
      <c r="T383" s="613">
        <f t="shared" ca="1" si="154"/>
        <v>-4248781.8647111077</v>
      </c>
      <c r="U383" s="613">
        <f t="shared" ca="1" si="154"/>
        <v>-4248781.8647111077</v>
      </c>
      <c r="V383" s="613">
        <f t="shared" ca="1" si="154"/>
        <v>-4248781.8647111077</v>
      </c>
      <c r="W383" s="613">
        <f t="shared" ca="1" si="154"/>
        <v>-4248781.8647111077</v>
      </c>
      <c r="X383" s="613">
        <f t="shared" ca="1" si="154"/>
        <v>-4248781.8647111077</v>
      </c>
      <c r="Y383" s="613">
        <f t="shared" ca="1" si="154"/>
        <v>-4248781.8647111077</v>
      </c>
      <c r="Z383" s="613">
        <f t="shared" ca="1" si="154"/>
        <v>-4248781.8647111077</v>
      </c>
      <c r="AA383" s="613">
        <f t="shared" ca="1" si="154"/>
        <v>-4248781.8647111077</v>
      </c>
      <c r="AB383" s="613">
        <f t="shared" ca="1" si="154"/>
        <v>-737391690.66375458</v>
      </c>
      <c r="AC383" s="613">
        <f t="shared" si="154"/>
        <v>0</v>
      </c>
      <c r="AD383" s="613">
        <f t="shared" ca="1" si="154"/>
        <v>-833560029.54165471</v>
      </c>
      <c r="AE383" s="612">
        <f>SUM(AE378:AE382)</f>
        <v>-833828355.4311682</v>
      </c>
      <c r="AF383" s="612">
        <f t="shared" ca="1" si="148"/>
        <v>-1667388384.9728229</v>
      </c>
    </row>
    <row r="384" spans="1:32" outlineLevel="2" x14ac:dyDescent="0.45">
      <c r="B384" s="597" t="str">
        <f t="shared" si="150"/>
        <v>Sales</v>
      </c>
      <c r="D384" s="747"/>
      <c r="F384" s="596"/>
      <c r="G384" s="596"/>
      <c r="H384" s="596"/>
      <c r="I384" s="612">
        <f t="shared" ref="I384:AD384" ca="1" si="155">I236+I254+I218</f>
        <v>9628697.8662323505</v>
      </c>
      <c r="J384" s="612">
        <f t="shared" ca="1" si="155"/>
        <v>9628697.8662323505</v>
      </c>
      <c r="K384" s="612">
        <f t="shared" ca="1" si="155"/>
        <v>8930433.3100576513</v>
      </c>
      <c r="L384" s="612">
        <f t="shared" ca="1" si="155"/>
        <v>4248781.8647111077</v>
      </c>
      <c r="M384" s="612">
        <f t="shared" ca="1" si="155"/>
        <v>4248781.8647111077</v>
      </c>
      <c r="N384" s="612">
        <f t="shared" ca="1" si="155"/>
        <v>4248781.8647111077</v>
      </c>
      <c r="O384" s="612">
        <f t="shared" ca="1" si="155"/>
        <v>4248781.8647111077</v>
      </c>
      <c r="P384" s="612">
        <f t="shared" ca="1" si="155"/>
        <v>4248781.8647111077</v>
      </c>
      <c r="Q384" s="612">
        <f t="shared" ca="1" si="155"/>
        <v>4248781.8647111077</v>
      </c>
      <c r="R384" s="612">
        <f t="shared" ca="1" si="155"/>
        <v>4248781.8647111077</v>
      </c>
      <c r="S384" s="612">
        <f t="shared" ca="1" si="155"/>
        <v>4248781.8647111077</v>
      </c>
      <c r="T384" s="612">
        <f t="shared" ca="1" si="155"/>
        <v>4248781.8647111077</v>
      </c>
      <c r="U384" s="612">
        <f t="shared" ca="1" si="155"/>
        <v>4248781.8647111077</v>
      </c>
      <c r="V384" s="612">
        <f t="shared" ca="1" si="155"/>
        <v>4248781.8647111077</v>
      </c>
      <c r="W384" s="612">
        <f t="shared" ca="1" si="155"/>
        <v>4248781.8647111077</v>
      </c>
      <c r="X384" s="612">
        <f t="shared" ca="1" si="155"/>
        <v>4248781.8647111077</v>
      </c>
      <c r="Y384" s="612">
        <f t="shared" ca="1" si="155"/>
        <v>4248781.8647111077</v>
      </c>
      <c r="Z384" s="612">
        <f t="shared" ca="1" si="155"/>
        <v>4248781.8647111077</v>
      </c>
      <c r="AA384" s="612">
        <f t="shared" ca="1" si="155"/>
        <v>4248781.8647111077</v>
      </c>
      <c r="AB384" s="612">
        <f ca="1">AB236+AB254+AB218</f>
        <v>737660016.55326807</v>
      </c>
      <c r="AC384" s="612">
        <f t="shared" ca="1" si="155"/>
        <v>0</v>
      </c>
      <c r="AD384" s="612">
        <f t="shared" ca="1" si="155"/>
        <v>833828355.4311682</v>
      </c>
    </row>
    <row r="385" spans="2:30" outlineLevel="2" x14ac:dyDescent="0.45">
      <c r="B385" s="597" t="str">
        <f t="shared" si="150"/>
        <v>Sales</v>
      </c>
      <c r="D385" s="747"/>
      <c r="F385" s="596"/>
      <c r="G385" s="596"/>
      <c r="H385" s="596"/>
      <c r="I385" s="612">
        <f t="shared" ref="I385:AA385" ca="1" si="156">I383+I384</f>
        <v>0</v>
      </c>
      <c r="J385" s="612">
        <f t="shared" ca="1" si="156"/>
        <v>0</v>
      </c>
      <c r="K385" s="612">
        <f t="shared" ca="1" si="156"/>
        <v>0</v>
      </c>
      <c r="L385" s="612">
        <f t="shared" ca="1" si="156"/>
        <v>0</v>
      </c>
      <c r="M385" s="612">
        <f t="shared" ca="1" si="156"/>
        <v>0</v>
      </c>
      <c r="N385" s="612">
        <f t="shared" ca="1" si="156"/>
        <v>0</v>
      </c>
      <c r="O385" s="612">
        <f t="shared" ca="1" si="156"/>
        <v>0</v>
      </c>
      <c r="P385" s="612">
        <f t="shared" ca="1" si="156"/>
        <v>0</v>
      </c>
      <c r="Q385" s="612">
        <f t="shared" ca="1" si="156"/>
        <v>0</v>
      </c>
      <c r="R385" s="612">
        <f t="shared" ca="1" si="156"/>
        <v>0</v>
      </c>
      <c r="S385" s="612">
        <f t="shared" ca="1" si="156"/>
        <v>0</v>
      </c>
      <c r="T385" s="612">
        <f t="shared" ca="1" si="156"/>
        <v>0</v>
      </c>
      <c r="U385" s="612">
        <f t="shared" ca="1" si="156"/>
        <v>0</v>
      </c>
      <c r="V385" s="612">
        <f t="shared" ca="1" si="156"/>
        <v>0</v>
      </c>
      <c r="W385" s="612">
        <f t="shared" ca="1" si="156"/>
        <v>0</v>
      </c>
      <c r="X385" s="612">
        <f t="shared" ca="1" si="156"/>
        <v>0</v>
      </c>
      <c r="Y385" s="612">
        <f t="shared" ca="1" si="156"/>
        <v>0</v>
      </c>
      <c r="Z385" s="612">
        <f t="shared" ca="1" si="156"/>
        <v>0</v>
      </c>
      <c r="AA385" s="612">
        <f t="shared" ca="1" si="156"/>
        <v>0</v>
      </c>
      <c r="AB385" s="612">
        <f ca="1">AB383+AB384</f>
        <v>268325.88951349258</v>
      </c>
      <c r="AC385" s="612"/>
      <c r="AD385" s="612"/>
    </row>
    <row r="386" spans="2:30" outlineLevel="2" x14ac:dyDescent="0.45">
      <c r="B386" s="597" t="str">
        <f t="shared" si="150"/>
        <v>Sales</v>
      </c>
      <c r="C386" s="451">
        <f>C377+1</f>
        <v>40</v>
      </c>
      <c r="D386" s="451" t="s">
        <v>1623</v>
      </c>
      <c r="F386" s="596"/>
      <c r="G386" s="596"/>
      <c r="H386" s="596"/>
      <c r="I386" s="769"/>
      <c r="J386" s="612"/>
      <c r="K386" s="612"/>
      <c r="L386" s="612"/>
      <c r="M386" s="612"/>
      <c r="N386" s="612"/>
      <c r="O386" s="612"/>
      <c r="P386" s="612"/>
      <c r="Q386" s="612"/>
      <c r="R386" s="612"/>
      <c r="S386" s="612"/>
      <c r="T386" s="612"/>
      <c r="U386" s="612"/>
      <c r="V386" s="612"/>
      <c r="W386" s="612"/>
      <c r="X386" s="612"/>
      <c r="Y386" s="612"/>
      <c r="Z386" s="612"/>
      <c r="AA386" s="612"/>
      <c r="AB386" s="612"/>
      <c r="AC386" s="612"/>
      <c r="AD386" s="612"/>
    </row>
    <row r="387" spans="2:30" outlineLevel="2" x14ac:dyDescent="0.45">
      <c r="B387" s="597" t="str">
        <f t="shared" si="150"/>
        <v>Sales</v>
      </c>
      <c r="D387" s="583" t="str">
        <f>'12. Inputs-Props &amp; Debtors 2016'!C$77</f>
        <v>EC</v>
      </c>
      <c r="F387" s="596"/>
      <c r="G387" s="596"/>
      <c r="H387" s="596"/>
      <c r="I387" s="769"/>
      <c r="J387" s="612"/>
      <c r="K387" s="612"/>
      <c r="L387" s="612"/>
      <c r="M387" s="612"/>
      <c r="N387" s="612"/>
      <c r="O387" s="612"/>
      <c r="P387" s="612"/>
      <c r="Q387" s="612"/>
      <c r="R387" s="612"/>
      <c r="S387" s="612"/>
      <c r="T387" s="612"/>
      <c r="U387" s="612"/>
      <c r="V387" s="612"/>
      <c r="W387" s="612"/>
      <c r="X387" s="612"/>
      <c r="Y387" s="612"/>
      <c r="Z387" s="612"/>
      <c r="AA387" s="612"/>
      <c r="AB387" s="612"/>
      <c r="AC387" s="612"/>
      <c r="AD387" s="612"/>
    </row>
    <row r="388" spans="2:30" outlineLevel="2" x14ac:dyDescent="0.45">
      <c r="B388" s="597" t="str">
        <f t="shared" si="150"/>
        <v>Sales</v>
      </c>
      <c r="D388" s="583" t="str">
        <f>'12. Inputs-Props &amp; Debtors 2016'!C$78</f>
        <v>FS</v>
      </c>
      <c r="F388" s="596"/>
      <c r="G388" s="596"/>
      <c r="H388" s="596"/>
      <c r="I388" s="769"/>
      <c r="J388" s="612"/>
      <c r="K388" s="612"/>
      <c r="L388" s="612"/>
      <c r="M388" s="612"/>
      <c r="N388" s="612"/>
      <c r="O388" s="612"/>
      <c r="P388" s="612"/>
      <c r="Q388" s="612"/>
      <c r="R388" s="612"/>
      <c r="S388" s="612"/>
      <c r="T388" s="612"/>
      <c r="U388" s="612"/>
      <c r="V388" s="612"/>
      <c r="W388" s="612"/>
      <c r="X388" s="612"/>
      <c r="Y388" s="612"/>
      <c r="Z388" s="612"/>
      <c r="AA388" s="612"/>
      <c r="AB388" s="612"/>
      <c r="AC388" s="612"/>
      <c r="AD388" s="612"/>
    </row>
    <row r="389" spans="2:30" outlineLevel="2" x14ac:dyDescent="0.45">
      <c r="B389" s="597" t="str">
        <f t="shared" si="150"/>
        <v>Sales</v>
      </c>
      <c r="D389" s="583" t="str">
        <f>'12. Inputs-Props &amp; Debtors 2016'!C$79</f>
        <v>Gau</v>
      </c>
      <c r="F389" s="596"/>
      <c r="G389" s="596"/>
      <c r="H389" s="596"/>
      <c r="I389" s="769"/>
      <c r="J389" s="612"/>
      <c r="K389" s="612"/>
      <c r="L389" s="612"/>
      <c r="M389" s="612"/>
      <c r="N389" s="612"/>
      <c r="O389" s="612"/>
      <c r="P389" s="612"/>
      <c r="Q389" s="612"/>
      <c r="R389" s="612"/>
      <c r="S389" s="612"/>
      <c r="T389" s="612"/>
      <c r="U389" s="612"/>
      <c r="V389" s="612"/>
      <c r="W389" s="612"/>
      <c r="X389" s="612"/>
      <c r="Y389" s="612"/>
      <c r="Z389" s="612"/>
      <c r="AA389" s="612"/>
      <c r="AB389" s="612"/>
      <c r="AC389" s="612"/>
      <c r="AD389" s="612"/>
    </row>
    <row r="390" spans="2:30" outlineLevel="2" x14ac:dyDescent="0.45">
      <c r="B390" s="597" t="str">
        <f t="shared" si="150"/>
        <v>Sales</v>
      </c>
      <c r="D390" s="583" t="str">
        <f>'12. Inputs-Props &amp; Debtors 2016'!C$80</f>
        <v>KZN</v>
      </c>
      <c r="F390" s="596"/>
      <c r="G390" s="596"/>
      <c r="H390" s="596"/>
      <c r="I390" s="769"/>
      <c r="J390" s="612"/>
      <c r="K390" s="612"/>
      <c r="L390" s="612"/>
      <c r="M390" s="612"/>
      <c r="N390" s="612"/>
      <c r="O390" s="612"/>
      <c r="P390" s="612"/>
      <c r="Q390" s="612"/>
      <c r="R390" s="612"/>
      <c r="S390" s="612"/>
      <c r="T390" s="612"/>
      <c r="U390" s="612"/>
      <c r="V390" s="612"/>
      <c r="W390" s="612"/>
      <c r="X390" s="612"/>
      <c r="Y390" s="612"/>
      <c r="Z390" s="612"/>
      <c r="AA390" s="612"/>
      <c r="AB390" s="612"/>
      <c r="AC390" s="612"/>
      <c r="AD390" s="612"/>
    </row>
    <row r="391" spans="2:30" outlineLevel="2" x14ac:dyDescent="0.45">
      <c r="B391" s="597" t="str">
        <f t="shared" si="150"/>
        <v>Sales</v>
      </c>
      <c r="D391" s="583" t="str">
        <f>'12. Inputs-Props &amp; Debtors 2016'!C$81</f>
        <v>WC</v>
      </c>
      <c r="F391" s="596"/>
      <c r="G391" s="596"/>
      <c r="H391" s="596"/>
      <c r="I391" s="769"/>
      <c r="J391" s="612"/>
      <c r="K391" s="612"/>
      <c r="L391" s="612"/>
      <c r="M391" s="612"/>
      <c r="N391" s="612"/>
      <c r="O391" s="612"/>
      <c r="P391" s="612"/>
      <c r="Q391" s="612"/>
      <c r="R391" s="612"/>
      <c r="S391" s="612"/>
      <c r="T391" s="612"/>
      <c r="U391" s="612"/>
      <c r="V391" s="612"/>
      <c r="W391" s="612"/>
      <c r="X391" s="612"/>
      <c r="Y391" s="612"/>
      <c r="Z391" s="612"/>
      <c r="AA391" s="612"/>
      <c r="AB391" s="612"/>
      <c r="AC391" s="612"/>
      <c r="AD391" s="612"/>
    </row>
    <row r="392" spans="2:30" outlineLevel="2" x14ac:dyDescent="0.45">
      <c r="B392" s="597" t="str">
        <f t="shared" si="150"/>
        <v>Sales</v>
      </c>
      <c r="D392" s="583" t="str">
        <f>'12. Inputs-Props &amp; Debtors 2016'!C$82</f>
        <v>Total</v>
      </c>
      <c r="F392" s="596"/>
      <c r="G392" s="596"/>
      <c r="H392" s="596"/>
      <c r="I392" s="612"/>
      <c r="J392" s="612"/>
      <c r="K392" s="612"/>
      <c r="L392" s="612"/>
      <c r="M392" s="612"/>
      <c r="N392" s="612"/>
      <c r="O392" s="612"/>
      <c r="P392" s="612"/>
      <c r="Q392" s="612"/>
      <c r="R392" s="612"/>
      <c r="S392" s="612"/>
      <c r="T392" s="612"/>
      <c r="U392" s="612"/>
      <c r="V392" s="612"/>
      <c r="W392" s="612"/>
      <c r="X392" s="612"/>
      <c r="Y392" s="612"/>
      <c r="Z392" s="612"/>
      <c r="AA392" s="612"/>
      <c r="AB392" s="612"/>
      <c r="AC392" s="612"/>
      <c r="AD392" s="612"/>
    </row>
    <row r="393" spans="2:30" outlineLevel="2" x14ac:dyDescent="0.45">
      <c r="B393" s="597" t="str">
        <f t="shared" si="150"/>
        <v>Sales</v>
      </c>
      <c r="D393" s="747"/>
      <c r="F393" s="596"/>
      <c r="G393" s="596"/>
      <c r="H393" s="596"/>
      <c r="I393" s="612"/>
      <c r="J393" s="612"/>
      <c r="K393" s="612"/>
      <c r="L393" s="612"/>
      <c r="M393" s="612"/>
      <c r="N393" s="612"/>
      <c r="O393" s="612"/>
      <c r="P393" s="612"/>
      <c r="Q393" s="612"/>
      <c r="R393" s="612"/>
      <c r="S393" s="612"/>
      <c r="T393" s="612"/>
      <c r="U393" s="612"/>
      <c r="V393" s="612"/>
      <c r="W393" s="612"/>
      <c r="X393" s="612"/>
      <c r="Y393" s="612"/>
      <c r="Z393" s="612"/>
      <c r="AA393" s="612"/>
      <c r="AB393" s="612"/>
      <c r="AC393" s="612"/>
      <c r="AD393" s="612"/>
    </row>
    <row r="394" spans="2:30" outlineLevel="2" x14ac:dyDescent="0.45">
      <c r="B394" s="597" t="str">
        <f t="shared" si="150"/>
        <v>Sales</v>
      </c>
      <c r="F394" s="596"/>
      <c r="G394" s="596"/>
      <c r="H394" s="596"/>
      <c r="I394" s="612"/>
      <c r="J394" s="612"/>
      <c r="K394" s="612"/>
      <c r="L394" s="612"/>
      <c r="M394" s="612"/>
      <c r="N394" s="612"/>
      <c r="O394" s="612"/>
      <c r="P394" s="612"/>
      <c r="Q394" s="612"/>
      <c r="R394" s="612"/>
      <c r="S394" s="612"/>
      <c r="T394" s="612"/>
      <c r="U394" s="612"/>
      <c r="V394" s="612"/>
      <c r="W394" s="612"/>
      <c r="X394" s="612"/>
      <c r="Y394" s="612"/>
      <c r="Z394" s="612"/>
      <c r="AA394" s="612"/>
      <c r="AB394" s="612"/>
      <c r="AC394" s="612"/>
      <c r="AD394" s="612"/>
    </row>
    <row r="395" spans="2:30" outlineLevel="2" x14ac:dyDescent="0.45">
      <c r="B395" s="597" t="str">
        <f t="shared" si="150"/>
        <v>Sales</v>
      </c>
      <c r="C395" s="451">
        <f>C386+1</f>
        <v>41</v>
      </c>
      <c r="D395" s="451" t="s">
        <v>1574</v>
      </c>
      <c r="F395" s="596"/>
      <c r="G395" s="596"/>
      <c r="H395" s="596"/>
      <c r="I395" s="596"/>
      <c r="J395" s="747" t="s">
        <v>1553</v>
      </c>
    </row>
    <row r="396" spans="2:30" outlineLevel="2" x14ac:dyDescent="0.45">
      <c r="B396" s="597" t="str">
        <f t="shared" si="60"/>
        <v>Sales</v>
      </c>
      <c r="D396" s="583" t="str">
        <f>'12. Inputs-Props &amp; Debtors 2016'!C$77</f>
        <v>EC</v>
      </c>
      <c r="F396" s="596"/>
      <c r="G396" s="596"/>
      <c r="H396" s="612">
        <f>H78*H170</f>
        <v>8780700.9399999995</v>
      </c>
      <c r="I396" s="991">
        <f t="shared" ref="I396:AC396" si="157">IF(I115&gt;=1,I170*I115,0)</f>
        <v>10167127.404210525</v>
      </c>
      <c r="J396" s="991">
        <f t="shared" si="157"/>
        <v>11553553.868421052</v>
      </c>
      <c r="K396" s="991">
        <f t="shared" si="157"/>
        <v>12939980.332631577</v>
      </c>
      <c r="L396" s="612">
        <f t="shared" si="157"/>
        <v>13094027.717543859</v>
      </c>
      <c r="M396" s="612">
        <f t="shared" si="157"/>
        <v>13248075.102456139</v>
      </c>
      <c r="N396" s="612">
        <f t="shared" si="157"/>
        <v>13402122.48736842</v>
      </c>
      <c r="O396" s="612">
        <f t="shared" si="157"/>
        <v>13556169.8722807</v>
      </c>
      <c r="P396" s="612">
        <f t="shared" si="157"/>
        <v>13710217.25719298</v>
      </c>
      <c r="Q396" s="612">
        <f t="shared" si="157"/>
        <v>13864264.642105261</v>
      </c>
      <c r="R396" s="612">
        <f t="shared" si="157"/>
        <v>14018312.027017543</v>
      </c>
      <c r="S396" s="612">
        <f t="shared" si="157"/>
        <v>14172359.411929823</v>
      </c>
      <c r="T396" s="612">
        <f t="shared" si="157"/>
        <v>14326406.796842104</v>
      </c>
      <c r="U396" s="612">
        <f t="shared" si="157"/>
        <v>14480454.181754384</v>
      </c>
      <c r="V396" s="612">
        <f t="shared" si="157"/>
        <v>14634501.566666665</v>
      </c>
      <c r="W396" s="612">
        <f t="shared" si="157"/>
        <v>14788548.951578945</v>
      </c>
      <c r="X396" s="612">
        <f t="shared" si="157"/>
        <v>14942596.336491227</v>
      </c>
      <c r="Y396" s="612">
        <f t="shared" si="157"/>
        <v>15096643.721403508</v>
      </c>
      <c r="Z396" s="612">
        <f t="shared" si="157"/>
        <v>15250691.106315788</v>
      </c>
      <c r="AA396" s="612">
        <f t="shared" si="157"/>
        <v>15404738.491228068</v>
      </c>
      <c r="AB396" s="612">
        <f t="shared" si="157"/>
        <v>0</v>
      </c>
      <c r="AC396" s="612">
        <f t="shared" si="157"/>
        <v>0</v>
      </c>
    </row>
    <row r="397" spans="2:30" outlineLevel="2" x14ac:dyDescent="0.45">
      <c r="B397" s="597" t="str">
        <f t="shared" si="60"/>
        <v>Sales</v>
      </c>
      <c r="D397" s="583" t="str">
        <f>'12. Inputs-Props &amp; Debtors 2016'!C$78</f>
        <v>FS</v>
      </c>
      <c r="F397" s="596"/>
      <c r="G397" s="596"/>
      <c r="H397" s="612">
        <f>H79*H171</f>
        <v>35073.449999999997</v>
      </c>
      <c r="I397" s="991">
        <f t="shared" ref="I397:AC397" si="158">IF(I116&gt;=1,I171*I116,0)</f>
        <v>105220.34999999999</v>
      </c>
      <c r="J397" s="991">
        <f t="shared" si="158"/>
        <v>175367.25</v>
      </c>
      <c r="K397" s="991">
        <f t="shared" si="158"/>
        <v>245514.14999999997</v>
      </c>
      <c r="L397" s="612">
        <f t="shared" si="158"/>
        <v>315661.05</v>
      </c>
      <c r="M397" s="612">
        <f t="shared" si="158"/>
        <v>385807.94999999995</v>
      </c>
      <c r="N397" s="612">
        <f t="shared" si="158"/>
        <v>455954.85</v>
      </c>
      <c r="O397" s="612">
        <f t="shared" si="158"/>
        <v>526101.75</v>
      </c>
      <c r="P397" s="612">
        <f t="shared" si="158"/>
        <v>596248.64999999991</v>
      </c>
      <c r="Q397" s="612">
        <f t="shared" si="158"/>
        <v>666395.54999999993</v>
      </c>
      <c r="R397" s="612">
        <f t="shared" si="158"/>
        <v>736542.45</v>
      </c>
      <c r="S397" s="612">
        <f t="shared" si="158"/>
        <v>806689.35</v>
      </c>
      <c r="T397" s="612">
        <f t="shared" si="158"/>
        <v>876836.24999999988</v>
      </c>
      <c r="U397" s="612">
        <f t="shared" si="158"/>
        <v>946983.14999999991</v>
      </c>
      <c r="V397" s="612">
        <f t="shared" si="158"/>
        <v>1017130.0499999999</v>
      </c>
      <c r="W397" s="612">
        <f t="shared" si="158"/>
        <v>1087276.95</v>
      </c>
      <c r="X397" s="612">
        <f t="shared" si="158"/>
        <v>1157423.8499999999</v>
      </c>
      <c r="Y397" s="612">
        <f t="shared" si="158"/>
        <v>1227570.75</v>
      </c>
      <c r="Z397" s="612">
        <f t="shared" si="158"/>
        <v>1297717.6499999999</v>
      </c>
      <c r="AA397" s="612">
        <f t="shared" si="158"/>
        <v>1367864.5499999998</v>
      </c>
      <c r="AB397" s="612">
        <f t="shared" si="158"/>
        <v>0</v>
      </c>
      <c r="AC397" s="612">
        <f t="shared" si="158"/>
        <v>0</v>
      </c>
    </row>
    <row r="398" spans="2:30" outlineLevel="2" x14ac:dyDescent="0.45">
      <c r="B398" s="597" t="str">
        <f t="shared" si="60"/>
        <v>Sales</v>
      </c>
      <c r="D398" s="583" t="str">
        <f>'12. Inputs-Props &amp; Debtors 2016'!C$79</f>
        <v>Gau</v>
      </c>
      <c r="F398" s="596"/>
      <c r="G398" s="596"/>
      <c r="H398" s="612">
        <f>H80*H172</f>
        <v>69531298.599999994</v>
      </c>
      <c r="I398" s="991">
        <f t="shared" ref="I398:AC398" si="159">IF(I117&gt;=1,I172*I117,0)</f>
        <v>82492176.628508762</v>
      </c>
      <c r="J398" s="991">
        <f t="shared" si="159"/>
        <v>95453054.657017544</v>
      </c>
      <c r="K398" s="991">
        <f t="shared" si="159"/>
        <v>108413932.68552631</v>
      </c>
      <c r="L398" s="612">
        <f t="shared" si="159"/>
        <v>121984734.3859649</v>
      </c>
      <c r="M398" s="612">
        <f t="shared" si="159"/>
        <v>135555536.08640349</v>
      </c>
      <c r="N398" s="612">
        <f t="shared" si="159"/>
        <v>149126337.78684211</v>
      </c>
      <c r="O398" s="612">
        <f t="shared" si="159"/>
        <v>162697139.4872807</v>
      </c>
      <c r="P398" s="612">
        <f t="shared" si="159"/>
        <v>176267941.18771929</v>
      </c>
      <c r="Q398" s="612">
        <f t="shared" si="159"/>
        <v>189838742.88815787</v>
      </c>
      <c r="R398" s="612">
        <f t="shared" si="159"/>
        <v>203409544.58859646</v>
      </c>
      <c r="S398" s="612">
        <f t="shared" si="159"/>
        <v>216980346.28903508</v>
      </c>
      <c r="T398" s="612">
        <f t="shared" si="159"/>
        <v>230551147.98947367</v>
      </c>
      <c r="U398" s="612">
        <f t="shared" si="159"/>
        <v>244121949.68991226</v>
      </c>
      <c r="V398" s="612">
        <f t="shared" si="159"/>
        <v>257692751.39035085</v>
      </c>
      <c r="W398" s="612">
        <f t="shared" si="159"/>
        <v>271263553.09078944</v>
      </c>
      <c r="X398" s="612">
        <f t="shared" si="159"/>
        <v>284834354.79122806</v>
      </c>
      <c r="Y398" s="612">
        <f t="shared" si="159"/>
        <v>298405156.49166662</v>
      </c>
      <c r="Z398" s="612">
        <f t="shared" si="159"/>
        <v>311975958.19210523</v>
      </c>
      <c r="AA398" s="612">
        <f t="shared" si="159"/>
        <v>325546759.89254385</v>
      </c>
      <c r="AB398" s="612">
        <f t="shared" si="159"/>
        <v>0</v>
      </c>
      <c r="AC398" s="612">
        <f t="shared" si="159"/>
        <v>0</v>
      </c>
    </row>
    <row r="399" spans="2:30" outlineLevel="2" x14ac:dyDescent="0.45">
      <c r="B399" s="597" t="str">
        <f t="shared" si="60"/>
        <v>Sales</v>
      </c>
      <c r="D399" s="583" t="str">
        <f>'12. Inputs-Props &amp; Debtors 2016'!C$80</f>
        <v>KZN</v>
      </c>
      <c r="F399" s="596"/>
      <c r="G399" s="596"/>
      <c r="H399" s="612">
        <f>H81*H173</f>
        <v>71198252.709999993</v>
      </c>
      <c r="I399" s="991">
        <f t="shared" ref="I399:AC399" si="160">IF(I118&gt;=1,I173*I118,0)</f>
        <v>94625955.401208222</v>
      </c>
      <c r="J399" s="991">
        <f t="shared" si="160"/>
        <v>118053658.09241645</v>
      </c>
      <c r="K399" s="991">
        <f t="shared" si="160"/>
        <v>141481360.78362468</v>
      </c>
      <c r="L399" s="612">
        <f t="shared" si="160"/>
        <v>151730980.71102828</v>
      </c>
      <c r="M399" s="612">
        <f t="shared" si="160"/>
        <v>161980600.63843188</v>
      </c>
      <c r="N399" s="612">
        <f t="shared" si="160"/>
        <v>172230220.56583548</v>
      </c>
      <c r="O399" s="612">
        <f t="shared" si="160"/>
        <v>182479840.49323907</v>
      </c>
      <c r="P399" s="612">
        <f t="shared" si="160"/>
        <v>192729460.42064267</v>
      </c>
      <c r="Q399" s="612">
        <f t="shared" si="160"/>
        <v>202979080.34804627</v>
      </c>
      <c r="R399" s="612">
        <f t="shared" si="160"/>
        <v>213228700.27544987</v>
      </c>
      <c r="S399" s="612">
        <f t="shared" si="160"/>
        <v>223478320.20285347</v>
      </c>
      <c r="T399" s="612">
        <f t="shared" si="160"/>
        <v>233727940.13025704</v>
      </c>
      <c r="U399" s="612">
        <f t="shared" si="160"/>
        <v>243977560.05766064</v>
      </c>
      <c r="V399" s="612">
        <f t="shared" si="160"/>
        <v>254227179.98506424</v>
      </c>
      <c r="W399" s="612">
        <f t="shared" si="160"/>
        <v>264476799.91246784</v>
      </c>
      <c r="X399" s="612">
        <f t="shared" si="160"/>
        <v>274726419.83987147</v>
      </c>
      <c r="Y399" s="612">
        <f t="shared" si="160"/>
        <v>284976039.76727504</v>
      </c>
      <c r="Z399" s="612">
        <f t="shared" si="160"/>
        <v>295225659.69467866</v>
      </c>
      <c r="AA399" s="612">
        <f t="shared" si="160"/>
        <v>305475279.62208223</v>
      </c>
      <c r="AB399" s="612">
        <f t="shared" si="160"/>
        <v>0</v>
      </c>
      <c r="AC399" s="612">
        <f t="shared" si="160"/>
        <v>0</v>
      </c>
    </row>
    <row r="400" spans="2:30" outlineLevel="2" x14ac:dyDescent="0.45">
      <c r="B400" s="597" t="str">
        <f t="shared" si="60"/>
        <v>Sales</v>
      </c>
      <c r="D400" s="583" t="str">
        <f>'12. Inputs-Props &amp; Debtors 2016'!C$81</f>
        <v>WC</v>
      </c>
      <c r="F400" s="596"/>
      <c r="G400" s="596"/>
      <c r="H400" s="612">
        <f>H82*H174</f>
        <v>46208161.329999998</v>
      </c>
      <c r="I400" s="991">
        <f t="shared" ref="I400:AC400" si="161">IF(I119&gt;=1,I174*I119,0)</f>
        <v>54151811.536168531</v>
      </c>
      <c r="J400" s="991">
        <f t="shared" si="161"/>
        <v>62095461.74233707</v>
      </c>
      <c r="K400" s="991">
        <f t="shared" si="161"/>
        <v>68066179.217561796</v>
      </c>
      <c r="L400" s="612">
        <f t="shared" si="161"/>
        <v>69156484.147820219</v>
      </c>
      <c r="M400" s="612">
        <f t="shared" si="161"/>
        <v>70246789.078078642</v>
      </c>
      <c r="N400" s="612">
        <f t="shared" si="161"/>
        <v>71337094.008337066</v>
      </c>
      <c r="O400" s="612">
        <f t="shared" si="161"/>
        <v>72427398.938595504</v>
      </c>
      <c r="P400" s="612">
        <f t="shared" si="161"/>
        <v>73517703.868853927</v>
      </c>
      <c r="Q400" s="612">
        <f t="shared" si="161"/>
        <v>74608008.79911235</v>
      </c>
      <c r="R400" s="612">
        <f t="shared" si="161"/>
        <v>75698313.729370773</v>
      </c>
      <c r="S400" s="612">
        <f t="shared" si="161"/>
        <v>76788618.659629211</v>
      </c>
      <c r="T400" s="612">
        <f t="shared" si="161"/>
        <v>77878923.589887634</v>
      </c>
      <c r="U400" s="612">
        <f t="shared" si="161"/>
        <v>78969228.520146057</v>
      </c>
      <c r="V400" s="612">
        <f t="shared" si="161"/>
        <v>80059533.45040448</v>
      </c>
      <c r="W400" s="612">
        <f t="shared" si="161"/>
        <v>81149838.380662918</v>
      </c>
      <c r="X400" s="612">
        <f t="shared" si="161"/>
        <v>82240143.310921341</v>
      </c>
      <c r="Y400" s="612">
        <f t="shared" si="161"/>
        <v>83330448.241179764</v>
      </c>
      <c r="Z400" s="612">
        <f t="shared" si="161"/>
        <v>84420753.171438187</v>
      </c>
      <c r="AA400" s="612">
        <f t="shared" si="161"/>
        <v>85511058.101696625</v>
      </c>
      <c r="AB400" s="612">
        <f t="shared" si="161"/>
        <v>0</v>
      </c>
      <c r="AC400" s="612">
        <f t="shared" si="161"/>
        <v>0</v>
      </c>
    </row>
    <row r="401" spans="2:29" outlineLevel="1" x14ac:dyDescent="0.45">
      <c r="B401" s="597" t="str">
        <f t="shared" si="60"/>
        <v>Sales</v>
      </c>
      <c r="D401" s="583" t="str">
        <f>'12. Inputs-Props &amp; Debtors 2016'!C$82</f>
        <v>Total</v>
      </c>
      <c r="F401" s="596"/>
      <c r="G401" s="596"/>
      <c r="H401" s="613">
        <f>SUM(H396:H400)</f>
        <v>195753487.02999997</v>
      </c>
      <c r="I401" s="613">
        <f>SUM(I396:I400)</f>
        <v>241542291.32009602</v>
      </c>
      <c r="J401" s="613">
        <f>SUM(J396:J400)</f>
        <v>287331095.61019212</v>
      </c>
      <c r="K401" s="613">
        <f>SUM(K396:K400)</f>
        <v>331146967.16934437</v>
      </c>
      <c r="L401" s="613">
        <f>SUM(L396:L400)</f>
        <v>356281888.01235723</v>
      </c>
      <c r="M401" s="613">
        <f t="shared" ref="M401:AC401" si="162">SUM(M396:M400)</f>
        <v>381416808.85537016</v>
      </c>
      <c r="N401" s="613">
        <f t="shared" si="162"/>
        <v>406551729.69838309</v>
      </c>
      <c r="O401" s="613">
        <f t="shared" si="162"/>
        <v>431686650.54139602</v>
      </c>
      <c r="P401" s="613">
        <f t="shared" si="162"/>
        <v>456821571.38440883</v>
      </c>
      <c r="Q401" s="613">
        <f t="shared" si="162"/>
        <v>481956492.22742176</v>
      </c>
      <c r="R401" s="613">
        <f t="shared" si="162"/>
        <v>507091413.07043463</v>
      </c>
      <c r="S401" s="613">
        <f t="shared" si="162"/>
        <v>532226333.91344762</v>
      </c>
      <c r="T401" s="613">
        <f t="shared" si="162"/>
        <v>557361254.75646043</v>
      </c>
      <c r="U401" s="613">
        <f t="shared" si="162"/>
        <v>582496175.59947336</v>
      </c>
      <c r="V401" s="613">
        <f t="shared" si="162"/>
        <v>607631096.44248629</v>
      </c>
      <c r="W401" s="613">
        <f t="shared" si="162"/>
        <v>632766017.2854991</v>
      </c>
      <c r="X401" s="613">
        <f t="shared" si="162"/>
        <v>657900938.12851202</v>
      </c>
      <c r="Y401" s="613">
        <f t="shared" si="162"/>
        <v>683035858.97152495</v>
      </c>
      <c r="Z401" s="613">
        <f t="shared" si="162"/>
        <v>708170779.81453788</v>
      </c>
      <c r="AA401" s="613">
        <f t="shared" si="162"/>
        <v>733305700.65755069</v>
      </c>
      <c r="AB401" s="613">
        <f t="shared" si="162"/>
        <v>0</v>
      </c>
      <c r="AC401" s="613">
        <f t="shared" si="162"/>
        <v>0</v>
      </c>
    </row>
    <row r="402" spans="2:29" outlineLevel="1" x14ac:dyDescent="0.45">
      <c r="B402" s="597" t="str">
        <f t="shared" si="60"/>
        <v>Sales</v>
      </c>
      <c r="F402" s="596"/>
      <c r="G402" s="596"/>
      <c r="H402" s="615"/>
      <c r="I402" s="596"/>
      <c r="AA402" s="982"/>
    </row>
    <row r="403" spans="2:29" outlineLevel="1" x14ac:dyDescent="0.45">
      <c r="B403" s="597" t="str">
        <f t="shared" si="60"/>
        <v>Sales</v>
      </c>
      <c r="F403" s="596"/>
      <c r="G403" s="596"/>
      <c r="H403" s="596"/>
      <c r="I403" s="596"/>
    </row>
    <row r="404" spans="2:29" x14ac:dyDescent="0.45">
      <c r="B404" s="597" t="str">
        <f t="shared" si="60"/>
        <v>Sales</v>
      </c>
      <c r="C404" s="451">
        <f>C395+1</f>
        <v>42</v>
      </c>
      <c r="D404" s="451" t="s">
        <v>1020</v>
      </c>
      <c r="F404" s="596"/>
      <c r="G404" s="596"/>
      <c r="H404" s="596"/>
      <c r="I404" s="596"/>
    </row>
    <row r="405" spans="2:29" x14ac:dyDescent="0.45">
      <c r="B405" s="597" t="str">
        <f t="shared" si="60"/>
        <v>Sales</v>
      </c>
      <c r="D405" s="583" t="str">
        <f>'12. Inputs-Props &amp; Debtors 2016'!C$77</f>
        <v>EC</v>
      </c>
      <c r="F405" s="596"/>
      <c r="G405" s="596"/>
      <c r="H405" s="596"/>
      <c r="I405" s="611">
        <f>H170</f>
        <v>77023.692456140343</v>
      </c>
      <c r="J405" s="612">
        <f t="shared" ref="J405:AC405" si="163">IF(J78&lt;&gt;0,I405,0)</f>
        <v>77023.692456140343</v>
      </c>
      <c r="K405" s="612">
        <f t="shared" si="163"/>
        <v>77023.692456140343</v>
      </c>
      <c r="L405" s="612">
        <f t="shared" si="163"/>
        <v>77023.692456140343</v>
      </c>
      <c r="M405" s="612">
        <f t="shared" si="163"/>
        <v>77023.692456140343</v>
      </c>
      <c r="N405" s="612">
        <f t="shared" si="163"/>
        <v>77023.692456140343</v>
      </c>
      <c r="O405" s="612">
        <f t="shared" si="163"/>
        <v>77023.692456140343</v>
      </c>
      <c r="P405" s="612">
        <f t="shared" si="163"/>
        <v>77023.692456140343</v>
      </c>
      <c r="Q405" s="612">
        <f t="shared" si="163"/>
        <v>77023.692456140343</v>
      </c>
      <c r="R405" s="612">
        <f t="shared" si="163"/>
        <v>77023.692456140343</v>
      </c>
      <c r="S405" s="612">
        <f t="shared" si="163"/>
        <v>77023.692456140343</v>
      </c>
      <c r="T405" s="612">
        <f t="shared" si="163"/>
        <v>77023.692456140343</v>
      </c>
      <c r="U405" s="612">
        <f t="shared" si="163"/>
        <v>77023.692456140343</v>
      </c>
      <c r="V405" s="612">
        <f t="shared" si="163"/>
        <v>77023.692456140343</v>
      </c>
      <c r="W405" s="612">
        <f t="shared" si="163"/>
        <v>77023.692456140343</v>
      </c>
      <c r="X405" s="612">
        <f t="shared" si="163"/>
        <v>77023.692456140343</v>
      </c>
      <c r="Y405" s="612">
        <f t="shared" si="163"/>
        <v>77023.692456140343</v>
      </c>
      <c r="Z405" s="612">
        <f t="shared" si="163"/>
        <v>77023.692456140343</v>
      </c>
      <c r="AA405" s="612">
        <f t="shared" si="163"/>
        <v>77023.692456140343</v>
      </c>
      <c r="AB405" s="612">
        <f t="shared" si="163"/>
        <v>77023.692456140343</v>
      </c>
      <c r="AC405" s="612">
        <f t="shared" si="163"/>
        <v>0</v>
      </c>
    </row>
    <row r="406" spans="2:29" x14ac:dyDescent="0.45">
      <c r="B406" s="597" t="str">
        <f t="shared" si="60"/>
        <v>Sales</v>
      </c>
      <c r="D406" s="583" t="str">
        <f>'12. Inputs-Props &amp; Debtors 2016'!C$78</f>
        <v>FS</v>
      </c>
      <c r="F406" s="596"/>
      <c r="G406" s="596"/>
      <c r="H406" s="596"/>
      <c r="I406" s="611">
        <f>H171</f>
        <v>35073.449999999997</v>
      </c>
      <c r="J406" s="612">
        <f t="shared" ref="J406:AC406" si="164">IF(J79&lt;&gt;0,I406,0)</f>
        <v>35073.449999999997</v>
      </c>
      <c r="K406" s="612">
        <f t="shared" si="164"/>
        <v>35073.449999999997</v>
      </c>
      <c r="L406" s="612">
        <f t="shared" si="164"/>
        <v>35073.449999999997</v>
      </c>
      <c r="M406" s="612">
        <f t="shared" si="164"/>
        <v>35073.449999999997</v>
      </c>
      <c r="N406" s="612">
        <f t="shared" si="164"/>
        <v>35073.449999999997</v>
      </c>
      <c r="O406" s="612">
        <f t="shared" si="164"/>
        <v>35073.449999999997</v>
      </c>
      <c r="P406" s="612">
        <f t="shared" si="164"/>
        <v>35073.449999999997</v>
      </c>
      <c r="Q406" s="612">
        <f t="shared" si="164"/>
        <v>35073.449999999997</v>
      </c>
      <c r="R406" s="612">
        <f t="shared" si="164"/>
        <v>35073.449999999997</v>
      </c>
      <c r="S406" s="612">
        <f t="shared" si="164"/>
        <v>35073.449999999997</v>
      </c>
      <c r="T406" s="612">
        <f t="shared" si="164"/>
        <v>35073.449999999997</v>
      </c>
      <c r="U406" s="612">
        <f t="shared" si="164"/>
        <v>35073.449999999997</v>
      </c>
      <c r="V406" s="612">
        <f t="shared" si="164"/>
        <v>35073.449999999997</v>
      </c>
      <c r="W406" s="612">
        <f t="shared" si="164"/>
        <v>35073.449999999997</v>
      </c>
      <c r="X406" s="612">
        <f t="shared" si="164"/>
        <v>35073.449999999997</v>
      </c>
      <c r="Y406" s="612">
        <f t="shared" si="164"/>
        <v>35073.449999999997</v>
      </c>
      <c r="Z406" s="612">
        <f t="shared" si="164"/>
        <v>35073.449999999997</v>
      </c>
      <c r="AA406" s="612">
        <f t="shared" si="164"/>
        <v>35073.449999999997</v>
      </c>
      <c r="AB406" s="612">
        <f t="shared" si="164"/>
        <v>35073.449999999997</v>
      </c>
      <c r="AC406" s="612">
        <f t="shared" si="164"/>
        <v>0</v>
      </c>
    </row>
    <row r="407" spans="2:29" x14ac:dyDescent="0.45">
      <c r="B407" s="597" t="str">
        <f t="shared" si="60"/>
        <v>Sales</v>
      </c>
      <c r="D407" s="583" t="str">
        <f>'12. Inputs-Props &amp; Debtors 2016'!C$79</f>
        <v>Gau</v>
      </c>
      <c r="F407" s="596"/>
      <c r="G407" s="596"/>
      <c r="H407" s="596"/>
      <c r="I407" s="611">
        <f>H172</f>
        <v>152480.91798245613</v>
      </c>
      <c r="J407" s="612">
        <f t="shared" ref="J407:AC407" si="165">IF(J80&lt;&gt;0,I407,0)</f>
        <v>152480.91798245613</v>
      </c>
      <c r="K407" s="612">
        <f t="shared" si="165"/>
        <v>152480.91798245613</v>
      </c>
      <c r="L407" s="612">
        <f t="shared" si="165"/>
        <v>152480.91798245613</v>
      </c>
      <c r="M407" s="612">
        <f t="shared" si="165"/>
        <v>152480.91798245613</v>
      </c>
      <c r="N407" s="612">
        <f t="shared" si="165"/>
        <v>152480.91798245613</v>
      </c>
      <c r="O407" s="612">
        <f t="shared" si="165"/>
        <v>152480.91798245613</v>
      </c>
      <c r="P407" s="612">
        <f t="shared" si="165"/>
        <v>152480.91798245613</v>
      </c>
      <c r="Q407" s="612">
        <f t="shared" si="165"/>
        <v>152480.91798245613</v>
      </c>
      <c r="R407" s="612">
        <f t="shared" si="165"/>
        <v>152480.91798245613</v>
      </c>
      <c r="S407" s="612">
        <f t="shared" si="165"/>
        <v>152480.91798245613</v>
      </c>
      <c r="T407" s="612">
        <f t="shared" si="165"/>
        <v>152480.91798245613</v>
      </c>
      <c r="U407" s="612">
        <f t="shared" si="165"/>
        <v>152480.91798245613</v>
      </c>
      <c r="V407" s="612">
        <f t="shared" si="165"/>
        <v>152480.91798245613</v>
      </c>
      <c r="W407" s="612">
        <f t="shared" si="165"/>
        <v>152480.91798245613</v>
      </c>
      <c r="X407" s="612">
        <f t="shared" si="165"/>
        <v>152480.91798245613</v>
      </c>
      <c r="Y407" s="612">
        <f t="shared" si="165"/>
        <v>152480.91798245613</v>
      </c>
      <c r="Z407" s="612">
        <f t="shared" si="165"/>
        <v>152480.91798245613</v>
      </c>
      <c r="AA407" s="612">
        <f t="shared" si="165"/>
        <v>152480.91798245613</v>
      </c>
      <c r="AB407" s="612">
        <f t="shared" si="165"/>
        <v>152480.91798245613</v>
      </c>
      <c r="AC407" s="612">
        <f t="shared" si="165"/>
        <v>0</v>
      </c>
    </row>
    <row r="408" spans="2:29" x14ac:dyDescent="0.45">
      <c r="B408" s="597" t="str">
        <f t="shared" si="60"/>
        <v>Sales</v>
      </c>
      <c r="D408" s="583" t="str">
        <f>'12. Inputs-Props &amp; Debtors 2016'!C$80</f>
        <v>KZN</v>
      </c>
      <c r="F408" s="596"/>
      <c r="G408" s="596"/>
      <c r="H408" s="596"/>
      <c r="I408" s="611">
        <f>H173</f>
        <v>91514.463637532128</v>
      </c>
      <c r="J408" s="612">
        <f t="shared" ref="J408:AC408" si="166">IF(J81&lt;&gt;0,I408,0)</f>
        <v>91514.463637532128</v>
      </c>
      <c r="K408" s="612">
        <f t="shared" si="166"/>
        <v>91514.463637532128</v>
      </c>
      <c r="L408" s="612">
        <f t="shared" si="166"/>
        <v>91514.463637532128</v>
      </c>
      <c r="M408" s="612">
        <f t="shared" si="166"/>
        <v>91514.463637532128</v>
      </c>
      <c r="N408" s="612">
        <f t="shared" si="166"/>
        <v>91514.463637532128</v>
      </c>
      <c r="O408" s="612">
        <f t="shared" si="166"/>
        <v>91514.463637532128</v>
      </c>
      <c r="P408" s="612">
        <f t="shared" si="166"/>
        <v>91514.463637532128</v>
      </c>
      <c r="Q408" s="612">
        <f t="shared" si="166"/>
        <v>91514.463637532128</v>
      </c>
      <c r="R408" s="612">
        <f t="shared" si="166"/>
        <v>91514.463637532128</v>
      </c>
      <c r="S408" s="612">
        <f t="shared" si="166"/>
        <v>91514.463637532128</v>
      </c>
      <c r="T408" s="612">
        <f t="shared" si="166"/>
        <v>91514.463637532128</v>
      </c>
      <c r="U408" s="612">
        <f t="shared" si="166"/>
        <v>91514.463637532128</v>
      </c>
      <c r="V408" s="612">
        <f t="shared" si="166"/>
        <v>91514.463637532128</v>
      </c>
      <c r="W408" s="612">
        <f t="shared" si="166"/>
        <v>91514.463637532128</v>
      </c>
      <c r="X408" s="612">
        <f t="shared" si="166"/>
        <v>91514.463637532128</v>
      </c>
      <c r="Y408" s="612">
        <f t="shared" si="166"/>
        <v>91514.463637532128</v>
      </c>
      <c r="Z408" s="612">
        <f t="shared" si="166"/>
        <v>91514.463637532128</v>
      </c>
      <c r="AA408" s="612">
        <f t="shared" si="166"/>
        <v>91514.463637532128</v>
      </c>
      <c r="AB408" s="612">
        <f t="shared" si="166"/>
        <v>91514.463637532128</v>
      </c>
      <c r="AC408" s="612">
        <f t="shared" si="166"/>
        <v>0</v>
      </c>
    </row>
    <row r="409" spans="2:29" x14ac:dyDescent="0.45">
      <c r="B409" s="597" t="str">
        <f t="shared" si="60"/>
        <v>Sales</v>
      </c>
      <c r="D409" s="583" t="str">
        <f>'12. Inputs-Props &amp; Debtors 2016'!C$81</f>
        <v>WC</v>
      </c>
      <c r="F409" s="596"/>
      <c r="G409" s="596"/>
      <c r="H409" s="596"/>
      <c r="I409" s="611">
        <f>H174</f>
        <v>51919.282393258422</v>
      </c>
      <c r="J409" s="612">
        <f t="shared" ref="J409:AC409" si="167">IF(J82&lt;&gt;0,I409,0)</f>
        <v>51919.282393258422</v>
      </c>
      <c r="K409" s="612">
        <f t="shared" si="167"/>
        <v>51919.282393258422</v>
      </c>
      <c r="L409" s="612">
        <f t="shared" si="167"/>
        <v>51919.282393258422</v>
      </c>
      <c r="M409" s="612">
        <f t="shared" si="167"/>
        <v>51919.282393258422</v>
      </c>
      <c r="N409" s="612">
        <f t="shared" si="167"/>
        <v>51919.282393258422</v>
      </c>
      <c r="O409" s="612">
        <f t="shared" si="167"/>
        <v>51919.282393258422</v>
      </c>
      <c r="P409" s="612">
        <f t="shared" si="167"/>
        <v>51919.282393258422</v>
      </c>
      <c r="Q409" s="612">
        <f t="shared" si="167"/>
        <v>51919.282393258422</v>
      </c>
      <c r="R409" s="612">
        <f t="shared" si="167"/>
        <v>51919.282393258422</v>
      </c>
      <c r="S409" s="612">
        <f t="shared" si="167"/>
        <v>51919.282393258422</v>
      </c>
      <c r="T409" s="612">
        <f t="shared" si="167"/>
        <v>51919.282393258422</v>
      </c>
      <c r="U409" s="612">
        <f t="shared" si="167"/>
        <v>51919.282393258422</v>
      </c>
      <c r="V409" s="612">
        <f t="shared" si="167"/>
        <v>51919.282393258422</v>
      </c>
      <c r="W409" s="612">
        <f t="shared" si="167"/>
        <v>51919.282393258422</v>
      </c>
      <c r="X409" s="612">
        <f t="shared" si="167"/>
        <v>51919.282393258422</v>
      </c>
      <c r="Y409" s="612">
        <f t="shared" si="167"/>
        <v>51919.282393258422</v>
      </c>
      <c r="Z409" s="612">
        <f t="shared" si="167"/>
        <v>51919.282393258422</v>
      </c>
      <c r="AA409" s="612">
        <f t="shared" si="167"/>
        <v>51919.282393258422</v>
      </c>
      <c r="AB409" s="612">
        <f t="shared" si="167"/>
        <v>51919.282393258422</v>
      </c>
      <c r="AC409" s="612">
        <f t="shared" si="167"/>
        <v>0</v>
      </c>
    </row>
    <row r="410" spans="2:29" x14ac:dyDescent="0.45">
      <c r="B410" s="597" t="str">
        <f t="shared" si="60"/>
        <v>Sales</v>
      </c>
      <c r="D410" s="596" t="s">
        <v>1066</v>
      </c>
      <c r="F410" s="596"/>
      <c r="G410" s="596"/>
      <c r="H410" s="596"/>
      <c r="I410" s="613">
        <f t="shared" ref="I410:Q410" si="168">IF(I$56&gt;0,SUMPRODUCT(I405:I409,I$51:I$55)/I$56,0)</f>
        <v>89083.276828980655</v>
      </c>
      <c r="J410" s="613">
        <f t="shared" si="168"/>
        <v>89083.276828980655</v>
      </c>
      <c r="K410" s="613">
        <f t="shared" si="168"/>
        <v>92050.150334353442</v>
      </c>
      <c r="L410" s="613">
        <f t="shared" si="168"/>
        <v>111216.46390713674</v>
      </c>
      <c r="M410" s="613">
        <f t="shared" si="168"/>
        <v>111216.46390713674</v>
      </c>
      <c r="N410" s="613">
        <f t="shared" si="168"/>
        <v>111216.46390713674</v>
      </c>
      <c r="O410" s="613">
        <f t="shared" si="168"/>
        <v>111216.46390713674</v>
      </c>
      <c r="P410" s="613">
        <f t="shared" si="168"/>
        <v>111216.46390713674</v>
      </c>
      <c r="Q410" s="613">
        <f t="shared" si="168"/>
        <v>111216.46390713674</v>
      </c>
      <c r="R410" s="613">
        <f t="shared" ref="R410:AB410" si="169">IF(R$56&gt;0,SUMPRODUCT(R405:R409,R$51:R$55)/R$56,0)</f>
        <v>111216.46390713674</v>
      </c>
      <c r="S410" s="613">
        <f t="shared" si="169"/>
        <v>111216.46390713674</v>
      </c>
      <c r="T410" s="613">
        <f t="shared" si="169"/>
        <v>111216.46390713674</v>
      </c>
      <c r="U410" s="613">
        <f t="shared" si="169"/>
        <v>111216.46390713674</v>
      </c>
      <c r="V410" s="613">
        <f t="shared" si="169"/>
        <v>111216.46390713674</v>
      </c>
      <c r="W410" s="613">
        <f t="shared" si="169"/>
        <v>111216.46390713674</v>
      </c>
      <c r="X410" s="613">
        <f t="shared" si="169"/>
        <v>111216.46390713674</v>
      </c>
      <c r="Y410" s="613">
        <f t="shared" si="169"/>
        <v>111216.46390713674</v>
      </c>
      <c r="Z410" s="613">
        <f t="shared" si="169"/>
        <v>111216.46390713674</v>
      </c>
      <c r="AA410" s="613">
        <f t="shared" si="169"/>
        <v>111216.46390713674</v>
      </c>
      <c r="AB410" s="613">
        <f t="shared" si="169"/>
        <v>90898.517240501664</v>
      </c>
      <c r="AC410" s="613">
        <f>IF(AC$56&gt;0,SUMPRODUCT(AC405:AC409,AC$51:AC$55)/AC$56,0)</f>
        <v>0</v>
      </c>
    </row>
    <row r="411" spans="2:29" x14ac:dyDescent="0.45">
      <c r="B411" s="597" t="str">
        <f t="shared" si="60"/>
        <v>Sales</v>
      </c>
      <c r="F411" s="596"/>
      <c r="G411" s="596"/>
      <c r="H411" s="596"/>
      <c r="I411" s="596"/>
    </row>
    <row r="412" spans="2:29" x14ac:dyDescent="0.45">
      <c r="B412" s="597" t="str">
        <f t="shared" si="60"/>
        <v>Sales</v>
      </c>
      <c r="F412" s="596"/>
      <c r="G412" s="596"/>
      <c r="H412" s="596"/>
      <c r="I412" s="596"/>
    </row>
    <row r="413" spans="2:29" x14ac:dyDescent="0.45">
      <c r="B413" s="597" t="str">
        <f t="shared" si="60"/>
        <v>Sales</v>
      </c>
      <c r="C413" s="451">
        <f>C404+1</f>
        <v>43</v>
      </c>
      <c r="D413" s="451" t="s">
        <v>1080</v>
      </c>
      <c r="F413" s="596"/>
      <c r="G413" s="596"/>
      <c r="H413" s="596"/>
      <c r="I413" s="646" t="s">
        <v>1082</v>
      </c>
    </row>
    <row r="414" spans="2:29" x14ac:dyDescent="0.45">
      <c r="B414" s="597" t="str">
        <f t="shared" si="60"/>
        <v>Sales</v>
      </c>
      <c r="D414" s="583" t="str">
        <f>'12. Inputs-Props &amp; Debtors 2016'!C$77</f>
        <v>EC</v>
      </c>
      <c r="F414" s="612">
        <f>'11. Table - Expenditure Review'!I207</f>
        <v>1255258.96</v>
      </c>
      <c r="G414" s="612">
        <f>'11. Table - Expenditure Review'!J207</f>
        <v>1310743.93</v>
      </c>
      <c r="H414" s="612">
        <f>'11. Table - Expenditure Review'!K207</f>
        <v>1394850.75</v>
      </c>
      <c r="I414" s="612">
        <f>AVERAGE(F414:H414)</f>
        <v>1320284.5466666666</v>
      </c>
      <c r="J414" s="647"/>
      <c r="K414" s="647"/>
      <c r="L414" s="647"/>
      <c r="M414" s="647"/>
      <c r="N414" s="647"/>
      <c r="O414" s="647"/>
      <c r="P414" s="647"/>
      <c r="Q414" s="647"/>
      <c r="R414" s="647"/>
      <c r="S414" s="647"/>
      <c r="T414" s="647"/>
      <c r="U414" s="647"/>
      <c r="V414" s="647"/>
      <c r="W414" s="647"/>
      <c r="X414" s="647"/>
      <c r="Y414" s="647"/>
      <c r="Z414" s="647"/>
      <c r="AA414" s="647"/>
      <c r="AB414" s="647"/>
      <c r="AC414" s="647"/>
    </row>
    <row r="415" spans="2:29" x14ac:dyDescent="0.45">
      <c r="B415" s="597" t="str">
        <f t="shared" si="60"/>
        <v>Sales</v>
      </c>
      <c r="D415" s="583" t="str">
        <f>'12. Inputs-Props &amp; Debtors 2016'!C$78</f>
        <v>FS</v>
      </c>
      <c r="F415" s="612">
        <f>'11. Table - Expenditure Review'!L207</f>
        <v>414</v>
      </c>
      <c r="G415" s="612">
        <f>'11. Table - Expenditure Review'!M207</f>
        <v>414</v>
      </c>
      <c r="H415" s="612">
        <f>'11. Table - Expenditure Review'!N207</f>
        <v>0</v>
      </c>
      <c r="I415" s="612">
        <f>AVERAGE(F415:H415)</f>
        <v>276</v>
      </c>
      <c r="J415" s="647"/>
      <c r="K415" s="647"/>
      <c r="L415" s="647"/>
      <c r="M415" s="647"/>
      <c r="N415" s="647"/>
      <c r="O415" s="647"/>
      <c r="P415" s="647"/>
      <c r="Q415" s="647"/>
      <c r="R415" s="647"/>
      <c r="S415" s="647"/>
      <c r="T415" s="647"/>
      <c r="U415" s="647"/>
      <c r="V415" s="647"/>
      <c r="W415" s="647"/>
      <c r="X415" s="647"/>
      <c r="Y415" s="647"/>
      <c r="Z415" s="647"/>
      <c r="AA415" s="647"/>
      <c r="AB415" s="647"/>
      <c r="AC415" s="647"/>
    </row>
    <row r="416" spans="2:29" x14ac:dyDescent="0.45">
      <c r="B416" s="597" t="str">
        <f t="shared" si="60"/>
        <v>Sales</v>
      </c>
      <c r="D416" s="583" t="str">
        <f>'12. Inputs-Props &amp; Debtors 2016'!C$79</f>
        <v>Gau</v>
      </c>
      <c r="F416" s="612">
        <f>'11. Table - Expenditure Review'!O207</f>
        <v>11402647.120000001</v>
      </c>
      <c r="G416" s="612">
        <f>'11. Table - Expenditure Review'!P207</f>
        <v>13067443.359999998</v>
      </c>
      <c r="H416" s="612">
        <f>'11. Table - Expenditure Review'!Q207</f>
        <v>9299695.160000002</v>
      </c>
      <c r="I416" s="612">
        <f>AVERAGE(F416:H416)</f>
        <v>11256595.213333333</v>
      </c>
      <c r="J416" s="647"/>
      <c r="K416" s="647"/>
      <c r="L416" s="647"/>
      <c r="M416" s="647"/>
      <c r="N416" s="647"/>
      <c r="O416" s="647"/>
      <c r="P416" s="647"/>
      <c r="Q416" s="647"/>
      <c r="R416" s="647"/>
      <c r="S416" s="647"/>
      <c r="T416" s="647"/>
      <c r="U416" s="647"/>
      <c r="V416" s="647"/>
      <c r="W416" s="647"/>
      <c r="X416" s="647"/>
      <c r="Y416" s="647"/>
      <c r="Z416" s="647"/>
      <c r="AA416" s="647"/>
      <c r="AB416" s="647"/>
      <c r="AC416" s="647"/>
    </row>
    <row r="417" spans="2:30" x14ac:dyDescent="0.45">
      <c r="B417" s="597" t="str">
        <f t="shared" si="60"/>
        <v>Sales</v>
      </c>
      <c r="D417" s="583" t="str">
        <f>'12. Inputs-Props &amp; Debtors 2016'!C$80</f>
        <v>KZN</v>
      </c>
      <c r="F417" s="612">
        <f>'11. Table - Expenditure Review'!R207</f>
        <v>32365503.15000001</v>
      </c>
      <c r="G417" s="612">
        <f>'11. Table - Expenditure Review'!S207</f>
        <v>24561066.859999999</v>
      </c>
      <c r="H417" s="612">
        <f>'11. Table - Expenditure Review'!T207</f>
        <v>20484465.760000002</v>
      </c>
      <c r="I417" s="612">
        <f>AVERAGE(F417:H417)</f>
        <v>25803678.590000004</v>
      </c>
      <c r="J417" s="647"/>
      <c r="K417" s="647"/>
      <c r="L417" s="647"/>
      <c r="M417" s="647"/>
      <c r="N417" s="647"/>
      <c r="O417" s="647"/>
      <c r="P417" s="647"/>
      <c r="Q417" s="647"/>
      <c r="R417" s="647"/>
      <c r="S417" s="647"/>
      <c r="T417" s="647"/>
      <c r="U417" s="647"/>
      <c r="V417" s="647"/>
      <c r="W417" s="647"/>
      <c r="X417" s="647"/>
      <c r="Y417" s="647"/>
      <c r="Z417" s="647"/>
      <c r="AA417" s="647"/>
      <c r="AB417" s="647"/>
      <c r="AC417" s="647"/>
    </row>
    <row r="418" spans="2:30" x14ac:dyDescent="0.45">
      <c r="B418" s="597" t="str">
        <f t="shared" si="60"/>
        <v>Sales</v>
      </c>
      <c r="D418" s="583" t="str">
        <f>'12. Inputs-Props &amp; Debtors 2016'!C$81</f>
        <v>WC</v>
      </c>
      <c r="F418" s="612">
        <f>'11. Table - Expenditure Review'!U207</f>
        <v>19470067.290000003</v>
      </c>
      <c r="G418" s="612">
        <f>'11. Table - Expenditure Review'!V207</f>
        <v>12863387.479999999</v>
      </c>
      <c r="H418" s="612">
        <f>'11. Table - Expenditure Review'!W207</f>
        <v>7528558.1400000006</v>
      </c>
      <c r="I418" s="612">
        <f>AVERAGE(F418:H418)</f>
        <v>13287337.636666669</v>
      </c>
      <c r="J418" s="647"/>
      <c r="K418" s="647"/>
      <c r="L418" s="647"/>
      <c r="M418" s="647"/>
      <c r="N418" s="647"/>
      <c r="O418" s="647"/>
      <c r="P418" s="647"/>
      <c r="Q418" s="647"/>
      <c r="R418" s="647"/>
      <c r="S418" s="647"/>
      <c r="T418" s="647"/>
      <c r="U418" s="647"/>
      <c r="V418" s="647"/>
      <c r="W418" s="647"/>
      <c r="X418" s="647"/>
      <c r="Y418" s="647"/>
      <c r="Z418" s="647"/>
      <c r="AA418" s="647"/>
      <c r="AB418" s="647"/>
      <c r="AC418" s="647"/>
    </row>
    <row r="419" spans="2:30" x14ac:dyDescent="0.45">
      <c r="B419" s="597" t="str">
        <f t="shared" si="60"/>
        <v>Sales</v>
      </c>
      <c r="D419" s="596" t="s">
        <v>11</v>
      </c>
      <c r="F419" s="613">
        <f>'11. Table - Expenditure Review'!F207</f>
        <v>64493890.520000011</v>
      </c>
      <c r="G419" s="613">
        <f>'11. Table - Expenditure Review'!G207</f>
        <v>51803055.629999995</v>
      </c>
      <c r="H419" s="613">
        <f>'11. Table - Expenditure Review'!H207</f>
        <v>38707569.810000002</v>
      </c>
      <c r="I419" s="613">
        <f>SUM(I414:I418)</f>
        <v>51668171.986666672</v>
      </c>
      <c r="J419" s="647"/>
      <c r="K419" s="647"/>
      <c r="L419" s="647"/>
      <c r="M419" s="647"/>
      <c r="N419" s="647"/>
      <c r="O419" s="647"/>
      <c r="P419" s="647"/>
      <c r="Q419" s="647"/>
      <c r="R419" s="647"/>
      <c r="S419" s="647"/>
      <c r="T419" s="647"/>
      <c r="U419" s="647"/>
      <c r="V419" s="647"/>
      <c r="W419" s="647"/>
      <c r="X419" s="647"/>
      <c r="Y419" s="647"/>
      <c r="Z419" s="647"/>
      <c r="AA419" s="647"/>
      <c r="AB419" s="647"/>
      <c r="AC419" s="647"/>
    </row>
    <row r="420" spans="2:30" x14ac:dyDescent="0.45">
      <c r="B420" s="597" t="str">
        <f t="shared" si="60"/>
        <v>Sales</v>
      </c>
      <c r="D420" s="596"/>
      <c r="F420" s="615"/>
      <c r="G420" s="615"/>
      <c r="H420" s="615"/>
      <c r="I420" s="615"/>
      <c r="J420" s="615"/>
      <c r="K420" s="615"/>
      <c r="L420" s="615"/>
      <c r="M420" s="615"/>
      <c r="N420" s="615"/>
      <c r="O420" s="615"/>
      <c r="P420" s="615"/>
      <c r="Q420" s="615"/>
      <c r="R420" s="615"/>
      <c r="S420" s="615"/>
      <c r="T420" s="615"/>
      <c r="U420" s="615"/>
      <c r="V420" s="615"/>
      <c r="W420" s="615"/>
      <c r="X420" s="615"/>
      <c r="Y420" s="615"/>
      <c r="Z420" s="615"/>
      <c r="AA420" s="615"/>
      <c r="AB420" s="615"/>
      <c r="AC420" s="615"/>
    </row>
    <row r="421" spans="2:30" x14ac:dyDescent="0.45">
      <c r="B421" s="597" t="str">
        <f t="shared" si="60"/>
        <v>Sales</v>
      </c>
      <c r="D421" s="596"/>
      <c r="F421" s="615"/>
      <c r="G421" s="615"/>
      <c r="H421" s="615"/>
      <c r="I421" s="615"/>
      <c r="J421" s="615"/>
      <c r="K421" s="648"/>
      <c r="L421" s="615"/>
      <c r="M421" s="615"/>
      <c r="N421" s="615"/>
      <c r="O421" s="615"/>
      <c r="P421" s="615"/>
      <c r="Q421" s="615"/>
      <c r="R421" s="615"/>
      <c r="S421" s="615"/>
      <c r="T421" s="615"/>
      <c r="U421" s="615"/>
      <c r="V421" s="615"/>
      <c r="W421" s="615"/>
      <c r="X421" s="615"/>
      <c r="Y421" s="615"/>
      <c r="Z421" s="615"/>
      <c r="AA421" s="615"/>
      <c r="AB421" s="615"/>
      <c r="AC421" s="615"/>
    </row>
    <row r="422" spans="2:30" x14ac:dyDescent="0.45">
      <c r="B422" s="597" t="str">
        <f t="shared" si="60"/>
        <v>Sales</v>
      </c>
      <c r="C422" s="451">
        <f>C413+1</f>
        <v>44</v>
      </c>
      <c r="D422" s="591" t="s">
        <v>1081</v>
      </c>
      <c r="F422" s="615"/>
      <c r="G422" s="615"/>
      <c r="H422" s="615"/>
      <c r="I422" s="615"/>
      <c r="J422" s="615"/>
      <c r="K422" s="615"/>
      <c r="L422" s="615"/>
      <c r="M422" s="615"/>
      <c r="N422" s="615"/>
      <c r="O422" s="615"/>
      <c r="P422" s="615"/>
      <c r="Q422" s="615"/>
      <c r="R422" s="615"/>
      <c r="S422" s="615"/>
      <c r="T422" s="615"/>
      <c r="U422" s="615"/>
      <c r="V422" s="615"/>
      <c r="W422" s="615"/>
      <c r="X422" s="615"/>
      <c r="Y422" s="615"/>
      <c r="Z422" s="615"/>
      <c r="AA422" s="615"/>
      <c r="AB422" s="615"/>
      <c r="AC422" s="615"/>
    </row>
    <row r="423" spans="2:30" x14ac:dyDescent="0.45">
      <c r="B423" s="597" t="str">
        <f t="shared" si="60"/>
        <v>Sales</v>
      </c>
      <c r="D423" s="583" t="str">
        <f>'12. Inputs-Props &amp; Debtors 2016'!C$77</f>
        <v>EC</v>
      </c>
      <c r="F423" s="612">
        <f>'11. Table - Expenditure Review'!I207</f>
        <v>1255258.96</v>
      </c>
      <c r="G423" s="612">
        <f>'11. Table - Expenditure Review'!J207</f>
        <v>1310743.93</v>
      </c>
      <c r="H423" s="612">
        <f>'11. Table - Expenditure Review'!K207</f>
        <v>1394850.75</v>
      </c>
      <c r="I423" s="612">
        <f t="shared" ref="I423:AC423" si="170">I405*I51</f>
        <v>1386426.4642105261</v>
      </c>
      <c r="J423" s="612">
        <f t="shared" si="170"/>
        <v>1386426.4642105261</v>
      </c>
      <c r="K423" s="612">
        <f t="shared" si="170"/>
        <v>1386426.4642105261</v>
      </c>
      <c r="L423" s="612">
        <f t="shared" si="170"/>
        <v>154047.38491228069</v>
      </c>
      <c r="M423" s="612">
        <f t="shared" si="170"/>
        <v>154047.38491228069</v>
      </c>
      <c r="N423" s="612">
        <f t="shared" si="170"/>
        <v>154047.38491228069</v>
      </c>
      <c r="O423" s="612">
        <f t="shared" si="170"/>
        <v>154047.38491228069</v>
      </c>
      <c r="P423" s="612">
        <f t="shared" si="170"/>
        <v>154047.38491228069</v>
      </c>
      <c r="Q423" s="612">
        <f t="shared" si="170"/>
        <v>154047.38491228069</v>
      </c>
      <c r="R423" s="612">
        <f t="shared" si="170"/>
        <v>154047.38491228069</v>
      </c>
      <c r="S423" s="612">
        <f t="shared" si="170"/>
        <v>154047.38491228069</v>
      </c>
      <c r="T423" s="612">
        <f t="shared" si="170"/>
        <v>154047.38491228069</v>
      </c>
      <c r="U423" s="612">
        <f t="shared" si="170"/>
        <v>154047.38491228069</v>
      </c>
      <c r="V423" s="612">
        <f t="shared" si="170"/>
        <v>154047.38491228069</v>
      </c>
      <c r="W423" s="612">
        <f t="shared" si="170"/>
        <v>154047.38491228069</v>
      </c>
      <c r="X423" s="612">
        <f t="shared" si="170"/>
        <v>154047.38491228069</v>
      </c>
      <c r="Y423" s="612">
        <f t="shared" si="170"/>
        <v>154047.38491228069</v>
      </c>
      <c r="Z423" s="612">
        <f t="shared" si="170"/>
        <v>154047.38491228069</v>
      </c>
      <c r="AA423" s="612">
        <f t="shared" si="170"/>
        <v>154047.38491228069</v>
      </c>
      <c r="AB423" s="612">
        <f t="shared" si="170"/>
        <v>308094.76982456137</v>
      </c>
      <c r="AC423" s="612">
        <f t="shared" si="170"/>
        <v>0</v>
      </c>
      <c r="AD423" s="633">
        <f>SUM(I423:AC423)</f>
        <v>6932132.3210526258</v>
      </c>
    </row>
    <row r="424" spans="2:30" x14ac:dyDescent="0.45">
      <c r="B424" s="597" t="str">
        <f t="shared" si="60"/>
        <v>Sales</v>
      </c>
      <c r="D424" s="583" t="str">
        <f>'12. Inputs-Props &amp; Debtors 2016'!C$78</f>
        <v>FS</v>
      </c>
      <c r="F424" s="612">
        <f>'11. Table - Expenditure Review'!L207</f>
        <v>414</v>
      </c>
      <c r="G424" s="612">
        <f>'11. Table - Expenditure Review'!M207</f>
        <v>414</v>
      </c>
      <c r="H424" s="612">
        <f>'11. Table - Expenditure Review'!N207</f>
        <v>0</v>
      </c>
      <c r="I424" s="612">
        <f t="shared" ref="I424:AC424" si="171">I406*I52</f>
        <v>70146.899999999994</v>
      </c>
      <c r="J424" s="612">
        <f t="shared" si="171"/>
        <v>70146.899999999994</v>
      </c>
      <c r="K424" s="612">
        <f t="shared" si="171"/>
        <v>70146.899999999994</v>
      </c>
      <c r="L424" s="612">
        <f t="shared" si="171"/>
        <v>70146.899999999994</v>
      </c>
      <c r="M424" s="612">
        <f t="shared" si="171"/>
        <v>70146.899999999994</v>
      </c>
      <c r="N424" s="612">
        <f t="shared" si="171"/>
        <v>70146.899999999994</v>
      </c>
      <c r="O424" s="612">
        <f t="shared" si="171"/>
        <v>70146.899999999994</v>
      </c>
      <c r="P424" s="612">
        <f t="shared" si="171"/>
        <v>70146.899999999994</v>
      </c>
      <c r="Q424" s="612">
        <f t="shared" si="171"/>
        <v>70146.899999999994</v>
      </c>
      <c r="R424" s="612">
        <f t="shared" si="171"/>
        <v>70146.899999999994</v>
      </c>
      <c r="S424" s="612">
        <f t="shared" si="171"/>
        <v>70146.899999999994</v>
      </c>
      <c r="T424" s="612">
        <f t="shared" si="171"/>
        <v>70146.899999999994</v>
      </c>
      <c r="U424" s="612">
        <f t="shared" si="171"/>
        <v>70146.899999999994</v>
      </c>
      <c r="V424" s="612">
        <f t="shared" si="171"/>
        <v>70146.899999999994</v>
      </c>
      <c r="W424" s="612">
        <f t="shared" si="171"/>
        <v>70146.899999999994</v>
      </c>
      <c r="X424" s="612">
        <f t="shared" si="171"/>
        <v>70146.899999999994</v>
      </c>
      <c r="Y424" s="612">
        <f t="shared" si="171"/>
        <v>70146.899999999994</v>
      </c>
      <c r="Z424" s="612">
        <f t="shared" si="171"/>
        <v>70146.899999999994</v>
      </c>
      <c r="AA424" s="612">
        <f t="shared" si="171"/>
        <v>70146.899999999994</v>
      </c>
      <c r="AB424" s="612">
        <f t="shared" si="171"/>
        <v>350734.5</v>
      </c>
      <c r="AC424" s="612">
        <f t="shared" si="171"/>
        <v>0</v>
      </c>
      <c r="AD424" s="633">
        <f>SUM(I424:AC424)</f>
        <v>1683525.5999999999</v>
      </c>
    </row>
    <row r="425" spans="2:30" x14ac:dyDescent="0.45">
      <c r="B425" s="597" t="str">
        <f t="shared" si="60"/>
        <v>Sales</v>
      </c>
      <c r="D425" s="583" t="str">
        <f>'12. Inputs-Props &amp; Debtors 2016'!C$79</f>
        <v>Gau</v>
      </c>
      <c r="F425" s="612">
        <f>'11. Table - Expenditure Review'!O207</f>
        <v>11402647.120000001</v>
      </c>
      <c r="G425" s="612">
        <f>'11. Table - Expenditure Review'!P207</f>
        <v>13067443.359999998</v>
      </c>
      <c r="H425" s="612">
        <f>'11. Table - Expenditure Review'!Q207</f>
        <v>9299695.160000002</v>
      </c>
      <c r="I425" s="612">
        <f t="shared" ref="I425:AC425" si="172">I407*I53</f>
        <v>12960878.028508771</v>
      </c>
      <c r="J425" s="612">
        <f t="shared" si="172"/>
        <v>12960878.028508771</v>
      </c>
      <c r="K425" s="612">
        <f t="shared" si="172"/>
        <v>12960878.028508771</v>
      </c>
      <c r="L425" s="612">
        <f t="shared" si="172"/>
        <v>13570801.700438596</v>
      </c>
      <c r="M425" s="612">
        <f t="shared" si="172"/>
        <v>13570801.700438596</v>
      </c>
      <c r="N425" s="612">
        <f t="shared" si="172"/>
        <v>13570801.700438596</v>
      </c>
      <c r="O425" s="612">
        <f t="shared" si="172"/>
        <v>13570801.700438596</v>
      </c>
      <c r="P425" s="612">
        <f t="shared" si="172"/>
        <v>13570801.700438596</v>
      </c>
      <c r="Q425" s="612">
        <f t="shared" si="172"/>
        <v>13570801.700438596</v>
      </c>
      <c r="R425" s="612">
        <f t="shared" si="172"/>
        <v>13570801.700438596</v>
      </c>
      <c r="S425" s="612">
        <f t="shared" si="172"/>
        <v>13570801.700438596</v>
      </c>
      <c r="T425" s="612">
        <f t="shared" si="172"/>
        <v>13570801.700438596</v>
      </c>
      <c r="U425" s="612">
        <f t="shared" si="172"/>
        <v>13570801.700438596</v>
      </c>
      <c r="V425" s="612">
        <f t="shared" si="172"/>
        <v>13570801.700438596</v>
      </c>
      <c r="W425" s="612">
        <f t="shared" si="172"/>
        <v>13570801.700438596</v>
      </c>
      <c r="X425" s="612">
        <f t="shared" si="172"/>
        <v>13570801.700438596</v>
      </c>
      <c r="Y425" s="612">
        <f t="shared" si="172"/>
        <v>13570801.700438596</v>
      </c>
      <c r="Z425" s="612">
        <f t="shared" si="172"/>
        <v>13570801.700438596</v>
      </c>
      <c r="AA425" s="612">
        <f t="shared" si="172"/>
        <v>13570801.700438596</v>
      </c>
      <c r="AB425" s="612">
        <f t="shared" si="172"/>
        <v>2287213.7697368418</v>
      </c>
      <c r="AC425" s="612">
        <f t="shared" si="172"/>
        <v>0</v>
      </c>
      <c r="AD425" s="633">
        <f>SUM(I425:AC425)</f>
        <v>258302675.06228063</v>
      </c>
    </row>
    <row r="426" spans="2:30" x14ac:dyDescent="0.45">
      <c r="B426" s="597" t="str">
        <f t="shared" si="60"/>
        <v>Sales</v>
      </c>
      <c r="D426" s="583" t="str">
        <f>'12. Inputs-Props &amp; Debtors 2016'!C$80</f>
        <v>KZN</v>
      </c>
      <c r="F426" s="612">
        <f>'11. Table - Expenditure Review'!R207</f>
        <v>32365503.15000001</v>
      </c>
      <c r="G426" s="612">
        <f>'11. Table - Expenditure Review'!S207</f>
        <v>24561066.859999999</v>
      </c>
      <c r="H426" s="612">
        <f>'11. Table - Expenditure Review'!T207</f>
        <v>20484465.760000002</v>
      </c>
      <c r="I426" s="612">
        <f t="shared" ref="I426:AC426" si="173">I408*I54</f>
        <v>23427702.691208225</v>
      </c>
      <c r="J426" s="612">
        <f t="shared" si="173"/>
        <v>23427702.691208225</v>
      </c>
      <c r="K426" s="612">
        <f t="shared" si="173"/>
        <v>23427702.691208225</v>
      </c>
      <c r="L426" s="612">
        <f t="shared" si="173"/>
        <v>10249619.927403599</v>
      </c>
      <c r="M426" s="612">
        <f t="shared" si="173"/>
        <v>10249619.927403599</v>
      </c>
      <c r="N426" s="612">
        <f t="shared" si="173"/>
        <v>10249619.927403599</v>
      </c>
      <c r="O426" s="612">
        <f t="shared" si="173"/>
        <v>10249619.927403599</v>
      </c>
      <c r="P426" s="612">
        <f t="shared" si="173"/>
        <v>10249619.927403599</v>
      </c>
      <c r="Q426" s="612">
        <f t="shared" si="173"/>
        <v>10249619.927403599</v>
      </c>
      <c r="R426" s="612">
        <f t="shared" si="173"/>
        <v>10249619.927403599</v>
      </c>
      <c r="S426" s="612">
        <f t="shared" si="173"/>
        <v>10249619.927403599</v>
      </c>
      <c r="T426" s="612">
        <f t="shared" si="173"/>
        <v>10249619.927403599</v>
      </c>
      <c r="U426" s="612">
        <f t="shared" si="173"/>
        <v>10249619.927403599</v>
      </c>
      <c r="V426" s="612">
        <f t="shared" si="173"/>
        <v>10249619.927403599</v>
      </c>
      <c r="W426" s="612">
        <f t="shared" si="173"/>
        <v>10249619.927403599</v>
      </c>
      <c r="X426" s="612">
        <f t="shared" si="173"/>
        <v>10249619.927403599</v>
      </c>
      <c r="Y426" s="612">
        <f t="shared" si="173"/>
        <v>10249619.927403599</v>
      </c>
      <c r="Z426" s="612">
        <f t="shared" si="173"/>
        <v>10249619.927403599</v>
      </c>
      <c r="AA426" s="612">
        <f t="shared" si="173"/>
        <v>10249619.927403599</v>
      </c>
      <c r="AB426" s="612">
        <f t="shared" si="173"/>
        <v>274543.39091259637</v>
      </c>
      <c r="AC426" s="612">
        <f t="shared" si="173"/>
        <v>0</v>
      </c>
      <c r="AD426" s="633">
        <f>SUM(I426:AC426)</f>
        <v>234551570.30299485</v>
      </c>
    </row>
    <row r="427" spans="2:30" x14ac:dyDescent="0.45">
      <c r="B427" s="597" t="str">
        <f t="shared" si="60"/>
        <v>Sales</v>
      </c>
      <c r="D427" s="583" t="str">
        <f>'12. Inputs-Props &amp; Debtors 2016'!C$81</f>
        <v>WC</v>
      </c>
      <c r="F427" s="612">
        <f>'11. Table - Expenditure Review'!U207</f>
        <v>19470067.290000003</v>
      </c>
      <c r="G427" s="612">
        <f>'11. Table - Expenditure Review'!V207</f>
        <v>12863387.479999999</v>
      </c>
      <c r="H427" s="612">
        <f>'11. Table - Expenditure Review'!W207</f>
        <v>7528558.1400000006</v>
      </c>
      <c r="I427" s="612">
        <f t="shared" ref="I427:AC427" si="174">I409*I55</f>
        <v>7943650.2061685389</v>
      </c>
      <c r="J427" s="612">
        <f t="shared" si="174"/>
        <v>7943650.2061685389</v>
      </c>
      <c r="K427" s="612">
        <f t="shared" si="174"/>
        <v>5970717.4752247185</v>
      </c>
      <c r="L427" s="612">
        <f t="shared" si="174"/>
        <v>1090304.9302584268</v>
      </c>
      <c r="M427" s="612">
        <f t="shared" si="174"/>
        <v>1090304.9302584268</v>
      </c>
      <c r="N427" s="612">
        <f t="shared" si="174"/>
        <v>1090304.9302584268</v>
      </c>
      <c r="O427" s="612">
        <f t="shared" si="174"/>
        <v>1090304.9302584268</v>
      </c>
      <c r="P427" s="612">
        <f t="shared" si="174"/>
        <v>1090304.9302584268</v>
      </c>
      <c r="Q427" s="612">
        <f t="shared" si="174"/>
        <v>1090304.9302584268</v>
      </c>
      <c r="R427" s="612">
        <f t="shared" si="174"/>
        <v>1090304.9302584268</v>
      </c>
      <c r="S427" s="612">
        <f t="shared" si="174"/>
        <v>1090304.9302584268</v>
      </c>
      <c r="T427" s="612">
        <f t="shared" si="174"/>
        <v>1090304.9302584268</v>
      </c>
      <c r="U427" s="612">
        <f t="shared" si="174"/>
        <v>1090304.9302584268</v>
      </c>
      <c r="V427" s="612">
        <f t="shared" si="174"/>
        <v>1090304.9302584268</v>
      </c>
      <c r="W427" s="612">
        <f t="shared" si="174"/>
        <v>1090304.9302584268</v>
      </c>
      <c r="X427" s="612">
        <f t="shared" si="174"/>
        <v>1090304.9302584268</v>
      </c>
      <c r="Y427" s="612">
        <f t="shared" si="174"/>
        <v>1090304.9302584268</v>
      </c>
      <c r="Z427" s="612">
        <f t="shared" si="174"/>
        <v>1090304.9302584268</v>
      </c>
      <c r="AA427" s="612">
        <f t="shared" si="174"/>
        <v>1090304.9302584268</v>
      </c>
      <c r="AB427" s="612">
        <f t="shared" si="174"/>
        <v>415354.25914606737</v>
      </c>
      <c r="AC427" s="612">
        <f t="shared" si="174"/>
        <v>0</v>
      </c>
      <c r="AD427" s="633">
        <f>SUM(I427:AC427)</f>
        <v>39718251.030842677</v>
      </c>
    </row>
    <row r="428" spans="2:30" ht="14.65" thickBot="1" x14ac:dyDescent="0.5">
      <c r="B428" s="597" t="str">
        <f t="shared" si="60"/>
        <v>Sales</v>
      </c>
      <c r="D428" s="596" t="s">
        <v>11</v>
      </c>
      <c r="F428" s="613">
        <f>'11. Table - Expenditure Review'!F207</f>
        <v>64493890.520000011</v>
      </c>
      <c r="G428" s="613">
        <f>'11. Table - Expenditure Review'!G207</f>
        <v>51803055.629999995</v>
      </c>
      <c r="H428" s="613">
        <f>'11. Table - Expenditure Review'!H207</f>
        <v>38707569.810000002</v>
      </c>
      <c r="I428" s="613">
        <f t="shared" ref="I428:Q428" si="175">SUM(I423:I427)</f>
        <v>45788804.290096059</v>
      </c>
      <c r="J428" s="613">
        <f t="shared" si="175"/>
        <v>45788804.290096059</v>
      </c>
      <c r="K428" s="613">
        <f t="shared" si="175"/>
        <v>43815871.559152238</v>
      </c>
      <c r="L428" s="613">
        <f t="shared" si="175"/>
        <v>25134920.843012903</v>
      </c>
      <c r="M428" s="613">
        <f t="shared" si="175"/>
        <v>25134920.843012903</v>
      </c>
      <c r="N428" s="613">
        <f t="shared" si="175"/>
        <v>25134920.843012903</v>
      </c>
      <c r="O428" s="613">
        <f t="shared" si="175"/>
        <v>25134920.843012903</v>
      </c>
      <c r="P428" s="613">
        <f t="shared" si="175"/>
        <v>25134920.843012903</v>
      </c>
      <c r="Q428" s="613">
        <f t="shared" si="175"/>
        <v>25134920.843012903</v>
      </c>
      <c r="R428" s="613">
        <f t="shared" ref="R428:AB428" si="176">SUM(R423:R427)</f>
        <v>25134920.843012903</v>
      </c>
      <c r="S428" s="613">
        <f t="shared" si="176"/>
        <v>25134920.843012903</v>
      </c>
      <c r="T428" s="613">
        <f t="shared" si="176"/>
        <v>25134920.843012903</v>
      </c>
      <c r="U428" s="613">
        <f t="shared" si="176"/>
        <v>25134920.843012903</v>
      </c>
      <c r="V428" s="613">
        <f t="shared" si="176"/>
        <v>25134920.843012903</v>
      </c>
      <c r="W428" s="613">
        <f t="shared" si="176"/>
        <v>25134920.843012903</v>
      </c>
      <c r="X428" s="613">
        <f t="shared" si="176"/>
        <v>25134920.843012903</v>
      </c>
      <c r="Y428" s="613">
        <f t="shared" si="176"/>
        <v>25134920.843012903</v>
      </c>
      <c r="Z428" s="613">
        <f t="shared" si="176"/>
        <v>25134920.843012903</v>
      </c>
      <c r="AA428" s="613">
        <f t="shared" si="176"/>
        <v>25134920.843012903</v>
      </c>
      <c r="AB428" s="613">
        <f t="shared" si="176"/>
        <v>3635940.6896200664</v>
      </c>
      <c r="AC428" s="613">
        <f>SUM(AC423:AC427)</f>
        <v>0</v>
      </c>
      <c r="AD428" s="777">
        <f>SUM(AD423:AD427)</f>
        <v>541188154.31717074</v>
      </c>
    </row>
    <row r="429" spans="2:30" ht="14.65" thickTop="1" x14ac:dyDescent="0.45">
      <c r="B429" s="597" t="str">
        <f t="shared" si="60"/>
        <v>Sales</v>
      </c>
      <c r="D429" s="596"/>
      <c r="F429" s="615"/>
      <c r="G429" s="615"/>
      <c r="H429" s="615"/>
      <c r="I429" s="615"/>
      <c r="J429" s="615"/>
      <c r="K429" s="615"/>
      <c r="L429" s="615"/>
      <c r="M429" s="615"/>
      <c r="N429" s="615"/>
      <c r="O429" s="615"/>
      <c r="P429" s="615"/>
      <c r="Q429" s="615"/>
      <c r="R429" s="615"/>
      <c r="S429" s="615"/>
      <c r="T429" s="615"/>
      <c r="U429" s="615"/>
      <c r="V429" s="615"/>
      <c r="W429" s="615"/>
      <c r="X429" s="615"/>
      <c r="Y429" s="615"/>
      <c r="Z429" s="615"/>
      <c r="AA429" s="615"/>
      <c r="AB429" s="615"/>
      <c r="AC429" s="615"/>
    </row>
    <row r="430" spans="2:30" x14ac:dyDescent="0.45">
      <c r="B430" s="597" t="str">
        <f t="shared" si="60"/>
        <v>Sales</v>
      </c>
      <c r="D430" s="596"/>
      <c r="F430" s="615"/>
      <c r="G430" s="615"/>
      <c r="H430" s="615"/>
      <c r="I430" s="615"/>
      <c r="J430" s="615"/>
      <c r="K430" s="615"/>
      <c r="L430" s="615"/>
      <c r="M430" s="615"/>
      <c r="N430" s="615"/>
      <c r="O430" s="615"/>
      <c r="P430" s="615"/>
      <c r="Q430" s="615"/>
      <c r="R430" s="615"/>
      <c r="S430" s="615"/>
      <c r="T430" s="615"/>
      <c r="U430" s="615"/>
      <c r="V430" s="615"/>
      <c r="W430" s="615"/>
      <c r="X430" s="615"/>
      <c r="Y430" s="615"/>
      <c r="Z430" s="615"/>
      <c r="AA430" s="615"/>
      <c r="AB430" s="615"/>
      <c r="AC430" s="615"/>
    </row>
    <row r="431" spans="2:30" x14ac:dyDescent="0.45">
      <c r="B431" s="597" t="str">
        <f t="shared" si="60"/>
        <v>Sales</v>
      </c>
      <c r="C431" s="1146">
        <f>C422+1</f>
        <v>45</v>
      </c>
      <c r="D431" s="336" t="s">
        <v>377</v>
      </c>
      <c r="F431" s="615"/>
      <c r="G431" s="615"/>
      <c r="H431" s="615"/>
      <c r="I431" s="646" t="s">
        <v>1082</v>
      </c>
      <c r="J431" s="615"/>
      <c r="K431" s="615"/>
      <c r="L431" s="615"/>
      <c r="M431" s="615"/>
      <c r="N431" s="615"/>
      <c r="O431" s="615"/>
      <c r="P431" s="615"/>
      <c r="Q431" s="615"/>
      <c r="R431" s="615"/>
      <c r="S431" s="615"/>
      <c r="T431" s="615"/>
      <c r="U431" s="615"/>
      <c r="V431" s="615"/>
      <c r="W431" s="615"/>
      <c r="X431" s="615"/>
      <c r="Y431" s="615"/>
      <c r="Z431" s="615"/>
      <c r="AA431" s="615"/>
      <c r="AB431" s="615"/>
      <c r="AC431" s="615"/>
    </row>
    <row r="432" spans="2:30" x14ac:dyDescent="0.45">
      <c r="B432" s="597" t="str">
        <f t="shared" si="60"/>
        <v>Sales</v>
      </c>
      <c r="C432" s="1146"/>
      <c r="D432" s="583" t="str">
        <f>'12. Inputs-Props &amp; Debtors 2016'!C$77</f>
        <v>EC</v>
      </c>
      <c r="F432" s="612">
        <f>'11. Table - Expenditure Review'!I197</f>
        <v>103109.91</v>
      </c>
      <c r="G432" s="612">
        <f>'11. Table - Expenditure Review'!J197</f>
        <v>699694.66999999993</v>
      </c>
      <c r="H432" s="612">
        <f>'11. Table - Expenditure Review'!K197</f>
        <v>554558.53</v>
      </c>
      <c r="I432" s="612">
        <f t="shared" ref="I432:Q432" si="177">I423*I441</f>
        <v>475120.84724420751</v>
      </c>
      <c r="J432" s="612">
        <f t="shared" si="177"/>
        <v>475120.84724420751</v>
      </c>
      <c r="K432" s="612">
        <f t="shared" si="177"/>
        <v>475120.84724420751</v>
      </c>
      <c r="L432" s="612">
        <f t="shared" si="177"/>
        <v>52791.205249356397</v>
      </c>
      <c r="M432" s="612">
        <f t="shared" si="177"/>
        <v>52791.205249356397</v>
      </c>
      <c r="N432" s="612">
        <f t="shared" si="177"/>
        <v>52791.205249356397</v>
      </c>
      <c r="O432" s="612">
        <f t="shared" si="177"/>
        <v>52791.205249356397</v>
      </c>
      <c r="P432" s="612">
        <f t="shared" si="177"/>
        <v>52791.205249356397</v>
      </c>
      <c r="Q432" s="612">
        <f t="shared" si="177"/>
        <v>52791.205249356397</v>
      </c>
      <c r="R432" s="612">
        <f t="shared" ref="R432:AB432" si="178">R423*R441</f>
        <v>52791.205249356397</v>
      </c>
      <c r="S432" s="612">
        <f t="shared" si="178"/>
        <v>52791.205249356397</v>
      </c>
      <c r="T432" s="612">
        <f t="shared" si="178"/>
        <v>52791.205249356397</v>
      </c>
      <c r="U432" s="612">
        <f t="shared" si="178"/>
        <v>52791.205249356397</v>
      </c>
      <c r="V432" s="612">
        <f t="shared" si="178"/>
        <v>52791.205249356397</v>
      </c>
      <c r="W432" s="612">
        <f t="shared" si="178"/>
        <v>52791.205249356397</v>
      </c>
      <c r="X432" s="612">
        <f t="shared" si="178"/>
        <v>52791.205249356397</v>
      </c>
      <c r="Y432" s="612">
        <f t="shared" si="178"/>
        <v>52791.205249356397</v>
      </c>
      <c r="Z432" s="612">
        <f t="shared" si="178"/>
        <v>52791.205249356397</v>
      </c>
      <c r="AA432" s="612">
        <f t="shared" si="178"/>
        <v>52791.205249356397</v>
      </c>
      <c r="AB432" s="612">
        <f t="shared" si="178"/>
        <v>105582.41049871279</v>
      </c>
      <c r="AC432" s="612">
        <f>AC423*AC441</f>
        <v>0</v>
      </c>
      <c r="AD432" s="612">
        <f>SUM(I432:AC432)</f>
        <v>2375604.2362210373</v>
      </c>
    </row>
    <row r="433" spans="2:30" x14ac:dyDescent="0.45">
      <c r="B433" s="597" t="str">
        <f t="shared" si="60"/>
        <v>Sales</v>
      </c>
      <c r="C433" s="1146"/>
      <c r="D433" s="583" t="str">
        <f>'12. Inputs-Props &amp; Debtors 2016'!C$78</f>
        <v>FS</v>
      </c>
      <c r="F433" s="612">
        <f>'11. Table - Expenditure Review'!L197</f>
        <v>0</v>
      </c>
      <c r="G433" s="612">
        <f>'11. Table - Expenditure Review'!M197</f>
        <v>0</v>
      </c>
      <c r="H433" s="612">
        <f>'11. Table - Expenditure Review'!N197</f>
        <v>125.2</v>
      </c>
      <c r="I433" s="612">
        <f>I424*I442</f>
        <v>10606.753478260869</v>
      </c>
      <c r="J433" s="612">
        <f t="shared" ref="J433:Q436" si="179">J424*J442</f>
        <v>10606.753478260869</v>
      </c>
      <c r="K433" s="612">
        <f t="shared" si="179"/>
        <v>10606.753478260869</v>
      </c>
      <c r="L433" s="612">
        <f t="shared" si="179"/>
        <v>10606.753478260869</v>
      </c>
      <c r="M433" s="612">
        <f t="shared" si="179"/>
        <v>10606.753478260869</v>
      </c>
      <c r="N433" s="612">
        <f t="shared" si="179"/>
        <v>10606.753478260869</v>
      </c>
      <c r="O433" s="612">
        <f t="shared" si="179"/>
        <v>10606.753478260869</v>
      </c>
      <c r="P433" s="612">
        <f t="shared" si="179"/>
        <v>10606.753478260869</v>
      </c>
      <c r="Q433" s="612">
        <f t="shared" si="179"/>
        <v>10606.753478260869</v>
      </c>
      <c r="R433" s="612">
        <f t="shared" ref="R433:AB433" si="180">R424*R442</f>
        <v>10606.753478260869</v>
      </c>
      <c r="S433" s="612">
        <f t="shared" si="180"/>
        <v>10606.753478260869</v>
      </c>
      <c r="T433" s="612">
        <f t="shared" si="180"/>
        <v>10606.753478260869</v>
      </c>
      <c r="U433" s="612">
        <f t="shared" si="180"/>
        <v>10606.753478260869</v>
      </c>
      <c r="V433" s="612">
        <f t="shared" si="180"/>
        <v>10606.753478260869</v>
      </c>
      <c r="W433" s="612">
        <f t="shared" si="180"/>
        <v>10606.753478260869</v>
      </c>
      <c r="X433" s="612">
        <f t="shared" si="180"/>
        <v>10606.753478260869</v>
      </c>
      <c r="Y433" s="612">
        <f t="shared" si="180"/>
        <v>10606.753478260869</v>
      </c>
      <c r="Z433" s="612">
        <f t="shared" si="180"/>
        <v>10606.753478260869</v>
      </c>
      <c r="AA433" s="612">
        <f t="shared" si="180"/>
        <v>10606.753478260869</v>
      </c>
      <c r="AB433" s="612">
        <f t="shared" si="180"/>
        <v>53033.767391304347</v>
      </c>
      <c r="AC433" s="612">
        <f>AC424*AC442</f>
        <v>0</v>
      </c>
      <c r="AD433" s="612">
        <f>SUM(I433:AC433)</f>
        <v>254562.08347826079</v>
      </c>
    </row>
    <row r="434" spans="2:30" x14ac:dyDescent="0.45">
      <c r="B434" s="597" t="str">
        <f t="shared" si="60"/>
        <v>Sales</v>
      </c>
      <c r="C434" s="1146"/>
      <c r="D434" s="583" t="str">
        <f>'12. Inputs-Props &amp; Debtors 2016'!C$79</f>
        <v>Gau</v>
      </c>
      <c r="F434" s="612">
        <f>'11. Table - Expenditure Review'!O197</f>
        <v>165038.01</v>
      </c>
      <c r="G434" s="612">
        <f>'11. Table - Expenditure Review'!P197</f>
        <v>71162.38</v>
      </c>
      <c r="H434" s="612">
        <f>'11. Table - Expenditure Review'!Q197</f>
        <v>808054</v>
      </c>
      <c r="I434" s="612">
        <f>I425*I443</f>
        <v>400785.89552826161</v>
      </c>
      <c r="J434" s="612">
        <f t="shared" si="179"/>
        <v>400785.89552826161</v>
      </c>
      <c r="K434" s="612">
        <f t="shared" si="179"/>
        <v>400785.89552826161</v>
      </c>
      <c r="L434" s="612">
        <f t="shared" si="179"/>
        <v>419646.40825900336</v>
      </c>
      <c r="M434" s="612">
        <f t="shared" si="179"/>
        <v>419646.40825900336</v>
      </c>
      <c r="N434" s="612">
        <f t="shared" si="179"/>
        <v>419646.40825900336</v>
      </c>
      <c r="O434" s="612">
        <f t="shared" si="179"/>
        <v>419646.40825900336</v>
      </c>
      <c r="P434" s="612">
        <f t="shared" si="179"/>
        <v>419646.40825900336</v>
      </c>
      <c r="Q434" s="612">
        <f t="shared" si="179"/>
        <v>419646.40825900336</v>
      </c>
      <c r="R434" s="612">
        <f t="shared" ref="R434:AB434" si="181">R425*R443</f>
        <v>419646.40825900336</v>
      </c>
      <c r="S434" s="612">
        <f t="shared" si="181"/>
        <v>419646.40825900336</v>
      </c>
      <c r="T434" s="612">
        <f t="shared" si="181"/>
        <v>419646.40825900336</v>
      </c>
      <c r="U434" s="612">
        <f t="shared" si="181"/>
        <v>419646.40825900336</v>
      </c>
      <c r="V434" s="612">
        <f t="shared" si="181"/>
        <v>419646.40825900336</v>
      </c>
      <c r="W434" s="612">
        <f t="shared" si="181"/>
        <v>419646.40825900336</v>
      </c>
      <c r="X434" s="612">
        <f t="shared" si="181"/>
        <v>419646.40825900336</v>
      </c>
      <c r="Y434" s="612">
        <f t="shared" si="181"/>
        <v>419646.40825900336</v>
      </c>
      <c r="Z434" s="612">
        <f t="shared" si="181"/>
        <v>419646.40825900336</v>
      </c>
      <c r="AA434" s="612">
        <f t="shared" si="181"/>
        <v>419646.40825900336</v>
      </c>
      <c r="AB434" s="612">
        <f t="shared" si="181"/>
        <v>70726.922740281458</v>
      </c>
      <c r="AC434" s="612">
        <f>AC425*AC443</f>
        <v>0</v>
      </c>
      <c r="AD434" s="612">
        <f>SUM(I434:AC434)</f>
        <v>7987427.141469121</v>
      </c>
    </row>
    <row r="435" spans="2:30" x14ac:dyDescent="0.45">
      <c r="B435" s="597" t="str">
        <f t="shared" si="60"/>
        <v>Sales</v>
      </c>
      <c r="C435" s="1146"/>
      <c r="D435" s="583" t="str">
        <f>'12. Inputs-Props &amp; Debtors 2016'!C$80</f>
        <v>KZN</v>
      </c>
      <c r="F435" s="612">
        <f>'11. Table - Expenditure Review'!R197</f>
        <v>1137587.97</v>
      </c>
      <c r="G435" s="612">
        <f>'11. Table - Expenditure Review'!S197</f>
        <v>1769057.1599999997</v>
      </c>
      <c r="H435" s="612">
        <f>'11. Table - Expenditure Review'!T197</f>
        <v>1212636.4100000001</v>
      </c>
      <c r="I435" s="612">
        <f>I426*I444</f>
        <v>1246660.7927483923</v>
      </c>
      <c r="J435" s="612">
        <f t="shared" si="179"/>
        <v>1246660.7927483923</v>
      </c>
      <c r="K435" s="612">
        <f t="shared" si="179"/>
        <v>1246660.7927483923</v>
      </c>
      <c r="L435" s="612">
        <f t="shared" si="179"/>
        <v>545414.09682742169</v>
      </c>
      <c r="M435" s="612">
        <f t="shared" si="179"/>
        <v>545414.09682742169</v>
      </c>
      <c r="N435" s="612">
        <f t="shared" si="179"/>
        <v>545414.09682742169</v>
      </c>
      <c r="O435" s="612">
        <f t="shared" si="179"/>
        <v>545414.09682742169</v>
      </c>
      <c r="P435" s="612">
        <f t="shared" si="179"/>
        <v>545414.09682742169</v>
      </c>
      <c r="Q435" s="612">
        <f t="shared" si="179"/>
        <v>545414.09682742169</v>
      </c>
      <c r="R435" s="612">
        <f t="shared" ref="R435:AB435" si="182">R426*R444</f>
        <v>545414.09682742169</v>
      </c>
      <c r="S435" s="612">
        <f t="shared" si="182"/>
        <v>545414.09682742169</v>
      </c>
      <c r="T435" s="612">
        <f t="shared" si="182"/>
        <v>545414.09682742169</v>
      </c>
      <c r="U435" s="612">
        <f t="shared" si="182"/>
        <v>545414.09682742169</v>
      </c>
      <c r="V435" s="612">
        <f t="shared" si="182"/>
        <v>545414.09682742169</v>
      </c>
      <c r="W435" s="612">
        <f t="shared" si="182"/>
        <v>545414.09682742169</v>
      </c>
      <c r="X435" s="612">
        <f t="shared" si="182"/>
        <v>545414.09682742169</v>
      </c>
      <c r="Y435" s="612">
        <f t="shared" si="182"/>
        <v>545414.09682742169</v>
      </c>
      <c r="Z435" s="612">
        <f t="shared" si="182"/>
        <v>545414.09682742169</v>
      </c>
      <c r="AA435" s="612">
        <f t="shared" si="182"/>
        <v>545414.09682742169</v>
      </c>
      <c r="AB435" s="612">
        <f t="shared" si="182"/>
        <v>14609.306165020222</v>
      </c>
      <c r="AC435" s="612">
        <f>AC426*AC444</f>
        <v>0</v>
      </c>
      <c r="AD435" s="612">
        <f>SUM(I435:AC435)</f>
        <v>12481217.233648939</v>
      </c>
    </row>
    <row r="436" spans="2:30" x14ac:dyDescent="0.45">
      <c r="B436" s="597" t="str">
        <f t="shared" si="60"/>
        <v>Sales</v>
      </c>
      <c r="C436" s="1146"/>
      <c r="D436" s="583" t="str">
        <f>'12. Inputs-Props &amp; Debtors 2016'!C$81</f>
        <v>WC</v>
      </c>
      <c r="F436" s="612">
        <f>'11. Table - Expenditure Review'!U197</f>
        <v>6921387.4400000004</v>
      </c>
      <c r="G436" s="612">
        <f>'11. Table - Expenditure Review'!V197</f>
        <v>9181164.0800000001</v>
      </c>
      <c r="H436" s="612">
        <f>'11. Table - Expenditure Review'!W197</f>
        <v>6715148.580000001</v>
      </c>
      <c r="I436" s="612">
        <f>I427*I445</f>
        <v>4547081.6667711753</v>
      </c>
      <c r="J436" s="612">
        <f t="shared" si="179"/>
        <v>4547081.6667711753</v>
      </c>
      <c r="K436" s="612">
        <f t="shared" si="179"/>
        <v>3417741.1220829091</v>
      </c>
      <c r="L436" s="612">
        <f t="shared" si="179"/>
        <v>624109.24838035728</v>
      </c>
      <c r="M436" s="612">
        <f t="shared" si="179"/>
        <v>624109.24838035728</v>
      </c>
      <c r="N436" s="612">
        <f t="shared" si="179"/>
        <v>624109.24838035728</v>
      </c>
      <c r="O436" s="612">
        <f t="shared" si="179"/>
        <v>624109.24838035728</v>
      </c>
      <c r="P436" s="612">
        <f t="shared" si="179"/>
        <v>624109.24838035728</v>
      </c>
      <c r="Q436" s="612">
        <f t="shared" si="179"/>
        <v>624109.24838035728</v>
      </c>
      <c r="R436" s="612">
        <f t="shared" ref="R436:AB436" si="183">R427*R445</f>
        <v>624109.24838035728</v>
      </c>
      <c r="S436" s="612">
        <f t="shared" si="183"/>
        <v>624109.24838035728</v>
      </c>
      <c r="T436" s="612">
        <f t="shared" si="183"/>
        <v>624109.24838035728</v>
      </c>
      <c r="U436" s="612">
        <f t="shared" si="183"/>
        <v>624109.24838035728</v>
      </c>
      <c r="V436" s="612">
        <f t="shared" si="183"/>
        <v>624109.24838035728</v>
      </c>
      <c r="W436" s="612">
        <f t="shared" si="183"/>
        <v>624109.24838035728</v>
      </c>
      <c r="X436" s="612">
        <f t="shared" si="183"/>
        <v>624109.24838035728</v>
      </c>
      <c r="Y436" s="612">
        <f t="shared" si="183"/>
        <v>624109.24838035728</v>
      </c>
      <c r="Z436" s="612">
        <f t="shared" si="183"/>
        <v>624109.24838035728</v>
      </c>
      <c r="AA436" s="612">
        <f t="shared" si="183"/>
        <v>624109.24838035728</v>
      </c>
      <c r="AB436" s="612">
        <f t="shared" si="183"/>
        <v>237755.90414489803</v>
      </c>
      <c r="AC436" s="612">
        <f>AC427*AC445</f>
        <v>0</v>
      </c>
      <c r="AD436" s="612">
        <f>SUM(I436:AC436)</f>
        <v>22735408.33385586</v>
      </c>
    </row>
    <row r="437" spans="2:30" x14ac:dyDescent="0.45">
      <c r="B437" s="597" t="str">
        <f t="shared" si="60"/>
        <v>Sales</v>
      </c>
      <c r="C437" s="1146"/>
      <c r="D437" s="596" t="s">
        <v>11</v>
      </c>
      <c r="F437" s="613">
        <f>'11. Table - Expenditure Review'!F197</f>
        <v>8327123.3300000001</v>
      </c>
      <c r="G437" s="613">
        <f>'11. Table - Expenditure Review'!G197</f>
        <v>11721078.289999999</v>
      </c>
      <c r="H437" s="613">
        <f>'11. Table - Expenditure Review'!H197</f>
        <v>9290522.7200000007</v>
      </c>
      <c r="I437" s="613">
        <f>SUM(I432:I436)</f>
        <v>6680255.9557702979</v>
      </c>
      <c r="J437" s="613">
        <f t="shared" ref="J437:AD437" si="184">SUM(J432:J436)</f>
        <v>6680255.9557702979</v>
      </c>
      <c r="K437" s="613">
        <f t="shared" si="184"/>
        <v>5550915.4110820312</v>
      </c>
      <c r="L437" s="613">
        <f t="shared" si="184"/>
        <v>1652567.7121943994</v>
      </c>
      <c r="M437" s="613">
        <f t="shared" si="184"/>
        <v>1652567.7121943994</v>
      </c>
      <c r="N437" s="613">
        <f t="shared" si="184"/>
        <v>1652567.7121943994</v>
      </c>
      <c r="O437" s="613">
        <f t="shared" si="184"/>
        <v>1652567.7121943994</v>
      </c>
      <c r="P437" s="613">
        <f t="shared" si="184"/>
        <v>1652567.7121943994</v>
      </c>
      <c r="Q437" s="613">
        <f t="shared" si="184"/>
        <v>1652567.7121943994</v>
      </c>
      <c r="R437" s="613">
        <f t="shared" ref="R437:AB437" si="185">SUM(R432:R436)</f>
        <v>1652567.7121943994</v>
      </c>
      <c r="S437" s="613">
        <f t="shared" si="185"/>
        <v>1652567.7121943994</v>
      </c>
      <c r="T437" s="613">
        <f t="shared" si="185"/>
        <v>1652567.7121943994</v>
      </c>
      <c r="U437" s="613">
        <f t="shared" si="185"/>
        <v>1652567.7121943994</v>
      </c>
      <c r="V437" s="613">
        <f t="shared" si="185"/>
        <v>1652567.7121943994</v>
      </c>
      <c r="W437" s="613">
        <f t="shared" si="185"/>
        <v>1652567.7121943994</v>
      </c>
      <c r="X437" s="613">
        <f t="shared" si="185"/>
        <v>1652567.7121943994</v>
      </c>
      <c r="Y437" s="613">
        <f t="shared" si="185"/>
        <v>1652567.7121943994</v>
      </c>
      <c r="Z437" s="613">
        <f t="shared" si="185"/>
        <v>1652567.7121943994</v>
      </c>
      <c r="AA437" s="613">
        <f t="shared" si="185"/>
        <v>1652567.7121943994</v>
      </c>
      <c r="AB437" s="613">
        <f t="shared" si="185"/>
        <v>481708.31094021688</v>
      </c>
      <c r="AC437" s="613">
        <f t="shared" si="184"/>
        <v>0</v>
      </c>
      <c r="AD437" s="613">
        <f t="shared" si="184"/>
        <v>45834219.028673217</v>
      </c>
    </row>
    <row r="438" spans="2:30" x14ac:dyDescent="0.45">
      <c r="B438" s="597" t="str">
        <f t="shared" si="60"/>
        <v>Sales</v>
      </c>
      <c r="D438" s="596"/>
      <c r="F438" s="615"/>
      <c r="G438" s="615"/>
      <c r="H438" s="615"/>
      <c r="I438" s="615"/>
      <c r="J438" s="615"/>
      <c r="K438" s="615"/>
      <c r="L438" s="615"/>
      <c r="M438" s="615"/>
      <c r="N438" s="615"/>
      <c r="O438" s="615"/>
      <c r="P438" s="615"/>
      <c r="Q438" s="615"/>
      <c r="R438" s="615"/>
      <c r="S438" s="615"/>
      <c r="T438" s="615"/>
      <c r="U438" s="615"/>
      <c r="V438" s="615"/>
      <c r="W438" s="615"/>
      <c r="X438" s="615"/>
      <c r="Y438" s="615"/>
      <c r="Z438" s="615"/>
      <c r="AA438" s="615"/>
      <c r="AB438" s="615"/>
      <c r="AC438" s="615"/>
    </row>
    <row r="439" spans="2:30" x14ac:dyDescent="0.45">
      <c r="B439" s="597" t="str">
        <f t="shared" si="60"/>
        <v>Sales</v>
      </c>
      <c r="D439" s="596"/>
      <c r="F439" s="615"/>
      <c r="G439" s="615"/>
      <c r="H439" s="615"/>
      <c r="I439" s="615"/>
      <c r="J439" s="615"/>
      <c r="K439" s="615"/>
      <c r="L439" s="615"/>
      <c r="M439" s="615"/>
      <c r="N439" s="615"/>
      <c r="O439" s="615"/>
      <c r="P439" s="615"/>
      <c r="Q439" s="615"/>
      <c r="R439" s="615"/>
      <c r="S439" s="615"/>
      <c r="T439" s="615"/>
      <c r="U439" s="615"/>
      <c r="V439" s="615"/>
      <c r="W439" s="615"/>
      <c r="X439" s="615"/>
      <c r="Y439" s="615"/>
      <c r="Z439" s="615"/>
      <c r="AA439" s="615"/>
      <c r="AB439" s="615"/>
      <c r="AC439" s="615"/>
    </row>
    <row r="440" spans="2:30" x14ac:dyDescent="0.45">
      <c r="B440" s="597" t="str">
        <f t="shared" si="60"/>
        <v>Sales</v>
      </c>
      <c r="C440" s="451">
        <f>C431+1</f>
        <v>46</v>
      </c>
      <c r="D440" s="336" t="s">
        <v>1309</v>
      </c>
      <c r="F440" s="615"/>
      <c r="G440" s="615"/>
      <c r="H440" s="615"/>
      <c r="I440" s="646" t="s">
        <v>1310</v>
      </c>
      <c r="J440" s="615"/>
      <c r="K440" s="615"/>
      <c r="L440" s="615"/>
      <c r="M440" s="615"/>
      <c r="N440" s="615"/>
      <c r="O440" s="615"/>
      <c r="P440" s="615"/>
      <c r="Q440" s="615"/>
      <c r="R440" s="615"/>
      <c r="S440" s="615"/>
      <c r="T440" s="615"/>
      <c r="U440" s="615"/>
      <c r="V440" s="615"/>
      <c r="W440" s="615"/>
      <c r="X440" s="615"/>
      <c r="Y440" s="615"/>
      <c r="Z440" s="615"/>
      <c r="AA440" s="615"/>
      <c r="AB440" s="615"/>
      <c r="AC440" s="615"/>
    </row>
    <row r="441" spans="2:30" x14ac:dyDescent="0.45">
      <c r="B441" s="597" t="str">
        <f t="shared" ref="B441:B446" si="186">B440</f>
        <v>Sales</v>
      </c>
      <c r="D441" s="583" t="str">
        <f>'12. Inputs-Props &amp; Debtors 2016'!C$77</f>
        <v>EC</v>
      </c>
      <c r="F441" s="641">
        <f t="shared" ref="F441:H446" si="187">IF(F423&lt;&gt;0,F432/F423,0)</f>
        <v>8.2142341369943306E-2</v>
      </c>
      <c r="G441" s="641">
        <f t="shared" si="187"/>
        <v>0.53381492294990063</v>
      </c>
      <c r="H441" s="641">
        <f t="shared" si="187"/>
        <v>0.39757553272276625</v>
      </c>
      <c r="I441" s="759">
        <f t="shared" ref="I441:I446" si="188">IF(I423&lt;&gt;0,SUM(F432:H432)/SUM(F423:H423),0)</f>
        <v>0.34269458893714638</v>
      </c>
      <c r="J441" s="761">
        <f t="shared" ref="J441:Q446" si="189">I441</f>
        <v>0.34269458893714638</v>
      </c>
      <c r="K441" s="761">
        <f t="shared" si="189"/>
        <v>0.34269458893714638</v>
      </c>
      <c r="L441" s="761">
        <f t="shared" si="189"/>
        <v>0.34269458893714638</v>
      </c>
      <c r="M441" s="761">
        <f t="shared" si="189"/>
        <v>0.34269458893714638</v>
      </c>
      <c r="N441" s="761">
        <f t="shared" si="189"/>
        <v>0.34269458893714638</v>
      </c>
      <c r="O441" s="761">
        <f t="shared" si="189"/>
        <v>0.34269458893714638</v>
      </c>
      <c r="P441" s="761">
        <f t="shared" si="189"/>
        <v>0.34269458893714638</v>
      </c>
      <c r="Q441" s="761">
        <f t="shared" si="189"/>
        <v>0.34269458893714638</v>
      </c>
      <c r="R441" s="761">
        <f t="shared" ref="R441:R446" si="190">Q441</f>
        <v>0.34269458893714638</v>
      </c>
      <c r="S441" s="761">
        <f t="shared" ref="S441:S446" si="191">R441</f>
        <v>0.34269458893714638</v>
      </c>
      <c r="T441" s="761">
        <f t="shared" ref="T441:T446" si="192">S441</f>
        <v>0.34269458893714638</v>
      </c>
      <c r="U441" s="761">
        <f t="shared" ref="U441:U446" si="193">T441</f>
        <v>0.34269458893714638</v>
      </c>
      <c r="V441" s="761">
        <f t="shared" ref="V441:V446" si="194">U441</f>
        <v>0.34269458893714638</v>
      </c>
      <c r="W441" s="761">
        <f t="shared" ref="W441:W446" si="195">V441</f>
        <v>0.34269458893714638</v>
      </c>
      <c r="X441" s="761">
        <f t="shared" ref="X441:X446" si="196">W441</f>
        <v>0.34269458893714638</v>
      </c>
      <c r="Y441" s="761">
        <f t="shared" ref="Y441:Y446" si="197">X441</f>
        <v>0.34269458893714638</v>
      </c>
      <c r="Z441" s="761">
        <f t="shared" ref="Z441:Z446" si="198">Y441</f>
        <v>0.34269458893714638</v>
      </c>
      <c r="AA441" s="761">
        <f t="shared" ref="AA441:AA446" si="199">Z441</f>
        <v>0.34269458893714638</v>
      </c>
      <c r="AB441" s="761">
        <f t="shared" ref="AB441:AB446" si="200">AA441</f>
        <v>0.34269458893714638</v>
      </c>
      <c r="AC441" s="761">
        <f t="shared" ref="AC441:AC446" si="201">AB441</f>
        <v>0.34269458893714638</v>
      </c>
    </row>
    <row r="442" spans="2:30" x14ac:dyDescent="0.45">
      <c r="B442" s="597" t="str">
        <f t="shared" si="186"/>
        <v>Sales</v>
      </c>
      <c r="D442" s="583" t="str">
        <f>'12. Inputs-Props &amp; Debtors 2016'!C$78</f>
        <v>FS</v>
      </c>
      <c r="F442" s="641">
        <f t="shared" si="187"/>
        <v>0</v>
      </c>
      <c r="G442" s="641">
        <f t="shared" si="187"/>
        <v>0</v>
      </c>
      <c r="H442" s="641">
        <f t="shared" si="187"/>
        <v>0</v>
      </c>
      <c r="I442" s="759">
        <f t="shared" si="188"/>
        <v>0.15120772946859903</v>
      </c>
      <c r="J442" s="761">
        <f t="shared" si="189"/>
        <v>0.15120772946859903</v>
      </c>
      <c r="K442" s="761">
        <f t="shared" si="189"/>
        <v>0.15120772946859903</v>
      </c>
      <c r="L442" s="761">
        <f t="shared" si="189"/>
        <v>0.15120772946859903</v>
      </c>
      <c r="M442" s="761">
        <f t="shared" si="189"/>
        <v>0.15120772946859903</v>
      </c>
      <c r="N442" s="761">
        <f t="shared" si="189"/>
        <v>0.15120772946859903</v>
      </c>
      <c r="O442" s="761">
        <f t="shared" si="189"/>
        <v>0.15120772946859903</v>
      </c>
      <c r="P442" s="761">
        <f t="shared" si="189"/>
        <v>0.15120772946859903</v>
      </c>
      <c r="Q442" s="761">
        <f t="shared" si="189"/>
        <v>0.15120772946859903</v>
      </c>
      <c r="R442" s="761">
        <f t="shared" si="190"/>
        <v>0.15120772946859903</v>
      </c>
      <c r="S442" s="761">
        <f t="shared" si="191"/>
        <v>0.15120772946859903</v>
      </c>
      <c r="T442" s="761">
        <f t="shared" si="192"/>
        <v>0.15120772946859903</v>
      </c>
      <c r="U442" s="761">
        <f t="shared" si="193"/>
        <v>0.15120772946859903</v>
      </c>
      <c r="V442" s="761">
        <f t="shared" si="194"/>
        <v>0.15120772946859903</v>
      </c>
      <c r="W442" s="761">
        <f t="shared" si="195"/>
        <v>0.15120772946859903</v>
      </c>
      <c r="X442" s="761">
        <f t="shared" si="196"/>
        <v>0.15120772946859903</v>
      </c>
      <c r="Y442" s="761">
        <f t="shared" si="197"/>
        <v>0.15120772946859903</v>
      </c>
      <c r="Z442" s="761">
        <f t="shared" si="198"/>
        <v>0.15120772946859903</v>
      </c>
      <c r="AA442" s="761">
        <f t="shared" si="199"/>
        <v>0.15120772946859903</v>
      </c>
      <c r="AB442" s="761">
        <f t="shared" si="200"/>
        <v>0.15120772946859903</v>
      </c>
      <c r="AC442" s="761">
        <f t="shared" si="201"/>
        <v>0.15120772946859903</v>
      </c>
    </row>
    <row r="443" spans="2:30" x14ac:dyDescent="0.45">
      <c r="B443" s="597" t="str">
        <f t="shared" si="186"/>
        <v>Sales</v>
      </c>
      <c r="D443" s="583" t="str">
        <f>'12. Inputs-Props &amp; Debtors 2016'!C$79</f>
        <v>Gau</v>
      </c>
      <c r="F443" s="641">
        <f t="shared" si="187"/>
        <v>1.4473657586976172E-2</v>
      </c>
      <c r="G443" s="641">
        <f t="shared" si="187"/>
        <v>5.4457768087850366E-3</v>
      </c>
      <c r="H443" s="641">
        <f t="shared" si="187"/>
        <v>8.6890375017410773E-2</v>
      </c>
      <c r="I443" s="759">
        <f t="shared" si="188"/>
        <v>3.0922742629526503E-2</v>
      </c>
      <c r="J443" s="761">
        <f t="shared" si="189"/>
        <v>3.0922742629526503E-2</v>
      </c>
      <c r="K443" s="761">
        <f t="shared" si="189"/>
        <v>3.0922742629526503E-2</v>
      </c>
      <c r="L443" s="761">
        <f t="shared" si="189"/>
        <v>3.0922742629526503E-2</v>
      </c>
      <c r="M443" s="761">
        <f t="shared" si="189"/>
        <v>3.0922742629526503E-2</v>
      </c>
      <c r="N443" s="761">
        <f t="shared" si="189"/>
        <v>3.0922742629526503E-2</v>
      </c>
      <c r="O443" s="761">
        <f t="shared" si="189"/>
        <v>3.0922742629526503E-2</v>
      </c>
      <c r="P443" s="761">
        <f t="shared" si="189"/>
        <v>3.0922742629526503E-2</v>
      </c>
      <c r="Q443" s="761">
        <f t="shared" si="189"/>
        <v>3.0922742629526503E-2</v>
      </c>
      <c r="R443" s="761">
        <f t="shared" si="190"/>
        <v>3.0922742629526503E-2</v>
      </c>
      <c r="S443" s="761">
        <f t="shared" si="191"/>
        <v>3.0922742629526503E-2</v>
      </c>
      <c r="T443" s="761">
        <f t="shared" si="192"/>
        <v>3.0922742629526503E-2</v>
      </c>
      <c r="U443" s="761">
        <f t="shared" si="193"/>
        <v>3.0922742629526503E-2</v>
      </c>
      <c r="V443" s="761">
        <f t="shared" si="194"/>
        <v>3.0922742629526503E-2</v>
      </c>
      <c r="W443" s="761">
        <f t="shared" si="195"/>
        <v>3.0922742629526503E-2</v>
      </c>
      <c r="X443" s="761">
        <f t="shared" si="196"/>
        <v>3.0922742629526503E-2</v>
      </c>
      <c r="Y443" s="761">
        <f t="shared" si="197"/>
        <v>3.0922742629526503E-2</v>
      </c>
      <c r="Z443" s="761">
        <f t="shared" si="198"/>
        <v>3.0922742629526503E-2</v>
      </c>
      <c r="AA443" s="761">
        <f t="shared" si="199"/>
        <v>3.0922742629526503E-2</v>
      </c>
      <c r="AB443" s="761">
        <f t="shared" si="200"/>
        <v>3.0922742629526503E-2</v>
      </c>
      <c r="AC443" s="761">
        <f t="shared" si="201"/>
        <v>3.0922742629526503E-2</v>
      </c>
    </row>
    <row r="444" spans="2:30" x14ac:dyDescent="0.45">
      <c r="B444" s="597" t="str">
        <f t="shared" si="186"/>
        <v>Sales</v>
      </c>
      <c r="D444" s="583" t="str">
        <f>'12. Inputs-Props &amp; Debtors 2016'!C$80</f>
        <v>KZN</v>
      </c>
      <c r="F444" s="641">
        <f t="shared" si="187"/>
        <v>3.5148162681969602E-2</v>
      </c>
      <c r="G444" s="641">
        <f t="shared" si="187"/>
        <v>7.2026885887480532E-2</v>
      </c>
      <c r="H444" s="641">
        <f t="shared" si="187"/>
        <v>5.9197853837512041E-2</v>
      </c>
      <c r="I444" s="759">
        <f t="shared" si="188"/>
        <v>5.3213104553193342E-2</v>
      </c>
      <c r="J444" s="761">
        <f t="shared" si="189"/>
        <v>5.3213104553193342E-2</v>
      </c>
      <c r="K444" s="761">
        <f t="shared" si="189"/>
        <v>5.3213104553193342E-2</v>
      </c>
      <c r="L444" s="761">
        <f t="shared" si="189"/>
        <v>5.3213104553193342E-2</v>
      </c>
      <c r="M444" s="761">
        <f t="shared" si="189"/>
        <v>5.3213104553193342E-2</v>
      </c>
      <c r="N444" s="761">
        <f t="shared" si="189"/>
        <v>5.3213104553193342E-2</v>
      </c>
      <c r="O444" s="761">
        <f t="shared" si="189"/>
        <v>5.3213104553193342E-2</v>
      </c>
      <c r="P444" s="761">
        <f t="shared" si="189"/>
        <v>5.3213104553193342E-2</v>
      </c>
      <c r="Q444" s="761">
        <f t="shared" si="189"/>
        <v>5.3213104553193342E-2</v>
      </c>
      <c r="R444" s="761">
        <f t="shared" si="190"/>
        <v>5.3213104553193342E-2</v>
      </c>
      <c r="S444" s="761">
        <f t="shared" si="191"/>
        <v>5.3213104553193342E-2</v>
      </c>
      <c r="T444" s="761">
        <f t="shared" si="192"/>
        <v>5.3213104553193342E-2</v>
      </c>
      <c r="U444" s="761">
        <f t="shared" si="193"/>
        <v>5.3213104553193342E-2</v>
      </c>
      <c r="V444" s="761">
        <f t="shared" si="194"/>
        <v>5.3213104553193342E-2</v>
      </c>
      <c r="W444" s="761">
        <f t="shared" si="195"/>
        <v>5.3213104553193342E-2</v>
      </c>
      <c r="X444" s="761">
        <f t="shared" si="196"/>
        <v>5.3213104553193342E-2</v>
      </c>
      <c r="Y444" s="761">
        <f t="shared" si="197"/>
        <v>5.3213104553193342E-2</v>
      </c>
      <c r="Z444" s="761">
        <f t="shared" si="198"/>
        <v>5.3213104553193342E-2</v>
      </c>
      <c r="AA444" s="761">
        <f t="shared" si="199"/>
        <v>5.3213104553193342E-2</v>
      </c>
      <c r="AB444" s="761">
        <f t="shared" si="200"/>
        <v>5.3213104553193342E-2</v>
      </c>
      <c r="AC444" s="761">
        <f t="shared" si="201"/>
        <v>5.3213104553193342E-2</v>
      </c>
    </row>
    <row r="445" spans="2:30" x14ac:dyDescent="0.45">
      <c r="B445" s="597" t="str">
        <f t="shared" si="186"/>
        <v>Sales</v>
      </c>
      <c r="D445" s="583" t="str">
        <f>'12. Inputs-Props &amp; Debtors 2016'!C$81</f>
        <v>WC</v>
      </c>
      <c r="F445" s="641">
        <f t="shared" si="187"/>
        <v>0.35548862450798441</v>
      </c>
      <c r="G445" s="641">
        <f t="shared" si="187"/>
        <v>0.71374387922892613</v>
      </c>
      <c r="H445" s="641">
        <f t="shared" si="187"/>
        <v>0.89195679373474301</v>
      </c>
      <c r="I445" s="759">
        <f t="shared" si="188"/>
        <v>0.57241715694381878</v>
      </c>
      <c r="J445" s="761">
        <f t="shared" si="189"/>
        <v>0.57241715694381878</v>
      </c>
      <c r="K445" s="761">
        <f t="shared" si="189"/>
        <v>0.57241715694381878</v>
      </c>
      <c r="L445" s="761">
        <f t="shared" si="189"/>
        <v>0.57241715694381878</v>
      </c>
      <c r="M445" s="761">
        <f t="shared" si="189"/>
        <v>0.57241715694381878</v>
      </c>
      <c r="N445" s="761">
        <f t="shared" si="189"/>
        <v>0.57241715694381878</v>
      </c>
      <c r="O445" s="761">
        <f t="shared" si="189"/>
        <v>0.57241715694381878</v>
      </c>
      <c r="P445" s="761">
        <f t="shared" si="189"/>
        <v>0.57241715694381878</v>
      </c>
      <c r="Q445" s="761">
        <f t="shared" si="189"/>
        <v>0.57241715694381878</v>
      </c>
      <c r="R445" s="761">
        <f t="shared" si="190"/>
        <v>0.57241715694381878</v>
      </c>
      <c r="S445" s="761">
        <f t="shared" si="191"/>
        <v>0.57241715694381878</v>
      </c>
      <c r="T445" s="761">
        <f t="shared" si="192"/>
        <v>0.57241715694381878</v>
      </c>
      <c r="U445" s="761">
        <f t="shared" si="193"/>
        <v>0.57241715694381878</v>
      </c>
      <c r="V445" s="761">
        <f t="shared" si="194"/>
        <v>0.57241715694381878</v>
      </c>
      <c r="W445" s="761">
        <f t="shared" si="195"/>
        <v>0.57241715694381878</v>
      </c>
      <c r="X445" s="761">
        <f t="shared" si="196"/>
        <v>0.57241715694381878</v>
      </c>
      <c r="Y445" s="761">
        <f t="shared" si="197"/>
        <v>0.57241715694381878</v>
      </c>
      <c r="Z445" s="761">
        <f t="shared" si="198"/>
        <v>0.57241715694381878</v>
      </c>
      <c r="AA445" s="761">
        <f t="shared" si="199"/>
        <v>0.57241715694381878</v>
      </c>
      <c r="AB445" s="761">
        <f t="shared" si="200"/>
        <v>0.57241715694381878</v>
      </c>
      <c r="AC445" s="761">
        <f t="shared" si="201"/>
        <v>0.57241715694381878</v>
      </c>
    </row>
    <row r="446" spans="2:30" x14ac:dyDescent="0.45">
      <c r="B446" s="622" t="str">
        <f t="shared" si="186"/>
        <v>Sales</v>
      </c>
      <c r="D446" s="596" t="s">
        <v>11</v>
      </c>
      <c r="F446" s="758">
        <f t="shared" si="187"/>
        <v>0.12911491713184367</v>
      </c>
      <c r="G446" s="758">
        <f t="shared" si="187"/>
        <v>0.2262622956784065</v>
      </c>
      <c r="H446" s="758">
        <f t="shared" si="187"/>
        <v>0.24001823843768713</v>
      </c>
      <c r="I446" s="760">
        <f t="shared" si="188"/>
        <v>0.18927657790029201</v>
      </c>
      <c r="J446" s="762">
        <f t="shared" si="189"/>
        <v>0.18927657790029201</v>
      </c>
      <c r="K446" s="762">
        <f t="shared" si="189"/>
        <v>0.18927657790029201</v>
      </c>
      <c r="L446" s="762">
        <f t="shared" si="189"/>
        <v>0.18927657790029201</v>
      </c>
      <c r="M446" s="762">
        <f t="shared" si="189"/>
        <v>0.18927657790029201</v>
      </c>
      <c r="N446" s="762">
        <f t="shared" si="189"/>
        <v>0.18927657790029201</v>
      </c>
      <c r="O446" s="762">
        <f t="shared" si="189"/>
        <v>0.18927657790029201</v>
      </c>
      <c r="P446" s="762">
        <f t="shared" si="189"/>
        <v>0.18927657790029201</v>
      </c>
      <c r="Q446" s="762">
        <f t="shared" si="189"/>
        <v>0.18927657790029201</v>
      </c>
      <c r="R446" s="762">
        <f t="shared" si="190"/>
        <v>0.18927657790029201</v>
      </c>
      <c r="S446" s="762">
        <f t="shared" si="191"/>
        <v>0.18927657790029201</v>
      </c>
      <c r="T446" s="762">
        <f t="shared" si="192"/>
        <v>0.18927657790029201</v>
      </c>
      <c r="U446" s="762">
        <f t="shared" si="193"/>
        <v>0.18927657790029201</v>
      </c>
      <c r="V446" s="762">
        <f t="shared" si="194"/>
        <v>0.18927657790029201</v>
      </c>
      <c r="W446" s="762">
        <f t="shared" si="195"/>
        <v>0.18927657790029201</v>
      </c>
      <c r="X446" s="762">
        <f t="shared" si="196"/>
        <v>0.18927657790029201</v>
      </c>
      <c r="Y446" s="762">
        <f t="shared" si="197"/>
        <v>0.18927657790029201</v>
      </c>
      <c r="Z446" s="762">
        <f t="shared" si="198"/>
        <v>0.18927657790029201</v>
      </c>
      <c r="AA446" s="762">
        <f t="shared" si="199"/>
        <v>0.18927657790029201</v>
      </c>
      <c r="AB446" s="762">
        <f t="shared" si="200"/>
        <v>0.18927657790029201</v>
      </c>
      <c r="AC446" s="762">
        <f t="shared" si="201"/>
        <v>0.18927657790029201</v>
      </c>
    </row>
    <row r="447" spans="2:30" x14ac:dyDescent="0.45">
      <c r="B447" s="1028"/>
      <c r="D447" s="596"/>
      <c r="F447" s="615"/>
      <c r="G447" s="615"/>
      <c r="H447" s="615"/>
      <c r="I447" s="615"/>
      <c r="J447" s="615"/>
      <c r="K447" s="615"/>
      <c r="L447" s="615"/>
      <c r="M447" s="615"/>
      <c r="N447" s="615"/>
      <c r="O447" s="615"/>
      <c r="P447" s="615"/>
      <c r="Q447" s="615"/>
      <c r="R447" s="615"/>
      <c r="S447" s="615"/>
      <c r="T447" s="615"/>
      <c r="U447" s="615"/>
      <c r="V447" s="615"/>
      <c r="W447" s="615"/>
      <c r="X447" s="615"/>
      <c r="Y447" s="615"/>
      <c r="Z447" s="615"/>
      <c r="AA447" s="615"/>
      <c r="AB447" s="615"/>
      <c r="AC447" s="615"/>
    </row>
    <row r="448" spans="2:30" x14ac:dyDescent="0.45">
      <c r="B448" s="654"/>
      <c r="D448" s="596"/>
      <c r="F448" s="615"/>
      <c r="G448" s="615"/>
      <c r="H448" s="615"/>
      <c r="I448" s="615"/>
      <c r="J448" s="615"/>
      <c r="K448" s="615"/>
      <c r="L448" s="615"/>
      <c r="M448" s="615"/>
      <c r="N448" s="615"/>
      <c r="O448" s="615"/>
      <c r="P448" s="615"/>
      <c r="Q448" s="615"/>
      <c r="R448" s="615"/>
      <c r="S448" s="615"/>
      <c r="T448" s="615"/>
      <c r="U448" s="615"/>
      <c r="V448" s="615"/>
      <c r="W448" s="615"/>
      <c r="X448" s="615"/>
      <c r="Y448" s="615"/>
      <c r="Z448" s="615"/>
      <c r="AA448" s="615"/>
      <c r="AB448" s="615"/>
      <c r="AC448" s="615"/>
    </row>
    <row r="449" spans="1:30" x14ac:dyDescent="0.45">
      <c r="B449" s="655" t="s">
        <v>324</v>
      </c>
      <c r="D449" s="651" t="s">
        <v>1083</v>
      </c>
      <c r="F449" s="1366" t="s">
        <v>1085</v>
      </c>
      <c r="G449" s="1366"/>
      <c r="H449" s="1366"/>
      <c r="I449" s="1367" t="s">
        <v>1086</v>
      </c>
      <c r="J449" s="1367"/>
      <c r="K449" s="1367"/>
      <c r="L449" s="1367"/>
      <c r="M449" s="1367"/>
      <c r="N449" s="1367"/>
      <c r="O449" s="1367"/>
      <c r="P449" s="1367"/>
      <c r="Q449" s="1367"/>
      <c r="R449" s="1367"/>
      <c r="S449" s="1367"/>
      <c r="T449" s="1367"/>
      <c r="U449" s="1367"/>
      <c r="V449" s="1367"/>
      <c r="W449" s="1367"/>
      <c r="X449" s="1367"/>
      <c r="Y449" s="1367"/>
      <c r="Z449" s="1367"/>
      <c r="AA449" s="1367"/>
      <c r="AB449" s="1367"/>
      <c r="AC449" s="1367"/>
      <c r="AD449" s="1367"/>
    </row>
    <row r="450" spans="1:30" x14ac:dyDescent="0.45">
      <c r="B450" s="652" t="str">
        <f t="shared" si="60"/>
        <v>Sales</v>
      </c>
      <c r="F450" s="587">
        <v>-3</v>
      </c>
      <c r="G450" s="587">
        <v>-2</v>
      </c>
      <c r="H450" s="587">
        <v>-1</v>
      </c>
      <c r="I450" s="587">
        <v>0</v>
      </c>
      <c r="J450" s="587">
        <v>1</v>
      </c>
      <c r="K450" s="588">
        <v>2</v>
      </c>
      <c r="L450" s="587">
        <v>3</v>
      </c>
      <c r="M450" s="587">
        <v>4</v>
      </c>
      <c r="N450" s="588">
        <v>5</v>
      </c>
      <c r="O450" s="587">
        <v>6</v>
      </c>
      <c r="P450" s="587">
        <v>7</v>
      </c>
      <c r="Q450" s="588">
        <v>8</v>
      </c>
      <c r="R450" s="529">
        <v>9</v>
      </c>
      <c r="S450" s="530">
        <v>10</v>
      </c>
      <c r="T450" s="529">
        <v>11</v>
      </c>
      <c r="U450" s="529">
        <v>12</v>
      </c>
      <c r="V450" s="530">
        <v>13</v>
      </c>
      <c r="W450" s="529">
        <v>14</v>
      </c>
      <c r="X450" s="529">
        <v>15</v>
      </c>
      <c r="Y450" s="530">
        <v>16</v>
      </c>
      <c r="Z450" s="529">
        <v>17</v>
      </c>
      <c r="AA450" s="529">
        <v>18</v>
      </c>
      <c r="AB450" s="530">
        <v>19</v>
      </c>
      <c r="AC450" s="529">
        <v>20</v>
      </c>
      <c r="AD450" s="536" t="s">
        <v>1420</v>
      </c>
    </row>
    <row r="451" spans="1:30" x14ac:dyDescent="0.45">
      <c r="B451" s="652" t="str">
        <f>B450</f>
        <v>Sales</v>
      </c>
      <c r="F451" s="536" t="s">
        <v>102</v>
      </c>
      <c r="G451" s="536" t="s">
        <v>103</v>
      </c>
      <c r="H451" s="536" t="s">
        <v>104</v>
      </c>
      <c r="I451" s="809" t="s">
        <v>1345</v>
      </c>
      <c r="J451" s="536" t="s">
        <v>1346</v>
      </c>
      <c r="K451" s="809" t="s">
        <v>1347</v>
      </c>
      <c r="L451" s="536" t="s">
        <v>1348</v>
      </c>
      <c r="M451" s="536" t="s">
        <v>1349</v>
      </c>
      <c r="N451" s="809" t="s">
        <v>1350</v>
      </c>
      <c r="O451" s="536" t="s">
        <v>1351</v>
      </c>
      <c r="P451" s="536" t="s">
        <v>1352</v>
      </c>
      <c r="Q451" s="809" t="s">
        <v>1353</v>
      </c>
      <c r="R451" s="578" t="s">
        <v>1354</v>
      </c>
      <c r="S451" s="536" t="s">
        <v>1355</v>
      </c>
      <c r="T451" s="536" t="s">
        <v>1410</v>
      </c>
      <c r="U451" s="536" t="s">
        <v>1411</v>
      </c>
      <c r="V451" s="536" t="s">
        <v>1412</v>
      </c>
      <c r="W451" s="536" t="s">
        <v>1413</v>
      </c>
      <c r="X451" s="536" t="s">
        <v>1414</v>
      </c>
      <c r="Y451" s="536" t="s">
        <v>1415</v>
      </c>
      <c r="Z451" s="536" t="s">
        <v>1416</v>
      </c>
      <c r="AA451" s="536" t="s">
        <v>1417</v>
      </c>
      <c r="AB451" s="536" t="s">
        <v>1418</v>
      </c>
      <c r="AC451" s="809" t="s">
        <v>1419</v>
      </c>
    </row>
    <row r="452" spans="1:30" x14ac:dyDescent="0.45">
      <c r="B452" s="652" t="str">
        <f>B451</f>
        <v>Sales</v>
      </c>
      <c r="F452" s="596"/>
      <c r="G452" s="596"/>
      <c r="H452" s="596"/>
      <c r="I452" s="596"/>
    </row>
    <row r="453" spans="1:30" x14ac:dyDescent="0.45">
      <c r="B453" s="652" t="str">
        <f>B452</f>
        <v>Sales</v>
      </c>
      <c r="C453" s="451">
        <f>C440+1</f>
        <v>47</v>
      </c>
      <c r="D453" s="591" t="s">
        <v>1087</v>
      </c>
      <c r="F453" s="596"/>
      <c r="G453" s="596"/>
      <c r="H453" s="596"/>
      <c r="I453" s="596"/>
    </row>
    <row r="454" spans="1:30" x14ac:dyDescent="0.45">
      <c r="A454" s="911" t="s">
        <v>1463</v>
      </c>
      <c r="B454" s="652" t="str">
        <f t="shared" ref="B454:B513" si="202">B453</f>
        <v>Sales</v>
      </c>
      <c r="D454" s="583" t="str">
        <f>'12. Inputs-Props &amp; Debtors 2016'!C$77</f>
        <v>EC</v>
      </c>
      <c r="F454" s="596"/>
      <c r="G454" s="596"/>
      <c r="H454" s="596"/>
      <c r="I454" s="611">
        <v>2500</v>
      </c>
      <c r="J454" s="612">
        <f t="shared" ref="J454:AC454" si="203">IF(J78&lt;&gt;0,I454*(1+J$23),0)</f>
        <v>2637.5</v>
      </c>
      <c r="K454" s="612">
        <f t="shared" si="203"/>
        <v>2782.5625</v>
      </c>
      <c r="L454" s="612">
        <f t="shared" si="203"/>
        <v>2935.6034374999999</v>
      </c>
      <c r="M454" s="612">
        <f t="shared" si="203"/>
        <v>3097.0616265624999</v>
      </c>
      <c r="N454" s="612">
        <f t="shared" si="203"/>
        <v>3267.4000160234373</v>
      </c>
      <c r="O454" s="612">
        <f t="shared" si="203"/>
        <v>3447.1070169047262</v>
      </c>
      <c r="P454" s="612">
        <f t="shared" si="203"/>
        <v>3636.6979028344858</v>
      </c>
      <c r="Q454" s="612">
        <f t="shared" si="203"/>
        <v>3836.7162874903825</v>
      </c>
      <c r="R454" s="612">
        <f t="shared" si="203"/>
        <v>4047.7356833023532</v>
      </c>
      <c r="S454" s="612">
        <f t="shared" si="203"/>
        <v>4270.3611458839823</v>
      </c>
      <c r="T454" s="612">
        <f t="shared" si="203"/>
        <v>4505.2310089076009</v>
      </c>
      <c r="U454" s="612">
        <f t="shared" si="203"/>
        <v>4753.018714397519</v>
      </c>
      <c r="V454" s="612">
        <f t="shared" si="203"/>
        <v>5014.4347436893822</v>
      </c>
      <c r="W454" s="612">
        <f t="shared" si="203"/>
        <v>5290.228654592298</v>
      </c>
      <c r="X454" s="612">
        <f t="shared" si="203"/>
        <v>5581.1912305948745</v>
      </c>
      <c r="Y454" s="612">
        <f t="shared" si="203"/>
        <v>5888.1567482775927</v>
      </c>
      <c r="Z454" s="612">
        <f t="shared" si="203"/>
        <v>6212.0053694328599</v>
      </c>
      <c r="AA454" s="612">
        <f t="shared" si="203"/>
        <v>6553.6656647516666</v>
      </c>
      <c r="AB454" s="612">
        <f t="shared" si="203"/>
        <v>6914.117276313008</v>
      </c>
      <c r="AC454" s="612">
        <f t="shared" si="203"/>
        <v>0</v>
      </c>
    </row>
    <row r="455" spans="1:30" x14ac:dyDescent="0.45">
      <c r="A455" s="911" t="s">
        <v>1463</v>
      </c>
      <c r="B455" s="652" t="str">
        <f t="shared" si="202"/>
        <v>Sales</v>
      </c>
      <c r="D455" s="583" t="str">
        <f>'12. Inputs-Props &amp; Debtors 2016'!C$78</f>
        <v>FS</v>
      </c>
      <c r="F455" s="596"/>
      <c r="G455" s="596"/>
      <c r="H455" s="596"/>
      <c r="I455" s="611">
        <v>2500</v>
      </c>
      <c r="J455" s="612">
        <f t="shared" ref="J455:AC455" si="204">IF(J79&lt;&gt;0,I455*(1+J$23),0)</f>
        <v>2637.5</v>
      </c>
      <c r="K455" s="612">
        <f t="shared" si="204"/>
        <v>2782.5625</v>
      </c>
      <c r="L455" s="612">
        <f t="shared" si="204"/>
        <v>2935.6034374999999</v>
      </c>
      <c r="M455" s="612">
        <f t="shared" si="204"/>
        <v>3097.0616265624999</v>
      </c>
      <c r="N455" s="612">
        <f t="shared" si="204"/>
        <v>3267.4000160234373</v>
      </c>
      <c r="O455" s="612">
        <f t="shared" si="204"/>
        <v>3447.1070169047262</v>
      </c>
      <c r="P455" s="612">
        <f t="shared" si="204"/>
        <v>3636.6979028344858</v>
      </c>
      <c r="Q455" s="612">
        <f t="shared" si="204"/>
        <v>3836.7162874903825</v>
      </c>
      <c r="R455" s="612">
        <f t="shared" si="204"/>
        <v>4047.7356833023532</v>
      </c>
      <c r="S455" s="612">
        <f t="shared" si="204"/>
        <v>4270.3611458839823</v>
      </c>
      <c r="T455" s="612">
        <f t="shared" si="204"/>
        <v>4505.2310089076009</v>
      </c>
      <c r="U455" s="612">
        <f t="shared" si="204"/>
        <v>4753.018714397519</v>
      </c>
      <c r="V455" s="612">
        <f t="shared" si="204"/>
        <v>5014.4347436893822</v>
      </c>
      <c r="W455" s="612">
        <f t="shared" si="204"/>
        <v>5290.228654592298</v>
      </c>
      <c r="X455" s="612">
        <f t="shared" si="204"/>
        <v>5581.1912305948745</v>
      </c>
      <c r="Y455" s="612">
        <f t="shared" si="204"/>
        <v>5888.1567482775927</v>
      </c>
      <c r="Z455" s="612">
        <f t="shared" si="204"/>
        <v>6212.0053694328599</v>
      </c>
      <c r="AA455" s="612">
        <f t="shared" si="204"/>
        <v>6553.6656647516666</v>
      </c>
      <c r="AB455" s="612">
        <f t="shared" si="204"/>
        <v>6914.117276313008</v>
      </c>
      <c r="AC455" s="612">
        <f t="shared" si="204"/>
        <v>0</v>
      </c>
    </row>
    <row r="456" spans="1:30" x14ac:dyDescent="0.45">
      <c r="A456" s="911" t="s">
        <v>1463</v>
      </c>
      <c r="B456" s="652" t="str">
        <f t="shared" si="202"/>
        <v>Sales</v>
      </c>
      <c r="D456" s="583" t="str">
        <f>'12. Inputs-Props &amp; Debtors 2016'!C$79</f>
        <v>Gau</v>
      </c>
      <c r="F456" s="596"/>
      <c r="G456" s="596"/>
      <c r="H456" s="596"/>
      <c r="I456" s="611">
        <v>2500</v>
      </c>
      <c r="J456" s="612">
        <f t="shared" ref="J456:AC456" si="205">IF(J80&lt;&gt;0,I456*(1+J$23),0)</f>
        <v>2637.5</v>
      </c>
      <c r="K456" s="612">
        <f t="shared" si="205"/>
        <v>2782.5625</v>
      </c>
      <c r="L456" s="612">
        <f t="shared" si="205"/>
        <v>2935.6034374999999</v>
      </c>
      <c r="M456" s="612">
        <f t="shared" si="205"/>
        <v>3097.0616265624999</v>
      </c>
      <c r="N456" s="612">
        <f t="shared" si="205"/>
        <v>3267.4000160234373</v>
      </c>
      <c r="O456" s="612">
        <f t="shared" si="205"/>
        <v>3447.1070169047262</v>
      </c>
      <c r="P456" s="612">
        <f t="shared" si="205"/>
        <v>3636.6979028344858</v>
      </c>
      <c r="Q456" s="612">
        <f t="shared" si="205"/>
        <v>3836.7162874903825</v>
      </c>
      <c r="R456" s="612">
        <f t="shared" si="205"/>
        <v>4047.7356833023532</v>
      </c>
      <c r="S456" s="612">
        <f t="shared" si="205"/>
        <v>4270.3611458839823</v>
      </c>
      <c r="T456" s="612">
        <f t="shared" si="205"/>
        <v>4505.2310089076009</v>
      </c>
      <c r="U456" s="612">
        <f t="shared" si="205"/>
        <v>4753.018714397519</v>
      </c>
      <c r="V456" s="612">
        <f t="shared" si="205"/>
        <v>5014.4347436893822</v>
      </c>
      <c r="W456" s="612">
        <f t="shared" si="205"/>
        <v>5290.228654592298</v>
      </c>
      <c r="X456" s="612">
        <f t="shared" si="205"/>
        <v>5581.1912305948745</v>
      </c>
      <c r="Y456" s="612">
        <f t="shared" si="205"/>
        <v>5888.1567482775927</v>
      </c>
      <c r="Z456" s="612">
        <f t="shared" si="205"/>
        <v>6212.0053694328599</v>
      </c>
      <c r="AA456" s="612">
        <f t="shared" si="205"/>
        <v>6553.6656647516666</v>
      </c>
      <c r="AB456" s="612">
        <f t="shared" si="205"/>
        <v>6914.117276313008</v>
      </c>
      <c r="AC456" s="612">
        <f t="shared" si="205"/>
        <v>0</v>
      </c>
    </row>
    <row r="457" spans="1:30" x14ac:dyDescent="0.45">
      <c r="A457" s="911" t="s">
        <v>1463</v>
      </c>
      <c r="B457" s="652" t="str">
        <f t="shared" si="202"/>
        <v>Sales</v>
      </c>
      <c r="D457" s="583" t="str">
        <f>'12. Inputs-Props &amp; Debtors 2016'!C$80</f>
        <v>KZN</v>
      </c>
      <c r="F457" s="596"/>
      <c r="G457" s="596"/>
      <c r="H457" s="596"/>
      <c r="I457" s="611">
        <v>2500</v>
      </c>
      <c r="J457" s="612">
        <f t="shared" ref="J457:AC457" si="206">IF(J81&lt;&gt;0,I457*(1+J$23),0)</f>
        <v>2637.5</v>
      </c>
      <c r="K457" s="612">
        <f t="shared" si="206"/>
        <v>2782.5625</v>
      </c>
      <c r="L457" s="612">
        <f t="shared" si="206"/>
        <v>2935.6034374999999</v>
      </c>
      <c r="M457" s="612">
        <f t="shared" si="206"/>
        <v>3097.0616265624999</v>
      </c>
      <c r="N457" s="612">
        <f t="shared" si="206"/>
        <v>3267.4000160234373</v>
      </c>
      <c r="O457" s="612">
        <f t="shared" si="206"/>
        <v>3447.1070169047262</v>
      </c>
      <c r="P457" s="612">
        <f t="shared" si="206"/>
        <v>3636.6979028344858</v>
      </c>
      <c r="Q457" s="612">
        <f t="shared" si="206"/>
        <v>3836.7162874903825</v>
      </c>
      <c r="R457" s="612">
        <f t="shared" si="206"/>
        <v>4047.7356833023532</v>
      </c>
      <c r="S457" s="612">
        <f t="shared" si="206"/>
        <v>4270.3611458839823</v>
      </c>
      <c r="T457" s="612">
        <f t="shared" si="206"/>
        <v>4505.2310089076009</v>
      </c>
      <c r="U457" s="612">
        <f t="shared" si="206"/>
        <v>4753.018714397519</v>
      </c>
      <c r="V457" s="612">
        <f t="shared" si="206"/>
        <v>5014.4347436893822</v>
      </c>
      <c r="W457" s="612">
        <f t="shared" si="206"/>
        <v>5290.228654592298</v>
      </c>
      <c r="X457" s="612">
        <f t="shared" si="206"/>
        <v>5581.1912305948745</v>
      </c>
      <c r="Y457" s="612">
        <f t="shared" si="206"/>
        <v>5888.1567482775927</v>
      </c>
      <c r="Z457" s="612">
        <f t="shared" si="206"/>
        <v>6212.0053694328599</v>
      </c>
      <c r="AA457" s="612">
        <f t="shared" si="206"/>
        <v>6553.6656647516666</v>
      </c>
      <c r="AB457" s="612">
        <f t="shared" si="206"/>
        <v>6914.117276313008</v>
      </c>
      <c r="AC457" s="612">
        <f t="shared" si="206"/>
        <v>0</v>
      </c>
    </row>
    <row r="458" spans="1:30" x14ac:dyDescent="0.45">
      <c r="A458" s="911" t="s">
        <v>1463</v>
      </c>
      <c r="B458" s="652" t="str">
        <f t="shared" si="202"/>
        <v>Sales</v>
      </c>
      <c r="D458" s="583" t="str">
        <f>'12. Inputs-Props &amp; Debtors 2016'!C$81</f>
        <v>WC</v>
      </c>
      <c r="F458" s="596"/>
      <c r="G458" s="596"/>
      <c r="H458" s="596"/>
      <c r="I458" s="611">
        <v>2500</v>
      </c>
      <c r="J458" s="612">
        <f t="shared" ref="J458:AC458" si="207">IF(J82&lt;&gt;0,I458*(1+J$23),0)</f>
        <v>2637.5</v>
      </c>
      <c r="K458" s="612">
        <f t="shared" si="207"/>
        <v>2782.5625</v>
      </c>
      <c r="L458" s="612">
        <f t="shared" si="207"/>
        <v>2935.6034374999999</v>
      </c>
      <c r="M458" s="612">
        <f t="shared" si="207"/>
        <v>3097.0616265624999</v>
      </c>
      <c r="N458" s="612">
        <f t="shared" si="207"/>
        <v>3267.4000160234373</v>
      </c>
      <c r="O458" s="612">
        <f t="shared" si="207"/>
        <v>3447.1070169047262</v>
      </c>
      <c r="P458" s="612">
        <f t="shared" si="207"/>
        <v>3636.6979028344858</v>
      </c>
      <c r="Q458" s="612">
        <f t="shared" si="207"/>
        <v>3836.7162874903825</v>
      </c>
      <c r="R458" s="612">
        <f t="shared" si="207"/>
        <v>4047.7356833023532</v>
      </c>
      <c r="S458" s="612">
        <f t="shared" si="207"/>
        <v>4270.3611458839823</v>
      </c>
      <c r="T458" s="612">
        <f t="shared" si="207"/>
        <v>4505.2310089076009</v>
      </c>
      <c r="U458" s="612">
        <f t="shared" si="207"/>
        <v>4753.018714397519</v>
      </c>
      <c r="V458" s="612">
        <f t="shared" si="207"/>
        <v>5014.4347436893822</v>
      </c>
      <c r="W458" s="612">
        <f t="shared" si="207"/>
        <v>5290.228654592298</v>
      </c>
      <c r="X458" s="612">
        <f t="shared" si="207"/>
        <v>5581.1912305948745</v>
      </c>
      <c r="Y458" s="612">
        <f t="shared" si="207"/>
        <v>5888.1567482775927</v>
      </c>
      <c r="Z458" s="612">
        <f t="shared" si="207"/>
        <v>6212.0053694328599</v>
      </c>
      <c r="AA458" s="612">
        <f t="shared" si="207"/>
        <v>6553.6656647516666</v>
      </c>
      <c r="AB458" s="612">
        <f t="shared" si="207"/>
        <v>6914.117276313008</v>
      </c>
      <c r="AC458" s="612">
        <f t="shared" si="207"/>
        <v>0</v>
      </c>
    </row>
    <row r="459" spans="1:30" x14ac:dyDescent="0.45">
      <c r="B459" s="652" t="str">
        <f t="shared" si="202"/>
        <v>Sales</v>
      </c>
      <c r="D459" s="596" t="s">
        <v>1066</v>
      </c>
      <c r="F459" s="596"/>
      <c r="G459" s="596"/>
      <c r="H459" s="596"/>
      <c r="I459" s="613">
        <f t="shared" ref="I459:AC459" si="208">IF(I$56&gt;0,SUMPRODUCT(I454:I458,I$51:I$55)/I$56,0)</f>
        <v>2500</v>
      </c>
      <c r="J459" s="613">
        <f t="shared" si="208"/>
        <v>2637.5</v>
      </c>
      <c r="K459" s="613">
        <f t="shared" si="208"/>
        <v>2782.5625</v>
      </c>
      <c r="L459" s="613">
        <f t="shared" si="208"/>
        <v>2935.6034374999999</v>
      </c>
      <c r="M459" s="613">
        <f t="shared" si="208"/>
        <v>3097.0616265624999</v>
      </c>
      <c r="N459" s="613">
        <f t="shared" si="208"/>
        <v>3267.4000160234382</v>
      </c>
      <c r="O459" s="613">
        <f t="shared" si="208"/>
        <v>3447.1070169047257</v>
      </c>
      <c r="P459" s="613">
        <f t="shared" si="208"/>
        <v>3636.6979028344858</v>
      </c>
      <c r="Q459" s="613">
        <f t="shared" si="208"/>
        <v>3836.7162874903825</v>
      </c>
      <c r="R459" s="613">
        <f t="shared" ref="R459:AB459" si="209">IF(R$56&gt;0,SUMPRODUCT(R454:R458,R$51:R$55)/R$56,0)</f>
        <v>4047.7356833023528</v>
      </c>
      <c r="S459" s="613">
        <f t="shared" si="209"/>
        <v>4270.3611458839823</v>
      </c>
      <c r="T459" s="613">
        <f t="shared" si="209"/>
        <v>4505.2310089076009</v>
      </c>
      <c r="U459" s="613">
        <f t="shared" si="209"/>
        <v>4753.018714397519</v>
      </c>
      <c r="V459" s="613">
        <f t="shared" si="209"/>
        <v>5014.4347436893822</v>
      </c>
      <c r="W459" s="613">
        <f t="shared" si="209"/>
        <v>5290.228654592298</v>
      </c>
      <c r="X459" s="613">
        <f t="shared" si="209"/>
        <v>5581.1912305948745</v>
      </c>
      <c r="Y459" s="613">
        <f t="shared" si="209"/>
        <v>5888.1567482775918</v>
      </c>
      <c r="Z459" s="613">
        <f t="shared" si="209"/>
        <v>6212.0053694328599</v>
      </c>
      <c r="AA459" s="613">
        <f t="shared" si="209"/>
        <v>6553.6656647516666</v>
      </c>
      <c r="AB459" s="613">
        <f t="shared" si="209"/>
        <v>6914.1172763130071</v>
      </c>
      <c r="AC459" s="613">
        <f t="shared" si="208"/>
        <v>0</v>
      </c>
    </row>
    <row r="460" spans="1:30" x14ac:dyDescent="0.45">
      <c r="B460" s="652" t="str">
        <f t="shared" si="202"/>
        <v>Sales</v>
      </c>
      <c r="F460" s="596"/>
      <c r="G460" s="596"/>
      <c r="H460" s="596"/>
      <c r="I460" s="596"/>
    </row>
    <row r="461" spans="1:30" x14ac:dyDescent="0.45">
      <c r="B461" s="652" t="str">
        <f t="shared" si="202"/>
        <v>Sales</v>
      </c>
      <c r="F461" s="596"/>
      <c r="G461" s="596"/>
      <c r="H461" s="596"/>
      <c r="I461" s="596"/>
    </row>
    <row r="462" spans="1:30" x14ac:dyDescent="0.45">
      <c r="B462" s="652" t="str">
        <f t="shared" si="202"/>
        <v>Sales</v>
      </c>
      <c r="C462" s="451">
        <f>C453+1</f>
        <v>48</v>
      </c>
      <c r="D462" s="591" t="s">
        <v>1088</v>
      </c>
      <c r="F462" s="596"/>
      <c r="G462" s="596"/>
      <c r="H462" s="596"/>
      <c r="I462" s="596"/>
    </row>
    <row r="463" spans="1:30" x14ac:dyDescent="0.45">
      <c r="A463" s="911" t="s">
        <v>1463</v>
      </c>
      <c r="B463" s="652" t="str">
        <f t="shared" si="202"/>
        <v>Sales</v>
      </c>
      <c r="D463" s="583" t="str">
        <f>'12. Inputs-Props &amp; Debtors 2016'!C$77</f>
        <v>EC</v>
      </c>
      <c r="F463" s="596"/>
      <c r="G463" s="596"/>
      <c r="H463" s="596"/>
      <c r="I463" s="611">
        <v>2500</v>
      </c>
      <c r="J463" s="612">
        <f t="shared" ref="J463:AC463" si="210">IF(J78&lt;&gt;0,I463*(1+J$23),0)</f>
        <v>2637.5</v>
      </c>
      <c r="K463" s="612">
        <f t="shared" si="210"/>
        <v>2782.5625</v>
      </c>
      <c r="L463" s="612">
        <f t="shared" si="210"/>
        <v>2935.6034374999999</v>
      </c>
      <c r="M463" s="612">
        <f t="shared" si="210"/>
        <v>3097.0616265624999</v>
      </c>
      <c r="N463" s="612">
        <f t="shared" si="210"/>
        <v>3267.4000160234373</v>
      </c>
      <c r="O463" s="612">
        <f t="shared" si="210"/>
        <v>3447.1070169047262</v>
      </c>
      <c r="P463" s="612">
        <f t="shared" si="210"/>
        <v>3636.6979028344858</v>
      </c>
      <c r="Q463" s="612">
        <f t="shared" si="210"/>
        <v>3836.7162874903825</v>
      </c>
      <c r="R463" s="612">
        <f t="shared" si="210"/>
        <v>4047.7356833023532</v>
      </c>
      <c r="S463" s="612">
        <f t="shared" si="210"/>
        <v>4270.3611458839823</v>
      </c>
      <c r="T463" s="612">
        <f t="shared" si="210"/>
        <v>4505.2310089076009</v>
      </c>
      <c r="U463" s="612">
        <f t="shared" si="210"/>
        <v>4753.018714397519</v>
      </c>
      <c r="V463" s="612">
        <f t="shared" si="210"/>
        <v>5014.4347436893822</v>
      </c>
      <c r="W463" s="612">
        <f t="shared" si="210"/>
        <v>5290.228654592298</v>
      </c>
      <c r="X463" s="612">
        <f t="shared" si="210"/>
        <v>5581.1912305948745</v>
      </c>
      <c r="Y463" s="612">
        <f t="shared" si="210"/>
        <v>5888.1567482775927</v>
      </c>
      <c r="Z463" s="612">
        <f t="shared" si="210"/>
        <v>6212.0053694328599</v>
      </c>
      <c r="AA463" s="612">
        <f t="shared" si="210"/>
        <v>6553.6656647516666</v>
      </c>
      <c r="AB463" s="612">
        <f t="shared" si="210"/>
        <v>6914.117276313008</v>
      </c>
      <c r="AC463" s="612">
        <f t="shared" si="210"/>
        <v>0</v>
      </c>
    </row>
    <row r="464" spans="1:30" x14ac:dyDescent="0.45">
      <c r="A464" s="911" t="s">
        <v>1463</v>
      </c>
      <c r="B464" s="652" t="str">
        <f t="shared" si="202"/>
        <v>Sales</v>
      </c>
      <c r="D464" s="583" t="str">
        <f>'12. Inputs-Props &amp; Debtors 2016'!C$78</f>
        <v>FS</v>
      </c>
      <c r="F464" s="596"/>
      <c r="G464" s="596"/>
      <c r="H464" s="596"/>
      <c r="I464" s="611">
        <v>2500</v>
      </c>
      <c r="J464" s="612">
        <f t="shared" ref="J464:AC464" si="211">IF(J79&lt;&gt;0,I464*(1+J$23),0)</f>
        <v>2637.5</v>
      </c>
      <c r="K464" s="612">
        <f t="shared" si="211"/>
        <v>2782.5625</v>
      </c>
      <c r="L464" s="612">
        <f t="shared" si="211"/>
        <v>2935.6034374999999</v>
      </c>
      <c r="M464" s="612">
        <f t="shared" si="211"/>
        <v>3097.0616265624999</v>
      </c>
      <c r="N464" s="612">
        <f t="shared" si="211"/>
        <v>3267.4000160234373</v>
      </c>
      <c r="O464" s="612">
        <f t="shared" si="211"/>
        <v>3447.1070169047262</v>
      </c>
      <c r="P464" s="612">
        <f t="shared" si="211"/>
        <v>3636.6979028344858</v>
      </c>
      <c r="Q464" s="612">
        <f t="shared" si="211"/>
        <v>3836.7162874903825</v>
      </c>
      <c r="R464" s="612">
        <f t="shared" si="211"/>
        <v>4047.7356833023532</v>
      </c>
      <c r="S464" s="612">
        <f t="shared" si="211"/>
        <v>4270.3611458839823</v>
      </c>
      <c r="T464" s="612">
        <f t="shared" si="211"/>
        <v>4505.2310089076009</v>
      </c>
      <c r="U464" s="612">
        <f t="shared" si="211"/>
        <v>4753.018714397519</v>
      </c>
      <c r="V464" s="612">
        <f t="shared" si="211"/>
        <v>5014.4347436893822</v>
      </c>
      <c r="W464" s="612">
        <f t="shared" si="211"/>
        <v>5290.228654592298</v>
      </c>
      <c r="X464" s="612">
        <f t="shared" si="211"/>
        <v>5581.1912305948745</v>
      </c>
      <c r="Y464" s="612">
        <f t="shared" si="211"/>
        <v>5888.1567482775927</v>
      </c>
      <c r="Z464" s="612">
        <f t="shared" si="211"/>
        <v>6212.0053694328599</v>
      </c>
      <c r="AA464" s="612">
        <f t="shared" si="211"/>
        <v>6553.6656647516666</v>
      </c>
      <c r="AB464" s="612">
        <f t="shared" si="211"/>
        <v>6914.117276313008</v>
      </c>
      <c r="AC464" s="612">
        <f t="shared" si="211"/>
        <v>0</v>
      </c>
    </row>
    <row r="465" spans="1:29" x14ac:dyDescent="0.45">
      <c r="A465" s="911" t="s">
        <v>1463</v>
      </c>
      <c r="B465" s="652" t="str">
        <f t="shared" si="202"/>
        <v>Sales</v>
      </c>
      <c r="D465" s="583" t="str">
        <f>'12. Inputs-Props &amp; Debtors 2016'!C$79</f>
        <v>Gau</v>
      </c>
      <c r="F465" s="596"/>
      <c r="G465" s="596"/>
      <c r="H465" s="596"/>
      <c r="I465" s="611">
        <v>2500</v>
      </c>
      <c r="J465" s="612">
        <f t="shared" ref="J465:AC465" si="212">IF(J80&lt;&gt;0,I465*(1+J$23),0)</f>
        <v>2637.5</v>
      </c>
      <c r="K465" s="612">
        <f t="shared" si="212"/>
        <v>2782.5625</v>
      </c>
      <c r="L465" s="612">
        <f t="shared" si="212"/>
        <v>2935.6034374999999</v>
      </c>
      <c r="M465" s="612">
        <f t="shared" si="212"/>
        <v>3097.0616265624999</v>
      </c>
      <c r="N465" s="612">
        <f t="shared" si="212"/>
        <v>3267.4000160234373</v>
      </c>
      <c r="O465" s="612">
        <f t="shared" si="212"/>
        <v>3447.1070169047262</v>
      </c>
      <c r="P465" s="612">
        <f t="shared" si="212"/>
        <v>3636.6979028344858</v>
      </c>
      <c r="Q465" s="612">
        <f t="shared" si="212"/>
        <v>3836.7162874903825</v>
      </c>
      <c r="R465" s="612">
        <f t="shared" si="212"/>
        <v>4047.7356833023532</v>
      </c>
      <c r="S465" s="612">
        <f t="shared" si="212"/>
        <v>4270.3611458839823</v>
      </c>
      <c r="T465" s="612">
        <f t="shared" si="212"/>
        <v>4505.2310089076009</v>
      </c>
      <c r="U465" s="612">
        <f t="shared" si="212"/>
        <v>4753.018714397519</v>
      </c>
      <c r="V465" s="612">
        <f t="shared" si="212"/>
        <v>5014.4347436893822</v>
      </c>
      <c r="W465" s="612">
        <f t="shared" si="212"/>
        <v>5290.228654592298</v>
      </c>
      <c r="X465" s="612">
        <f t="shared" si="212"/>
        <v>5581.1912305948745</v>
      </c>
      <c r="Y465" s="612">
        <f t="shared" si="212"/>
        <v>5888.1567482775927</v>
      </c>
      <c r="Z465" s="612">
        <f t="shared" si="212"/>
        <v>6212.0053694328599</v>
      </c>
      <c r="AA465" s="612">
        <f t="shared" si="212"/>
        <v>6553.6656647516666</v>
      </c>
      <c r="AB465" s="612">
        <f t="shared" si="212"/>
        <v>6914.117276313008</v>
      </c>
      <c r="AC465" s="612">
        <f t="shared" si="212"/>
        <v>0</v>
      </c>
    </row>
    <row r="466" spans="1:29" x14ac:dyDescent="0.45">
      <c r="A466" s="911" t="s">
        <v>1463</v>
      </c>
      <c r="B466" s="652" t="str">
        <f t="shared" si="202"/>
        <v>Sales</v>
      </c>
      <c r="D466" s="583" t="str">
        <f>'12. Inputs-Props &amp; Debtors 2016'!C$80</f>
        <v>KZN</v>
      </c>
      <c r="F466" s="596"/>
      <c r="G466" s="596"/>
      <c r="H466" s="596"/>
      <c r="I466" s="611">
        <v>2500</v>
      </c>
      <c r="J466" s="612">
        <f t="shared" ref="J466:AC466" si="213">IF(J81&lt;&gt;0,I466*(1+J$23),0)</f>
        <v>2637.5</v>
      </c>
      <c r="K466" s="612">
        <f t="shared" si="213"/>
        <v>2782.5625</v>
      </c>
      <c r="L466" s="612">
        <f t="shared" si="213"/>
        <v>2935.6034374999999</v>
      </c>
      <c r="M466" s="612">
        <f t="shared" si="213"/>
        <v>3097.0616265624999</v>
      </c>
      <c r="N466" s="612">
        <f t="shared" si="213"/>
        <v>3267.4000160234373</v>
      </c>
      <c r="O466" s="612">
        <f t="shared" si="213"/>
        <v>3447.1070169047262</v>
      </c>
      <c r="P466" s="612">
        <f t="shared" si="213"/>
        <v>3636.6979028344858</v>
      </c>
      <c r="Q466" s="612">
        <f t="shared" si="213"/>
        <v>3836.7162874903825</v>
      </c>
      <c r="R466" s="612">
        <f t="shared" si="213"/>
        <v>4047.7356833023532</v>
      </c>
      <c r="S466" s="612">
        <f t="shared" si="213"/>
        <v>4270.3611458839823</v>
      </c>
      <c r="T466" s="612">
        <f t="shared" si="213"/>
        <v>4505.2310089076009</v>
      </c>
      <c r="U466" s="612">
        <f t="shared" si="213"/>
        <v>4753.018714397519</v>
      </c>
      <c r="V466" s="612">
        <f t="shared" si="213"/>
        <v>5014.4347436893822</v>
      </c>
      <c r="W466" s="612">
        <f t="shared" si="213"/>
        <v>5290.228654592298</v>
      </c>
      <c r="X466" s="612">
        <f t="shared" si="213"/>
        <v>5581.1912305948745</v>
      </c>
      <c r="Y466" s="612">
        <f t="shared" si="213"/>
        <v>5888.1567482775927</v>
      </c>
      <c r="Z466" s="612">
        <f t="shared" si="213"/>
        <v>6212.0053694328599</v>
      </c>
      <c r="AA466" s="612">
        <f t="shared" si="213"/>
        <v>6553.6656647516666</v>
      </c>
      <c r="AB466" s="612">
        <f t="shared" si="213"/>
        <v>6914.117276313008</v>
      </c>
      <c r="AC466" s="612">
        <f t="shared" si="213"/>
        <v>0</v>
      </c>
    </row>
    <row r="467" spans="1:29" x14ac:dyDescent="0.45">
      <c r="A467" s="911" t="s">
        <v>1463</v>
      </c>
      <c r="B467" s="652" t="str">
        <f t="shared" si="202"/>
        <v>Sales</v>
      </c>
      <c r="D467" s="583" t="str">
        <f>'12. Inputs-Props &amp; Debtors 2016'!C$81</f>
        <v>WC</v>
      </c>
      <c r="F467" s="596"/>
      <c r="G467" s="596"/>
      <c r="H467" s="596"/>
      <c r="I467" s="611">
        <v>2500</v>
      </c>
      <c r="J467" s="612">
        <f t="shared" ref="J467:AC467" si="214">IF(J82&lt;&gt;0,I467*(1+J$23),0)</f>
        <v>2637.5</v>
      </c>
      <c r="K467" s="612">
        <f t="shared" si="214"/>
        <v>2782.5625</v>
      </c>
      <c r="L467" s="612">
        <f t="shared" si="214"/>
        <v>2935.6034374999999</v>
      </c>
      <c r="M467" s="612">
        <f t="shared" si="214"/>
        <v>3097.0616265624999</v>
      </c>
      <c r="N467" s="612">
        <f t="shared" si="214"/>
        <v>3267.4000160234373</v>
      </c>
      <c r="O467" s="612">
        <f t="shared" si="214"/>
        <v>3447.1070169047262</v>
      </c>
      <c r="P467" s="612">
        <f t="shared" si="214"/>
        <v>3636.6979028344858</v>
      </c>
      <c r="Q467" s="612">
        <f t="shared" si="214"/>
        <v>3836.7162874903825</v>
      </c>
      <c r="R467" s="612">
        <f t="shared" si="214"/>
        <v>4047.7356833023532</v>
      </c>
      <c r="S467" s="612">
        <f t="shared" si="214"/>
        <v>4270.3611458839823</v>
      </c>
      <c r="T467" s="612">
        <f t="shared" si="214"/>
        <v>4505.2310089076009</v>
      </c>
      <c r="U467" s="612">
        <f t="shared" si="214"/>
        <v>4753.018714397519</v>
      </c>
      <c r="V467" s="612">
        <f t="shared" si="214"/>
        <v>5014.4347436893822</v>
      </c>
      <c r="W467" s="612">
        <f t="shared" si="214"/>
        <v>5290.228654592298</v>
      </c>
      <c r="X467" s="612">
        <f t="shared" si="214"/>
        <v>5581.1912305948745</v>
      </c>
      <c r="Y467" s="612">
        <f t="shared" si="214"/>
        <v>5888.1567482775927</v>
      </c>
      <c r="Z467" s="612">
        <f t="shared" si="214"/>
        <v>6212.0053694328599</v>
      </c>
      <c r="AA467" s="612">
        <f t="shared" si="214"/>
        <v>6553.6656647516666</v>
      </c>
      <c r="AB467" s="612">
        <f t="shared" si="214"/>
        <v>6914.117276313008</v>
      </c>
      <c r="AC467" s="612">
        <f t="shared" si="214"/>
        <v>0</v>
      </c>
    </row>
    <row r="468" spans="1:29" x14ac:dyDescent="0.45">
      <c r="B468" s="652" t="str">
        <f t="shared" si="202"/>
        <v>Sales</v>
      </c>
      <c r="D468" s="596" t="s">
        <v>1066</v>
      </c>
      <c r="F468" s="596"/>
      <c r="G468" s="596"/>
      <c r="H468" s="596"/>
      <c r="I468" s="613">
        <f t="shared" ref="I468:P468" si="215">IF(I$56&gt;0,SUMPRODUCT(I463:I467,I$51:I$55)/I$56,0)</f>
        <v>2500</v>
      </c>
      <c r="J468" s="613">
        <f t="shared" si="215"/>
        <v>2637.5</v>
      </c>
      <c r="K468" s="613">
        <f t="shared" si="215"/>
        <v>2782.5625</v>
      </c>
      <c r="L468" s="613">
        <f t="shared" si="215"/>
        <v>2935.6034374999999</v>
      </c>
      <c r="M468" s="613">
        <f t="shared" si="215"/>
        <v>3097.0616265624999</v>
      </c>
      <c r="N468" s="613">
        <f t="shared" si="215"/>
        <v>3267.4000160234382</v>
      </c>
      <c r="O468" s="613">
        <f t="shared" si="215"/>
        <v>3447.1070169047257</v>
      </c>
      <c r="P468" s="613">
        <f t="shared" si="215"/>
        <v>3636.6979028344858</v>
      </c>
      <c r="Q468" s="613">
        <f t="shared" ref="Q468:AB468" si="216">IF(Q$56&gt;0,SUMPRODUCT(Q463:Q467,Q$51:Q$55)/Q$56,0)</f>
        <v>3836.7162874903825</v>
      </c>
      <c r="R468" s="613">
        <f t="shared" si="216"/>
        <v>4047.7356833023528</v>
      </c>
      <c r="S468" s="613">
        <f t="shared" si="216"/>
        <v>4270.3611458839823</v>
      </c>
      <c r="T468" s="613">
        <f t="shared" si="216"/>
        <v>4505.2310089076009</v>
      </c>
      <c r="U468" s="613">
        <f t="shared" si="216"/>
        <v>4753.018714397519</v>
      </c>
      <c r="V468" s="613">
        <f t="shared" si="216"/>
        <v>5014.4347436893822</v>
      </c>
      <c r="W468" s="613">
        <f t="shared" si="216"/>
        <v>5290.228654592298</v>
      </c>
      <c r="X468" s="613">
        <f t="shared" si="216"/>
        <v>5581.1912305948745</v>
      </c>
      <c r="Y468" s="613">
        <f t="shared" si="216"/>
        <v>5888.1567482775918</v>
      </c>
      <c r="Z468" s="613">
        <f t="shared" si="216"/>
        <v>6212.0053694328599</v>
      </c>
      <c r="AA468" s="613">
        <f t="shared" si="216"/>
        <v>6553.6656647516666</v>
      </c>
      <c r="AB468" s="613">
        <f t="shared" si="216"/>
        <v>6914.1172763130071</v>
      </c>
      <c r="AC468" s="613">
        <f>IF(AC$56&gt;0,SUMPRODUCT(AC463:AC467,AC$51:AC$55)/AC$56,0)</f>
        <v>0</v>
      </c>
    </row>
    <row r="469" spans="1:29" x14ac:dyDescent="0.45">
      <c r="B469" s="652" t="str">
        <f t="shared" si="202"/>
        <v>Sales</v>
      </c>
      <c r="F469" s="596"/>
      <c r="G469" s="596"/>
      <c r="H469" s="596"/>
      <c r="I469" s="615"/>
      <c r="J469" s="615"/>
      <c r="K469" s="615"/>
      <c r="L469" s="615"/>
      <c r="M469" s="615"/>
      <c r="N469" s="615"/>
      <c r="O469" s="615"/>
      <c r="P469" s="615"/>
      <c r="Q469" s="615"/>
      <c r="R469" s="615"/>
      <c r="S469" s="615"/>
      <c r="T469" s="615"/>
      <c r="U469" s="615"/>
      <c r="V469" s="615"/>
      <c r="W469" s="615"/>
      <c r="X469" s="615"/>
      <c r="Y469" s="615"/>
      <c r="Z469" s="615"/>
      <c r="AA469" s="615"/>
      <c r="AB469" s="615"/>
      <c r="AC469" s="615"/>
    </row>
    <row r="470" spans="1:29" x14ac:dyDescent="0.45">
      <c r="B470" s="652" t="str">
        <f t="shared" si="202"/>
        <v>Sales</v>
      </c>
      <c r="F470" s="596"/>
      <c r="G470" s="596"/>
      <c r="H470" s="596"/>
      <c r="I470" s="596"/>
    </row>
    <row r="471" spans="1:29" x14ac:dyDescent="0.45">
      <c r="B471" s="652" t="str">
        <f t="shared" si="202"/>
        <v>Sales</v>
      </c>
      <c r="C471" s="451">
        <f>C462+1</f>
        <v>49</v>
      </c>
      <c r="D471" s="451" t="s">
        <v>1471</v>
      </c>
      <c r="F471" s="596"/>
      <c r="G471" s="596"/>
      <c r="H471" s="596"/>
      <c r="I471" s="596"/>
    </row>
    <row r="472" spans="1:29" x14ac:dyDescent="0.45">
      <c r="A472" s="911" t="s">
        <v>1463</v>
      </c>
      <c r="B472" s="652" t="str">
        <f t="shared" si="202"/>
        <v>Sales</v>
      </c>
      <c r="D472" s="583" t="str">
        <f>'12. Inputs-Props &amp; Debtors 2016'!C$77</f>
        <v>EC</v>
      </c>
      <c r="F472" s="596"/>
      <c r="G472" s="596"/>
      <c r="H472" s="596"/>
      <c r="I472" s="611">
        <v>750</v>
      </c>
      <c r="J472" s="612">
        <f t="shared" ref="J472:AC472" si="217">IF(J78&lt;&gt;0,I472*(1+J$23),0)</f>
        <v>791.25</v>
      </c>
      <c r="K472" s="612">
        <f t="shared" si="217"/>
        <v>834.76874999999995</v>
      </c>
      <c r="L472" s="612">
        <f t="shared" si="217"/>
        <v>880.68103124999993</v>
      </c>
      <c r="M472" s="612">
        <f t="shared" si="217"/>
        <v>929.11848796874983</v>
      </c>
      <c r="N472" s="612">
        <f t="shared" si="217"/>
        <v>980.22000480703105</v>
      </c>
      <c r="O472" s="612">
        <f t="shared" si="217"/>
        <v>1034.1321050714178</v>
      </c>
      <c r="P472" s="612">
        <f t="shared" si="217"/>
        <v>1091.0093708503457</v>
      </c>
      <c r="Q472" s="612">
        <f t="shared" si="217"/>
        <v>1151.0148862471146</v>
      </c>
      <c r="R472" s="612">
        <f t="shared" si="217"/>
        <v>1214.320704990706</v>
      </c>
      <c r="S472" s="612">
        <f t="shared" si="217"/>
        <v>1281.1083437651946</v>
      </c>
      <c r="T472" s="612">
        <f t="shared" si="217"/>
        <v>1351.5693026722802</v>
      </c>
      <c r="U472" s="612">
        <f t="shared" si="217"/>
        <v>1425.9056143192554</v>
      </c>
      <c r="V472" s="612">
        <f t="shared" si="217"/>
        <v>1504.3304231068144</v>
      </c>
      <c r="W472" s="612">
        <f t="shared" si="217"/>
        <v>1587.0685963776891</v>
      </c>
      <c r="X472" s="612">
        <f t="shared" si="217"/>
        <v>1674.357369178462</v>
      </c>
      <c r="Y472" s="612">
        <f t="shared" si="217"/>
        <v>1766.4470244832773</v>
      </c>
      <c r="Z472" s="612">
        <f t="shared" si="217"/>
        <v>1863.6016108298575</v>
      </c>
      <c r="AA472" s="612">
        <f t="shared" si="217"/>
        <v>1966.0996994254995</v>
      </c>
      <c r="AB472" s="612">
        <f t="shared" si="217"/>
        <v>2074.2351828939018</v>
      </c>
      <c r="AC472" s="612">
        <f t="shared" si="217"/>
        <v>0</v>
      </c>
    </row>
    <row r="473" spans="1:29" x14ac:dyDescent="0.45">
      <c r="A473" s="911" t="s">
        <v>1463</v>
      </c>
      <c r="B473" s="652" t="str">
        <f t="shared" si="202"/>
        <v>Sales</v>
      </c>
      <c r="D473" s="583" t="str">
        <f>'12. Inputs-Props &amp; Debtors 2016'!C$78</f>
        <v>FS</v>
      </c>
      <c r="F473" s="596"/>
      <c r="G473" s="596"/>
      <c r="H473" s="596"/>
      <c r="I473" s="611">
        <v>750</v>
      </c>
      <c r="J473" s="612">
        <f t="shared" ref="J473:AC473" si="218">IF(J79&lt;&gt;0,I473*(1+J$23),0)</f>
        <v>791.25</v>
      </c>
      <c r="K473" s="612">
        <f t="shared" si="218"/>
        <v>834.76874999999995</v>
      </c>
      <c r="L473" s="612">
        <f t="shared" si="218"/>
        <v>880.68103124999993</v>
      </c>
      <c r="M473" s="612">
        <f t="shared" si="218"/>
        <v>929.11848796874983</v>
      </c>
      <c r="N473" s="612">
        <f t="shared" si="218"/>
        <v>980.22000480703105</v>
      </c>
      <c r="O473" s="612">
        <f t="shared" si="218"/>
        <v>1034.1321050714178</v>
      </c>
      <c r="P473" s="612">
        <f t="shared" si="218"/>
        <v>1091.0093708503457</v>
      </c>
      <c r="Q473" s="612">
        <f t="shared" si="218"/>
        <v>1151.0148862471146</v>
      </c>
      <c r="R473" s="612">
        <f t="shared" si="218"/>
        <v>1214.320704990706</v>
      </c>
      <c r="S473" s="612">
        <f t="shared" si="218"/>
        <v>1281.1083437651946</v>
      </c>
      <c r="T473" s="612">
        <f t="shared" si="218"/>
        <v>1351.5693026722802</v>
      </c>
      <c r="U473" s="612">
        <f t="shared" si="218"/>
        <v>1425.9056143192554</v>
      </c>
      <c r="V473" s="612">
        <f t="shared" si="218"/>
        <v>1504.3304231068144</v>
      </c>
      <c r="W473" s="612">
        <f t="shared" si="218"/>
        <v>1587.0685963776891</v>
      </c>
      <c r="X473" s="612">
        <f t="shared" si="218"/>
        <v>1674.357369178462</v>
      </c>
      <c r="Y473" s="612">
        <f t="shared" si="218"/>
        <v>1766.4470244832773</v>
      </c>
      <c r="Z473" s="612">
        <f t="shared" si="218"/>
        <v>1863.6016108298575</v>
      </c>
      <c r="AA473" s="612">
        <f t="shared" si="218"/>
        <v>1966.0996994254995</v>
      </c>
      <c r="AB473" s="612">
        <f t="shared" si="218"/>
        <v>2074.2351828939018</v>
      </c>
      <c r="AC473" s="612">
        <f t="shared" si="218"/>
        <v>0</v>
      </c>
    </row>
    <row r="474" spans="1:29" x14ac:dyDescent="0.45">
      <c r="A474" s="911" t="s">
        <v>1463</v>
      </c>
      <c r="B474" s="652" t="str">
        <f t="shared" si="202"/>
        <v>Sales</v>
      </c>
      <c r="D474" s="583" t="str">
        <f>'12. Inputs-Props &amp; Debtors 2016'!C$79</f>
        <v>Gau</v>
      </c>
      <c r="F474" s="596"/>
      <c r="G474" s="596"/>
      <c r="H474" s="596"/>
      <c r="I474" s="611">
        <v>750</v>
      </c>
      <c r="J474" s="612">
        <f t="shared" ref="J474:AC474" si="219">IF(J80&lt;&gt;0,I474*(1+J$23),0)</f>
        <v>791.25</v>
      </c>
      <c r="K474" s="612">
        <f t="shared" si="219"/>
        <v>834.76874999999995</v>
      </c>
      <c r="L474" s="612">
        <f t="shared" si="219"/>
        <v>880.68103124999993</v>
      </c>
      <c r="M474" s="612">
        <f t="shared" si="219"/>
        <v>929.11848796874983</v>
      </c>
      <c r="N474" s="612">
        <f t="shared" si="219"/>
        <v>980.22000480703105</v>
      </c>
      <c r="O474" s="612">
        <f t="shared" si="219"/>
        <v>1034.1321050714178</v>
      </c>
      <c r="P474" s="612">
        <f t="shared" si="219"/>
        <v>1091.0093708503457</v>
      </c>
      <c r="Q474" s="612">
        <f t="shared" si="219"/>
        <v>1151.0148862471146</v>
      </c>
      <c r="R474" s="612">
        <f t="shared" si="219"/>
        <v>1214.320704990706</v>
      </c>
      <c r="S474" s="612">
        <f t="shared" si="219"/>
        <v>1281.1083437651946</v>
      </c>
      <c r="T474" s="612">
        <f t="shared" si="219"/>
        <v>1351.5693026722802</v>
      </c>
      <c r="U474" s="612">
        <f t="shared" si="219"/>
        <v>1425.9056143192554</v>
      </c>
      <c r="V474" s="612">
        <f t="shared" si="219"/>
        <v>1504.3304231068144</v>
      </c>
      <c r="W474" s="612">
        <f t="shared" si="219"/>
        <v>1587.0685963776891</v>
      </c>
      <c r="X474" s="612">
        <f t="shared" si="219"/>
        <v>1674.357369178462</v>
      </c>
      <c r="Y474" s="612">
        <f t="shared" si="219"/>
        <v>1766.4470244832773</v>
      </c>
      <c r="Z474" s="612">
        <f t="shared" si="219"/>
        <v>1863.6016108298575</v>
      </c>
      <c r="AA474" s="612">
        <f t="shared" si="219"/>
        <v>1966.0996994254995</v>
      </c>
      <c r="AB474" s="612">
        <f t="shared" si="219"/>
        <v>2074.2351828939018</v>
      </c>
      <c r="AC474" s="612">
        <f t="shared" si="219"/>
        <v>0</v>
      </c>
    </row>
    <row r="475" spans="1:29" x14ac:dyDescent="0.45">
      <c r="A475" s="911" t="s">
        <v>1463</v>
      </c>
      <c r="B475" s="652" t="str">
        <f t="shared" si="202"/>
        <v>Sales</v>
      </c>
      <c r="D475" s="583" t="str">
        <f>'12. Inputs-Props &amp; Debtors 2016'!C$80</f>
        <v>KZN</v>
      </c>
      <c r="F475" s="596"/>
      <c r="G475" s="596"/>
      <c r="H475" s="596"/>
      <c r="I475" s="611">
        <v>750</v>
      </c>
      <c r="J475" s="612">
        <f t="shared" ref="J475:AC475" si="220">IF(J81&lt;&gt;0,I475*(1+J$23),0)</f>
        <v>791.25</v>
      </c>
      <c r="K475" s="612">
        <f t="shared" si="220"/>
        <v>834.76874999999995</v>
      </c>
      <c r="L475" s="612">
        <f t="shared" si="220"/>
        <v>880.68103124999993</v>
      </c>
      <c r="M475" s="612">
        <f t="shared" si="220"/>
        <v>929.11848796874983</v>
      </c>
      <c r="N475" s="612">
        <f t="shared" si="220"/>
        <v>980.22000480703105</v>
      </c>
      <c r="O475" s="612">
        <f t="shared" si="220"/>
        <v>1034.1321050714178</v>
      </c>
      <c r="P475" s="612">
        <f t="shared" si="220"/>
        <v>1091.0093708503457</v>
      </c>
      <c r="Q475" s="612">
        <f t="shared" si="220"/>
        <v>1151.0148862471146</v>
      </c>
      <c r="R475" s="612">
        <f t="shared" si="220"/>
        <v>1214.320704990706</v>
      </c>
      <c r="S475" s="612">
        <f t="shared" si="220"/>
        <v>1281.1083437651946</v>
      </c>
      <c r="T475" s="612">
        <f t="shared" si="220"/>
        <v>1351.5693026722802</v>
      </c>
      <c r="U475" s="612">
        <f t="shared" si="220"/>
        <v>1425.9056143192554</v>
      </c>
      <c r="V475" s="612">
        <f t="shared" si="220"/>
        <v>1504.3304231068144</v>
      </c>
      <c r="W475" s="612">
        <f t="shared" si="220"/>
        <v>1587.0685963776891</v>
      </c>
      <c r="X475" s="612">
        <f t="shared" si="220"/>
        <v>1674.357369178462</v>
      </c>
      <c r="Y475" s="612">
        <f t="shared" si="220"/>
        <v>1766.4470244832773</v>
      </c>
      <c r="Z475" s="612">
        <f t="shared" si="220"/>
        <v>1863.6016108298575</v>
      </c>
      <c r="AA475" s="612">
        <f t="shared" si="220"/>
        <v>1966.0996994254995</v>
      </c>
      <c r="AB475" s="612">
        <f t="shared" si="220"/>
        <v>2074.2351828939018</v>
      </c>
      <c r="AC475" s="612">
        <f t="shared" si="220"/>
        <v>0</v>
      </c>
    </row>
    <row r="476" spans="1:29" x14ac:dyDescent="0.45">
      <c r="A476" s="911" t="s">
        <v>1463</v>
      </c>
      <c r="B476" s="652" t="str">
        <f t="shared" si="202"/>
        <v>Sales</v>
      </c>
      <c r="D476" s="583" t="str">
        <f>'12. Inputs-Props &amp; Debtors 2016'!C$81</f>
        <v>WC</v>
      </c>
      <c r="F476" s="596"/>
      <c r="G476" s="596"/>
      <c r="H476" s="596"/>
      <c r="I476" s="611">
        <v>750</v>
      </c>
      <c r="J476" s="612">
        <f t="shared" ref="J476:AC476" si="221">IF(J82&lt;&gt;0,I476*(1+J$23),0)</f>
        <v>791.25</v>
      </c>
      <c r="K476" s="612">
        <f t="shared" si="221"/>
        <v>834.76874999999995</v>
      </c>
      <c r="L476" s="612">
        <f t="shared" si="221"/>
        <v>880.68103124999993</v>
      </c>
      <c r="M476" s="612">
        <f t="shared" si="221"/>
        <v>929.11848796874983</v>
      </c>
      <c r="N476" s="612">
        <f t="shared" si="221"/>
        <v>980.22000480703105</v>
      </c>
      <c r="O476" s="612">
        <f t="shared" si="221"/>
        <v>1034.1321050714178</v>
      </c>
      <c r="P476" s="612">
        <f t="shared" si="221"/>
        <v>1091.0093708503457</v>
      </c>
      <c r="Q476" s="612">
        <f t="shared" si="221"/>
        <v>1151.0148862471146</v>
      </c>
      <c r="R476" s="612">
        <f t="shared" si="221"/>
        <v>1214.320704990706</v>
      </c>
      <c r="S476" s="612">
        <f t="shared" si="221"/>
        <v>1281.1083437651946</v>
      </c>
      <c r="T476" s="612">
        <f t="shared" si="221"/>
        <v>1351.5693026722802</v>
      </c>
      <c r="U476" s="612">
        <f t="shared" si="221"/>
        <v>1425.9056143192554</v>
      </c>
      <c r="V476" s="612">
        <f t="shared" si="221"/>
        <v>1504.3304231068144</v>
      </c>
      <c r="W476" s="612">
        <f t="shared" si="221"/>
        <v>1587.0685963776891</v>
      </c>
      <c r="X476" s="612">
        <f t="shared" si="221"/>
        <v>1674.357369178462</v>
      </c>
      <c r="Y476" s="612">
        <f t="shared" si="221"/>
        <v>1766.4470244832773</v>
      </c>
      <c r="Z476" s="612">
        <f t="shared" si="221"/>
        <v>1863.6016108298575</v>
      </c>
      <c r="AA476" s="612">
        <f t="shared" si="221"/>
        <v>1966.0996994254995</v>
      </c>
      <c r="AB476" s="612">
        <f t="shared" si="221"/>
        <v>2074.2351828939018</v>
      </c>
      <c r="AC476" s="612">
        <f t="shared" si="221"/>
        <v>0</v>
      </c>
    </row>
    <row r="477" spans="1:29" x14ac:dyDescent="0.45">
      <c r="B477" s="652" t="str">
        <f t="shared" si="202"/>
        <v>Sales</v>
      </c>
      <c r="D477" s="747" t="s">
        <v>1066</v>
      </c>
      <c r="F477" s="596"/>
      <c r="G477" s="596"/>
      <c r="H477" s="596"/>
      <c r="I477" s="613">
        <f t="shared" ref="I477:P477" si="222">IF(I$56&gt;0,SUMPRODUCT(I472:I476,I$51:I$55)/I$56,0)</f>
        <v>750</v>
      </c>
      <c r="J477" s="613">
        <f t="shared" si="222"/>
        <v>791.25</v>
      </c>
      <c r="K477" s="613">
        <f t="shared" si="222"/>
        <v>834.76874999999995</v>
      </c>
      <c r="L477" s="613">
        <f t="shared" si="222"/>
        <v>880.68103124999993</v>
      </c>
      <c r="M477" s="613">
        <f t="shared" si="222"/>
        <v>929.11848796874983</v>
      </c>
      <c r="N477" s="613">
        <f t="shared" si="222"/>
        <v>980.22000480703105</v>
      </c>
      <c r="O477" s="613">
        <f t="shared" si="222"/>
        <v>1034.1321050714178</v>
      </c>
      <c r="P477" s="613">
        <f t="shared" si="222"/>
        <v>1091.0093708503459</v>
      </c>
      <c r="Q477" s="613">
        <f t="shared" ref="Q477:AB477" si="223">IF(Q$56&gt;0,SUMPRODUCT(Q472:Q476,Q$51:Q$55)/Q$56,0)</f>
        <v>1151.0148862471146</v>
      </c>
      <c r="R477" s="613">
        <f t="shared" si="223"/>
        <v>1214.3207049907057</v>
      </c>
      <c r="S477" s="613">
        <f t="shared" si="223"/>
        <v>1281.1083437651946</v>
      </c>
      <c r="T477" s="613">
        <f t="shared" si="223"/>
        <v>1351.5693026722799</v>
      </c>
      <c r="U477" s="613">
        <f t="shared" si="223"/>
        <v>1425.9056143192552</v>
      </c>
      <c r="V477" s="613">
        <f t="shared" si="223"/>
        <v>1504.3304231068144</v>
      </c>
      <c r="W477" s="613">
        <f t="shared" si="223"/>
        <v>1587.0685963776893</v>
      </c>
      <c r="X477" s="613">
        <f t="shared" si="223"/>
        <v>1674.357369178462</v>
      </c>
      <c r="Y477" s="613">
        <f t="shared" si="223"/>
        <v>1766.4470244832776</v>
      </c>
      <c r="Z477" s="613">
        <f t="shared" si="223"/>
        <v>1863.6016108298575</v>
      </c>
      <c r="AA477" s="613">
        <f t="shared" si="223"/>
        <v>1966.0996994254995</v>
      </c>
      <c r="AB477" s="613">
        <f t="shared" si="223"/>
        <v>2074.2351828939018</v>
      </c>
      <c r="AC477" s="613">
        <f>IF(AC$56&gt;0,SUMPRODUCT(AC472:AC476,AC$51:AC$55)/AC$56,0)</f>
        <v>0</v>
      </c>
    </row>
    <row r="478" spans="1:29" x14ac:dyDescent="0.45">
      <c r="B478" s="652" t="str">
        <f t="shared" si="202"/>
        <v>Sales</v>
      </c>
      <c r="D478" s="583" t="s">
        <v>11</v>
      </c>
      <c r="F478" s="596"/>
      <c r="G478" s="596"/>
      <c r="H478" s="596"/>
      <c r="I478" s="893">
        <f>-I$111*I477</f>
        <v>0</v>
      </c>
      <c r="J478" s="893">
        <f>-J$111*J477</f>
        <v>0</v>
      </c>
      <c r="K478" s="893">
        <f>-K$111*K477</f>
        <v>0</v>
      </c>
      <c r="L478" s="893">
        <f>-L$111*L477</f>
        <v>0</v>
      </c>
      <c r="M478" s="893">
        <f t="shared" ref="M478:AC478" si="224">-M$111*M477</f>
        <v>0</v>
      </c>
      <c r="N478" s="893">
        <f t="shared" si="224"/>
        <v>0</v>
      </c>
      <c r="O478" s="893">
        <f t="shared" si="224"/>
        <v>0</v>
      </c>
      <c r="P478" s="893">
        <f t="shared" si="224"/>
        <v>0</v>
      </c>
      <c r="Q478" s="893">
        <f t="shared" si="224"/>
        <v>0</v>
      </c>
      <c r="R478" s="893">
        <f t="shared" si="224"/>
        <v>0</v>
      </c>
      <c r="S478" s="893">
        <f t="shared" si="224"/>
        <v>0</v>
      </c>
      <c r="T478" s="893">
        <f t="shared" si="224"/>
        <v>0</v>
      </c>
      <c r="U478" s="893">
        <f t="shared" si="224"/>
        <v>0</v>
      </c>
      <c r="V478" s="893">
        <f t="shared" si="224"/>
        <v>0</v>
      </c>
      <c r="W478" s="893">
        <f t="shared" si="224"/>
        <v>0</v>
      </c>
      <c r="X478" s="893">
        <f t="shared" si="224"/>
        <v>0</v>
      </c>
      <c r="Y478" s="893">
        <f t="shared" si="224"/>
        <v>0</v>
      </c>
      <c r="Z478" s="893">
        <f t="shared" si="224"/>
        <v>0</v>
      </c>
      <c r="AA478" s="893">
        <f t="shared" si="224"/>
        <v>0</v>
      </c>
      <c r="AB478" s="893">
        <f t="shared" si="224"/>
        <v>15347266.118231978</v>
      </c>
      <c r="AC478" s="893">
        <f t="shared" si="224"/>
        <v>0</v>
      </c>
    </row>
    <row r="479" spans="1:29" x14ac:dyDescent="0.45">
      <c r="B479" s="652" t="str">
        <f t="shared" si="202"/>
        <v>Sales</v>
      </c>
      <c r="F479" s="596"/>
      <c r="G479" s="596"/>
      <c r="H479" s="596"/>
      <c r="I479" s="893"/>
      <c r="J479" s="893"/>
      <c r="K479" s="893"/>
      <c r="L479" s="893"/>
      <c r="M479" s="893"/>
      <c r="N479" s="893"/>
      <c r="O479" s="893"/>
      <c r="P479" s="893"/>
      <c r="Q479" s="893"/>
      <c r="R479" s="893"/>
      <c r="S479" s="893"/>
      <c r="T479" s="893"/>
      <c r="U479" s="893"/>
      <c r="V479" s="893"/>
      <c r="W479" s="893"/>
      <c r="X479" s="893"/>
      <c r="Y479" s="893"/>
      <c r="Z479" s="893"/>
      <c r="AA479" s="893"/>
      <c r="AB479" s="893"/>
      <c r="AC479" s="893"/>
    </row>
    <row r="480" spans="1:29" x14ac:dyDescent="0.45">
      <c r="B480" s="652" t="str">
        <f t="shared" si="202"/>
        <v>Sales</v>
      </c>
      <c r="C480" s="451">
        <f>C471+1</f>
        <v>50</v>
      </c>
      <c r="D480" s="591" t="s">
        <v>1089</v>
      </c>
      <c r="F480" s="596"/>
      <c r="G480" s="596"/>
      <c r="H480" s="596"/>
      <c r="I480" s="596"/>
    </row>
    <row r="481" spans="1:29" x14ac:dyDescent="0.45">
      <c r="A481" s="911" t="s">
        <v>1463</v>
      </c>
      <c r="B481" s="652" t="str">
        <f t="shared" si="202"/>
        <v>Sales</v>
      </c>
      <c r="D481" s="583" t="str">
        <f>'12. Inputs-Props &amp; Debtors 2016'!C$77</f>
        <v>EC</v>
      </c>
      <c r="F481" s="596"/>
      <c r="G481" s="596"/>
      <c r="H481" s="596"/>
      <c r="I481" s="611">
        <v>0</v>
      </c>
      <c r="J481" s="611">
        <v>0</v>
      </c>
      <c r="K481" s="612">
        <f>J481*(1+K$23)</f>
        <v>0</v>
      </c>
      <c r="L481" s="612">
        <f t="shared" ref="L481:AC485" si="225">K481*(1+L$23)</f>
        <v>0</v>
      </c>
      <c r="M481" s="612">
        <f t="shared" si="225"/>
        <v>0</v>
      </c>
      <c r="N481" s="612">
        <f t="shared" si="225"/>
        <v>0</v>
      </c>
      <c r="O481" s="612">
        <f t="shared" si="225"/>
        <v>0</v>
      </c>
      <c r="P481" s="612">
        <f t="shared" si="225"/>
        <v>0</v>
      </c>
      <c r="Q481" s="612">
        <f t="shared" si="225"/>
        <v>0</v>
      </c>
      <c r="R481" s="612">
        <f t="shared" si="225"/>
        <v>0</v>
      </c>
      <c r="S481" s="612">
        <f t="shared" si="225"/>
        <v>0</v>
      </c>
      <c r="T481" s="612">
        <f t="shared" si="225"/>
        <v>0</v>
      </c>
      <c r="U481" s="612">
        <f t="shared" si="225"/>
        <v>0</v>
      </c>
      <c r="V481" s="612">
        <f t="shared" si="225"/>
        <v>0</v>
      </c>
      <c r="W481" s="612">
        <f t="shared" si="225"/>
        <v>0</v>
      </c>
      <c r="X481" s="612">
        <f t="shared" si="225"/>
        <v>0</v>
      </c>
      <c r="Y481" s="612">
        <f t="shared" si="225"/>
        <v>0</v>
      </c>
      <c r="Z481" s="612">
        <f t="shared" si="225"/>
        <v>0</v>
      </c>
      <c r="AA481" s="612">
        <f t="shared" si="225"/>
        <v>0</v>
      </c>
      <c r="AB481" s="612">
        <f t="shared" si="225"/>
        <v>0</v>
      </c>
      <c r="AC481" s="612">
        <f t="shared" si="225"/>
        <v>0</v>
      </c>
    </row>
    <row r="482" spans="1:29" x14ac:dyDescent="0.45">
      <c r="A482" s="911" t="s">
        <v>1463</v>
      </c>
      <c r="B482" s="652" t="str">
        <f t="shared" si="202"/>
        <v>Sales</v>
      </c>
      <c r="D482" s="583" t="str">
        <f>'12. Inputs-Props &amp; Debtors 2016'!C$78</f>
        <v>FS</v>
      </c>
      <c r="F482" s="596"/>
      <c r="G482" s="596"/>
      <c r="H482" s="596"/>
      <c r="I482" s="611">
        <v>0</v>
      </c>
      <c r="J482" s="611">
        <v>0</v>
      </c>
      <c r="K482" s="612">
        <f>J482*(1+K$23)</f>
        <v>0</v>
      </c>
      <c r="L482" s="612">
        <f t="shared" ref="L482:Z482" si="226">K482*(1+L$23)</f>
        <v>0</v>
      </c>
      <c r="M482" s="612">
        <f t="shared" si="226"/>
        <v>0</v>
      </c>
      <c r="N482" s="612">
        <f t="shared" si="226"/>
        <v>0</v>
      </c>
      <c r="O482" s="612">
        <f t="shared" si="226"/>
        <v>0</v>
      </c>
      <c r="P482" s="612">
        <f t="shared" si="226"/>
        <v>0</v>
      </c>
      <c r="Q482" s="612">
        <f t="shared" si="226"/>
        <v>0</v>
      </c>
      <c r="R482" s="612">
        <f t="shared" si="226"/>
        <v>0</v>
      </c>
      <c r="S482" s="612">
        <f t="shared" si="226"/>
        <v>0</v>
      </c>
      <c r="T482" s="612">
        <f t="shared" si="226"/>
        <v>0</v>
      </c>
      <c r="U482" s="612">
        <f t="shared" si="226"/>
        <v>0</v>
      </c>
      <c r="V482" s="612">
        <f t="shared" si="226"/>
        <v>0</v>
      </c>
      <c r="W482" s="612">
        <f t="shared" si="226"/>
        <v>0</v>
      </c>
      <c r="X482" s="612">
        <f t="shared" si="226"/>
        <v>0</v>
      </c>
      <c r="Y482" s="612">
        <f t="shared" si="226"/>
        <v>0</v>
      </c>
      <c r="Z482" s="612">
        <f t="shared" si="226"/>
        <v>0</v>
      </c>
      <c r="AA482" s="612">
        <f t="shared" si="225"/>
        <v>0</v>
      </c>
      <c r="AB482" s="612">
        <f t="shared" si="225"/>
        <v>0</v>
      </c>
      <c r="AC482" s="612">
        <f t="shared" si="225"/>
        <v>0</v>
      </c>
    </row>
    <row r="483" spans="1:29" x14ac:dyDescent="0.45">
      <c r="A483" s="911" t="s">
        <v>1463</v>
      </c>
      <c r="B483" s="652" t="str">
        <f t="shared" si="202"/>
        <v>Sales</v>
      </c>
      <c r="D483" s="583" t="str">
        <f>'12. Inputs-Props &amp; Debtors 2016'!C$79</f>
        <v>Gau</v>
      </c>
      <c r="F483" s="596"/>
      <c r="G483" s="596"/>
      <c r="H483" s="596"/>
      <c r="I483" s="611">
        <v>0</v>
      </c>
      <c r="J483" s="611">
        <v>0</v>
      </c>
      <c r="K483" s="612">
        <f>J483*(1+K$23)</f>
        <v>0</v>
      </c>
      <c r="L483" s="612">
        <f t="shared" si="225"/>
        <v>0</v>
      </c>
      <c r="M483" s="612">
        <f t="shared" si="225"/>
        <v>0</v>
      </c>
      <c r="N483" s="612">
        <f t="shared" si="225"/>
        <v>0</v>
      </c>
      <c r="O483" s="612">
        <f t="shared" si="225"/>
        <v>0</v>
      </c>
      <c r="P483" s="612">
        <f t="shared" si="225"/>
        <v>0</v>
      </c>
      <c r="Q483" s="612">
        <f t="shared" si="225"/>
        <v>0</v>
      </c>
      <c r="R483" s="612">
        <f t="shared" si="225"/>
        <v>0</v>
      </c>
      <c r="S483" s="612">
        <f t="shared" si="225"/>
        <v>0</v>
      </c>
      <c r="T483" s="612">
        <f t="shared" si="225"/>
        <v>0</v>
      </c>
      <c r="U483" s="612">
        <f t="shared" si="225"/>
        <v>0</v>
      </c>
      <c r="V483" s="612">
        <f t="shared" si="225"/>
        <v>0</v>
      </c>
      <c r="W483" s="612">
        <f t="shared" si="225"/>
        <v>0</v>
      </c>
      <c r="X483" s="612">
        <f t="shared" si="225"/>
        <v>0</v>
      </c>
      <c r="Y483" s="612">
        <f t="shared" si="225"/>
        <v>0</v>
      </c>
      <c r="Z483" s="612">
        <f t="shared" si="225"/>
        <v>0</v>
      </c>
      <c r="AA483" s="612">
        <f t="shared" si="225"/>
        <v>0</v>
      </c>
      <c r="AB483" s="612">
        <f t="shared" si="225"/>
        <v>0</v>
      </c>
      <c r="AC483" s="612">
        <f t="shared" si="225"/>
        <v>0</v>
      </c>
    </row>
    <row r="484" spans="1:29" x14ac:dyDescent="0.45">
      <c r="A484" s="911" t="s">
        <v>1463</v>
      </c>
      <c r="B484" s="652" t="str">
        <f t="shared" si="202"/>
        <v>Sales</v>
      </c>
      <c r="D484" s="583" t="str">
        <f>'12. Inputs-Props &amp; Debtors 2016'!C$80</f>
        <v>KZN</v>
      </c>
      <c r="F484" s="596"/>
      <c r="G484" s="596"/>
      <c r="H484" s="596"/>
      <c r="I484" s="611">
        <v>0</v>
      </c>
      <c r="J484" s="611">
        <v>0</v>
      </c>
      <c r="K484" s="612">
        <f>J484*(1+K$23)</f>
        <v>0</v>
      </c>
      <c r="L484" s="612">
        <f t="shared" si="225"/>
        <v>0</v>
      </c>
      <c r="M484" s="612">
        <f t="shared" si="225"/>
        <v>0</v>
      </c>
      <c r="N484" s="612">
        <f t="shared" si="225"/>
        <v>0</v>
      </c>
      <c r="O484" s="612">
        <f t="shared" si="225"/>
        <v>0</v>
      </c>
      <c r="P484" s="612">
        <f t="shared" si="225"/>
        <v>0</v>
      </c>
      <c r="Q484" s="612">
        <f t="shared" si="225"/>
        <v>0</v>
      </c>
      <c r="R484" s="612">
        <f t="shared" si="225"/>
        <v>0</v>
      </c>
      <c r="S484" s="612">
        <f t="shared" si="225"/>
        <v>0</v>
      </c>
      <c r="T484" s="612">
        <f t="shared" si="225"/>
        <v>0</v>
      </c>
      <c r="U484" s="612">
        <f t="shared" si="225"/>
        <v>0</v>
      </c>
      <c r="V484" s="612">
        <f t="shared" si="225"/>
        <v>0</v>
      </c>
      <c r="W484" s="612">
        <f t="shared" si="225"/>
        <v>0</v>
      </c>
      <c r="X484" s="612">
        <f t="shared" si="225"/>
        <v>0</v>
      </c>
      <c r="Y484" s="612">
        <f t="shared" si="225"/>
        <v>0</v>
      </c>
      <c r="Z484" s="612">
        <f t="shared" si="225"/>
        <v>0</v>
      </c>
      <c r="AA484" s="612">
        <f t="shared" si="225"/>
        <v>0</v>
      </c>
      <c r="AB484" s="612">
        <f t="shared" si="225"/>
        <v>0</v>
      </c>
      <c r="AC484" s="612">
        <f t="shared" si="225"/>
        <v>0</v>
      </c>
    </row>
    <row r="485" spans="1:29" x14ac:dyDescent="0.45">
      <c r="A485" s="911" t="s">
        <v>1463</v>
      </c>
      <c r="B485" s="652" t="str">
        <f t="shared" si="202"/>
        <v>Sales</v>
      </c>
      <c r="D485" s="583" t="str">
        <f>'12. Inputs-Props &amp; Debtors 2016'!C$81</f>
        <v>WC</v>
      </c>
      <c r="F485" s="596"/>
      <c r="G485" s="596"/>
      <c r="H485" s="596"/>
      <c r="I485" s="611">
        <v>0</v>
      </c>
      <c r="J485" s="611">
        <v>0</v>
      </c>
      <c r="K485" s="612">
        <f>J485*(1+K$23)</f>
        <v>0</v>
      </c>
      <c r="L485" s="612">
        <f t="shared" si="225"/>
        <v>0</v>
      </c>
      <c r="M485" s="612">
        <f t="shared" si="225"/>
        <v>0</v>
      </c>
      <c r="N485" s="612">
        <f t="shared" si="225"/>
        <v>0</v>
      </c>
      <c r="O485" s="612">
        <f t="shared" si="225"/>
        <v>0</v>
      </c>
      <c r="P485" s="612">
        <f t="shared" si="225"/>
        <v>0</v>
      </c>
      <c r="Q485" s="612">
        <f t="shared" si="225"/>
        <v>0</v>
      </c>
      <c r="R485" s="612">
        <f t="shared" si="225"/>
        <v>0</v>
      </c>
      <c r="S485" s="612">
        <f t="shared" si="225"/>
        <v>0</v>
      </c>
      <c r="T485" s="612">
        <f t="shared" si="225"/>
        <v>0</v>
      </c>
      <c r="U485" s="612">
        <f t="shared" si="225"/>
        <v>0</v>
      </c>
      <c r="V485" s="612">
        <f t="shared" si="225"/>
        <v>0</v>
      </c>
      <c r="W485" s="612">
        <f t="shared" si="225"/>
        <v>0</v>
      </c>
      <c r="X485" s="612">
        <f t="shared" si="225"/>
        <v>0</v>
      </c>
      <c r="Y485" s="612">
        <f t="shared" si="225"/>
        <v>0</v>
      </c>
      <c r="Z485" s="612">
        <f t="shared" si="225"/>
        <v>0</v>
      </c>
      <c r="AA485" s="612">
        <f t="shared" si="225"/>
        <v>0</v>
      </c>
      <c r="AB485" s="612">
        <f t="shared" si="225"/>
        <v>0</v>
      </c>
      <c r="AC485" s="612">
        <f t="shared" si="225"/>
        <v>0</v>
      </c>
    </row>
    <row r="486" spans="1:29" x14ac:dyDescent="0.45">
      <c r="B486" s="652" t="str">
        <f t="shared" si="202"/>
        <v>Sales</v>
      </c>
      <c r="D486" s="596" t="s">
        <v>1066</v>
      </c>
      <c r="F486" s="596"/>
      <c r="G486" s="596"/>
      <c r="H486" s="596"/>
      <c r="I486" s="613">
        <f t="shared" ref="I486:P486" si="227">IF(I$56&gt;0,SUMPRODUCT(I481:I485,I$51:I$55)/I$56,0)</f>
        <v>0</v>
      </c>
      <c r="J486" s="613">
        <f t="shared" si="227"/>
        <v>0</v>
      </c>
      <c r="K486" s="613">
        <f t="shared" si="227"/>
        <v>0</v>
      </c>
      <c r="L486" s="613">
        <f t="shared" si="227"/>
        <v>0</v>
      </c>
      <c r="M486" s="613">
        <f t="shared" si="227"/>
        <v>0</v>
      </c>
      <c r="N486" s="613">
        <f t="shared" si="227"/>
        <v>0</v>
      </c>
      <c r="O486" s="613">
        <f t="shared" si="227"/>
        <v>0</v>
      </c>
      <c r="P486" s="613">
        <f t="shared" si="227"/>
        <v>0</v>
      </c>
      <c r="Q486" s="613">
        <f t="shared" ref="Q486:AB486" si="228">IF(Q$56&gt;0,SUMPRODUCT(Q481:Q485,Q$51:Q$55)/Q$56,0)</f>
        <v>0</v>
      </c>
      <c r="R486" s="613">
        <f t="shared" si="228"/>
        <v>0</v>
      </c>
      <c r="S486" s="613">
        <f t="shared" si="228"/>
        <v>0</v>
      </c>
      <c r="T486" s="613">
        <f t="shared" si="228"/>
        <v>0</v>
      </c>
      <c r="U486" s="613">
        <f t="shared" si="228"/>
        <v>0</v>
      </c>
      <c r="V486" s="613">
        <f t="shared" si="228"/>
        <v>0</v>
      </c>
      <c r="W486" s="613">
        <f t="shared" si="228"/>
        <v>0</v>
      </c>
      <c r="X486" s="613">
        <f t="shared" si="228"/>
        <v>0</v>
      </c>
      <c r="Y486" s="613">
        <f t="shared" si="228"/>
        <v>0</v>
      </c>
      <c r="Z486" s="613">
        <f t="shared" si="228"/>
        <v>0</v>
      </c>
      <c r="AA486" s="613">
        <f t="shared" si="228"/>
        <v>0</v>
      </c>
      <c r="AB486" s="613">
        <f t="shared" si="228"/>
        <v>0</v>
      </c>
      <c r="AC486" s="613">
        <f>IF(AC$56&gt;0,SUMPRODUCT(AC481:AC485,AC$51:AC$55)/AC$56,0)</f>
        <v>0</v>
      </c>
    </row>
    <row r="487" spans="1:29" x14ac:dyDescent="0.45">
      <c r="B487" s="652" t="str">
        <f t="shared" si="202"/>
        <v>Sales</v>
      </c>
      <c r="D487" s="583" t="s">
        <v>11</v>
      </c>
      <c r="F487" s="596"/>
      <c r="G487" s="596"/>
      <c r="H487" s="596"/>
      <c r="I487" s="893">
        <f t="shared" ref="I487:AC487" si="229">-I$111*I486</f>
        <v>0</v>
      </c>
      <c r="J487" s="893">
        <f t="shared" si="229"/>
        <v>0</v>
      </c>
      <c r="K487" s="893">
        <f t="shared" si="229"/>
        <v>0</v>
      </c>
      <c r="L487" s="893">
        <f t="shared" si="229"/>
        <v>0</v>
      </c>
      <c r="M487" s="893">
        <f t="shared" si="229"/>
        <v>0</v>
      </c>
      <c r="N487" s="893">
        <f t="shared" si="229"/>
        <v>0</v>
      </c>
      <c r="O487" s="893">
        <f t="shared" si="229"/>
        <v>0</v>
      </c>
      <c r="P487" s="893">
        <f t="shared" si="229"/>
        <v>0</v>
      </c>
      <c r="Q487" s="893">
        <f t="shared" si="229"/>
        <v>0</v>
      </c>
      <c r="R487" s="893">
        <f t="shared" si="229"/>
        <v>0</v>
      </c>
      <c r="S487" s="893">
        <f t="shared" si="229"/>
        <v>0</v>
      </c>
      <c r="T487" s="893">
        <f t="shared" si="229"/>
        <v>0</v>
      </c>
      <c r="U487" s="893">
        <f t="shared" si="229"/>
        <v>0</v>
      </c>
      <c r="V487" s="893">
        <f t="shared" si="229"/>
        <v>0</v>
      </c>
      <c r="W487" s="893">
        <f t="shared" si="229"/>
        <v>0</v>
      </c>
      <c r="X487" s="893">
        <f t="shared" si="229"/>
        <v>0</v>
      </c>
      <c r="Y487" s="893">
        <f t="shared" si="229"/>
        <v>0</v>
      </c>
      <c r="Z487" s="893">
        <f t="shared" si="229"/>
        <v>0</v>
      </c>
      <c r="AA487" s="893">
        <f t="shared" si="229"/>
        <v>0</v>
      </c>
      <c r="AB487" s="893">
        <f t="shared" si="229"/>
        <v>0</v>
      </c>
      <c r="AC487" s="893">
        <f t="shared" si="229"/>
        <v>0</v>
      </c>
    </row>
    <row r="488" spans="1:29" x14ac:dyDescent="0.45">
      <c r="B488" s="652" t="str">
        <f t="shared" si="202"/>
        <v>Sales</v>
      </c>
      <c r="H488" s="596"/>
      <c r="I488" s="596"/>
    </row>
    <row r="489" spans="1:29" x14ac:dyDescent="0.45">
      <c r="B489" s="652" t="str">
        <f t="shared" si="202"/>
        <v>Sales</v>
      </c>
      <c r="C489" s="451">
        <f>C480+1</f>
        <v>51</v>
      </c>
      <c r="D489" s="451" t="s">
        <v>1465</v>
      </c>
      <c r="H489" s="596"/>
      <c r="I489" s="596"/>
    </row>
    <row r="490" spans="1:29" x14ac:dyDescent="0.45">
      <c r="A490" s="911" t="s">
        <v>1463</v>
      </c>
      <c r="B490" s="652" t="str">
        <f t="shared" si="202"/>
        <v>Sales</v>
      </c>
      <c r="D490" s="583" t="str">
        <f>'12. Inputs-Props &amp; Debtors 2016'!C$77</f>
        <v>EC</v>
      </c>
      <c r="H490" s="596"/>
      <c r="I490" s="611">
        <v>1250</v>
      </c>
      <c r="J490" s="893">
        <f>I490*(1+J$23)</f>
        <v>1318.75</v>
      </c>
      <c r="K490" s="893">
        <f t="shared" ref="K490:AC494" si="230">J490*(1+K$23)</f>
        <v>1391.28125</v>
      </c>
      <c r="L490" s="893">
        <f t="shared" si="230"/>
        <v>1467.80171875</v>
      </c>
      <c r="M490" s="893">
        <f t="shared" si="230"/>
        <v>1548.5308132812499</v>
      </c>
      <c r="N490" s="893">
        <f t="shared" si="230"/>
        <v>1633.7000080117186</v>
      </c>
      <c r="O490" s="893">
        <f t="shared" si="230"/>
        <v>1723.5535084523631</v>
      </c>
      <c r="P490" s="893">
        <f t="shared" si="230"/>
        <v>1818.3489514172429</v>
      </c>
      <c r="Q490" s="893">
        <f t="shared" si="230"/>
        <v>1918.3581437451912</v>
      </c>
      <c r="R490" s="893">
        <f t="shared" si="230"/>
        <v>2023.8678416511766</v>
      </c>
      <c r="S490" s="893">
        <f t="shared" si="230"/>
        <v>2135.1805729419912</v>
      </c>
      <c r="T490" s="893">
        <f t="shared" si="230"/>
        <v>2252.6155044538004</v>
      </c>
      <c r="U490" s="893">
        <f t="shared" si="230"/>
        <v>2376.5093571987595</v>
      </c>
      <c r="V490" s="893">
        <f t="shared" si="230"/>
        <v>2507.2173718446911</v>
      </c>
      <c r="W490" s="893">
        <f t="shared" si="230"/>
        <v>2645.114327296149</v>
      </c>
      <c r="X490" s="893">
        <f t="shared" si="230"/>
        <v>2790.5956152974372</v>
      </c>
      <c r="Y490" s="893">
        <f t="shared" si="230"/>
        <v>2944.0783741387963</v>
      </c>
      <c r="Z490" s="893">
        <f t="shared" si="230"/>
        <v>3106.0026847164299</v>
      </c>
      <c r="AA490" s="893">
        <f t="shared" si="230"/>
        <v>3276.8328323758333</v>
      </c>
      <c r="AB490" s="893">
        <f t="shared" si="230"/>
        <v>3457.058638156504</v>
      </c>
      <c r="AC490" s="893">
        <f t="shared" si="230"/>
        <v>3647.1968632551116</v>
      </c>
    </row>
    <row r="491" spans="1:29" x14ac:dyDescent="0.45">
      <c r="A491" s="911" t="s">
        <v>1463</v>
      </c>
      <c r="B491" s="652" t="str">
        <f t="shared" si="202"/>
        <v>Sales</v>
      </c>
      <c r="D491" s="583" t="str">
        <f>'12. Inputs-Props &amp; Debtors 2016'!C$78</f>
        <v>FS</v>
      </c>
      <c r="H491" s="596"/>
      <c r="I491" s="611">
        <v>1250</v>
      </c>
      <c r="J491" s="893">
        <f>I491*(1+J$23)</f>
        <v>1318.75</v>
      </c>
      <c r="K491" s="893">
        <f t="shared" ref="K491:Y491" si="231">J491*(1+K$23)</f>
        <v>1391.28125</v>
      </c>
      <c r="L491" s="893">
        <f t="shared" si="231"/>
        <v>1467.80171875</v>
      </c>
      <c r="M491" s="893">
        <f t="shared" si="231"/>
        <v>1548.5308132812499</v>
      </c>
      <c r="N491" s="893">
        <f t="shared" si="231"/>
        <v>1633.7000080117186</v>
      </c>
      <c r="O491" s="893">
        <f t="shared" si="231"/>
        <v>1723.5535084523631</v>
      </c>
      <c r="P491" s="893">
        <f t="shared" si="231"/>
        <v>1818.3489514172429</v>
      </c>
      <c r="Q491" s="893">
        <f t="shared" si="231"/>
        <v>1918.3581437451912</v>
      </c>
      <c r="R491" s="893">
        <f t="shared" si="231"/>
        <v>2023.8678416511766</v>
      </c>
      <c r="S491" s="893">
        <f t="shared" si="231"/>
        <v>2135.1805729419912</v>
      </c>
      <c r="T491" s="893">
        <f t="shared" si="231"/>
        <v>2252.6155044538004</v>
      </c>
      <c r="U491" s="893">
        <f t="shared" si="231"/>
        <v>2376.5093571987595</v>
      </c>
      <c r="V491" s="893">
        <f t="shared" si="231"/>
        <v>2507.2173718446911</v>
      </c>
      <c r="W491" s="893">
        <f t="shared" si="231"/>
        <v>2645.114327296149</v>
      </c>
      <c r="X491" s="893">
        <f t="shared" si="231"/>
        <v>2790.5956152974372</v>
      </c>
      <c r="Y491" s="893">
        <f t="shared" si="231"/>
        <v>2944.0783741387963</v>
      </c>
      <c r="Z491" s="893">
        <f t="shared" si="230"/>
        <v>3106.0026847164299</v>
      </c>
      <c r="AA491" s="893">
        <f t="shared" si="230"/>
        <v>3276.8328323758333</v>
      </c>
      <c r="AB491" s="893">
        <f t="shared" si="230"/>
        <v>3457.058638156504</v>
      </c>
      <c r="AC491" s="893">
        <f t="shared" si="230"/>
        <v>3647.1968632551116</v>
      </c>
    </row>
    <row r="492" spans="1:29" x14ac:dyDescent="0.45">
      <c r="A492" s="911" t="s">
        <v>1463</v>
      </c>
      <c r="B492" s="652" t="str">
        <f t="shared" si="202"/>
        <v>Sales</v>
      </c>
      <c r="D492" s="583" t="str">
        <f>'12. Inputs-Props &amp; Debtors 2016'!C$79</f>
        <v>Gau</v>
      </c>
      <c r="H492" s="596"/>
      <c r="I492" s="611">
        <v>1250</v>
      </c>
      <c r="J492" s="893">
        <f>I492*(1+J$23)</f>
        <v>1318.75</v>
      </c>
      <c r="K492" s="893">
        <f t="shared" si="230"/>
        <v>1391.28125</v>
      </c>
      <c r="L492" s="893">
        <f t="shared" si="230"/>
        <v>1467.80171875</v>
      </c>
      <c r="M492" s="893">
        <f t="shared" si="230"/>
        <v>1548.5308132812499</v>
      </c>
      <c r="N492" s="893">
        <f t="shared" si="230"/>
        <v>1633.7000080117186</v>
      </c>
      <c r="O492" s="893">
        <f t="shared" si="230"/>
        <v>1723.5535084523631</v>
      </c>
      <c r="P492" s="893">
        <f t="shared" si="230"/>
        <v>1818.3489514172429</v>
      </c>
      <c r="Q492" s="893">
        <f t="shared" si="230"/>
        <v>1918.3581437451912</v>
      </c>
      <c r="R492" s="893">
        <f t="shared" si="230"/>
        <v>2023.8678416511766</v>
      </c>
      <c r="S492" s="893">
        <f t="shared" si="230"/>
        <v>2135.1805729419912</v>
      </c>
      <c r="T492" s="893">
        <f t="shared" si="230"/>
        <v>2252.6155044538004</v>
      </c>
      <c r="U492" s="893">
        <f t="shared" si="230"/>
        <v>2376.5093571987595</v>
      </c>
      <c r="V492" s="893">
        <f t="shared" si="230"/>
        <v>2507.2173718446911</v>
      </c>
      <c r="W492" s="893">
        <f t="shared" si="230"/>
        <v>2645.114327296149</v>
      </c>
      <c r="X492" s="893">
        <f t="shared" si="230"/>
        <v>2790.5956152974372</v>
      </c>
      <c r="Y492" s="893">
        <f t="shared" si="230"/>
        <v>2944.0783741387963</v>
      </c>
      <c r="Z492" s="893">
        <f t="shared" si="230"/>
        <v>3106.0026847164299</v>
      </c>
      <c r="AA492" s="893">
        <f t="shared" si="230"/>
        <v>3276.8328323758333</v>
      </c>
      <c r="AB492" s="893">
        <f t="shared" si="230"/>
        <v>3457.058638156504</v>
      </c>
      <c r="AC492" s="893">
        <f t="shared" si="230"/>
        <v>3647.1968632551116</v>
      </c>
    </row>
    <row r="493" spans="1:29" x14ac:dyDescent="0.45">
      <c r="A493" s="911" t="s">
        <v>1463</v>
      </c>
      <c r="B493" s="652" t="str">
        <f t="shared" si="202"/>
        <v>Sales</v>
      </c>
      <c r="D493" s="583" t="str">
        <f>'12. Inputs-Props &amp; Debtors 2016'!C$80</f>
        <v>KZN</v>
      </c>
      <c r="H493" s="596"/>
      <c r="I493" s="611">
        <v>1250</v>
      </c>
      <c r="J493" s="893">
        <f>I493*(1+J$23)</f>
        <v>1318.75</v>
      </c>
      <c r="K493" s="893">
        <f t="shared" si="230"/>
        <v>1391.28125</v>
      </c>
      <c r="L493" s="893">
        <f t="shared" si="230"/>
        <v>1467.80171875</v>
      </c>
      <c r="M493" s="893">
        <f t="shared" si="230"/>
        <v>1548.5308132812499</v>
      </c>
      <c r="N493" s="893">
        <f t="shared" si="230"/>
        <v>1633.7000080117186</v>
      </c>
      <c r="O493" s="893">
        <f t="shared" si="230"/>
        <v>1723.5535084523631</v>
      </c>
      <c r="P493" s="893">
        <f t="shared" si="230"/>
        <v>1818.3489514172429</v>
      </c>
      <c r="Q493" s="893">
        <f t="shared" si="230"/>
        <v>1918.3581437451912</v>
      </c>
      <c r="R493" s="893">
        <f t="shared" si="230"/>
        <v>2023.8678416511766</v>
      </c>
      <c r="S493" s="893">
        <f t="shared" si="230"/>
        <v>2135.1805729419912</v>
      </c>
      <c r="T493" s="893">
        <f t="shared" si="230"/>
        <v>2252.6155044538004</v>
      </c>
      <c r="U493" s="893">
        <f t="shared" si="230"/>
        <v>2376.5093571987595</v>
      </c>
      <c r="V493" s="893">
        <f t="shared" si="230"/>
        <v>2507.2173718446911</v>
      </c>
      <c r="W493" s="893">
        <f t="shared" si="230"/>
        <v>2645.114327296149</v>
      </c>
      <c r="X493" s="893">
        <f t="shared" si="230"/>
        <v>2790.5956152974372</v>
      </c>
      <c r="Y493" s="893">
        <f t="shared" si="230"/>
        <v>2944.0783741387963</v>
      </c>
      <c r="Z493" s="893">
        <f t="shared" si="230"/>
        <v>3106.0026847164299</v>
      </c>
      <c r="AA493" s="893">
        <f t="shared" si="230"/>
        <v>3276.8328323758333</v>
      </c>
      <c r="AB493" s="893">
        <f t="shared" si="230"/>
        <v>3457.058638156504</v>
      </c>
      <c r="AC493" s="893">
        <f t="shared" si="230"/>
        <v>3647.1968632551116</v>
      </c>
    </row>
    <row r="494" spans="1:29" x14ac:dyDescent="0.45">
      <c r="A494" s="911" t="s">
        <v>1463</v>
      </c>
      <c r="B494" s="652" t="str">
        <f t="shared" si="202"/>
        <v>Sales</v>
      </c>
      <c r="D494" s="583" t="str">
        <f>'12. Inputs-Props &amp; Debtors 2016'!C$81</f>
        <v>WC</v>
      </c>
      <c r="H494" s="596"/>
      <c r="I494" s="611">
        <v>1250</v>
      </c>
      <c r="J494" s="893">
        <f>I494*(1+J$23)</f>
        <v>1318.75</v>
      </c>
      <c r="K494" s="893">
        <f t="shared" si="230"/>
        <v>1391.28125</v>
      </c>
      <c r="L494" s="893">
        <f t="shared" si="230"/>
        <v>1467.80171875</v>
      </c>
      <c r="M494" s="893">
        <f t="shared" si="230"/>
        <v>1548.5308132812499</v>
      </c>
      <c r="N494" s="893">
        <f t="shared" si="230"/>
        <v>1633.7000080117186</v>
      </c>
      <c r="O494" s="893">
        <f t="shared" si="230"/>
        <v>1723.5535084523631</v>
      </c>
      <c r="P494" s="893">
        <f t="shared" si="230"/>
        <v>1818.3489514172429</v>
      </c>
      <c r="Q494" s="893">
        <f t="shared" si="230"/>
        <v>1918.3581437451912</v>
      </c>
      <c r="R494" s="893">
        <f t="shared" si="230"/>
        <v>2023.8678416511766</v>
      </c>
      <c r="S494" s="893">
        <f t="shared" si="230"/>
        <v>2135.1805729419912</v>
      </c>
      <c r="T494" s="893">
        <f t="shared" si="230"/>
        <v>2252.6155044538004</v>
      </c>
      <c r="U494" s="893">
        <f t="shared" si="230"/>
        <v>2376.5093571987595</v>
      </c>
      <c r="V494" s="893">
        <f t="shared" si="230"/>
        <v>2507.2173718446911</v>
      </c>
      <c r="W494" s="893">
        <f t="shared" si="230"/>
        <v>2645.114327296149</v>
      </c>
      <c r="X494" s="893">
        <f t="shared" si="230"/>
        <v>2790.5956152974372</v>
      </c>
      <c r="Y494" s="893">
        <f t="shared" si="230"/>
        <v>2944.0783741387963</v>
      </c>
      <c r="Z494" s="893">
        <f t="shared" si="230"/>
        <v>3106.0026847164299</v>
      </c>
      <c r="AA494" s="893">
        <f t="shared" si="230"/>
        <v>3276.8328323758333</v>
      </c>
      <c r="AB494" s="893">
        <f t="shared" si="230"/>
        <v>3457.058638156504</v>
      </c>
      <c r="AC494" s="893">
        <f t="shared" si="230"/>
        <v>3647.1968632551116</v>
      </c>
    </row>
    <row r="495" spans="1:29" x14ac:dyDescent="0.45">
      <c r="B495" s="652" t="str">
        <f t="shared" si="202"/>
        <v>Sales</v>
      </c>
      <c r="D495" s="596" t="s">
        <v>1066</v>
      </c>
      <c r="H495" s="596"/>
      <c r="I495" s="613">
        <f t="shared" ref="I495:AC495" si="232">IF(I$56&gt;0,SUMPRODUCT(I490:I494,I$51:I$55)/I$56,0)</f>
        <v>1250</v>
      </c>
      <c r="J495" s="613">
        <f t="shared" si="232"/>
        <v>1318.75</v>
      </c>
      <c r="K495" s="613">
        <f t="shared" si="232"/>
        <v>1391.28125</v>
      </c>
      <c r="L495" s="613">
        <f t="shared" si="232"/>
        <v>1467.80171875</v>
      </c>
      <c r="M495" s="613">
        <f t="shared" si="232"/>
        <v>1548.5308132812499</v>
      </c>
      <c r="N495" s="613">
        <f t="shared" si="232"/>
        <v>1633.7000080117191</v>
      </c>
      <c r="O495" s="613">
        <f t="shared" si="232"/>
        <v>1723.5535084523628</v>
      </c>
      <c r="P495" s="613">
        <f t="shared" si="232"/>
        <v>1818.3489514172429</v>
      </c>
      <c r="Q495" s="613">
        <f t="shared" si="232"/>
        <v>1918.3581437451912</v>
      </c>
      <c r="R495" s="613">
        <f t="shared" si="232"/>
        <v>2023.8678416511764</v>
      </c>
      <c r="S495" s="613">
        <f t="shared" si="232"/>
        <v>2135.1805729419912</v>
      </c>
      <c r="T495" s="613">
        <f t="shared" si="232"/>
        <v>2252.6155044538004</v>
      </c>
      <c r="U495" s="613">
        <f t="shared" si="232"/>
        <v>2376.5093571987595</v>
      </c>
      <c r="V495" s="613">
        <f t="shared" si="232"/>
        <v>2507.2173718446911</v>
      </c>
      <c r="W495" s="613">
        <f t="shared" si="232"/>
        <v>2645.114327296149</v>
      </c>
      <c r="X495" s="613">
        <f t="shared" si="232"/>
        <v>2790.5956152974372</v>
      </c>
      <c r="Y495" s="613">
        <f t="shared" si="232"/>
        <v>2944.0783741387959</v>
      </c>
      <c r="Z495" s="613">
        <f t="shared" si="232"/>
        <v>3106.0026847164299</v>
      </c>
      <c r="AA495" s="613">
        <f t="shared" si="232"/>
        <v>3276.8328323758333</v>
      </c>
      <c r="AB495" s="613">
        <f t="shared" si="232"/>
        <v>3457.0586381565035</v>
      </c>
      <c r="AC495" s="613">
        <f t="shared" si="232"/>
        <v>0</v>
      </c>
    </row>
    <row r="496" spans="1:29" x14ac:dyDescent="0.45">
      <c r="B496" s="652" t="str">
        <f t="shared" si="202"/>
        <v>Sales</v>
      </c>
      <c r="D496" s="747" t="s">
        <v>1466</v>
      </c>
      <c r="H496" s="596"/>
      <c r="I496" s="893">
        <f>-I111*I495</f>
        <v>0</v>
      </c>
      <c r="J496" s="893">
        <f>-J111*J495</f>
        <v>0</v>
      </c>
      <c r="K496" s="893">
        <f>-K111*K495</f>
        <v>0</v>
      </c>
      <c r="L496" s="895">
        <f>-L$111*L495</f>
        <v>0</v>
      </c>
      <c r="M496" s="893">
        <f t="shared" ref="M496:AC496" si="233">-M111*M495</f>
        <v>0</v>
      </c>
      <c r="N496" s="893">
        <f t="shared" si="233"/>
        <v>0</v>
      </c>
      <c r="O496" s="893">
        <f t="shared" si="233"/>
        <v>0</v>
      </c>
      <c r="P496" s="893">
        <f t="shared" si="233"/>
        <v>0</v>
      </c>
      <c r="Q496" s="893">
        <f t="shared" si="233"/>
        <v>0</v>
      </c>
      <c r="R496" s="893">
        <f t="shared" si="233"/>
        <v>0</v>
      </c>
      <c r="S496" s="893">
        <f t="shared" si="233"/>
        <v>0</v>
      </c>
      <c r="T496" s="893">
        <f t="shared" si="233"/>
        <v>0</v>
      </c>
      <c r="U496" s="893">
        <f t="shared" si="233"/>
        <v>0</v>
      </c>
      <c r="V496" s="893">
        <f t="shared" si="233"/>
        <v>0</v>
      </c>
      <c r="W496" s="893">
        <f t="shared" si="233"/>
        <v>0</v>
      </c>
      <c r="X496" s="893">
        <f t="shared" si="233"/>
        <v>0</v>
      </c>
      <c r="Y496" s="893">
        <f t="shared" si="233"/>
        <v>0</v>
      </c>
      <c r="Z496" s="893">
        <f t="shared" si="233"/>
        <v>0</v>
      </c>
      <c r="AA496" s="893">
        <f t="shared" si="233"/>
        <v>0</v>
      </c>
      <c r="AB496" s="893">
        <f t="shared" si="233"/>
        <v>25578776.86371997</v>
      </c>
      <c r="AC496" s="893">
        <f t="shared" si="233"/>
        <v>0</v>
      </c>
    </row>
    <row r="497" spans="2:30" x14ac:dyDescent="0.45">
      <c r="B497" s="652" t="str">
        <f t="shared" si="202"/>
        <v>Sales</v>
      </c>
      <c r="F497" s="596"/>
      <c r="G497" s="596"/>
      <c r="H497" s="596"/>
      <c r="I497" s="596"/>
    </row>
    <row r="498" spans="2:30" x14ac:dyDescent="0.45">
      <c r="B498" s="652" t="str">
        <f t="shared" si="202"/>
        <v>Sales</v>
      </c>
      <c r="C498" s="451">
        <f>C489+1</f>
        <v>52</v>
      </c>
      <c r="D498" s="591" t="s">
        <v>1090</v>
      </c>
      <c r="F498" s="596"/>
      <c r="G498" s="596"/>
      <c r="H498" s="596"/>
      <c r="I498" s="596"/>
    </row>
    <row r="499" spans="2:30" x14ac:dyDescent="0.45">
      <c r="B499" s="652" t="str">
        <f t="shared" si="202"/>
        <v>Sales</v>
      </c>
      <c r="D499" s="583" t="str">
        <f>'12. Inputs-Props &amp; Debtors 2016'!C$77</f>
        <v>EC</v>
      </c>
      <c r="F499" s="596"/>
      <c r="G499" s="596"/>
      <c r="H499" s="596"/>
      <c r="I499" s="615">
        <f>I454+I463+I472+I490</f>
        <v>7000</v>
      </c>
      <c r="J499" s="615">
        <f t="shared" ref="J499:AC499" si="234">J454+J463+J472+J490</f>
        <v>7385</v>
      </c>
      <c r="K499" s="615">
        <f t="shared" si="234"/>
        <v>7791.1750000000002</v>
      </c>
      <c r="L499" s="615">
        <f t="shared" si="234"/>
        <v>8219.6896249999991</v>
      </c>
      <c r="M499" s="615">
        <f>M454+M463+M472+M490</f>
        <v>8671.7725543750003</v>
      </c>
      <c r="N499" s="615">
        <f t="shared" si="234"/>
        <v>9148.720044865624</v>
      </c>
      <c r="O499" s="615">
        <f t="shared" si="234"/>
        <v>9651.8996473332336</v>
      </c>
      <c r="P499" s="615">
        <f t="shared" si="234"/>
        <v>10182.754127936561</v>
      </c>
      <c r="Q499" s="615">
        <f t="shared" si="234"/>
        <v>10742.805604973069</v>
      </c>
      <c r="R499" s="615">
        <f t="shared" si="234"/>
        <v>11333.659913246589</v>
      </c>
      <c r="S499" s="615">
        <f t="shared" si="234"/>
        <v>11957.011208475149</v>
      </c>
      <c r="T499" s="615">
        <f t="shared" si="234"/>
        <v>12614.646824941283</v>
      </c>
      <c r="U499" s="615">
        <f t="shared" si="234"/>
        <v>13308.452400313054</v>
      </c>
      <c r="V499" s="615">
        <f t="shared" si="234"/>
        <v>14040.417282330269</v>
      </c>
      <c r="W499" s="615">
        <f t="shared" si="234"/>
        <v>14812.640232858434</v>
      </c>
      <c r="X499" s="615">
        <f t="shared" si="234"/>
        <v>15627.335445665649</v>
      </c>
      <c r="Y499" s="615">
        <f t="shared" si="234"/>
        <v>16486.838895177258</v>
      </c>
      <c r="Z499" s="615">
        <f t="shared" si="234"/>
        <v>17393.615034412007</v>
      </c>
      <c r="AA499" s="615">
        <f t="shared" si="234"/>
        <v>18350.263861304666</v>
      </c>
      <c r="AB499" s="615">
        <f t="shared" si="234"/>
        <v>19359.528373676421</v>
      </c>
      <c r="AC499" s="615">
        <f t="shared" si="234"/>
        <v>3647.1968632551116</v>
      </c>
    </row>
    <row r="500" spans="2:30" x14ac:dyDescent="0.45">
      <c r="B500" s="652" t="str">
        <f t="shared" si="202"/>
        <v>Sales</v>
      </c>
      <c r="D500" s="583" t="str">
        <f>'12. Inputs-Props &amp; Debtors 2016'!C$78</f>
        <v>FS</v>
      </c>
      <c r="F500" s="596"/>
      <c r="G500" s="596"/>
      <c r="H500" s="596"/>
      <c r="I500" s="615">
        <f>I455+I464+I473+I491</f>
        <v>7000</v>
      </c>
      <c r="J500" s="615">
        <f t="shared" ref="J500:AC500" si="235">J455+J464+J473+J491</f>
        <v>7385</v>
      </c>
      <c r="K500" s="615">
        <f t="shared" si="235"/>
        <v>7791.1750000000002</v>
      </c>
      <c r="L500" s="615">
        <f t="shared" si="235"/>
        <v>8219.6896249999991</v>
      </c>
      <c r="M500" s="615">
        <f t="shared" si="235"/>
        <v>8671.7725543750003</v>
      </c>
      <c r="N500" s="615">
        <f t="shared" si="235"/>
        <v>9148.720044865624</v>
      </c>
      <c r="O500" s="615">
        <f t="shared" si="235"/>
        <v>9651.8996473332336</v>
      </c>
      <c r="P500" s="615">
        <f t="shared" si="235"/>
        <v>10182.754127936561</v>
      </c>
      <c r="Q500" s="615">
        <f t="shared" si="235"/>
        <v>10742.805604973069</v>
      </c>
      <c r="R500" s="615">
        <f t="shared" si="235"/>
        <v>11333.659913246589</v>
      </c>
      <c r="S500" s="615">
        <f t="shared" si="235"/>
        <v>11957.011208475149</v>
      </c>
      <c r="T500" s="615">
        <f t="shared" si="235"/>
        <v>12614.646824941283</v>
      </c>
      <c r="U500" s="615">
        <f t="shared" si="235"/>
        <v>13308.452400313054</v>
      </c>
      <c r="V500" s="615">
        <f t="shared" si="235"/>
        <v>14040.417282330269</v>
      </c>
      <c r="W500" s="615">
        <f t="shared" si="235"/>
        <v>14812.640232858434</v>
      </c>
      <c r="X500" s="615">
        <f t="shared" si="235"/>
        <v>15627.335445665649</v>
      </c>
      <c r="Y500" s="615">
        <f t="shared" si="235"/>
        <v>16486.838895177258</v>
      </c>
      <c r="Z500" s="615">
        <f t="shared" si="235"/>
        <v>17393.615034412007</v>
      </c>
      <c r="AA500" s="615">
        <f t="shared" si="235"/>
        <v>18350.263861304666</v>
      </c>
      <c r="AB500" s="615">
        <f t="shared" si="235"/>
        <v>19359.528373676421</v>
      </c>
      <c r="AC500" s="615">
        <f t="shared" si="235"/>
        <v>3647.1968632551116</v>
      </c>
    </row>
    <row r="501" spans="2:30" x14ac:dyDescent="0.45">
      <c r="B501" s="652" t="str">
        <f t="shared" si="202"/>
        <v>Sales</v>
      </c>
      <c r="D501" s="583" t="str">
        <f>'12. Inputs-Props &amp; Debtors 2016'!C$79</f>
        <v>Gau</v>
      </c>
      <c r="F501" s="596"/>
      <c r="G501" s="596"/>
      <c r="H501" s="596"/>
      <c r="I501" s="615">
        <f>I456+I465+I474+I492</f>
        <v>7000</v>
      </c>
      <c r="J501" s="615">
        <f t="shared" ref="J501:AC501" si="236">J456+J465+J474+J492</f>
        <v>7385</v>
      </c>
      <c r="K501" s="615">
        <f t="shared" si="236"/>
        <v>7791.1750000000002</v>
      </c>
      <c r="L501" s="615">
        <f t="shared" si="236"/>
        <v>8219.6896249999991</v>
      </c>
      <c r="M501" s="615">
        <f t="shared" si="236"/>
        <v>8671.7725543750003</v>
      </c>
      <c r="N501" s="615">
        <f t="shared" si="236"/>
        <v>9148.720044865624</v>
      </c>
      <c r="O501" s="615">
        <f t="shared" si="236"/>
        <v>9651.8996473332336</v>
      </c>
      <c r="P501" s="615">
        <f t="shared" si="236"/>
        <v>10182.754127936561</v>
      </c>
      <c r="Q501" s="615">
        <f t="shared" si="236"/>
        <v>10742.805604973069</v>
      </c>
      <c r="R501" s="615">
        <f t="shared" si="236"/>
        <v>11333.659913246589</v>
      </c>
      <c r="S501" s="615">
        <f t="shared" si="236"/>
        <v>11957.011208475149</v>
      </c>
      <c r="T501" s="615">
        <f t="shared" si="236"/>
        <v>12614.646824941283</v>
      </c>
      <c r="U501" s="615">
        <f t="shared" si="236"/>
        <v>13308.452400313054</v>
      </c>
      <c r="V501" s="615">
        <f t="shared" si="236"/>
        <v>14040.417282330269</v>
      </c>
      <c r="W501" s="615">
        <f t="shared" si="236"/>
        <v>14812.640232858434</v>
      </c>
      <c r="X501" s="615">
        <f t="shared" si="236"/>
        <v>15627.335445665649</v>
      </c>
      <c r="Y501" s="615">
        <f t="shared" si="236"/>
        <v>16486.838895177258</v>
      </c>
      <c r="Z501" s="615">
        <f t="shared" si="236"/>
        <v>17393.615034412007</v>
      </c>
      <c r="AA501" s="615">
        <f t="shared" si="236"/>
        <v>18350.263861304666</v>
      </c>
      <c r="AB501" s="615">
        <f t="shared" si="236"/>
        <v>19359.528373676421</v>
      </c>
      <c r="AC501" s="615">
        <f t="shared" si="236"/>
        <v>3647.1968632551116</v>
      </c>
    </row>
    <row r="502" spans="2:30" x14ac:dyDescent="0.45">
      <c r="B502" s="652" t="str">
        <f t="shared" si="202"/>
        <v>Sales</v>
      </c>
      <c r="D502" s="583" t="str">
        <f>'12. Inputs-Props &amp; Debtors 2016'!C$80</f>
        <v>KZN</v>
      </c>
      <c r="F502" s="596"/>
      <c r="G502" s="596"/>
      <c r="H502" s="596"/>
      <c r="I502" s="615">
        <f>I457+I466+I475+I493</f>
        <v>7000</v>
      </c>
      <c r="J502" s="615">
        <f t="shared" ref="J502:AC502" si="237">J457+J466+J475+J493</f>
        <v>7385</v>
      </c>
      <c r="K502" s="615">
        <f t="shared" si="237"/>
        <v>7791.1750000000002</v>
      </c>
      <c r="L502" s="615">
        <f t="shared" si="237"/>
        <v>8219.6896249999991</v>
      </c>
      <c r="M502" s="615">
        <f t="shared" si="237"/>
        <v>8671.7725543750003</v>
      </c>
      <c r="N502" s="615">
        <f t="shared" si="237"/>
        <v>9148.720044865624</v>
      </c>
      <c r="O502" s="615">
        <f t="shared" si="237"/>
        <v>9651.8996473332336</v>
      </c>
      <c r="P502" s="615">
        <f t="shared" si="237"/>
        <v>10182.754127936561</v>
      </c>
      <c r="Q502" s="615">
        <f t="shared" si="237"/>
        <v>10742.805604973069</v>
      </c>
      <c r="R502" s="615">
        <f t="shared" si="237"/>
        <v>11333.659913246589</v>
      </c>
      <c r="S502" s="615">
        <f t="shared" si="237"/>
        <v>11957.011208475149</v>
      </c>
      <c r="T502" s="615">
        <f t="shared" si="237"/>
        <v>12614.646824941283</v>
      </c>
      <c r="U502" s="615">
        <f t="shared" si="237"/>
        <v>13308.452400313054</v>
      </c>
      <c r="V502" s="615">
        <f t="shared" si="237"/>
        <v>14040.417282330269</v>
      </c>
      <c r="W502" s="615">
        <f t="shared" si="237"/>
        <v>14812.640232858434</v>
      </c>
      <c r="X502" s="615">
        <f t="shared" si="237"/>
        <v>15627.335445665649</v>
      </c>
      <c r="Y502" s="615">
        <f t="shared" si="237"/>
        <v>16486.838895177258</v>
      </c>
      <c r="Z502" s="615">
        <f t="shared" si="237"/>
        <v>17393.615034412007</v>
      </c>
      <c r="AA502" s="615">
        <f t="shared" si="237"/>
        <v>18350.263861304666</v>
      </c>
      <c r="AB502" s="615">
        <f t="shared" si="237"/>
        <v>19359.528373676421</v>
      </c>
      <c r="AC502" s="615">
        <f t="shared" si="237"/>
        <v>3647.1968632551116</v>
      </c>
    </row>
    <row r="503" spans="2:30" x14ac:dyDescent="0.45">
      <c r="B503" s="652" t="str">
        <f t="shared" si="202"/>
        <v>Sales</v>
      </c>
      <c r="D503" s="583" t="str">
        <f>'12. Inputs-Props &amp; Debtors 2016'!C$81</f>
        <v>WC</v>
      </c>
      <c r="F503" s="596"/>
      <c r="G503" s="596"/>
      <c r="H503" s="596"/>
      <c r="I503" s="615">
        <f>I458+I467+I476+I494</f>
        <v>7000</v>
      </c>
      <c r="J503" s="615">
        <f t="shared" ref="J503:AC503" si="238">J458+J467+J476+J494</f>
        <v>7385</v>
      </c>
      <c r="K503" s="615">
        <f t="shared" si="238"/>
        <v>7791.1750000000002</v>
      </c>
      <c r="L503" s="615">
        <f t="shared" si="238"/>
        <v>8219.6896249999991</v>
      </c>
      <c r="M503" s="615">
        <f t="shared" si="238"/>
        <v>8671.7725543750003</v>
      </c>
      <c r="N503" s="615">
        <f t="shared" si="238"/>
        <v>9148.720044865624</v>
      </c>
      <c r="O503" s="615">
        <f t="shared" si="238"/>
        <v>9651.8996473332336</v>
      </c>
      <c r="P503" s="615">
        <f t="shared" si="238"/>
        <v>10182.754127936561</v>
      </c>
      <c r="Q503" s="615">
        <f t="shared" si="238"/>
        <v>10742.805604973069</v>
      </c>
      <c r="R503" s="615">
        <f t="shared" si="238"/>
        <v>11333.659913246589</v>
      </c>
      <c r="S503" s="615">
        <f t="shared" si="238"/>
        <v>11957.011208475149</v>
      </c>
      <c r="T503" s="615">
        <f t="shared" si="238"/>
        <v>12614.646824941283</v>
      </c>
      <c r="U503" s="615">
        <f t="shared" si="238"/>
        <v>13308.452400313054</v>
      </c>
      <c r="V503" s="615">
        <f t="shared" si="238"/>
        <v>14040.417282330269</v>
      </c>
      <c r="W503" s="615">
        <f t="shared" si="238"/>
        <v>14812.640232858434</v>
      </c>
      <c r="X503" s="615">
        <f t="shared" si="238"/>
        <v>15627.335445665649</v>
      </c>
      <c r="Y503" s="615">
        <f t="shared" si="238"/>
        <v>16486.838895177258</v>
      </c>
      <c r="Z503" s="615">
        <f t="shared" si="238"/>
        <v>17393.615034412007</v>
      </c>
      <c r="AA503" s="615">
        <f t="shared" si="238"/>
        <v>18350.263861304666</v>
      </c>
      <c r="AB503" s="615">
        <f t="shared" si="238"/>
        <v>19359.528373676421</v>
      </c>
      <c r="AC503" s="615">
        <f t="shared" si="238"/>
        <v>3647.1968632551116</v>
      </c>
    </row>
    <row r="504" spans="2:30" x14ac:dyDescent="0.45">
      <c r="B504" s="652" t="str">
        <f t="shared" si="202"/>
        <v>Sales</v>
      </c>
      <c r="D504" s="596" t="s">
        <v>1066</v>
      </c>
      <c r="F504" s="596"/>
      <c r="G504" s="596"/>
      <c r="H504" s="596"/>
      <c r="I504" s="613">
        <f t="shared" ref="I504:AC504" si="239">IF(I$56&gt;0,SUMPRODUCT(I499:I503,I$51:I$55)/I$56,0)</f>
        <v>7000</v>
      </c>
      <c r="J504" s="613">
        <f t="shared" si="239"/>
        <v>7385</v>
      </c>
      <c r="K504" s="613">
        <f t="shared" si="239"/>
        <v>7791.1749999999993</v>
      </c>
      <c r="L504" s="613">
        <f t="shared" si="239"/>
        <v>8219.6896250000009</v>
      </c>
      <c r="M504" s="613">
        <f t="shared" si="239"/>
        <v>8671.7725543750003</v>
      </c>
      <c r="N504" s="613">
        <f t="shared" si="239"/>
        <v>9148.720044865624</v>
      </c>
      <c r="O504" s="613">
        <f t="shared" si="239"/>
        <v>9651.8996473332336</v>
      </c>
      <c r="P504" s="613">
        <f t="shared" si="239"/>
        <v>10182.754127936563</v>
      </c>
      <c r="Q504" s="613">
        <f t="shared" si="239"/>
        <v>10742.805604973069</v>
      </c>
      <c r="R504" s="613">
        <f t="shared" si="239"/>
        <v>11333.659913246587</v>
      </c>
      <c r="S504" s="613">
        <f t="shared" si="239"/>
        <v>11957.011208475149</v>
      </c>
      <c r="T504" s="613">
        <f t="shared" si="239"/>
        <v>12614.646824941283</v>
      </c>
      <c r="U504" s="613">
        <f t="shared" si="239"/>
        <v>13308.452400313054</v>
      </c>
      <c r="V504" s="613">
        <f t="shared" si="239"/>
        <v>14040.417282330271</v>
      </c>
      <c r="W504" s="613">
        <f t="shared" si="239"/>
        <v>14812.640232858434</v>
      </c>
      <c r="X504" s="613">
        <f t="shared" si="239"/>
        <v>15627.335445665649</v>
      </c>
      <c r="Y504" s="613">
        <f t="shared" si="239"/>
        <v>16486.838895177254</v>
      </c>
      <c r="Z504" s="613">
        <f t="shared" si="239"/>
        <v>17393.615034412007</v>
      </c>
      <c r="AA504" s="613">
        <f t="shared" si="239"/>
        <v>18350.263861304666</v>
      </c>
      <c r="AB504" s="613">
        <f t="shared" si="239"/>
        <v>19359.528373676425</v>
      </c>
      <c r="AC504" s="613">
        <f t="shared" si="239"/>
        <v>0</v>
      </c>
    </row>
    <row r="505" spans="2:30" x14ac:dyDescent="0.45">
      <c r="B505" s="652" t="str">
        <f t="shared" si="202"/>
        <v>Sales</v>
      </c>
      <c r="D505" s="583" t="s">
        <v>11</v>
      </c>
      <c r="F505" s="596"/>
      <c r="G505" s="596"/>
      <c r="H505" s="596"/>
      <c r="I505" s="893">
        <f t="shared" ref="I505:AC505" si="240">-I$111*I504</f>
        <v>0</v>
      </c>
      <c r="J505" s="893">
        <f t="shared" si="240"/>
        <v>0</v>
      </c>
      <c r="K505" s="893">
        <f t="shared" si="240"/>
        <v>0</v>
      </c>
      <c r="L505" s="893">
        <f t="shared" si="240"/>
        <v>0</v>
      </c>
      <c r="M505" s="893">
        <f t="shared" si="240"/>
        <v>0</v>
      </c>
      <c r="N505" s="893">
        <f t="shared" si="240"/>
        <v>0</v>
      </c>
      <c r="O505" s="893">
        <f t="shared" si="240"/>
        <v>0</v>
      </c>
      <c r="P505" s="893">
        <f t="shared" si="240"/>
        <v>0</v>
      </c>
      <c r="Q505" s="893">
        <f t="shared" si="240"/>
        <v>0</v>
      </c>
      <c r="R505" s="893">
        <f t="shared" si="240"/>
        <v>0</v>
      </c>
      <c r="S505" s="893">
        <f t="shared" si="240"/>
        <v>0</v>
      </c>
      <c r="T505" s="893">
        <f t="shared" si="240"/>
        <v>0</v>
      </c>
      <c r="U505" s="893">
        <f t="shared" si="240"/>
        <v>0</v>
      </c>
      <c r="V505" s="893">
        <f t="shared" si="240"/>
        <v>0</v>
      </c>
      <c r="W505" s="893">
        <f t="shared" si="240"/>
        <v>0</v>
      </c>
      <c r="X505" s="893">
        <f t="shared" si="240"/>
        <v>0</v>
      </c>
      <c r="Y505" s="893">
        <f t="shared" si="240"/>
        <v>0</v>
      </c>
      <c r="Z505" s="893">
        <f t="shared" si="240"/>
        <v>0</v>
      </c>
      <c r="AA505" s="893">
        <f t="shared" si="240"/>
        <v>0</v>
      </c>
      <c r="AB505" s="893">
        <f t="shared" si="240"/>
        <v>143241150.43683186</v>
      </c>
      <c r="AC505" s="893">
        <f t="shared" si="240"/>
        <v>0</v>
      </c>
    </row>
    <row r="506" spans="2:30" x14ac:dyDescent="0.45">
      <c r="B506" s="652" t="str">
        <f t="shared" si="202"/>
        <v>Sales</v>
      </c>
      <c r="F506" s="596"/>
      <c r="G506" s="596"/>
      <c r="H506" s="596"/>
      <c r="I506" s="596"/>
    </row>
    <row r="507" spans="2:30" x14ac:dyDescent="0.45">
      <c r="B507" s="652" t="str">
        <f t="shared" si="202"/>
        <v>Sales</v>
      </c>
      <c r="C507" s="1148">
        <f>C498+1</f>
        <v>53</v>
      </c>
      <c r="D507" s="591" t="s">
        <v>1042</v>
      </c>
      <c r="F507" s="596"/>
      <c r="G507" s="596"/>
      <c r="H507" s="596"/>
      <c r="I507" s="596"/>
    </row>
    <row r="508" spans="2:30" x14ac:dyDescent="0.45">
      <c r="B508" s="652" t="str">
        <f t="shared" si="202"/>
        <v>Sales</v>
      </c>
      <c r="C508" s="1148"/>
      <c r="D508" s="583" t="str">
        <f>'12. Inputs-Props &amp; Debtors 2016'!C$77</f>
        <v>EC</v>
      </c>
      <c r="F508" s="596"/>
      <c r="G508" s="596"/>
      <c r="H508" s="596"/>
      <c r="I508" s="615">
        <f t="shared" ref="I508:AC508" si="241">I499*I51</f>
        <v>126000</v>
      </c>
      <c r="J508" s="615">
        <f t="shared" si="241"/>
        <v>132930</v>
      </c>
      <c r="K508" s="615">
        <f t="shared" si="241"/>
        <v>140241.15</v>
      </c>
      <c r="L508" s="615">
        <f t="shared" si="241"/>
        <v>16439.379249999998</v>
      </c>
      <c r="M508" s="615">
        <f t="shared" si="241"/>
        <v>17343.545108750001</v>
      </c>
      <c r="N508" s="615">
        <f t="shared" si="241"/>
        <v>18297.440089731248</v>
      </c>
      <c r="O508" s="615">
        <f t="shared" si="241"/>
        <v>19303.799294666467</v>
      </c>
      <c r="P508" s="615">
        <f t="shared" si="241"/>
        <v>20365.508255873123</v>
      </c>
      <c r="Q508" s="615">
        <f t="shared" si="241"/>
        <v>21485.611209946139</v>
      </c>
      <c r="R508" s="615">
        <f t="shared" si="241"/>
        <v>22667.319826493178</v>
      </c>
      <c r="S508" s="615">
        <f t="shared" si="241"/>
        <v>23914.022416950298</v>
      </c>
      <c r="T508" s="615">
        <f t="shared" si="241"/>
        <v>25229.293649882566</v>
      </c>
      <c r="U508" s="615">
        <f t="shared" si="241"/>
        <v>26616.904800626107</v>
      </c>
      <c r="V508" s="615">
        <f t="shared" si="241"/>
        <v>28080.834564660538</v>
      </c>
      <c r="W508" s="615">
        <f t="shared" si="241"/>
        <v>29625.280465716867</v>
      </c>
      <c r="X508" s="615">
        <f t="shared" si="241"/>
        <v>31254.670891331298</v>
      </c>
      <c r="Y508" s="615">
        <f t="shared" si="241"/>
        <v>32973.677790354515</v>
      </c>
      <c r="Z508" s="615">
        <f t="shared" si="241"/>
        <v>34787.230068824014</v>
      </c>
      <c r="AA508" s="615">
        <f t="shared" si="241"/>
        <v>36700.527722609331</v>
      </c>
      <c r="AB508" s="615">
        <f t="shared" si="241"/>
        <v>77438.113494705685</v>
      </c>
      <c r="AC508" s="615">
        <f t="shared" si="241"/>
        <v>0</v>
      </c>
      <c r="AD508" s="612">
        <f>SUM(I508:AC508)</f>
        <v>881694.30890112126</v>
      </c>
    </row>
    <row r="509" spans="2:30" x14ac:dyDescent="0.45">
      <c r="B509" s="652" t="str">
        <f t="shared" si="202"/>
        <v>Sales</v>
      </c>
      <c r="C509" s="1148"/>
      <c r="D509" s="583" t="str">
        <f>'12. Inputs-Props &amp; Debtors 2016'!C$78</f>
        <v>FS</v>
      </c>
      <c r="F509" s="596"/>
      <c r="G509" s="596"/>
      <c r="H509" s="596"/>
      <c r="I509" s="615">
        <f t="shared" ref="I509:AC509" si="242">I500*I52</f>
        <v>14000</v>
      </c>
      <c r="J509" s="615">
        <f t="shared" si="242"/>
        <v>14770</v>
      </c>
      <c r="K509" s="615">
        <f t="shared" si="242"/>
        <v>15582.35</v>
      </c>
      <c r="L509" s="615">
        <f t="shared" si="242"/>
        <v>16439.379249999998</v>
      </c>
      <c r="M509" s="615">
        <f t="shared" si="242"/>
        <v>17343.545108750001</v>
      </c>
      <c r="N509" s="615">
        <f t="shared" si="242"/>
        <v>18297.440089731248</v>
      </c>
      <c r="O509" s="615">
        <f t="shared" si="242"/>
        <v>19303.799294666467</v>
      </c>
      <c r="P509" s="615">
        <f t="shared" si="242"/>
        <v>20365.508255873123</v>
      </c>
      <c r="Q509" s="615">
        <f t="shared" si="242"/>
        <v>21485.611209946139</v>
      </c>
      <c r="R509" s="615">
        <f t="shared" si="242"/>
        <v>22667.319826493178</v>
      </c>
      <c r="S509" s="615">
        <f t="shared" si="242"/>
        <v>23914.022416950298</v>
      </c>
      <c r="T509" s="615">
        <f t="shared" si="242"/>
        <v>25229.293649882566</v>
      </c>
      <c r="U509" s="615">
        <f t="shared" si="242"/>
        <v>26616.904800626107</v>
      </c>
      <c r="V509" s="615">
        <f t="shared" si="242"/>
        <v>28080.834564660538</v>
      </c>
      <c r="W509" s="615">
        <f t="shared" si="242"/>
        <v>29625.280465716867</v>
      </c>
      <c r="X509" s="615">
        <f t="shared" si="242"/>
        <v>31254.670891331298</v>
      </c>
      <c r="Y509" s="615">
        <f t="shared" si="242"/>
        <v>32973.677790354515</v>
      </c>
      <c r="Z509" s="615">
        <f t="shared" si="242"/>
        <v>34787.230068824014</v>
      </c>
      <c r="AA509" s="615">
        <f t="shared" si="242"/>
        <v>36700.527722609331</v>
      </c>
      <c r="AB509" s="615">
        <f t="shared" si="242"/>
        <v>193595.28373676422</v>
      </c>
      <c r="AC509" s="615">
        <f t="shared" si="242"/>
        <v>0</v>
      </c>
      <c r="AD509" s="612">
        <f>SUM(I509:AC509)</f>
        <v>643032.67914317991</v>
      </c>
    </row>
    <row r="510" spans="2:30" x14ac:dyDescent="0.45">
      <c r="B510" s="652" t="str">
        <f t="shared" si="202"/>
        <v>Sales</v>
      </c>
      <c r="C510" s="1148"/>
      <c r="D510" s="583" t="str">
        <f>'12. Inputs-Props &amp; Debtors 2016'!C$79</f>
        <v>Gau</v>
      </c>
      <c r="F510" s="596"/>
      <c r="G510" s="596"/>
      <c r="H510" s="596"/>
      <c r="I510" s="615">
        <f t="shared" ref="I510:AC510" si="243">I501*I53</f>
        <v>595000</v>
      </c>
      <c r="J510" s="615">
        <f t="shared" si="243"/>
        <v>627725</v>
      </c>
      <c r="K510" s="615">
        <f t="shared" si="243"/>
        <v>662249.875</v>
      </c>
      <c r="L510" s="615">
        <f t="shared" si="243"/>
        <v>731552.37662499992</v>
      </c>
      <c r="M510" s="615">
        <f t="shared" si="243"/>
        <v>771787.75733937498</v>
      </c>
      <c r="N510" s="615">
        <f t="shared" si="243"/>
        <v>814236.08399304049</v>
      </c>
      <c r="O510" s="615">
        <f t="shared" si="243"/>
        <v>859019.06861265784</v>
      </c>
      <c r="P510" s="615">
        <f t="shared" si="243"/>
        <v>906265.11738635402</v>
      </c>
      <c r="Q510" s="615">
        <f t="shared" si="243"/>
        <v>956109.69884260313</v>
      </c>
      <c r="R510" s="615">
        <f t="shared" si="243"/>
        <v>1008695.7322789464</v>
      </c>
      <c r="S510" s="615">
        <f t="shared" si="243"/>
        <v>1064173.9975542882</v>
      </c>
      <c r="T510" s="615">
        <f t="shared" si="243"/>
        <v>1122703.5674197741</v>
      </c>
      <c r="U510" s="615">
        <f t="shared" si="243"/>
        <v>1184452.2636278619</v>
      </c>
      <c r="V510" s="615">
        <f t="shared" si="243"/>
        <v>1249597.138127394</v>
      </c>
      <c r="W510" s="615">
        <f t="shared" si="243"/>
        <v>1318324.9807244006</v>
      </c>
      <c r="X510" s="615">
        <f t="shared" si="243"/>
        <v>1390832.8546642428</v>
      </c>
      <c r="Y510" s="615">
        <f t="shared" si="243"/>
        <v>1467328.6616707759</v>
      </c>
      <c r="Z510" s="615">
        <f t="shared" si="243"/>
        <v>1548031.7380626686</v>
      </c>
      <c r="AA510" s="615">
        <f t="shared" si="243"/>
        <v>1633173.4836561151</v>
      </c>
      <c r="AB510" s="615">
        <f t="shared" si="243"/>
        <v>290392.92560514633</v>
      </c>
      <c r="AC510" s="615">
        <f t="shared" si="243"/>
        <v>0</v>
      </c>
      <c r="AD510" s="612">
        <f>SUM(I510:AC510)</f>
        <v>20201652.321190648</v>
      </c>
    </row>
    <row r="511" spans="2:30" x14ac:dyDescent="0.45">
      <c r="B511" s="652" t="str">
        <f t="shared" si="202"/>
        <v>Sales</v>
      </c>
      <c r="C511" s="1148"/>
      <c r="D511" s="583" t="str">
        <f>'12. Inputs-Props &amp; Debtors 2016'!C$80</f>
        <v>KZN</v>
      </c>
      <c r="F511" s="596"/>
      <c r="G511" s="596"/>
      <c r="H511" s="596"/>
      <c r="I511" s="615">
        <f t="shared" ref="I511:AC511" si="244">I502*I54</f>
        <v>1792000</v>
      </c>
      <c r="J511" s="615">
        <f t="shared" si="244"/>
        <v>1890560</v>
      </c>
      <c r="K511" s="615">
        <f t="shared" si="244"/>
        <v>1994540.8</v>
      </c>
      <c r="L511" s="615">
        <f t="shared" si="244"/>
        <v>920605.2379999999</v>
      </c>
      <c r="M511" s="615">
        <f t="shared" si="244"/>
        <v>971238.52609000006</v>
      </c>
      <c r="N511" s="615">
        <f t="shared" si="244"/>
        <v>1024656.6450249499</v>
      </c>
      <c r="O511" s="615">
        <f t="shared" si="244"/>
        <v>1081012.7605013221</v>
      </c>
      <c r="P511" s="615">
        <f t="shared" si="244"/>
        <v>1140468.462328895</v>
      </c>
      <c r="Q511" s="615">
        <f t="shared" si="244"/>
        <v>1203194.2277569838</v>
      </c>
      <c r="R511" s="615">
        <f t="shared" si="244"/>
        <v>1269369.9102836179</v>
      </c>
      <c r="S511" s="615">
        <f t="shared" si="244"/>
        <v>1339185.2553492167</v>
      </c>
      <c r="T511" s="615">
        <f t="shared" si="244"/>
        <v>1412840.4443934236</v>
      </c>
      <c r="U511" s="615">
        <f t="shared" si="244"/>
        <v>1490546.6688350621</v>
      </c>
      <c r="V511" s="615">
        <f t="shared" si="244"/>
        <v>1572526.7356209902</v>
      </c>
      <c r="W511" s="615">
        <f t="shared" si="244"/>
        <v>1659015.7060801445</v>
      </c>
      <c r="X511" s="615">
        <f t="shared" si="244"/>
        <v>1750261.5699145526</v>
      </c>
      <c r="Y511" s="615">
        <f t="shared" si="244"/>
        <v>1846525.9562598527</v>
      </c>
      <c r="Z511" s="615">
        <f t="shared" si="244"/>
        <v>1948084.8838541447</v>
      </c>
      <c r="AA511" s="615">
        <f t="shared" si="244"/>
        <v>2055229.5524661224</v>
      </c>
      <c r="AB511" s="615">
        <f t="shared" si="244"/>
        <v>58078.58512102926</v>
      </c>
      <c r="AC511" s="615">
        <f t="shared" si="244"/>
        <v>0</v>
      </c>
      <c r="AD511" s="612">
        <f>SUM(I511:AC511)</f>
        <v>28419941.92788031</v>
      </c>
    </row>
    <row r="512" spans="2:30" x14ac:dyDescent="0.45">
      <c r="B512" s="652" t="str">
        <f t="shared" si="202"/>
        <v>Sales</v>
      </c>
      <c r="C512" s="1148"/>
      <c r="D512" s="583" t="str">
        <f>'12. Inputs-Props &amp; Debtors 2016'!C$81</f>
        <v>WC</v>
      </c>
      <c r="F512" s="596"/>
      <c r="G512" s="596"/>
      <c r="H512" s="596"/>
      <c r="I512" s="615">
        <f t="shared" ref="I512:AC512" si="245">I503*I55</f>
        <v>1071000</v>
      </c>
      <c r="J512" s="615">
        <f t="shared" si="245"/>
        <v>1129905</v>
      </c>
      <c r="K512" s="615">
        <f t="shared" si="245"/>
        <v>895985.125</v>
      </c>
      <c r="L512" s="615">
        <f t="shared" si="245"/>
        <v>172613.48212499998</v>
      </c>
      <c r="M512" s="615">
        <f t="shared" si="245"/>
        <v>182107.223641875</v>
      </c>
      <c r="N512" s="615">
        <f t="shared" si="245"/>
        <v>192123.12094217809</v>
      </c>
      <c r="O512" s="615">
        <f t="shared" si="245"/>
        <v>202689.89259399791</v>
      </c>
      <c r="P512" s="615">
        <f t="shared" si="245"/>
        <v>213837.83668666778</v>
      </c>
      <c r="Q512" s="615">
        <f t="shared" si="245"/>
        <v>225598.91770443445</v>
      </c>
      <c r="R512" s="615">
        <f t="shared" si="245"/>
        <v>238006.85817817837</v>
      </c>
      <c r="S512" s="615">
        <f t="shared" si="245"/>
        <v>251097.23537797813</v>
      </c>
      <c r="T512" s="615">
        <f t="shared" si="245"/>
        <v>264907.58332376694</v>
      </c>
      <c r="U512" s="615">
        <f t="shared" si="245"/>
        <v>279477.50040657411</v>
      </c>
      <c r="V512" s="615">
        <f t="shared" si="245"/>
        <v>294848.76292893564</v>
      </c>
      <c r="W512" s="615">
        <f t="shared" si="245"/>
        <v>311065.44489002711</v>
      </c>
      <c r="X512" s="615">
        <f t="shared" si="245"/>
        <v>328174.04435897863</v>
      </c>
      <c r="Y512" s="615">
        <f t="shared" si="245"/>
        <v>346223.61679872242</v>
      </c>
      <c r="Z512" s="615">
        <f t="shared" si="245"/>
        <v>365265.91572265216</v>
      </c>
      <c r="AA512" s="615">
        <f t="shared" si="245"/>
        <v>385355.54108739796</v>
      </c>
      <c r="AB512" s="615">
        <f t="shared" si="245"/>
        <v>154876.22698941137</v>
      </c>
      <c r="AC512" s="615">
        <f t="shared" si="245"/>
        <v>0</v>
      </c>
      <c r="AD512" s="612">
        <f>SUM(I512:AC512)</f>
        <v>7505159.3287567794</v>
      </c>
    </row>
    <row r="513" spans="1:30" x14ac:dyDescent="0.45">
      <c r="B513" s="653" t="str">
        <f t="shared" si="202"/>
        <v>Sales</v>
      </c>
      <c r="C513" s="1148"/>
      <c r="D513" s="583" t="s">
        <v>11</v>
      </c>
      <c r="F513" s="596"/>
      <c r="G513" s="596"/>
      <c r="H513" s="596"/>
      <c r="I513" s="613">
        <f t="shared" ref="I513:Q513" si="246">SUM(I508:I512)</f>
        <v>3598000</v>
      </c>
      <c r="J513" s="613">
        <f t="shared" si="246"/>
        <v>3795890</v>
      </c>
      <c r="K513" s="613">
        <f t="shared" si="246"/>
        <v>3708599.3</v>
      </c>
      <c r="L513" s="613">
        <f t="shared" si="246"/>
        <v>1857649.85525</v>
      </c>
      <c r="M513" s="613">
        <f t="shared" si="246"/>
        <v>1959820.5972887499</v>
      </c>
      <c r="N513" s="613">
        <f t="shared" si="246"/>
        <v>2067610.7301396311</v>
      </c>
      <c r="O513" s="613">
        <f t="shared" si="246"/>
        <v>2181329.3202973106</v>
      </c>
      <c r="P513" s="613">
        <f t="shared" si="246"/>
        <v>2301302.4329136633</v>
      </c>
      <c r="Q513" s="613">
        <f t="shared" si="246"/>
        <v>2427874.0667239139</v>
      </c>
      <c r="R513" s="613">
        <f t="shared" ref="R513:AB513" si="247">SUM(R508:R512)</f>
        <v>2561407.1403937289</v>
      </c>
      <c r="S513" s="613">
        <f t="shared" si="247"/>
        <v>2702284.5331153837</v>
      </c>
      <c r="T513" s="613">
        <f t="shared" si="247"/>
        <v>2850910.1824367298</v>
      </c>
      <c r="U513" s="613">
        <f t="shared" si="247"/>
        <v>3007710.2424707501</v>
      </c>
      <c r="V513" s="613">
        <f t="shared" si="247"/>
        <v>3173134.305806641</v>
      </c>
      <c r="W513" s="613">
        <f t="shared" si="247"/>
        <v>3347656.692626006</v>
      </c>
      <c r="X513" s="613">
        <f t="shared" si="247"/>
        <v>3531777.8107204367</v>
      </c>
      <c r="Y513" s="613">
        <f t="shared" si="247"/>
        <v>3726025.5903100595</v>
      </c>
      <c r="Z513" s="613">
        <f t="shared" si="247"/>
        <v>3930956.9977771137</v>
      </c>
      <c r="AA513" s="613">
        <f t="shared" si="247"/>
        <v>4147159.6326548541</v>
      </c>
      <c r="AB513" s="613">
        <f t="shared" si="247"/>
        <v>774381.134947057</v>
      </c>
      <c r="AC513" s="613">
        <f>SUM(AC508:AC512)</f>
        <v>0</v>
      </c>
      <c r="AD513" s="613">
        <f>SUM(AD508:AD512)</f>
        <v>57651480.565872036</v>
      </c>
    </row>
    <row r="514" spans="1:30" x14ac:dyDescent="0.45">
      <c r="F514" s="596"/>
      <c r="G514" s="596"/>
      <c r="H514" s="596"/>
      <c r="I514" s="613"/>
      <c r="J514" s="613"/>
      <c r="K514" s="613"/>
      <c r="L514" s="613"/>
      <c r="M514" s="613"/>
      <c r="N514" s="613"/>
      <c r="O514" s="613"/>
      <c r="P514" s="613"/>
      <c r="Q514" s="613"/>
      <c r="R514" s="613"/>
      <c r="S514" s="613"/>
      <c r="T514" s="613"/>
      <c r="U514" s="613"/>
      <c r="V514" s="613"/>
      <c r="W514" s="613"/>
      <c r="X514" s="613"/>
      <c r="Y514" s="613"/>
      <c r="Z514" s="613"/>
      <c r="AA514" s="613"/>
      <c r="AB514" s="613"/>
      <c r="AC514" s="613"/>
    </row>
    <row r="515" spans="1:30" x14ac:dyDescent="0.45">
      <c r="F515" s="596"/>
      <c r="G515" s="596"/>
      <c r="H515" s="596"/>
      <c r="I515" s="623"/>
      <c r="J515" s="623"/>
      <c r="K515" s="623"/>
      <c r="L515" s="623"/>
      <c r="M515" s="623"/>
      <c r="N515" s="623"/>
      <c r="O515" s="623"/>
      <c r="P515" s="623"/>
      <c r="Q515" s="623"/>
      <c r="R515" s="623"/>
      <c r="S515" s="623"/>
      <c r="T515" s="623"/>
      <c r="U515" s="623"/>
      <c r="V515" s="623"/>
      <c r="W515" s="623"/>
      <c r="X515" s="623"/>
      <c r="Y515" s="623"/>
      <c r="Z515" s="623"/>
      <c r="AA515" s="623"/>
      <c r="AB515" s="623"/>
      <c r="AC515" s="623"/>
    </row>
    <row r="516" spans="1:30" x14ac:dyDescent="0.45">
      <c r="B516" s="624" t="s">
        <v>59</v>
      </c>
      <c r="D516" s="625" t="s">
        <v>1067</v>
      </c>
      <c r="F516" s="1366" t="s">
        <v>1055</v>
      </c>
      <c r="G516" s="1366"/>
      <c r="H516" s="1366"/>
      <c r="I516" s="1367" t="s">
        <v>1054</v>
      </c>
      <c r="J516" s="1367"/>
      <c r="K516" s="1367"/>
      <c r="L516" s="1367"/>
      <c r="M516" s="1367"/>
      <c r="N516" s="1367"/>
      <c r="O516" s="1367"/>
      <c r="P516" s="1367"/>
      <c r="Q516" s="1367"/>
      <c r="R516" s="1367"/>
      <c r="S516" s="1367"/>
      <c r="T516" s="1367"/>
      <c r="U516" s="1367"/>
      <c r="V516" s="1367"/>
      <c r="W516" s="1367"/>
      <c r="X516" s="1367"/>
      <c r="Y516" s="1367"/>
      <c r="Z516" s="1367"/>
      <c r="AA516" s="1367"/>
      <c r="AB516" s="1367"/>
      <c r="AC516" s="1367"/>
      <c r="AD516" s="1367"/>
    </row>
    <row r="517" spans="1:30" x14ac:dyDescent="0.45">
      <c r="B517" s="626" t="str">
        <f>B516</f>
        <v>Rent</v>
      </c>
      <c r="F517" s="587">
        <v>-3</v>
      </c>
      <c r="G517" s="587">
        <v>-2</v>
      </c>
      <c r="H517" s="587">
        <v>-1</v>
      </c>
      <c r="I517" s="587">
        <v>0</v>
      </c>
      <c r="J517" s="587">
        <v>1</v>
      </c>
      <c r="K517" s="588">
        <v>2</v>
      </c>
      <c r="L517" s="587">
        <v>3</v>
      </c>
      <c r="M517" s="587">
        <v>4</v>
      </c>
      <c r="N517" s="588">
        <v>5</v>
      </c>
      <c r="O517" s="587">
        <v>6</v>
      </c>
      <c r="P517" s="587">
        <v>7</v>
      </c>
      <c r="Q517" s="588">
        <v>8</v>
      </c>
      <c r="R517" s="529">
        <v>9</v>
      </c>
      <c r="S517" s="530">
        <v>10</v>
      </c>
      <c r="T517" s="529">
        <v>11</v>
      </c>
      <c r="U517" s="529">
        <v>12</v>
      </c>
      <c r="V517" s="530">
        <v>13</v>
      </c>
      <c r="W517" s="529">
        <v>14</v>
      </c>
      <c r="X517" s="529">
        <v>15</v>
      </c>
      <c r="Y517" s="530">
        <v>16</v>
      </c>
      <c r="Z517" s="529">
        <v>17</v>
      </c>
      <c r="AA517" s="529">
        <v>18</v>
      </c>
      <c r="AB517" s="530">
        <v>19</v>
      </c>
      <c r="AC517" s="529">
        <v>20</v>
      </c>
      <c r="AD517" s="536" t="s">
        <v>1420</v>
      </c>
    </row>
    <row r="518" spans="1:30" x14ac:dyDescent="0.45">
      <c r="B518" s="626" t="str">
        <f t="shared" ref="B518:B581" si="248">B517</f>
        <v>Rent</v>
      </c>
      <c r="F518" s="536" t="s">
        <v>102</v>
      </c>
      <c r="G518" s="536" t="s">
        <v>103</v>
      </c>
      <c r="H518" s="536" t="s">
        <v>104</v>
      </c>
      <c r="I518" s="809" t="s">
        <v>1345</v>
      </c>
      <c r="J518" s="536" t="s">
        <v>1346</v>
      </c>
      <c r="K518" s="809" t="s">
        <v>1347</v>
      </c>
      <c r="L518" s="536" t="s">
        <v>1348</v>
      </c>
      <c r="M518" s="536" t="s">
        <v>1349</v>
      </c>
      <c r="N518" s="809" t="s">
        <v>1350</v>
      </c>
      <c r="O518" s="536" t="s">
        <v>1351</v>
      </c>
      <c r="P518" s="536" t="s">
        <v>1352</v>
      </c>
      <c r="Q518" s="809" t="s">
        <v>1353</v>
      </c>
      <c r="R518" s="578" t="s">
        <v>1354</v>
      </c>
      <c r="S518" s="536" t="s">
        <v>1355</v>
      </c>
      <c r="T518" s="536" t="s">
        <v>1410</v>
      </c>
      <c r="U518" s="536" t="s">
        <v>1411</v>
      </c>
      <c r="V518" s="536" t="s">
        <v>1412</v>
      </c>
      <c r="W518" s="536" t="s">
        <v>1413</v>
      </c>
      <c r="X518" s="536" t="s">
        <v>1414</v>
      </c>
      <c r="Y518" s="536" t="s">
        <v>1415</v>
      </c>
      <c r="Z518" s="536" t="s">
        <v>1416</v>
      </c>
      <c r="AA518" s="536" t="s">
        <v>1417</v>
      </c>
      <c r="AB518" s="536" t="s">
        <v>1418</v>
      </c>
      <c r="AC518" s="809" t="s">
        <v>1419</v>
      </c>
    </row>
    <row r="519" spans="1:30" x14ac:dyDescent="0.45">
      <c r="B519" s="626" t="str">
        <f t="shared" si="248"/>
        <v>Rent</v>
      </c>
      <c r="C519" s="451">
        <f>C507+1</f>
        <v>54</v>
      </c>
      <c r="D519" s="591" t="s">
        <v>1044</v>
      </c>
    </row>
    <row r="520" spans="1:30" x14ac:dyDescent="0.45">
      <c r="B520" s="626" t="str">
        <f t="shared" si="248"/>
        <v>Rent</v>
      </c>
      <c r="D520" s="583" t="str">
        <f>'12. Inputs-Props &amp; Debtors 2016'!C$77</f>
        <v>EC</v>
      </c>
      <c r="F520" s="627"/>
      <c r="G520" s="627"/>
      <c r="H520" s="602">
        <f>'12. Inputs-Props &amp; Debtors 2016'!$G$14</f>
        <v>90</v>
      </c>
      <c r="I520" s="627">
        <f>IF(I$4&gt;=$K$4+'5. Dashboard Live'!$AA$16,0,IF(H520-I51-I69&lt;=1,0,H520-I51-I69))</f>
        <v>72</v>
      </c>
      <c r="J520" s="627">
        <f>IF(J$4&gt;=$K$4+'5. Dashboard Live'!$AA$16,0,IF(I520-J51-J69&lt;=1,0,I520-J51-J69))</f>
        <v>54</v>
      </c>
      <c r="K520" s="627">
        <f>IF(K$4&gt;=$K$4+'5. Dashboard Live'!$AA$16,0,IF(J520-K51-K69&lt;=1,0,J520-K51-K69))</f>
        <v>36</v>
      </c>
      <c r="L520" s="627">
        <f>IF(L$4&gt;=$K$4+'5. Dashboard Live'!$AA$16,0,IF(K520-L51-L69&lt;=1,0,K520-L51-L69))</f>
        <v>34</v>
      </c>
      <c r="M520" s="627">
        <f>IF(M$4&gt;=$K$4+'5. Dashboard Live'!$AA$16,0,IF(L520-M51-M69&lt;=1,0,L520-M51-M69))</f>
        <v>32</v>
      </c>
      <c r="N520" s="627">
        <f>IF(N$4&gt;=$K$4+'5. Dashboard Live'!$AA$16,0,IF(M520-N51-N69&lt;=1,0,M520-N51-N69))</f>
        <v>30</v>
      </c>
      <c r="O520" s="627">
        <f>IF(O$4&gt;=$K$4+'5. Dashboard Live'!$AA$16,0,IF(N520-O51-O69&lt;=1,0,N520-O51-O69))</f>
        <v>28</v>
      </c>
      <c r="P520" s="627">
        <f>IF(P$4&gt;=$K$4+'5. Dashboard Live'!$AA$16,0,IF(O520-P51-P69&lt;=1,0,O520-P51-P69))</f>
        <v>26</v>
      </c>
      <c r="Q520" s="627">
        <f>IF(Q$4&gt;=$K$4+'5. Dashboard Live'!$AA$16,0,IF(P520-Q51-Q69&lt;=1,0,P520-Q51-Q69))</f>
        <v>24</v>
      </c>
      <c r="R520" s="627">
        <f>IF(R$4&gt;=$K$4+'5. Dashboard Live'!$AA$16,0,IF(Q520-R51-R69&lt;=1,0,Q520-R51-R69))</f>
        <v>22</v>
      </c>
      <c r="S520" s="627">
        <f>IF(S$4&gt;=$K$4+'5. Dashboard Live'!$AA$16,0,IF(R520-S51-S69&lt;=1,0,R520-S51-S69))</f>
        <v>20</v>
      </c>
      <c r="T520" s="627">
        <f>IF(T$4&gt;=$K$4+'5. Dashboard Live'!$AA$16,0,IF(S520-T51-T69&lt;=1,0,S520-T51-T69))</f>
        <v>18</v>
      </c>
      <c r="U520" s="627">
        <f>IF(U$4&gt;=$K$4+'5. Dashboard Live'!$AA$16,0,IF(T520-U51-U69&lt;=1,0,T520-U51-U69))</f>
        <v>16</v>
      </c>
      <c r="V520" s="627">
        <f>IF(V$4&gt;=$K$4+'5. Dashboard Live'!$AA$16,0,IF(U520-V51-V69&lt;=1,0,U520-V51-V69))</f>
        <v>14</v>
      </c>
      <c r="W520" s="627">
        <f>IF(W$4&gt;=$K$4+'5. Dashboard Live'!$AA$16,0,IF(V520-W51-W69&lt;=1,0,V520-W51-W69))</f>
        <v>12</v>
      </c>
      <c r="X520" s="627">
        <f>IF(X$4&gt;=$K$4+'5. Dashboard Live'!$AA$16,0,IF(W520-X51-X69&lt;=1,0,W520-X51-X69))</f>
        <v>10</v>
      </c>
      <c r="Y520" s="627">
        <f>IF(Y$4&gt;=$K$4+'5. Dashboard Live'!$AA$16,0,IF(X520-Y51-Y69&lt;=1,0,X520-Y51-Y69))</f>
        <v>8</v>
      </c>
      <c r="Z520" s="627">
        <f>IF(Z$4&gt;=$K$4+'5. Dashboard Live'!$AA$16,0,IF(Y520-Z51-Z69&lt;=1,0,Y520-Z51-Z69))</f>
        <v>6</v>
      </c>
      <c r="AA520" s="627">
        <f>IF(AA$4&gt;=$K$4+'5. Dashboard Live'!$AA$16,0,IF(Z520-AA51-AA69&lt;=1,0,Z520-AA51-AA69))</f>
        <v>4</v>
      </c>
      <c r="AB520" s="627">
        <f>IF(AB$4&gt;=$K$4+'5. Dashboard Live'!$AA$16,0,IF(AA520-AB51-AB69&lt;=1,0,AA520-AB51-AB69))</f>
        <v>0</v>
      </c>
      <c r="AC520" s="627">
        <f>IF(AC$4&gt;=$K$4+'5. Dashboard Live'!$AA$16,0,IF(AB520-AC51-AC69&lt;=1,0,AB520-AC51-AC69))</f>
        <v>0</v>
      </c>
    </row>
    <row r="521" spans="1:30" x14ac:dyDescent="0.45">
      <c r="B521" s="626" t="str">
        <f t="shared" si="248"/>
        <v>Rent</v>
      </c>
      <c r="D521" s="583" t="str">
        <f>'12. Inputs-Props &amp; Debtors 2016'!C$78</f>
        <v>FS</v>
      </c>
      <c r="F521" s="627"/>
      <c r="G521" s="627"/>
      <c r="H521" s="602">
        <f>'12. Inputs-Props &amp; Debtors 2016'!$H$14</f>
        <v>48</v>
      </c>
      <c r="I521" s="627">
        <f>IF(I$4&gt;=$K$4+'5. Dashboard Live'!$AA$16,0,IF(H521-I52-I70&lt;=1,0,H521-I52-I70))</f>
        <v>46</v>
      </c>
      <c r="J521" s="627">
        <f>IF(J$4&gt;=$K$4+'5. Dashboard Live'!$AA$16,0,IF(I521-J52-J70&lt;=1,0,I521-J52-J70))</f>
        <v>44</v>
      </c>
      <c r="K521" s="627">
        <f>IF(K$4&gt;=$K$4+'5. Dashboard Live'!$AA$16,0,IF(J521-K52-K70&lt;=1,0,J521-K52-K70))</f>
        <v>42</v>
      </c>
      <c r="L521" s="627">
        <f>IF(L$4&gt;=$K$4+'5. Dashboard Live'!$AA$16,0,IF(K521-L52-L70&lt;=1,0,K521-L52-L70))</f>
        <v>40</v>
      </c>
      <c r="M521" s="627">
        <f>IF(M$4&gt;=$K$4+'5. Dashboard Live'!$AA$16,0,IF(L521-M52-M70&lt;=1,0,L521-M52-M70))</f>
        <v>38</v>
      </c>
      <c r="N521" s="627">
        <f>IF(N$4&gt;=$K$4+'5. Dashboard Live'!$AA$16,0,IF(M521-N52-N70&lt;=1,0,M521-N52-N70))</f>
        <v>36</v>
      </c>
      <c r="O521" s="627">
        <f>IF(O$4&gt;=$K$4+'5. Dashboard Live'!$AA$16,0,IF(N521-O52-O70&lt;=1,0,N521-O52-O70))</f>
        <v>34</v>
      </c>
      <c r="P521" s="627">
        <f>IF(P$4&gt;=$K$4+'5. Dashboard Live'!$AA$16,0,IF(O521-P52-P70&lt;=1,0,O521-P52-P70))</f>
        <v>32</v>
      </c>
      <c r="Q521" s="627">
        <f>IF(Q$4&gt;=$K$4+'5. Dashboard Live'!$AA$16,0,IF(P521-Q52-Q70&lt;=1,0,P521-Q52-Q70))</f>
        <v>30</v>
      </c>
      <c r="R521" s="627">
        <f>IF(R$4&gt;=$K$4+'5. Dashboard Live'!$AA$16,0,IF(Q521-R52-R70&lt;=1,0,Q521-R52-R70))</f>
        <v>28</v>
      </c>
      <c r="S521" s="627">
        <f>IF(S$4&gt;=$K$4+'5. Dashboard Live'!$AA$16,0,IF(R521-S52-S70&lt;=1,0,R521-S52-S70))</f>
        <v>26</v>
      </c>
      <c r="T521" s="627">
        <f>IF(T$4&gt;=$K$4+'5. Dashboard Live'!$AA$16,0,IF(S521-T52-T70&lt;=1,0,S521-T52-T70))</f>
        <v>24</v>
      </c>
      <c r="U521" s="627">
        <f>IF(U$4&gt;=$K$4+'5. Dashboard Live'!$AA$16,0,IF(T521-U52-U70&lt;=1,0,T521-U52-U70))</f>
        <v>22</v>
      </c>
      <c r="V521" s="627">
        <f>IF(V$4&gt;=$K$4+'5. Dashboard Live'!$AA$16,0,IF(U521-V52-V70&lt;=1,0,U521-V52-V70))</f>
        <v>20</v>
      </c>
      <c r="W521" s="627">
        <f>IF(W$4&gt;=$K$4+'5. Dashboard Live'!$AA$16,0,IF(V521-W52-W70&lt;=1,0,V521-W52-W70))</f>
        <v>18</v>
      </c>
      <c r="X521" s="627">
        <f>IF(X$4&gt;=$K$4+'5. Dashboard Live'!$AA$16,0,IF(W521-X52-X70&lt;=1,0,W521-X52-X70))</f>
        <v>16</v>
      </c>
      <c r="Y521" s="627">
        <f>IF(Y$4&gt;=$K$4+'5. Dashboard Live'!$AA$16,0,IF(X521-Y52-Y70&lt;=1,0,X521-Y52-Y70))</f>
        <v>14</v>
      </c>
      <c r="Z521" s="627">
        <f>IF(Z$4&gt;=$K$4+'5. Dashboard Live'!$AA$16,0,IF(Y521-Z52-Z70&lt;=1,0,Y521-Z52-Z70))</f>
        <v>12</v>
      </c>
      <c r="AA521" s="627">
        <f>IF(AA$4&gt;=$K$4+'5. Dashboard Live'!$AA$16,0,IF(Z521-AA52-AA70&lt;=1,0,Z521-AA52-AA70))</f>
        <v>10</v>
      </c>
      <c r="AB521" s="627">
        <f>IF(AB$4&gt;=$K$4+'5. Dashboard Live'!$AA$16,0,IF(AA521-AB52-AB70&lt;=1,0,AA521-AB52-AB70))</f>
        <v>0</v>
      </c>
      <c r="AC521" s="627">
        <f>IF(AC$4&gt;=$K$4+'5. Dashboard Live'!$AA$16,0,IF(AB521-AC52-AC70&lt;=1,0,AB521-AC52-AC70))</f>
        <v>0</v>
      </c>
    </row>
    <row r="522" spans="1:30" x14ac:dyDescent="0.45">
      <c r="B522" s="626" t="str">
        <f t="shared" si="248"/>
        <v>Rent</v>
      </c>
      <c r="D522" s="583" t="str">
        <f>'12. Inputs-Props &amp; Debtors 2016'!C$79</f>
        <v>Gau</v>
      </c>
      <c r="F522" s="627"/>
      <c r="G522" s="627"/>
      <c r="H522" s="602">
        <f>'12. Inputs-Props &amp; Debtors 2016'!$I$14</f>
        <v>1694</v>
      </c>
      <c r="I522" s="627">
        <f>IF(I$4&gt;=$K$4+'5. Dashboard Live'!$AA$16,0,IF(H522-I53-I71&lt;=1,0,H522-I53-I71))</f>
        <v>1609</v>
      </c>
      <c r="J522" s="627">
        <f>IF(J$4&gt;=$K$4+'5. Dashboard Live'!$AA$16,0,IF(I522-J53-J71&lt;=1,0,I522-J53-J71))</f>
        <v>1524</v>
      </c>
      <c r="K522" s="627">
        <f>IF(K$4&gt;=$K$4+'5. Dashboard Live'!$AA$16,0,IF(J522-K53-K71&lt;=1,0,J522-K53-K71))</f>
        <v>1439</v>
      </c>
      <c r="L522" s="627">
        <f>IF(L$4&gt;=$K$4+'5. Dashboard Live'!$AA$16,0,IF(K522-L53-L71&lt;=1,0,K522-L53-L71))</f>
        <v>1350</v>
      </c>
      <c r="M522" s="627">
        <f>IF(M$4&gt;=$K$4+'5. Dashboard Live'!$AA$16,0,IF(L522-M53-M71&lt;=1,0,L522-M53-M71))</f>
        <v>1261</v>
      </c>
      <c r="N522" s="627">
        <f>IF(N$4&gt;=$K$4+'5. Dashboard Live'!$AA$16,0,IF(M522-N53-N71&lt;=1,0,M522-N53-N71))</f>
        <v>1172</v>
      </c>
      <c r="O522" s="627">
        <f>IF(O$4&gt;=$K$4+'5. Dashboard Live'!$AA$16,0,IF(N522-O53-O71&lt;=1,0,N522-O53-O71))</f>
        <v>1083</v>
      </c>
      <c r="P522" s="627">
        <f>IF(P$4&gt;=$K$4+'5. Dashboard Live'!$AA$16,0,IF(O522-P53-P71&lt;=1,0,O522-P53-P71))</f>
        <v>994</v>
      </c>
      <c r="Q522" s="627">
        <f>IF(Q$4&gt;=$K$4+'5. Dashboard Live'!$AA$16,0,IF(P522-Q53-Q71&lt;=1,0,P522-Q53-Q71))</f>
        <v>905</v>
      </c>
      <c r="R522" s="627">
        <f>IF(R$4&gt;=$K$4+'5. Dashboard Live'!$AA$16,0,IF(Q522-R53-R71&lt;=1,0,Q522-R53-R71))</f>
        <v>816</v>
      </c>
      <c r="S522" s="627">
        <f>IF(S$4&gt;=$K$4+'5. Dashboard Live'!$AA$16,0,IF(R522-S53-S71&lt;=1,0,R522-S53-S71))</f>
        <v>727</v>
      </c>
      <c r="T522" s="627">
        <f>IF(T$4&gt;=$K$4+'5. Dashboard Live'!$AA$16,0,IF(S522-T53-T71&lt;=1,0,S522-T53-T71))</f>
        <v>638</v>
      </c>
      <c r="U522" s="627">
        <f>IF(U$4&gt;=$K$4+'5. Dashboard Live'!$AA$16,0,IF(T522-U53-U71&lt;=1,0,T522-U53-U71))</f>
        <v>549</v>
      </c>
      <c r="V522" s="627">
        <f>IF(V$4&gt;=$K$4+'5. Dashboard Live'!$AA$16,0,IF(U522-V53-V71&lt;=1,0,U522-V53-V71))</f>
        <v>460</v>
      </c>
      <c r="W522" s="627">
        <f>IF(W$4&gt;=$K$4+'5. Dashboard Live'!$AA$16,0,IF(V522-W53-W71&lt;=1,0,V522-W53-W71))</f>
        <v>371</v>
      </c>
      <c r="X522" s="627">
        <f>IF(X$4&gt;=$K$4+'5. Dashboard Live'!$AA$16,0,IF(W522-X53-X71&lt;=1,0,W522-X53-X71))</f>
        <v>282</v>
      </c>
      <c r="Y522" s="627">
        <f>IF(Y$4&gt;=$K$4+'5. Dashboard Live'!$AA$16,0,IF(X522-Y53-Y71&lt;=1,0,X522-Y53-Y71))</f>
        <v>193</v>
      </c>
      <c r="Z522" s="627">
        <f>IF(Z$4&gt;=$K$4+'5. Dashboard Live'!$AA$16,0,IF(Y522-Z53-Z71&lt;=1,0,Y522-Z53-Z71))</f>
        <v>104</v>
      </c>
      <c r="AA522" s="627">
        <f>IF(AA$4&gt;=$K$4+'5. Dashboard Live'!$AA$16,0,IF(Z522-AA53-AA71&lt;=1,0,Z522-AA53-AA71))</f>
        <v>15</v>
      </c>
      <c r="AB522" s="627">
        <f>IF(AB$4&gt;=$K$4+'5. Dashboard Live'!$AA$16,0,IF(AA522-AB53-AB71&lt;=1,0,AA522-AB53-AB71))</f>
        <v>0</v>
      </c>
      <c r="AC522" s="627">
        <f>IF(AC$4&gt;=$K$4+'5. Dashboard Live'!$AA$16,0,IF(AB522-AC53-AC71&lt;=1,0,AB522-AC53-AC71))</f>
        <v>0</v>
      </c>
    </row>
    <row r="523" spans="1:30" x14ac:dyDescent="0.45">
      <c r="B523" s="626" t="str">
        <f t="shared" si="248"/>
        <v>Rent</v>
      </c>
      <c r="D523" s="583" t="str">
        <f>'12. Inputs-Props &amp; Debtors 2016'!C$80</f>
        <v>KZN</v>
      </c>
      <c r="F523" s="627"/>
      <c r="G523" s="627"/>
      <c r="H523" s="602">
        <f>'12. Inputs-Props &amp; Debtors 2016'!$J$14</f>
        <v>2563</v>
      </c>
      <c r="I523" s="627">
        <f>IF(I$4&gt;=$K$4+'5. Dashboard Live'!$AA$16,0,IF(H523-I54-I72&lt;=1,0,H523-I54-I72))</f>
        <v>2307</v>
      </c>
      <c r="J523" s="627">
        <f>IF(J$4&gt;=$K$4+'5. Dashboard Live'!$AA$16,0,IF(I523-J54-J72&lt;=1,0,I523-J54-J72))</f>
        <v>2051</v>
      </c>
      <c r="K523" s="627">
        <f>IF(K$4&gt;=$K$4+'5. Dashboard Live'!$AA$16,0,IF(J523-K54-K72&lt;=1,0,J523-K54-K72))</f>
        <v>1795</v>
      </c>
      <c r="L523" s="627">
        <f>IF(L$4&gt;=$K$4+'5. Dashboard Live'!$AA$16,0,IF(K523-L54-L72&lt;=1,0,K523-L54-L72))</f>
        <v>1683</v>
      </c>
      <c r="M523" s="627">
        <f>IF(M$4&gt;=$K$4+'5. Dashboard Live'!$AA$16,0,IF(L523-M54-M72&lt;=1,0,L523-M54-M72))</f>
        <v>1571</v>
      </c>
      <c r="N523" s="627">
        <f>IF(N$4&gt;=$K$4+'5. Dashboard Live'!$AA$16,0,IF(M523-N54-N72&lt;=1,0,M523-N54-N72))</f>
        <v>1459</v>
      </c>
      <c r="O523" s="627">
        <f>IF(O$4&gt;=$K$4+'5. Dashboard Live'!$AA$16,0,IF(N523-O54-O72&lt;=1,0,N523-O54-O72))</f>
        <v>1347</v>
      </c>
      <c r="P523" s="627">
        <f>IF(P$4&gt;=$K$4+'5. Dashboard Live'!$AA$16,0,IF(O523-P54-P72&lt;=1,0,O523-P54-P72))</f>
        <v>1235</v>
      </c>
      <c r="Q523" s="627">
        <f>IF(Q$4&gt;=$K$4+'5. Dashboard Live'!$AA$16,0,IF(P523-Q54-Q72&lt;=1,0,P523-Q54-Q72))</f>
        <v>1123</v>
      </c>
      <c r="R523" s="627">
        <f>IF(R$4&gt;=$K$4+'5. Dashboard Live'!$AA$16,0,IF(Q523-R54-R72&lt;=1,0,Q523-R54-R72))</f>
        <v>1011</v>
      </c>
      <c r="S523" s="627">
        <f>IF(S$4&gt;=$K$4+'5. Dashboard Live'!$AA$16,0,IF(R523-S54-S72&lt;=1,0,R523-S54-S72))</f>
        <v>899</v>
      </c>
      <c r="T523" s="627">
        <f>IF(T$4&gt;=$K$4+'5. Dashboard Live'!$AA$16,0,IF(S523-T54-T72&lt;=1,0,S523-T54-T72))</f>
        <v>787</v>
      </c>
      <c r="U523" s="627">
        <f>IF(U$4&gt;=$K$4+'5. Dashboard Live'!$AA$16,0,IF(T523-U54-U72&lt;=1,0,T523-U54-U72))</f>
        <v>675</v>
      </c>
      <c r="V523" s="627">
        <f>IF(V$4&gt;=$K$4+'5. Dashboard Live'!$AA$16,0,IF(U523-V54-V72&lt;=1,0,U523-V54-V72))</f>
        <v>563</v>
      </c>
      <c r="W523" s="627">
        <f>IF(W$4&gt;=$K$4+'5. Dashboard Live'!$AA$16,0,IF(V523-W54-W72&lt;=1,0,V523-W54-W72))</f>
        <v>451</v>
      </c>
      <c r="X523" s="627">
        <f>IF(X$4&gt;=$K$4+'5. Dashboard Live'!$AA$16,0,IF(W523-X54-X72&lt;=1,0,W523-X54-X72))</f>
        <v>339</v>
      </c>
      <c r="Y523" s="627">
        <f>IF(Y$4&gt;=$K$4+'5. Dashboard Live'!$AA$16,0,IF(X523-Y54-Y72&lt;=1,0,X523-Y54-Y72))</f>
        <v>227</v>
      </c>
      <c r="Z523" s="627">
        <f>IF(Z$4&gt;=$K$4+'5. Dashboard Live'!$AA$16,0,IF(Y523-Z54-Z72&lt;=1,0,Y523-Z54-Z72))</f>
        <v>115</v>
      </c>
      <c r="AA523" s="627">
        <f>IF(AA$4&gt;=$K$4+'5. Dashboard Live'!$AA$16,0,IF(Z523-AA54-AA72&lt;=1,0,Z523-AA54-AA72))</f>
        <v>3</v>
      </c>
      <c r="AB523" s="627">
        <f>IF(AB$4&gt;=$K$4+'5. Dashboard Live'!$AA$16,0,IF(AA523-AB54-AB72&lt;=1,0,AA523-AB54-AB72))</f>
        <v>0</v>
      </c>
      <c r="AC523" s="627">
        <f>IF(AC$4&gt;=$K$4+'5. Dashboard Live'!$AA$16,0,IF(AB523-AC54-AC72&lt;=1,0,AB523-AC54-AC72))</f>
        <v>0</v>
      </c>
    </row>
    <row r="524" spans="1:30" x14ac:dyDescent="0.45">
      <c r="B524" s="626" t="str">
        <f t="shared" si="248"/>
        <v>Rent</v>
      </c>
      <c r="D524" s="583" t="str">
        <f>'12. Inputs-Props &amp; Debtors 2016'!C$81</f>
        <v>WC</v>
      </c>
      <c r="F524" s="627"/>
      <c r="G524" s="627"/>
      <c r="H524" s="602">
        <f>'12. Inputs-Props &amp; Debtors 2016'!$K$14</f>
        <v>765</v>
      </c>
      <c r="I524" s="627">
        <f>IF(I$4&gt;=$K$4+'5. Dashboard Live'!$AA$16,0,IF(H524-I55-I73&lt;=1,0,H524-I55-I73))</f>
        <v>612</v>
      </c>
      <c r="J524" s="627">
        <f>IF(J$4&gt;=$K$4+'5. Dashboard Live'!$AA$16,0,IF(I524-J55-J73&lt;=1,0,I524-J55-J73))</f>
        <v>459</v>
      </c>
      <c r="K524" s="627">
        <f>IF(K$4&gt;=$K$4+'5. Dashboard Live'!$AA$16,0,IF(J524-K55-K73&lt;=1,0,J524-K55-K73))</f>
        <v>344</v>
      </c>
      <c r="L524" s="627">
        <f>IF(L$4&gt;=$K$4+'5. Dashboard Live'!$AA$16,0,IF(K524-L55-L73&lt;=1,0,K524-L55-L73))</f>
        <v>323</v>
      </c>
      <c r="M524" s="627">
        <f>IF(M$4&gt;=$K$4+'5. Dashboard Live'!$AA$16,0,IF(L524-M55-M73&lt;=1,0,L524-M55-M73))</f>
        <v>302</v>
      </c>
      <c r="N524" s="627">
        <f>IF(N$4&gt;=$K$4+'5. Dashboard Live'!$AA$16,0,IF(M524-N55-N73&lt;=1,0,M524-N55-N73))</f>
        <v>281</v>
      </c>
      <c r="O524" s="627">
        <f>IF(O$4&gt;=$K$4+'5. Dashboard Live'!$AA$16,0,IF(N524-O55-O73&lt;=1,0,N524-O55-O73))</f>
        <v>260</v>
      </c>
      <c r="P524" s="627">
        <f>IF(P$4&gt;=$K$4+'5. Dashboard Live'!$AA$16,0,IF(O524-P55-P73&lt;=1,0,O524-P55-P73))</f>
        <v>239</v>
      </c>
      <c r="Q524" s="627">
        <f>IF(Q$4&gt;=$K$4+'5. Dashboard Live'!$AA$16,0,IF(P524-Q55-Q73&lt;=1,0,P524-Q55-Q73))</f>
        <v>218</v>
      </c>
      <c r="R524" s="627">
        <f>IF(R$4&gt;=$K$4+'5. Dashboard Live'!$AA$16,0,IF(Q524-R55-R73&lt;=1,0,Q524-R55-R73))</f>
        <v>197</v>
      </c>
      <c r="S524" s="627">
        <f>IF(S$4&gt;=$K$4+'5. Dashboard Live'!$AA$16,0,IF(R524-S55-S73&lt;=1,0,R524-S55-S73))</f>
        <v>176</v>
      </c>
      <c r="T524" s="627">
        <f>IF(T$4&gt;=$K$4+'5. Dashboard Live'!$AA$16,0,IF(S524-T55-T73&lt;=1,0,S524-T55-T73))</f>
        <v>155</v>
      </c>
      <c r="U524" s="627">
        <f>IF(U$4&gt;=$K$4+'5. Dashboard Live'!$AA$16,0,IF(T524-U55-U73&lt;=1,0,T524-U55-U73))</f>
        <v>134</v>
      </c>
      <c r="V524" s="627">
        <f>IF(V$4&gt;=$K$4+'5. Dashboard Live'!$AA$16,0,IF(U524-V55-V73&lt;=1,0,U524-V55-V73))</f>
        <v>113</v>
      </c>
      <c r="W524" s="627">
        <f>IF(W$4&gt;=$K$4+'5. Dashboard Live'!$AA$16,0,IF(V524-W55-W73&lt;=1,0,V524-W55-W73))</f>
        <v>92</v>
      </c>
      <c r="X524" s="627">
        <f>IF(X$4&gt;=$K$4+'5. Dashboard Live'!$AA$16,0,IF(W524-X55-X73&lt;=1,0,W524-X55-X73))</f>
        <v>71</v>
      </c>
      <c r="Y524" s="627">
        <f>IF(Y$4&gt;=$K$4+'5. Dashboard Live'!$AA$16,0,IF(X524-Y55-Y73&lt;=1,0,X524-Y55-Y73))</f>
        <v>50</v>
      </c>
      <c r="Z524" s="627">
        <f>IF(Z$4&gt;=$K$4+'5. Dashboard Live'!$AA$16,0,IF(Y524-Z55-Z73&lt;=1,0,Y524-Z55-Z73))</f>
        <v>29</v>
      </c>
      <c r="AA524" s="627">
        <f>IF(AA$4&gt;=$K$4+'5. Dashboard Live'!$AA$16,0,IF(Z524-AA55-AA73&lt;=1,0,Z524-AA55-AA73))</f>
        <v>8</v>
      </c>
      <c r="AB524" s="627">
        <f>IF(AB$4&gt;=$K$4+'5. Dashboard Live'!$AA$16,0,IF(AA524-AB55-AB73&lt;=1,0,AA524-AB55-AB73))</f>
        <v>0</v>
      </c>
      <c r="AC524" s="627">
        <f>IF(AC$4&gt;=$K$4+'5. Dashboard Live'!$AA$16,0,IF(AB524-AC55-AC73&lt;=1,0,AB524-AC55-AC73))</f>
        <v>0</v>
      </c>
    </row>
    <row r="525" spans="1:30" x14ac:dyDescent="0.45">
      <c r="B525" s="626" t="str">
        <f t="shared" si="248"/>
        <v>Rent</v>
      </c>
      <c r="D525" s="791" t="s">
        <v>11</v>
      </c>
      <c r="F525" s="627"/>
      <c r="G525" s="627"/>
      <c r="H525" s="628">
        <f t="shared" ref="H525:Q525" si="249">SUM(H520:H524)</f>
        <v>5160</v>
      </c>
      <c r="I525" s="628">
        <f t="shared" si="249"/>
        <v>4646</v>
      </c>
      <c r="J525" s="628">
        <f t="shared" si="249"/>
        <v>4132</v>
      </c>
      <c r="K525" s="628">
        <f t="shared" si="249"/>
        <v>3656</v>
      </c>
      <c r="L525" s="628">
        <f t="shared" si="249"/>
        <v>3430</v>
      </c>
      <c r="M525" s="628">
        <f t="shared" si="249"/>
        <v>3204</v>
      </c>
      <c r="N525" s="628">
        <f t="shared" si="249"/>
        <v>2978</v>
      </c>
      <c r="O525" s="628">
        <f t="shared" si="249"/>
        <v>2752</v>
      </c>
      <c r="P525" s="628">
        <f t="shared" si="249"/>
        <v>2526</v>
      </c>
      <c r="Q525" s="628">
        <f t="shared" si="249"/>
        <v>2300</v>
      </c>
      <c r="R525" s="628">
        <f t="shared" ref="R525:AB525" si="250">SUM(R520:R524)</f>
        <v>2074</v>
      </c>
      <c r="S525" s="628">
        <f t="shared" si="250"/>
        <v>1848</v>
      </c>
      <c r="T525" s="628">
        <f t="shared" si="250"/>
        <v>1622</v>
      </c>
      <c r="U525" s="628">
        <f t="shared" si="250"/>
        <v>1396</v>
      </c>
      <c r="V525" s="628">
        <f t="shared" si="250"/>
        <v>1170</v>
      </c>
      <c r="W525" s="628">
        <f t="shared" si="250"/>
        <v>944</v>
      </c>
      <c r="X525" s="628">
        <f t="shared" si="250"/>
        <v>718</v>
      </c>
      <c r="Y525" s="628">
        <f t="shared" si="250"/>
        <v>492</v>
      </c>
      <c r="Z525" s="628">
        <f t="shared" si="250"/>
        <v>266</v>
      </c>
      <c r="AA525" s="628">
        <f t="shared" si="250"/>
        <v>40</v>
      </c>
      <c r="AB525" s="628">
        <f t="shared" si="250"/>
        <v>0</v>
      </c>
      <c r="AC525" s="628">
        <f>SUM(AC520:AC524)</f>
        <v>0</v>
      </c>
    </row>
    <row r="526" spans="1:30" x14ac:dyDescent="0.45">
      <c r="B526" s="626" t="str">
        <f t="shared" si="248"/>
        <v>Rent</v>
      </c>
    </row>
    <row r="527" spans="1:30" x14ac:dyDescent="0.45">
      <c r="B527" s="626" t="str">
        <f t="shared" si="248"/>
        <v>Rent</v>
      </c>
    </row>
    <row r="528" spans="1:30" x14ac:dyDescent="0.45">
      <c r="A528" s="643"/>
      <c r="B528" s="626" t="str">
        <f t="shared" si="248"/>
        <v>Rent</v>
      </c>
      <c r="C528" s="451">
        <f>C519+1</f>
        <v>55</v>
      </c>
      <c r="D528" s="591" t="s">
        <v>1061</v>
      </c>
      <c r="L528" s="846" t="s">
        <v>1442</v>
      </c>
    </row>
    <row r="529" spans="2:30" x14ac:dyDescent="0.45">
      <c r="B529" s="626" t="str">
        <f t="shared" si="248"/>
        <v>Rent</v>
      </c>
      <c r="D529" s="583" t="str">
        <f>'12. Inputs-Props &amp; Debtors 2016'!C$77</f>
        <v>EC</v>
      </c>
      <c r="I529" s="598">
        <v>0</v>
      </c>
      <c r="J529" s="600">
        <f>I529</f>
        <v>0</v>
      </c>
      <c r="K529" s="600">
        <f>J529</f>
        <v>0</v>
      </c>
      <c r="L529" s="632">
        <f>IF('7. Scenario Detailed'!$G$12='5a. Dashboard 2'!$F$8,'5a. Dashboard 2'!$F10,IF('7. Scenario Detailed'!$H$12='5a. Dashboard 2'!$G$8,'5a. Dashboard 2'!$G10,0))</f>
        <v>0</v>
      </c>
      <c r="M529" s="600">
        <f>IF(M520&gt;0,L529,0)</f>
        <v>0</v>
      </c>
      <c r="N529" s="600">
        <f t="shared" ref="N529:AC533" si="251">IF(N520&gt;0,M529,0)</f>
        <v>0</v>
      </c>
      <c r="O529" s="600">
        <f t="shared" si="251"/>
        <v>0</v>
      </c>
      <c r="P529" s="600">
        <f t="shared" si="251"/>
        <v>0</v>
      </c>
      <c r="Q529" s="600">
        <f t="shared" si="251"/>
        <v>0</v>
      </c>
      <c r="R529" s="600">
        <f t="shared" si="251"/>
        <v>0</v>
      </c>
      <c r="S529" s="600">
        <f t="shared" si="251"/>
        <v>0</v>
      </c>
      <c r="T529" s="600">
        <f t="shared" si="251"/>
        <v>0</v>
      </c>
      <c r="U529" s="600">
        <f t="shared" si="251"/>
        <v>0</v>
      </c>
      <c r="V529" s="600">
        <f t="shared" si="251"/>
        <v>0</v>
      </c>
      <c r="W529" s="600">
        <f t="shared" si="251"/>
        <v>0</v>
      </c>
      <c r="X529" s="600">
        <f t="shared" si="251"/>
        <v>0</v>
      </c>
      <c r="Y529" s="600">
        <f t="shared" si="251"/>
        <v>0</v>
      </c>
      <c r="Z529" s="600">
        <f t="shared" si="251"/>
        <v>0</v>
      </c>
      <c r="AA529" s="600">
        <f t="shared" si="251"/>
        <v>0</v>
      </c>
      <c r="AB529" s="600">
        <f t="shared" si="251"/>
        <v>0</v>
      </c>
      <c r="AC529" s="600">
        <f t="shared" si="251"/>
        <v>0</v>
      </c>
    </row>
    <row r="530" spans="2:30" x14ac:dyDescent="0.45">
      <c r="B530" s="626" t="str">
        <f t="shared" si="248"/>
        <v>Rent</v>
      </c>
      <c r="D530" s="583" t="str">
        <f>'12. Inputs-Props &amp; Debtors 2016'!C$78</f>
        <v>FS</v>
      </c>
      <c r="I530" s="598">
        <v>0</v>
      </c>
      <c r="J530" s="600">
        <f t="shared" ref="J530:K533" si="252">I530</f>
        <v>0</v>
      </c>
      <c r="K530" s="600">
        <f t="shared" si="252"/>
        <v>0</v>
      </c>
      <c r="L530" s="632">
        <f>IF('7. Scenario Detailed'!$G$12='5a. Dashboard 2'!$F$8,'5a. Dashboard 2'!$F11,IF('7. Scenario Detailed'!$H$12='5a. Dashboard 2'!$G$8,'5a. Dashboard 2'!$G11,0))</f>
        <v>0</v>
      </c>
      <c r="M530" s="600">
        <f>IF(M521&gt;0,L530,0)</f>
        <v>0</v>
      </c>
      <c r="N530" s="600">
        <f t="shared" ref="N530:AB530" si="253">IF(N521&gt;0,M530,0)</f>
        <v>0</v>
      </c>
      <c r="O530" s="600">
        <f t="shared" si="253"/>
        <v>0</v>
      </c>
      <c r="P530" s="600">
        <f t="shared" si="253"/>
        <v>0</v>
      </c>
      <c r="Q530" s="600">
        <f t="shared" si="253"/>
        <v>0</v>
      </c>
      <c r="R530" s="600">
        <f t="shared" si="253"/>
        <v>0</v>
      </c>
      <c r="S530" s="600">
        <f t="shared" si="253"/>
        <v>0</v>
      </c>
      <c r="T530" s="600">
        <f t="shared" si="253"/>
        <v>0</v>
      </c>
      <c r="U530" s="600">
        <f t="shared" si="253"/>
        <v>0</v>
      </c>
      <c r="V530" s="600">
        <f t="shared" si="253"/>
        <v>0</v>
      </c>
      <c r="W530" s="600">
        <f t="shared" si="253"/>
        <v>0</v>
      </c>
      <c r="X530" s="600">
        <f t="shared" si="253"/>
        <v>0</v>
      </c>
      <c r="Y530" s="600">
        <f t="shared" si="253"/>
        <v>0</v>
      </c>
      <c r="Z530" s="600">
        <f t="shared" si="253"/>
        <v>0</v>
      </c>
      <c r="AA530" s="600">
        <f t="shared" si="253"/>
        <v>0</v>
      </c>
      <c r="AB530" s="600">
        <f t="shared" si="253"/>
        <v>0</v>
      </c>
      <c r="AC530" s="600">
        <f t="shared" si="251"/>
        <v>0</v>
      </c>
    </row>
    <row r="531" spans="2:30" x14ac:dyDescent="0.45">
      <c r="B531" s="626" t="str">
        <f t="shared" si="248"/>
        <v>Rent</v>
      </c>
      <c r="D531" s="583" t="str">
        <f>'12. Inputs-Props &amp; Debtors 2016'!C$79</f>
        <v>Gau</v>
      </c>
      <c r="I531" s="598">
        <v>0</v>
      </c>
      <c r="J531" s="600">
        <f t="shared" si="252"/>
        <v>0</v>
      </c>
      <c r="K531" s="600">
        <f t="shared" si="252"/>
        <v>0</v>
      </c>
      <c r="L531" s="632">
        <f>IF('7. Scenario Detailed'!$G$12='5a. Dashboard 2'!$F$8,'5a. Dashboard 2'!$F12,IF('7. Scenario Detailed'!$H$12='5a. Dashboard 2'!$G$8,'5a. Dashboard 2'!$G12,0))</f>
        <v>0</v>
      </c>
      <c r="M531" s="600">
        <f>IF(M522&gt;0,L531,0)</f>
        <v>0</v>
      </c>
      <c r="N531" s="600">
        <f t="shared" si="251"/>
        <v>0</v>
      </c>
      <c r="O531" s="600">
        <f t="shared" si="251"/>
        <v>0</v>
      </c>
      <c r="P531" s="600">
        <f t="shared" si="251"/>
        <v>0</v>
      </c>
      <c r="Q531" s="600">
        <f t="shared" si="251"/>
        <v>0</v>
      </c>
      <c r="R531" s="600">
        <f t="shared" si="251"/>
        <v>0</v>
      </c>
      <c r="S531" s="600">
        <f t="shared" si="251"/>
        <v>0</v>
      </c>
      <c r="T531" s="600">
        <f t="shared" si="251"/>
        <v>0</v>
      </c>
      <c r="U531" s="600">
        <f t="shared" si="251"/>
        <v>0</v>
      </c>
      <c r="V531" s="600">
        <f t="shared" si="251"/>
        <v>0</v>
      </c>
      <c r="W531" s="600">
        <f t="shared" si="251"/>
        <v>0</v>
      </c>
      <c r="X531" s="600">
        <f t="shared" si="251"/>
        <v>0</v>
      </c>
      <c r="Y531" s="600">
        <f t="shared" si="251"/>
        <v>0</v>
      </c>
      <c r="Z531" s="600">
        <f t="shared" si="251"/>
        <v>0</v>
      </c>
      <c r="AA531" s="600">
        <f t="shared" si="251"/>
        <v>0</v>
      </c>
      <c r="AB531" s="600">
        <f t="shared" si="251"/>
        <v>0</v>
      </c>
      <c r="AC531" s="600">
        <f t="shared" si="251"/>
        <v>0</v>
      </c>
    </row>
    <row r="532" spans="2:30" x14ac:dyDescent="0.45">
      <c r="B532" s="626" t="str">
        <f t="shared" si="248"/>
        <v>Rent</v>
      </c>
      <c r="D532" s="583" t="str">
        <f>'12. Inputs-Props &amp; Debtors 2016'!C$80</f>
        <v>KZN</v>
      </c>
      <c r="I532" s="598">
        <v>0</v>
      </c>
      <c r="J532" s="600">
        <f t="shared" si="252"/>
        <v>0</v>
      </c>
      <c r="K532" s="600">
        <f t="shared" si="252"/>
        <v>0</v>
      </c>
      <c r="L532" s="632">
        <f>IF('7. Scenario Detailed'!$G$12='5a. Dashboard 2'!$F$8,'5a. Dashboard 2'!$F13,IF('7. Scenario Detailed'!$H$12='5a. Dashboard 2'!$G$8,'5a. Dashboard 2'!$G13,0))</f>
        <v>0</v>
      </c>
      <c r="M532" s="600">
        <f>IF(M523&gt;0,L532,0)</f>
        <v>0</v>
      </c>
      <c r="N532" s="600">
        <f t="shared" si="251"/>
        <v>0</v>
      </c>
      <c r="O532" s="600">
        <f t="shared" si="251"/>
        <v>0</v>
      </c>
      <c r="P532" s="600">
        <f t="shared" si="251"/>
        <v>0</v>
      </c>
      <c r="Q532" s="600">
        <f t="shared" si="251"/>
        <v>0</v>
      </c>
      <c r="R532" s="600">
        <f t="shared" si="251"/>
        <v>0</v>
      </c>
      <c r="S532" s="600">
        <f t="shared" si="251"/>
        <v>0</v>
      </c>
      <c r="T532" s="600">
        <f t="shared" si="251"/>
        <v>0</v>
      </c>
      <c r="U532" s="600">
        <f t="shared" si="251"/>
        <v>0</v>
      </c>
      <c r="V532" s="600">
        <f t="shared" si="251"/>
        <v>0</v>
      </c>
      <c r="W532" s="600">
        <f t="shared" si="251"/>
        <v>0</v>
      </c>
      <c r="X532" s="600">
        <f t="shared" si="251"/>
        <v>0</v>
      </c>
      <c r="Y532" s="600">
        <f t="shared" si="251"/>
        <v>0</v>
      </c>
      <c r="Z532" s="600">
        <f t="shared" si="251"/>
        <v>0</v>
      </c>
      <c r="AA532" s="600">
        <f t="shared" si="251"/>
        <v>0</v>
      </c>
      <c r="AB532" s="600">
        <f t="shared" si="251"/>
        <v>0</v>
      </c>
      <c r="AC532" s="600">
        <f t="shared" si="251"/>
        <v>0</v>
      </c>
    </row>
    <row r="533" spans="2:30" x14ac:dyDescent="0.45">
      <c r="B533" s="626" t="str">
        <f t="shared" si="248"/>
        <v>Rent</v>
      </c>
      <c r="D533" s="583" t="str">
        <f>'12. Inputs-Props &amp; Debtors 2016'!C$81</f>
        <v>WC</v>
      </c>
      <c r="I533" s="598">
        <v>0</v>
      </c>
      <c r="J533" s="600">
        <f t="shared" si="252"/>
        <v>0</v>
      </c>
      <c r="K533" s="600">
        <f t="shared" si="252"/>
        <v>0</v>
      </c>
      <c r="L533" s="632">
        <f>IF('7. Scenario Detailed'!$G$12='5a. Dashboard 2'!$F$8,'5a. Dashboard 2'!$F14,IF('7. Scenario Detailed'!$H$12='5a. Dashboard 2'!$G$8,'5a. Dashboard 2'!$G14,0))</f>
        <v>0</v>
      </c>
      <c r="M533" s="600">
        <f>IF(M524&gt;0,L533,0)</f>
        <v>0</v>
      </c>
      <c r="N533" s="600">
        <f t="shared" si="251"/>
        <v>0</v>
      </c>
      <c r="O533" s="600">
        <f t="shared" si="251"/>
        <v>0</v>
      </c>
      <c r="P533" s="600">
        <f t="shared" si="251"/>
        <v>0</v>
      </c>
      <c r="Q533" s="600">
        <f t="shared" si="251"/>
        <v>0</v>
      </c>
      <c r="R533" s="600">
        <f t="shared" si="251"/>
        <v>0</v>
      </c>
      <c r="S533" s="600">
        <f t="shared" si="251"/>
        <v>0</v>
      </c>
      <c r="T533" s="600">
        <f t="shared" si="251"/>
        <v>0</v>
      </c>
      <c r="U533" s="600">
        <f t="shared" si="251"/>
        <v>0</v>
      </c>
      <c r="V533" s="600">
        <f t="shared" si="251"/>
        <v>0</v>
      </c>
      <c r="W533" s="600">
        <f t="shared" si="251"/>
        <v>0</v>
      </c>
      <c r="X533" s="600">
        <f t="shared" si="251"/>
        <v>0</v>
      </c>
      <c r="Y533" s="600">
        <f t="shared" si="251"/>
        <v>0</v>
      </c>
      <c r="Z533" s="600">
        <f t="shared" si="251"/>
        <v>0</v>
      </c>
      <c r="AA533" s="600">
        <f t="shared" si="251"/>
        <v>0</v>
      </c>
      <c r="AB533" s="600">
        <f t="shared" si="251"/>
        <v>0</v>
      </c>
      <c r="AC533" s="600">
        <f t="shared" si="251"/>
        <v>0</v>
      </c>
    </row>
    <row r="534" spans="2:30" ht="14.65" thickBot="1" x14ac:dyDescent="0.5">
      <c r="B534" s="626" t="str">
        <f t="shared" si="248"/>
        <v>Rent</v>
      </c>
      <c r="D534" s="596" t="s">
        <v>1066</v>
      </c>
      <c r="I534" s="599">
        <f t="shared" ref="I534:P534" si="254">SUMPRODUCT(I529:I533,$H$520:$H$524)/$H$525</f>
        <v>0</v>
      </c>
      <c r="J534" s="599">
        <f t="shared" si="254"/>
        <v>0</v>
      </c>
      <c r="K534" s="599">
        <f t="shared" si="254"/>
        <v>0</v>
      </c>
      <c r="L534" s="599">
        <f t="shared" si="254"/>
        <v>0</v>
      </c>
      <c r="M534" s="599">
        <f t="shared" si="254"/>
        <v>0</v>
      </c>
      <c r="N534" s="599">
        <f t="shared" si="254"/>
        <v>0</v>
      </c>
      <c r="O534" s="599">
        <f t="shared" si="254"/>
        <v>0</v>
      </c>
      <c r="P534" s="599">
        <f t="shared" si="254"/>
        <v>0</v>
      </c>
      <c r="Q534" s="599">
        <f t="shared" ref="Q534:AB534" si="255">SUMPRODUCT(Q529:Q533,$H$520:$H$524)/$H$525</f>
        <v>0</v>
      </c>
      <c r="R534" s="599">
        <f t="shared" si="255"/>
        <v>0</v>
      </c>
      <c r="S534" s="599">
        <f t="shared" si="255"/>
        <v>0</v>
      </c>
      <c r="T534" s="599">
        <f t="shared" si="255"/>
        <v>0</v>
      </c>
      <c r="U534" s="599">
        <f t="shared" si="255"/>
        <v>0</v>
      </c>
      <c r="V534" s="599">
        <f t="shared" si="255"/>
        <v>0</v>
      </c>
      <c r="W534" s="599">
        <f t="shared" si="255"/>
        <v>0</v>
      </c>
      <c r="X534" s="599">
        <f t="shared" si="255"/>
        <v>0</v>
      </c>
      <c r="Y534" s="599">
        <f t="shared" si="255"/>
        <v>0</v>
      </c>
      <c r="Z534" s="599">
        <f t="shared" si="255"/>
        <v>0</v>
      </c>
      <c r="AA534" s="599">
        <f t="shared" si="255"/>
        <v>0</v>
      </c>
      <c r="AB534" s="599">
        <f t="shared" si="255"/>
        <v>0</v>
      </c>
      <c r="AC534" s="599">
        <f>SUMPRODUCT(AC529:AC533,$H$520:$H$524)/$H$525</f>
        <v>0</v>
      </c>
    </row>
    <row r="535" spans="2:30" ht="14.65" thickTop="1" x14ac:dyDescent="0.45">
      <c r="B535" s="626" t="str">
        <f t="shared" si="248"/>
        <v>Rent</v>
      </c>
    </row>
    <row r="536" spans="2:30" x14ac:dyDescent="0.45">
      <c r="B536" s="626" t="str">
        <f t="shared" si="248"/>
        <v>Rent</v>
      </c>
    </row>
    <row r="537" spans="2:30" x14ac:dyDescent="0.45">
      <c r="B537" s="626" t="str">
        <f t="shared" si="248"/>
        <v>Rent</v>
      </c>
      <c r="C537" s="451">
        <f>C528+1</f>
        <v>56</v>
      </c>
      <c r="D537" s="591" t="s">
        <v>1046</v>
      </c>
    </row>
    <row r="538" spans="2:30" x14ac:dyDescent="0.45">
      <c r="B538" s="626" t="str">
        <f t="shared" si="248"/>
        <v>Rent</v>
      </c>
      <c r="D538" s="583" t="str">
        <f>'12. Inputs-Props &amp; Debtors 2016'!C$77</f>
        <v>EC</v>
      </c>
      <c r="F538" s="629">
        <f>'11. Table - Expenditure Review'!I$206</f>
        <v>1522082.52</v>
      </c>
      <c r="G538" s="629">
        <f>'11. Table - Expenditure Review'!J$206</f>
        <v>445558.61</v>
      </c>
      <c r="H538" s="629">
        <f>'11. Table - Expenditure Review'!K$206</f>
        <v>342866.4</v>
      </c>
      <c r="I538" s="615">
        <f t="shared" ref="I538:AC538" si="256">IF(H520&gt;0,H538*I520/H520*(1+I529),0)</f>
        <v>274293.12</v>
      </c>
      <c r="J538" s="615">
        <f t="shared" si="256"/>
        <v>205719.84</v>
      </c>
      <c r="K538" s="615">
        <f t="shared" si="256"/>
        <v>137146.56</v>
      </c>
      <c r="L538" s="615">
        <f t="shared" si="256"/>
        <v>129527.30666666667</v>
      </c>
      <c r="M538" s="615">
        <f t="shared" si="256"/>
        <v>121908.05333333334</v>
      </c>
      <c r="N538" s="615">
        <f t="shared" si="256"/>
        <v>114288.80000000002</v>
      </c>
      <c r="O538" s="615">
        <f t="shared" si="256"/>
        <v>106669.54666666668</v>
      </c>
      <c r="P538" s="615">
        <f t="shared" si="256"/>
        <v>99050.293333333335</v>
      </c>
      <c r="Q538" s="615">
        <f t="shared" si="256"/>
        <v>91431.040000000008</v>
      </c>
      <c r="R538" s="615">
        <f t="shared" si="256"/>
        <v>83811.786666666667</v>
      </c>
      <c r="S538" s="615">
        <f t="shared" si="256"/>
        <v>76192.53333333334</v>
      </c>
      <c r="T538" s="615">
        <f t="shared" si="256"/>
        <v>68573.279999999999</v>
      </c>
      <c r="U538" s="615">
        <f t="shared" si="256"/>
        <v>60954.026666666665</v>
      </c>
      <c r="V538" s="615">
        <f t="shared" si="256"/>
        <v>53334.773333333331</v>
      </c>
      <c r="W538" s="615">
        <f t="shared" si="256"/>
        <v>45715.520000000004</v>
      </c>
      <c r="X538" s="615">
        <f t="shared" si="256"/>
        <v>38096.26666666667</v>
      </c>
      <c r="Y538" s="615">
        <f t="shared" si="256"/>
        <v>30477.013333333336</v>
      </c>
      <c r="Z538" s="615">
        <f t="shared" si="256"/>
        <v>22857.760000000002</v>
      </c>
      <c r="AA538" s="615">
        <f t="shared" si="256"/>
        <v>15238.506666666668</v>
      </c>
      <c r="AB538" s="615">
        <f t="shared" si="256"/>
        <v>0</v>
      </c>
      <c r="AC538" s="615">
        <f t="shared" si="256"/>
        <v>0</v>
      </c>
      <c r="AD538" s="633">
        <f>SUM(I538:AC538)</f>
        <v>1775286.0266666668</v>
      </c>
    </row>
    <row r="539" spans="2:30" x14ac:dyDescent="0.45">
      <c r="B539" s="626" t="str">
        <f t="shared" si="248"/>
        <v>Rent</v>
      </c>
      <c r="D539" s="583" t="str">
        <f>'12. Inputs-Props &amp; Debtors 2016'!C$78</f>
        <v>FS</v>
      </c>
      <c r="F539" s="629">
        <f>'11. Table - Expenditure Review'!L$206</f>
        <v>190624.53</v>
      </c>
      <c r="G539" s="629">
        <f>'11. Table - Expenditure Review'!M$206</f>
        <v>134455.9</v>
      </c>
      <c r="H539" s="629">
        <f>'11. Table - Expenditure Review'!N$206</f>
        <v>129537.72</v>
      </c>
      <c r="I539" s="615">
        <f t="shared" ref="I539:AC539" si="257">IF(H521&gt;0,H539*I521/H521*(1+I530),0)</f>
        <v>124140.315</v>
      </c>
      <c r="J539" s="615">
        <f t="shared" si="257"/>
        <v>118742.91</v>
      </c>
      <c r="K539" s="615">
        <f t="shared" si="257"/>
        <v>113345.50499999999</v>
      </c>
      <c r="L539" s="615">
        <f t="shared" si="257"/>
        <v>107948.09999999998</v>
      </c>
      <c r="M539" s="615">
        <f t="shared" si="257"/>
        <v>102550.69499999998</v>
      </c>
      <c r="N539" s="615">
        <f t="shared" si="257"/>
        <v>97153.289999999979</v>
      </c>
      <c r="O539" s="615">
        <f t="shared" si="257"/>
        <v>91755.88499999998</v>
      </c>
      <c r="P539" s="615">
        <f t="shared" si="257"/>
        <v>86358.479999999981</v>
      </c>
      <c r="Q539" s="615">
        <f t="shared" si="257"/>
        <v>80961.074999999983</v>
      </c>
      <c r="R539" s="615">
        <f t="shared" si="257"/>
        <v>75563.669999999984</v>
      </c>
      <c r="S539" s="615">
        <f t="shared" si="257"/>
        <v>70166.264999999985</v>
      </c>
      <c r="T539" s="615">
        <f t="shared" si="257"/>
        <v>64768.859999999986</v>
      </c>
      <c r="U539" s="615">
        <f t="shared" si="257"/>
        <v>59371.454999999987</v>
      </c>
      <c r="V539" s="615">
        <f t="shared" si="257"/>
        <v>53974.049999999981</v>
      </c>
      <c r="W539" s="615">
        <f t="shared" si="257"/>
        <v>48576.644999999982</v>
      </c>
      <c r="X539" s="615">
        <f t="shared" si="257"/>
        <v>43179.239999999983</v>
      </c>
      <c r="Y539" s="615">
        <f t="shared" si="257"/>
        <v>37781.834999999985</v>
      </c>
      <c r="Z539" s="615">
        <f t="shared" si="257"/>
        <v>32384.429999999986</v>
      </c>
      <c r="AA539" s="615">
        <f t="shared" si="257"/>
        <v>26987.024999999991</v>
      </c>
      <c r="AB539" s="615">
        <f t="shared" si="257"/>
        <v>0</v>
      </c>
      <c r="AC539" s="615">
        <f t="shared" si="257"/>
        <v>0</v>
      </c>
      <c r="AD539" s="633">
        <f>SUM(I539:AC539)</f>
        <v>1435709.7299999997</v>
      </c>
    </row>
    <row r="540" spans="2:30" x14ac:dyDescent="0.45">
      <c r="B540" s="626" t="str">
        <f t="shared" si="248"/>
        <v>Rent</v>
      </c>
      <c r="D540" s="583" t="str">
        <f>'12. Inputs-Props &amp; Debtors 2016'!C$79</f>
        <v>Gau</v>
      </c>
      <c r="F540" s="629">
        <f>'11. Table - Expenditure Review'!O$206</f>
        <v>2045100.72</v>
      </c>
      <c r="G540" s="629">
        <f>'11. Table - Expenditure Review'!P$206</f>
        <v>1952559.7300000004</v>
      </c>
      <c r="H540" s="629">
        <f>'11. Table - Expenditure Review'!Q$206</f>
        <v>1816987.6800000002</v>
      </c>
      <c r="I540" s="615">
        <f t="shared" ref="I540:AC540" si="258">IF(H522&gt;0,H540*I522/H522*(1+I531),0)</f>
        <v>1725816.5154191265</v>
      </c>
      <c r="J540" s="615">
        <f t="shared" si="258"/>
        <v>1634645.3508382528</v>
      </c>
      <c r="K540" s="615">
        <f t="shared" si="258"/>
        <v>1543474.1862573794</v>
      </c>
      <c r="L540" s="615">
        <f t="shared" si="258"/>
        <v>1448012.6139315234</v>
      </c>
      <c r="M540" s="615">
        <f t="shared" si="258"/>
        <v>1352551.0416056674</v>
      </c>
      <c r="N540" s="615">
        <f t="shared" si="258"/>
        <v>1257089.4692798115</v>
      </c>
      <c r="O540" s="615">
        <f t="shared" si="258"/>
        <v>1161627.8969539555</v>
      </c>
      <c r="P540" s="615">
        <f t="shared" si="258"/>
        <v>1066166.3246280996</v>
      </c>
      <c r="Q540" s="615">
        <f t="shared" si="258"/>
        <v>970704.75230224361</v>
      </c>
      <c r="R540" s="615">
        <f t="shared" si="258"/>
        <v>875243.17997638753</v>
      </c>
      <c r="S540" s="615">
        <f t="shared" si="258"/>
        <v>779781.60765053157</v>
      </c>
      <c r="T540" s="615">
        <f t="shared" si="258"/>
        <v>684320.03532467561</v>
      </c>
      <c r="U540" s="615">
        <f t="shared" si="258"/>
        <v>588858.46299881954</v>
      </c>
      <c r="V540" s="615">
        <f t="shared" si="258"/>
        <v>493396.89067296352</v>
      </c>
      <c r="W540" s="615">
        <f t="shared" si="258"/>
        <v>397935.3183471075</v>
      </c>
      <c r="X540" s="615">
        <f t="shared" si="258"/>
        <v>302473.74602125149</v>
      </c>
      <c r="Y540" s="615">
        <f t="shared" si="258"/>
        <v>207012.17369539553</v>
      </c>
      <c r="Z540" s="615">
        <f t="shared" si="258"/>
        <v>111550.60136953955</v>
      </c>
      <c r="AA540" s="615">
        <f t="shared" si="258"/>
        <v>16089.029043683589</v>
      </c>
      <c r="AB540" s="615">
        <f t="shared" si="258"/>
        <v>0</v>
      </c>
      <c r="AC540" s="615">
        <f t="shared" si="258"/>
        <v>0</v>
      </c>
      <c r="AD540" s="633">
        <f>SUM(I540:AC540)</f>
        <v>16616749.196316415</v>
      </c>
    </row>
    <row r="541" spans="2:30" x14ac:dyDescent="0.45">
      <c r="B541" s="626" t="str">
        <f t="shared" si="248"/>
        <v>Rent</v>
      </c>
      <c r="D541" s="583" t="str">
        <f>'12. Inputs-Props &amp; Debtors 2016'!C$80</f>
        <v>KZN</v>
      </c>
      <c r="F541" s="629">
        <f>'11. Table - Expenditure Review'!R$206</f>
        <v>3932955.96</v>
      </c>
      <c r="G541" s="629">
        <f>'11. Table - Expenditure Review'!S$206</f>
        <v>3890597.44</v>
      </c>
      <c r="H541" s="629">
        <f>'11. Table - Expenditure Review'!T$206</f>
        <v>3861444.2399999998</v>
      </c>
      <c r="I541" s="615">
        <f t="shared" ref="I541:AC541" si="259">IF(H523&gt;0,H541*I523/H523*(1+I532),0)</f>
        <v>3475751.7993289116</v>
      </c>
      <c r="J541" s="615">
        <f t="shared" si="259"/>
        <v>3090059.3586578229</v>
      </c>
      <c r="K541" s="615">
        <f t="shared" si="259"/>
        <v>2704366.9179867343</v>
      </c>
      <c r="L541" s="615">
        <f t="shared" si="259"/>
        <v>2535626.4751931331</v>
      </c>
      <c r="M541" s="615">
        <f t="shared" si="259"/>
        <v>2366886.0323995319</v>
      </c>
      <c r="N541" s="615">
        <f t="shared" si="259"/>
        <v>2198145.5896059307</v>
      </c>
      <c r="O541" s="615">
        <f t="shared" si="259"/>
        <v>2029405.1468123295</v>
      </c>
      <c r="P541" s="615">
        <f t="shared" si="259"/>
        <v>1860664.7040187283</v>
      </c>
      <c r="Q541" s="615">
        <f t="shared" si="259"/>
        <v>1691924.2612251269</v>
      </c>
      <c r="R541" s="615">
        <f t="shared" si="259"/>
        <v>1523183.8184315255</v>
      </c>
      <c r="S541" s="615">
        <f t="shared" si="259"/>
        <v>1354443.3756379241</v>
      </c>
      <c r="T541" s="615">
        <f t="shared" si="259"/>
        <v>1185702.9328443229</v>
      </c>
      <c r="U541" s="615">
        <f t="shared" si="259"/>
        <v>1016962.4900507217</v>
      </c>
      <c r="V541" s="615">
        <f t="shared" si="259"/>
        <v>848222.04725712049</v>
      </c>
      <c r="W541" s="615">
        <f t="shared" si="259"/>
        <v>679481.6044635193</v>
      </c>
      <c r="X541" s="615">
        <f t="shared" si="259"/>
        <v>510741.1616699181</v>
      </c>
      <c r="Y541" s="615">
        <f t="shared" si="259"/>
        <v>342000.71887631685</v>
      </c>
      <c r="Z541" s="615">
        <f t="shared" si="259"/>
        <v>173260.2760827156</v>
      </c>
      <c r="AA541" s="615">
        <f t="shared" si="259"/>
        <v>4519.83328911432</v>
      </c>
      <c r="AB541" s="615">
        <f t="shared" si="259"/>
        <v>0</v>
      </c>
      <c r="AC541" s="615">
        <f t="shared" si="259"/>
        <v>0</v>
      </c>
      <c r="AD541" s="633">
        <f>SUM(I541:AC541)</f>
        <v>29591348.543831445</v>
      </c>
    </row>
    <row r="542" spans="2:30" x14ac:dyDescent="0.45">
      <c r="B542" s="626" t="str">
        <f t="shared" si="248"/>
        <v>Rent</v>
      </c>
      <c r="D542" s="583" t="str">
        <f>'12. Inputs-Props &amp; Debtors 2016'!C$81</f>
        <v>WC</v>
      </c>
      <c r="F542" s="629">
        <f>'11. Table - Expenditure Review'!U$206</f>
        <v>5125531.1999999993</v>
      </c>
      <c r="G542" s="629">
        <f>'11. Table - Expenditure Review'!V$206</f>
        <v>5251150.2400000012</v>
      </c>
      <c r="H542" s="629">
        <f>'11. Table - Expenditure Review'!W$206</f>
        <v>5589559.7700000014</v>
      </c>
      <c r="I542" s="615">
        <f t="shared" ref="I542:AC542" si="260">IF(H524&gt;0,H542*I524/H524*(1+I533),0)</f>
        <v>4471647.8160000006</v>
      </c>
      <c r="J542" s="615">
        <f t="shared" si="260"/>
        <v>3353735.8620000002</v>
      </c>
      <c r="K542" s="615">
        <f t="shared" si="260"/>
        <v>2513475.2429803922</v>
      </c>
      <c r="L542" s="615">
        <f t="shared" si="260"/>
        <v>2360036.3473333335</v>
      </c>
      <c r="M542" s="615">
        <f t="shared" si="260"/>
        <v>2206597.4516862747</v>
      </c>
      <c r="N542" s="615">
        <f t="shared" si="260"/>
        <v>2053158.5560392158</v>
      </c>
      <c r="O542" s="615">
        <f t="shared" si="260"/>
        <v>1899719.6603921568</v>
      </c>
      <c r="P542" s="615">
        <f t="shared" si="260"/>
        <v>1746280.7647450978</v>
      </c>
      <c r="Q542" s="615">
        <f t="shared" si="260"/>
        <v>1592841.8690980391</v>
      </c>
      <c r="R542" s="615">
        <f t="shared" si="260"/>
        <v>1439402.9734509804</v>
      </c>
      <c r="S542" s="615">
        <f t="shared" si="260"/>
        <v>1285964.0778039217</v>
      </c>
      <c r="T542" s="615">
        <f t="shared" si="260"/>
        <v>1132525.1821568629</v>
      </c>
      <c r="U542" s="615">
        <f t="shared" si="260"/>
        <v>979086.28650980396</v>
      </c>
      <c r="V542" s="615">
        <f t="shared" si="260"/>
        <v>825647.39086274512</v>
      </c>
      <c r="W542" s="615">
        <f t="shared" si="260"/>
        <v>672208.49521568627</v>
      </c>
      <c r="X542" s="615">
        <f t="shared" si="260"/>
        <v>518769.59956862743</v>
      </c>
      <c r="Y542" s="615">
        <f t="shared" si="260"/>
        <v>365330.70392156858</v>
      </c>
      <c r="Z542" s="615">
        <f t="shared" si="260"/>
        <v>211891.80827450976</v>
      </c>
      <c r="AA542" s="615">
        <f t="shared" si="260"/>
        <v>58452.912627450969</v>
      </c>
      <c r="AB542" s="615">
        <f t="shared" si="260"/>
        <v>0</v>
      </c>
      <c r="AC542" s="615">
        <f t="shared" si="260"/>
        <v>0</v>
      </c>
      <c r="AD542" s="633">
        <f>SUM(I542:AC542)</f>
        <v>29686773.000666671</v>
      </c>
    </row>
    <row r="543" spans="2:30" ht="14.65" thickBot="1" x14ac:dyDescent="0.5">
      <c r="B543" s="626" t="str">
        <f t="shared" si="248"/>
        <v>Rent</v>
      </c>
      <c r="D543" s="583" t="s">
        <v>11</v>
      </c>
      <c r="F543" s="613">
        <f>SUM(F538:F542)</f>
        <v>12816294.93</v>
      </c>
      <c r="G543" s="613">
        <f>SUM(G538:G542)</f>
        <v>11674321.920000002</v>
      </c>
      <c r="H543" s="613">
        <f>SUM(H538:H542)</f>
        <v>11740395.810000002</v>
      </c>
      <c r="I543" s="613">
        <f>SUM(I538:I542)</f>
        <v>10071649.56574804</v>
      </c>
      <c r="J543" s="613">
        <f t="shared" ref="J543:AD543" si="261">SUM(J538:J542)</f>
        <v>8402903.321496075</v>
      </c>
      <c r="K543" s="613">
        <f t="shared" si="261"/>
        <v>7011808.4122245051</v>
      </c>
      <c r="L543" s="613">
        <f t="shared" si="261"/>
        <v>6581150.8431246569</v>
      </c>
      <c r="M543" s="613">
        <f t="shared" si="261"/>
        <v>6150493.2740248069</v>
      </c>
      <c r="N543" s="613">
        <f t="shared" si="261"/>
        <v>5719835.7049249578</v>
      </c>
      <c r="O543" s="613">
        <f t="shared" si="261"/>
        <v>5289178.1358251087</v>
      </c>
      <c r="P543" s="613">
        <f t="shared" si="261"/>
        <v>4858520.5667252587</v>
      </c>
      <c r="Q543" s="613">
        <f t="shared" si="261"/>
        <v>4427862.9976254096</v>
      </c>
      <c r="R543" s="613">
        <f t="shared" ref="R543:AB543" si="262">SUM(R538:R542)</f>
        <v>3997205.4285255596</v>
      </c>
      <c r="S543" s="613">
        <f t="shared" si="262"/>
        <v>3566547.8594257105</v>
      </c>
      <c r="T543" s="613">
        <f t="shared" si="262"/>
        <v>3135890.2903258614</v>
      </c>
      <c r="U543" s="613">
        <f t="shared" si="262"/>
        <v>2705232.7212260119</v>
      </c>
      <c r="V543" s="613">
        <f t="shared" si="262"/>
        <v>2274575.1521261623</v>
      </c>
      <c r="W543" s="613">
        <f t="shared" si="262"/>
        <v>1843917.583026313</v>
      </c>
      <c r="X543" s="613">
        <f t="shared" si="262"/>
        <v>1413260.0139264637</v>
      </c>
      <c r="Y543" s="613">
        <f t="shared" si="262"/>
        <v>982602.44482661434</v>
      </c>
      <c r="Z543" s="613">
        <f t="shared" si="262"/>
        <v>551944.87572676491</v>
      </c>
      <c r="AA543" s="613">
        <f t="shared" si="262"/>
        <v>121287.30662691555</v>
      </c>
      <c r="AB543" s="613">
        <f t="shared" si="262"/>
        <v>0</v>
      </c>
      <c r="AC543" s="613">
        <f t="shared" si="261"/>
        <v>0</v>
      </c>
      <c r="AD543" s="777">
        <f t="shared" si="261"/>
        <v>79105866.497481197</v>
      </c>
    </row>
    <row r="544" spans="2:30" ht="14.65" thickTop="1" x14ac:dyDescent="0.45">
      <c r="B544" s="626" t="str">
        <f t="shared" si="248"/>
        <v>Rent</v>
      </c>
      <c r="I544" s="630"/>
      <c r="J544" s="630"/>
      <c r="K544" s="630"/>
      <c r="L544" s="630"/>
      <c r="M544" s="630"/>
      <c r="N544" s="630"/>
      <c r="O544" s="630"/>
      <c r="P544" s="630"/>
      <c r="Q544" s="630"/>
      <c r="R544" s="630"/>
      <c r="S544" s="630"/>
      <c r="T544" s="630"/>
      <c r="U544" s="630"/>
      <c r="V544" s="630"/>
      <c r="W544" s="630"/>
      <c r="X544" s="630"/>
      <c r="Y544" s="630"/>
      <c r="Z544" s="630"/>
      <c r="AA544" s="630"/>
      <c r="AB544" s="630"/>
      <c r="AC544" s="630"/>
    </row>
    <row r="545" spans="2:29" x14ac:dyDescent="0.45">
      <c r="B545" s="626" t="str">
        <f t="shared" si="248"/>
        <v>Rent</v>
      </c>
      <c r="I545" s="630"/>
      <c r="J545" s="630"/>
      <c r="K545" s="630"/>
      <c r="L545" s="630"/>
      <c r="M545" s="630"/>
      <c r="N545" s="630"/>
      <c r="O545" s="630"/>
      <c r="P545" s="630"/>
      <c r="Q545" s="630"/>
      <c r="R545" s="630"/>
      <c r="S545" s="630"/>
      <c r="T545" s="630"/>
      <c r="U545" s="630"/>
      <c r="V545" s="630"/>
      <c r="W545" s="630"/>
      <c r="X545" s="630"/>
      <c r="Y545" s="630"/>
      <c r="Z545" s="630"/>
      <c r="AA545" s="630"/>
      <c r="AB545" s="630"/>
      <c r="AC545" s="630"/>
    </row>
    <row r="546" spans="2:29" x14ac:dyDescent="0.45">
      <c r="B546" s="626" t="str">
        <f t="shared" si="248"/>
        <v>Rent</v>
      </c>
      <c r="C546" s="451">
        <f>C537+1</f>
        <v>57</v>
      </c>
      <c r="D546" s="591" t="s">
        <v>1064</v>
      </c>
    </row>
    <row r="547" spans="2:29" x14ac:dyDescent="0.45">
      <c r="B547" s="626" t="str">
        <f t="shared" si="248"/>
        <v>Rent</v>
      </c>
      <c r="D547" s="583" t="str">
        <f>'12. Inputs-Props &amp; Debtors 2016'!C$77</f>
        <v>EC</v>
      </c>
      <c r="F547" s="615"/>
      <c r="H547" s="615">
        <f>H538/H520</f>
        <v>3809.626666666667</v>
      </c>
      <c r="I547" s="615">
        <f t="shared" ref="I547:O547" si="263">IF(I520&gt;0,H547*(1+I529),0)</f>
        <v>3809.626666666667</v>
      </c>
      <c r="J547" s="615">
        <f t="shared" si="263"/>
        <v>3809.626666666667</v>
      </c>
      <c r="K547" s="615">
        <f t="shared" si="263"/>
        <v>3809.626666666667</v>
      </c>
      <c r="L547" s="615">
        <f t="shared" si="263"/>
        <v>3809.626666666667</v>
      </c>
      <c r="M547" s="615">
        <f t="shared" si="263"/>
        <v>3809.626666666667</v>
      </c>
      <c r="N547" s="615">
        <f t="shared" si="263"/>
        <v>3809.626666666667</v>
      </c>
      <c r="O547" s="615">
        <f t="shared" si="263"/>
        <v>3809.626666666667</v>
      </c>
      <c r="P547" s="615">
        <f t="shared" ref="P547:AC547" si="264">IF(O520&gt;0,O547*(1+P529),0)</f>
        <v>3809.626666666667</v>
      </c>
      <c r="Q547" s="615">
        <f t="shared" si="264"/>
        <v>3809.626666666667</v>
      </c>
      <c r="R547" s="615">
        <f t="shared" si="264"/>
        <v>3809.626666666667</v>
      </c>
      <c r="S547" s="615">
        <f t="shared" si="264"/>
        <v>3809.626666666667</v>
      </c>
      <c r="T547" s="615">
        <f t="shared" si="264"/>
        <v>3809.626666666667</v>
      </c>
      <c r="U547" s="615">
        <f t="shared" si="264"/>
        <v>3809.626666666667</v>
      </c>
      <c r="V547" s="615">
        <f t="shared" si="264"/>
        <v>3809.626666666667</v>
      </c>
      <c r="W547" s="615">
        <f t="shared" si="264"/>
        <v>3809.626666666667</v>
      </c>
      <c r="X547" s="615">
        <f t="shared" si="264"/>
        <v>3809.626666666667</v>
      </c>
      <c r="Y547" s="615">
        <f t="shared" si="264"/>
        <v>3809.626666666667</v>
      </c>
      <c r="Z547" s="615">
        <f t="shared" si="264"/>
        <v>3809.626666666667</v>
      </c>
      <c r="AA547" s="615">
        <f t="shared" si="264"/>
        <v>3809.626666666667</v>
      </c>
      <c r="AB547" s="615">
        <f t="shared" si="264"/>
        <v>3809.626666666667</v>
      </c>
      <c r="AC547" s="615">
        <f t="shared" si="264"/>
        <v>0</v>
      </c>
    </row>
    <row r="548" spans="2:29" x14ac:dyDescent="0.45">
      <c r="B548" s="626" t="str">
        <f t="shared" si="248"/>
        <v>Rent</v>
      </c>
      <c r="D548" s="583" t="str">
        <f>'12. Inputs-Props &amp; Debtors 2016'!C$78</f>
        <v>FS</v>
      </c>
      <c r="F548" s="615"/>
      <c r="H548" s="615">
        <f>H539/H521</f>
        <v>2698.7024999999999</v>
      </c>
      <c r="I548" s="615">
        <f t="shared" ref="I548:M551" si="265">IF(I521&gt;0,H548*(1+I530),0)</f>
        <v>2698.7024999999999</v>
      </c>
      <c r="J548" s="615">
        <f t="shared" si="265"/>
        <v>2698.7024999999999</v>
      </c>
      <c r="K548" s="615">
        <f t="shared" si="265"/>
        <v>2698.7024999999999</v>
      </c>
      <c r="L548" s="615">
        <f t="shared" si="265"/>
        <v>2698.7024999999999</v>
      </c>
      <c r="M548" s="615">
        <f t="shared" si="265"/>
        <v>2698.7024999999999</v>
      </c>
      <c r="N548" s="615">
        <f t="shared" ref="N548:O551" si="266">IF(N521&gt;0,M548*(1+N530),0)</f>
        <v>2698.7024999999999</v>
      </c>
      <c r="O548" s="615">
        <f t="shared" si="266"/>
        <v>2698.7024999999999</v>
      </c>
      <c r="P548" s="615">
        <f t="shared" ref="P548:AC548" si="267">IF(O521&gt;0,O548*(1+P530),0)</f>
        <v>2698.7024999999999</v>
      </c>
      <c r="Q548" s="615">
        <f t="shared" si="267"/>
        <v>2698.7024999999999</v>
      </c>
      <c r="R548" s="615">
        <f t="shared" si="267"/>
        <v>2698.7024999999999</v>
      </c>
      <c r="S548" s="615">
        <f t="shared" si="267"/>
        <v>2698.7024999999999</v>
      </c>
      <c r="T548" s="615">
        <f t="shared" si="267"/>
        <v>2698.7024999999999</v>
      </c>
      <c r="U548" s="615">
        <f t="shared" si="267"/>
        <v>2698.7024999999999</v>
      </c>
      <c r="V548" s="615">
        <f t="shared" si="267"/>
        <v>2698.7024999999999</v>
      </c>
      <c r="W548" s="615">
        <f t="shared" si="267"/>
        <v>2698.7024999999999</v>
      </c>
      <c r="X548" s="615">
        <f t="shared" si="267"/>
        <v>2698.7024999999999</v>
      </c>
      <c r="Y548" s="615">
        <f t="shared" si="267"/>
        <v>2698.7024999999999</v>
      </c>
      <c r="Z548" s="615">
        <f t="shared" si="267"/>
        <v>2698.7024999999999</v>
      </c>
      <c r="AA548" s="615">
        <f t="shared" si="267"/>
        <v>2698.7024999999999</v>
      </c>
      <c r="AB548" s="615">
        <f t="shared" si="267"/>
        <v>2698.7024999999999</v>
      </c>
      <c r="AC548" s="615">
        <f t="shared" si="267"/>
        <v>0</v>
      </c>
    </row>
    <row r="549" spans="2:29" x14ac:dyDescent="0.45">
      <c r="B549" s="626" t="str">
        <f t="shared" si="248"/>
        <v>Rent</v>
      </c>
      <c r="D549" s="583" t="str">
        <f>'12. Inputs-Props &amp; Debtors 2016'!C$79</f>
        <v>Gau</v>
      </c>
      <c r="F549" s="615"/>
      <c r="H549" s="615">
        <f>H540/H522</f>
        <v>1072.6019362455727</v>
      </c>
      <c r="I549" s="615">
        <f t="shared" si="265"/>
        <v>1072.6019362455727</v>
      </c>
      <c r="J549" s="615">
        <f t="shared" si="265"/>
        <v>1072.6019362455727</v>
      </c>
      <c r="K549" s="615">
        <f t="shared" si="265"/>
        <v>1072.6019362455727</v>
      </c>
      <c r="L549" s="615">
        <f t="shared" si="265"/>
        <v>1072.6019362455727</v>
      </c>
      <c r="M549" s="615">
        <f t="shared" si="265"/>
        <v>1072.6019362455727</v>
      </c>
      <c r="N549" s="615">
        <f t="shared" si="266"/>
        <v>1072.6019362455727</v>
      </c>
      <c r="O549" s="615">
        <f t="shared" si="266"/>
        <v>1072.6019362455727</v>
      </c>
      <c r="P549" s="615">
        <f t="shared" ref="P549:AC549" si="268">IF(O522&gt;0,O549*(1+P531),0)</f>
        <v>1072.6019362455727</v>
      </c>
      <c r="Q549" s="615">
        <f t="shared" si="268"/>
        <v>1072.6019362455727</v>
      </c>
      <c r="R549" s="615">
        <f t="shared" si="268"/>
        <v>1072.6019362455727</v>
      </c>
      <c r="S549" s="615">
        <f t="shared" si="268"/>
        <v>1072.6019362455727</v>
      </c>
      <c r="T549" s="615">
        <f t="shared" si="268"/>
        <v>1072.6019362455727</v>
      </c>
      <c r="U549" s="615">
        <f t="shared" si="268"/>
        <v>1072.6019362455727</v>
      </c>
      <c r="V549" s="615">
        <f t="shared" si="268"/>
        <v>1072.6019362455727</v>
      </c>
      <c r="W549" s="615">
        <f t="shared" si="268"/>
        <v>1072.6019362455727</v>
      </c>
      <c r="X549" s="615">
        <f t="shared" si="268"/>
        <v>1072.6019362455727</v>
      </c>
      <c r="Y549" s="615">
        <f t="shared" si="268"/>
        <v>1072.6019362455727</v>
      </c>
      <c r="Z549" s="615">
        <f t="shared" si="268"/>
        <v>1072.6019362455727</v>
      </c>
      <c r="AA549" s="615">
        <f t="shared" si="268"/>
        <v>1072.6019362455727</v>
      </c>
      <c r="AB549" s="615">
        <f t="shared" si="268"/>
        <v>1072.6019362455727</v>
      </c>
      <c r="AC549" s="615">
        <f t="shared" si="268"/>
        <v>0</v>
      </c>
    </row>
    <row r="550" spans="2:29" x14ac:dyDescent="0.45">
      <c r="B550" s="626" t="str">
        <f t="shared" si="248"/>
        <v>Rent</v>
      </c>
      <c r="D550" s="583" t="str">
        <f>'12. Inputs-Props &amp; Debtors 2016'!C$80</f>
        <v>KZN</v>
      </c>
      <c r="F550" s="615"/>
      <c r="H550" s="615">
        <f>H541/H523</f>
        <v>1506.6110963714395</v>
      </c>
      <c r="I550" s="615">
        <f t="shared" si="265"/>
        <v>1506.6110963714395</v>
      </c>
      <c r="J550" s="615">
        <f t="shared" si="265"/>
        <v>1506.6110963714395</v>
      </c>
      <c r="K550" s="615">
        <f t="shared" si="265"/>
        <v>1506.6110963714395</v>
      </c>
      <c r="L550" s="615">
        <f t="shared" si="265"/>
        <v>1506.6110963714395</v>
      </c>
      <c r="M550" s="615">
        <f t="shared" si="265"/>
        <v>1506.6110963714395</v>
      </c>
      <c r="N550" s="615">
        <f t="shared" si="266"/>
        <v>1506.6110963714395</v>
      </c>
      <c r="O550" s="615">
        <f t="shared" si="266"/>
        <v>1506.6110963714395</v>
      </c>
      <c r="P550" s="615">
        <f t="shared" ref="P550:AC550" si="269">IF(O523&gt;0,O550*(1+P532),0)</f>
        <v>1506.6110963714395</v>
      </c>
      <c r="Q550" s="615">
        <f t="shared" si="269"/>
        <v>1506.6110963714395</v>
      </c>
      <c r="R550" s="615">
        <f t="shared" si="269"/>
        <v>1506.6110963714395</v>
      </c>
      <c r="S550" s="615">
        <f t="shared" si="269"/>
        <v>1506.6110963714395</v>
      </c>
      <c r="T550" s="615">
        <f t="shared" si="269"/>
        <v>1506.6110963714395</v>
      </c>
      <c r="U550" s="615">
        <f t="shared" si="269"/>
        <v>1506.6110963714395</v>
      </c>
      <c r="V550" s="615">
        <f t="shared" si="269"/>
        <v>1506.6110963714395</v>
      </c>
      <c r="W550" s="615">
        <f t="shared" si="269"/>
        <v>1506.6110963714395</v>
      </c>
      <c r="X550" s="615">
        <f t="shared" si="269"/>
        <v>1506.6110963714395</v>
      </c>
      <c r="Y550" s="615">
        <f t="shared" si="269"/>
        <v>1506.6110963714395</v>
      </c>
      <c r="Z550" s="615">
        <f t="shared" si="269"/>
        <v>1506.6110963714395</v>
      </c>
      <c r="AA550" s="615">
        <f t="shared" si="269"/>
        <v>1506.6110963714395</v>
      </c>
      <c r="AB550" s="615">
        <f t="shared" si="269"/>
        <v>1506.6110963714395</v>
      </c>
      <c r="AC550" s="615">
        <f t="shared" si="269"/>
        <v>0</v>
      </c>
    </row>
    <row r="551" spans="2:29" x14ac:dyDescent="0.45">
      <c r="B551" s="626" t="str">
        <f t="shared" si="248"/>
        <v>Rent</v>
      </c>
      <c r="D551" s="583" t="str">
        <f>'12. Inputs-Props &amp; Debtors 2016'!C$81</f>
        <v>WC</v>
      </c>
      <c r="F551" s="615"/>
      <c r="H551" s="615">
        <f>H542/H524</f>
        <v>7306.6140784313748</v>
      </c>
      <c r="I551" s="615">
        <f t="shared" si="265"/>
        <v>7306.6140784313748</v>
      </c>
      <c r="J551" s="615">
        <f t="shared" si="265"/>
        <v>7306.6140784313748</v>
      </c>
      <c r="K551" s="615">
        <f t="shared" si="265"/>
        <v>7306.6140784313748</v>
      </c>
      <c r="L551" s="615">
        <f t="shared" si="265"/>
        <v>7306.6140784313748</v>
      </c>
      <c r="M551" s="615">
        <f t="shared" si="265"/>
        <v>7306.6140784313748</v>
      </c>
      <c r="N551" s="615">
        <f t="shared" si="266"/>
        <v>7306.6140784313748</v>
      </c>
      <c r="O551" s="615">
        <f t="shared" si="266"/>
        <v>7306.6140784313748</v>
      </c>
      <c r="P551" s="615">
        <f t="shared" ref="P551:AC551" si="270">IF(O524&gt;0,O551*(1+P533),0)</f>
        <v>7306.6140784313748</v>
      </c>
      <c r="Q551" s="615">
        <f t="shared" si="270"/>
        <v>7306.6140784313748</v>
      </c>
      <c r="R551" s="615">
        <f t="shared" si="270"/>
        <v>7306.6140784313748</v>
      </c>
      <c r="S551" s="615">
        <f t="shared" si="270"/>
        <v>7306.6140784313748</v>
      </c>
      <c r="T551" s="615">
        <f t="shared" si="270"/>
        <v>7306.6140784313748</v>
      </c>
      <c r="U551" s="615">
        <f t="shared" si="270"/>
        <v>7306.6140784313748</v>
      </c>
      <c r="V551" s="615">
        <f t="shared" si="270"/>
        <v>7306.6140784313748</v>
      </c>
      <c r="W551" s="615">
        <f t="shared" si="270"/>
        <v>7306.6140784313748</v>
      </c>
      <c r="X551" s="615">
        <f t="shared" si="270"/>
        <v>7306.6140784313748</v>
      </c>
      <c r="Y551" s="615">
        <f t="shared" si="270"/>
        <v>7306.6140784313748</v>
      </c>
      <c r="Z551" s="615">
        <f t="shared" si="270"/>
        <v>7306.6140784313748</v>
      </c>
      <c r="AA551" s="615">
        <f t="shared" si="270"/>
        <v>7306.6140784313748</v>
      </c>
      <c r="AB551" s="615">
        <f t="shared" si="270"/>
        <v>7306.6140784313748</v>
      </c>
      <c r="AC551" s="615">
        <f t="shared" si="270"/>
        <v>0</v>
      </c>
    </row>
    <row r="552" spans="2:29" x14ac:dyDescent="0.45">
      <c r="B552" s="626" t="str">
        <f t="shared" si="248"/>
        <v>Rent</v>
      </c>
      <c r="D552" s="596" t="s">
        <v>1066</v>
      </c>
      <c r="H552" s="613">
        <f t="shared" ref="H552:Q552" si="271">IF(H525&gt;0,SUMPRODUCT(H547:H551,H$520:H$524)/H$525,0)</f>
        <v>2275.2705058139541</v>
      </c>
      <c r="I552" s="613">
        <f t="shared" si="271"/>
        <v>2167.8109267645373</v>
      </c>
      <c r="J552" s="613">
        <f t="shared" si="271"/>
        <v>2033.6164863252848</v>
      </c>
      <c r="K552" s="613">
        <f t="shared" si="271"/>
        <v>1917.8907035625014</v>
      </c>
      <c r="L552" s="613">
        <f t="shared" si="271"/>
        <v>1918.7028697156431</v>
      </c>
      <c r="M552" s="613">
        <f t="shared" si="271"/>
        <v>1919.6296111188535</v>
      </c>
      <c r="N552" s="613">
        <f t="shared" si="271"/>
        <v>1920.6970130708387</v>
      </c>
      <c r="O552" s="613">
        <f t="shared" si="271"/>
        <v>1921.9397295876122</v>
      </c>
      <c r="P552" s="613">
        <f t="shared" si="271"/>
        <v>1923.40481659749</v>
      </c>
      <c r="Q552" s="613">
        <f t="shared" si="271"/>
        <v>1925.157825054526</v>
      </c>
      <c r="R552" s="613">
        <f t="shared" ref="R552:AB552" si="272">IF(R525&gt;0,SUMPRODUCT(R547:R551,R$520:R$524)/R$525,0)</f>
        <v>1927.2928777847446</v>
      </c>
      <c r="S552" s="613">
        <f t="shared" si="272"/>
        <v>1929.9501403818779</v>
      </c>
      <c r="T552" s="613">
        <f t="shared" si="272"/>
        <v>1933.3478978581143</v>
      </c>
      <c r="U552" s="613">
        <f t="shared" si="272"/>
        <v>1937.8457888438484</v>
      </c>
      <c r="V552" s="613">
        <f t="shared" si="272"/>
        <v>1944.081326603558</v>
      </c>
      <c r="W552" s="613">
        <f t="shared" si="272"/>
        <v>1953.3025243922809</v>
      </c>
      <c r="X552" s="613">
        <f t="shared" si="272"/>
        <v>1968.3287102039883</v>
      </c>
      <c r="Y552" s="613">
        <f t="shared" si="272"/>
        <v>1997.1594407045006</v>
      </c>
      <c r="Z552" s="613">
        <f t="shared" si="272"/>
        <v>2074.980735814906</v>
      </c>
      <c r="AA552" s="613">
        <f t="shared" si="272"/>
        <v>3032.1826656728895</v>
      </c>
      <c r="AB552" s="613">
        <f t="shared" si="272"/>
        <v>0</v>
      </c>
      <c r="AC552" s="613">
        <f>IF(AC525&gt;0,SUMPRODUCT(AC547:AC551,AC$520:AC$524)/AC$525,0)</f>
        <v>0</v>
      </c>
    </row>
    <row r="553" spans="2:29" x14ac:dyDescent="0.45">
      <c r="B553" s="626" t="str">
        <f t="shared" si="248"/>
        <v>Rent</v>
      </c>
      <c r="I553" s="630"/>
      <c r="J553" s="630"/>
      <c r="K553" s="630"/>
      <c r="L553" s="630"/>
      <c r="M553" s="630"/>
      <c r="N553" s="630"/>
      <c r="O553" s="630"/>
      <c r="P553" s="630"/>
      <c r="Q553" s="630"/>
      <c r="R553" s="630"/>
      <c r="S553" s="630"/>
      <c r="T553" s="630"/>
      <c r="U553" s="630"/>
      <c r="V553" s="630"/>
      <c r="W553" s="630"/>
      <c r="X553" s="630"/>
      <c r="Y553" s="630"/>
      <c r="Z553" s="630"/>
      <c r="AA553" s="630"/>
      <c r="AB553" s="630"/>
      <c r="AC553" s="630"/>
    </row>
    <row r="554" spans="2:29" x14ac:dyDescent="0.45">
      <c r="B554" s="626" t="str">
        <f t="shared" si="248"/>
        <v>Rent</v>
      </c>
      <c r="I554" s="630"/>
      <c r="J554" s="630"/>
      <c r="K554" s="630"/>
      <c r="L554" s="630"/>
      <c r="M554" s="630"/>
      <c r="N554" s="630"/>
      <c r="O554" s="630"/>
      <c r="P554" s="630"/>
      <c r="Q554" s="630"/>
      <c r="R554" s="630"/>
      <c r="S554" s="630"/>
      <c r="T554" s="630"/>
      <c r="U554" s="630"/>
      <c r="V554" s="630"/>
      <c r="W554" s="630"/>
      <c r="X554" s="630"/>
      <c r="Y554" s="630"/>
      <c r="Z554" s="630"/>
      <c r="AA554" s="630"/>
      <c r="AB554" s="630"/>
      <c r="AC554" s="630"/>
    </row>
    <row r="555" spans="2:29" x14ac:dyDescent="0.45">
      <c r="B555" s="626" t="str">
        <f t="shared" si="248"/>
        <v>Rent</v>
      </c>
      <c r="C555" s="451">
        <f>C546+1</f>
        <v>58</v>
      </c>
      <c r="D555" s="591" t="s">
        <v>1065</v>
      </c>
    </row>
    <row r="556" spans="2:29" x14ac:dyDescent="0.45">
      <c r="B556" s="626" t="str">
        <f t="shared" si="248"/>
        <v>Rent</v>
      </c>
      <c r="D556" s="583" t="str">
        <f>'12. Inputs-Props &amp; Debtors 2016'!C$77</f>
        <v>EC</v>
      </c>
      <c r="F556" s="615"/>
      <c r="H556" s="631">
        <f t="shared" ref="H556:H561" si="273">H547/12</f>
        <v>317.4688888888889</v>
      </c>
      <c r="I556" s="615">
        <f t="shared" ref="I556:Q556" si="274">IF(I520&gt;0,H556*(1+I529),0)</f>
        <v>317.4688888888889</v>
      </c>
      <c r="J556" s="615">
        <f t="shared" si="274"/>
        <v>317.4688888888889</v>
      </c>
      <c r="K556" s="615">
        <f t="shared" si="274"/>
        <v>317.4688888888889</v>
      </c>
      <c r="L556" s="615">
        <f t="shared" si="274"/>
        <v>317.4688888888889</v>
      </c>
      <c r="M556" s="615">
        <f t="shared" si="274"/>
        <v>317.4688888888889</v>
      </c>
      <c r="N556" s="615">
        <f t="shared" si="274"/>
        <v>317.4688888888889</v>
      </c>
      <c r="O556" s="615">
        <f t="shared" si="274"/>
        <v>317.4688888888889</v>
      </c>
      <c r="P556" s="615">
        <f t="shared" si="274"/>
        <v>317.4688888888889</v>
      </c>
      <c r="Q556" s="615">
        <f t="shared" si="274"/>
        <v>317.4688888888889</v>
      </c>
      <c r="R556" s="615">
        <f t="shared" ref="R556:R561" si="275">IF(R520&gt;0,Q556*(1+R529),0)</f>
        <v>317.4688888888889</v>
      </c>
      <c r="S556" s="615">
        <f t="shared" ref="S556:S561" si="276">IF(S520&gt;0,R556*(1+S529),0)</f>
        <v>317.4688888888889</v>
      </c>
      <c r="T556" s="615">
        <f t="shared" ref="T556:T561" si="277">IF(T520&gt;0,S556*(1+T529),0)</f>
        <v>317.4688888888889</v>
      </c>
      <c r="U556" s="615">
        <f t="shared" ref="U556:U561" si="278">IF(U520&gt;0,T556*(1+U529),0)</f>
        <v>317.4688888888889</v>
      </c>
      <c r="V556" s="615">
        <f t="shared" ref="V556:V561" si="279">IF(V520&gt;0,U556*(1+V529),0)</f>
        <v>317.4688888888889</v>
      </c>
      <c r="W556" s="615">
        <f t="shared" ref="W556:W561" si="280">IF(W520&gt;0,V556*(1+W529),0)</f>
        <v>317.4688888888889</v>
      </c>
      <c r="X556" s="615">
        <f t="shared" ref="X556:X561" si="281">IF(X520&gt;0,W556*(1+X529),0)</f>
        <v>317.4688888888889</v>
      </c>
      <c r="Y556" s="615">
        <f t="shared" ref="Y556:Y561" si="282">IF(Y520&gt;0,X556*(1+Y529),0)</f>
        <v>317.4688888888889</v>
      </c>
      <c r="Z556" s="615">
        <f t="shared" ref="Z556:Z561" si="283">IF(Z520&gt;0,Y556*(1+Z529),0)</f>
        <v>317.4688888888889</v>
      </c>
      <c r="AA556" s="615">
        <f t="shared" ref="AA556:AA561" si="284">IF(AA520&gt;0,Z556*(1+AA529),0)</f>
        <v>317.4688888888889</v>
      </c>
      <c r="AB556" s="615">
        <f t="shared" ref="AB556:AB561" si="285">IF(AB520&gt;0,AA556*(1+AB529),0)</f>
        <v>0</v>
      </c>
      <c r="AC556" s="615">
        <f t="shared" ref="AC556:AC561" si="286">IF(AC520&gt;0,AB556*(1+AC529),0)</f>
        <v>0</v>
      </c>
    </row>
    <row r="557" spans="2:29" x14ac:dyDescent="0.45">
      <c r="B557" s="626" t="str">
        <f t="shared" si="248"/>
        <v>Rent</v>
      </c>
      <c r="D557" s="583" t="str">
        <f>'12. Inputs-Props &amp; Debtors 2016'!C$78</f>
        <v>FS</v>
      </c>
      <c r="F557" s="615"/>
      <c r="H557" s="631">
        <f t="shared" si="273"/>
        <v>224.891875</v>
      </c>
      <c r="I557" s="615">
        <f t="shared" ref="I557:Q557" si="287">IF(I521&gt;0,H557*(1+I530),0)</f>
        <v>224.891875</v>
      </c>
      <c r="J557" s="615">
        <f t="shared" si="287"/>
        <v>224.891875</v>
      </c>
      <c r="K557" s="615">
        <f t="shared" si="287"/>
        <v>224.891875</v>
      </c>
      <c r="L557" s="615">
        <f t="shared" si="287"/>
        <v>224.891875</v>
      </c>
      <c r="M557" s="615">
        <f t="shared" si="287"/>
        <v>224.891875</v>
      </c>
      <c r="N557" s="615">
        <f t="shared" si="287"/>
        <v>224.891875</v>
      </c>
      <c r="O557" s="615">
        <f t="shared" si="287"/>
        <v>224.891875</v>
      </c>
      <c r="P557" s="615">
        <f t="shared" si="287"/>
        <v>224.891875</v>
      </c>
      <c r="Q557" s="615">
        <f t="shared" si="287"/>
        <v>224.891875</v>
      </c>
      <c r="R557" s="615">
        <f t="shared" si="275"/>
        <v>224.891875</v>
      </c>
      <c r="S557" s="615">
        <f t="shared" si="276"/>
        <v>224.891875</v>
      </c>
      <c r="T557" s="615">
        <f t="shared" si="277"/>
        <v>224.891875</v>
      </c>
      <c r="U557" s="615">
        <f t="shared" si="278"/>
        <v>224.891875</v>
      </c>
      <c r="V557" s="615">
        <f t="shared" si="279"/>
        <v>224.891875</v>
      </c>
      <c r="W557" s="615">
        <f t="shared" si="280"/>
        <v>224.891875</v>
      </c>
      <c r="X557" s="615">
        <f t="shared" si="281"/>
        <v>224.891875</v>
      </c>
      <c r="Y557" s="615">
        <f t="shared" si="282"/>
        <v>224.891875</v>
      </c>
      <c r="Z557" s="615">
        <f t="shared" si="283"/>
        <v>224.891875</v>
      </c>
      <c r="AA557" s="615">
        <f t="shared" si="284"/>
        <v>224.891875</v>
      </c>
      <c r="AB557" s="615">
        <f t="shared" si="285"/>
        <v>0</v>
      </c>
      <c r="AC557" s="615">
        <f t="shared" si="286"/>
        <v>0</v>
      </c>
    </row>
    <row r="558" spans="2:29" x14ac:dyDescent="0.45">
      <c r="B558" s="626" t="str">
        <f t="shared" si="248"/>
        <v>Rent</v>
      </c>
      <c r="D558" s="583" t="str">
        <f>'12. Inputs-Props &amp; Debtors 2016'!C$79</f>
        <v>Gau</v>
      </c>
      <c r="F558" s="615"/>
      <c r="H558" s="631">
        <f t="shared" si="273"/>
        <v>89.383494687131062</v>
      </c>
      <c r="I558" s="615">
        <f t="shared" ref="I558:Q558" si="288">IF(I522&gt;0,H558*(1+I531),0)</f>
        <v>89.383494687131062</v>
      </c>
      <c r="J558" s="615">
        <f t="shared" si="288"/>
        <v>89.383494687131062</v>
      </c>
      <c r="K558" s="615">
        <f t="shared" si="288"/>
        <v>89.383494687131062</v>
      </c>
      <c r="L558" s="615">
        <f t="shared" si="288"/>
        <v>89.383494687131062</v>
      </c>
      <c r="M558" s="615">
        <f t="shared" si="288"/>
        <v>89.383494687131062</v>
      </c>
      <c r="N558" s="615">
        <f t="shared" si="288"/>
        <v>89.383494687131062</v>
      </c>
      <c r="O558" s="615">
        <f t="shared" si="288"/>
        <v>89.383494687131062</v>
      </c>
      <c r="P558" s="615">
        <f t="shared" si="288"/>
        <v>89.383494687131062</v>
      </c>
      <c r="Q558" s="615">
        <f t="shared" si="288"/>
        <v>89.383494687131062</v>
      </c>
      <c r="R558" s="615">
        <f t="shared" si="275"/>
        <v>89.383494687131062</v>
      </c>
      <c r="S558" s="615">
        <f t="shared" si="276"/>
        <v>89.383494687131062</v>
      </c>
      <c r="T558" s="615">
        <f t="shared" si="277"/>
        <v>89.383494687131062</v>
      </c>
      <c r="U558" s="615">
        <f t="shared" si="278"/>
        <v>89.383494687131062</v>
      </c>
      <c r="V558" s="615">
        <f t="shared" si="279"/>
        <v>89.383494687131062</v>
      </c>
      <c r="W558" s="615">
        <f t="shared" si="280"/>
        <v>89.383494687131062</v>
      </c>
      <c r="X558" s="615">
        <f t="shared" si="281"/>
        <v>89.383494687131062</v>
      </c>
      <c r="Y558" s="615">
        <f t="shared" si="282"/>
        <v>89.383494687131062</v>
      </c>
      <c r="Z558" s="615">
        <f t="shared" si="283"/>
        <v>89.383494687131062</v>
      </c>
      <c r="AA558" s="615">
        <f t="shared" si="284"/>
        <v>89.383494687131062</v>
      </c>
      <c r="AB558" s="615">
        <f t="shared" si="285"/>
        <v>0</v>
      </c>
      <c r="AC558" s="615">
        <f t="shared" si="286"/>
        <v>0</v>
      </c>
    </row>
    <row r="559" spans="2:29" x14ac:dyDescent="0.45">
      <c r="B559" s="626" t="str">
        <f t="shared" si="248"/>
        <v>Rent</v>
      </c>
      <c r="D559" s="583" t="str">
        <f>'12. Inputs-Props &amp; Debtors 2016'!C$80</f>
        <v>KZN</v>
      </c>
      <c r="F559" s="615"/>
      <c r="H559" s="631">
        <f t="shared" si="273"/>
        <v>125.55092469761996</v>
      </c>
      <c r="I559" s="615">
        <f t="shared" ref="I559:Q559" si="289">IF(I523&gt;0,H559*(1+I532),0)</f>
        <v>125.55092469761996</v>
      </c>
      <c r="J559" s="615">
        <f t="shared" si="289"/>
        <v>125.55092469761996</v>
      </c>
      <c r="K559" s="615">
        <f t="shared" si="289"/>
        <v>125.55092469761996</v>
      </c>
      <c r="L559" s="615">
        <f t="shared" si="289"/>
        <v>125.55092469761996</v>
      </c>
      <c r="M559" s="615">
        <f t="shared" si="289"/>
        <v>125.55092469761996</v>
      </c>
      <c r="N559" s="615">
        <f t="shared" si="289"/>
        <v>125.55092469761996</v>
      </c>
      <c r="O559" s="615">
        <f t="shared" si="289"/>
        <v>125.55092469761996</v>
      </c>
      <c r="P559" s="615">
        <f t="shared" si="289"/>
        <v>125.55092469761996</v>
      </c>
      <c r="Q559" s="615">
        <f t="shared" si="289"/>
        <v>125.55092469761996</v>
      </c>
      <c r="R559" s="615">
        <f t="shared" si="275"/>
        <v>125.55092469761996</v>
      </c>
      <c r="S559" s="615">
        <f t="shared" si="276"/>
        <v>125.55092469761996</v>
      </c>
      <c r="T559" s="615">
        <f t="shared" si="277"/>
        <v>125.55092469761996</v>
      </c>
      <c r="U559" s="615">
        <f t="shared" si="278"/>
        <v>125.55092469761996</v>
      </c>
      <c r="V559" s="615">
        <f t="shared" si="279"/>
        <v>125.55092469761996</v>
      </c>
      <c r="W559" s="615">
        <f t="shared" si="280"/>
        <v>125.55092469761996</v>
      </c>
      <c r="X559" s="615">
        <f t="shared" si="281"/>
        <v>125.55092469761996</v>
      </c>
      <c r="Y559" s="615">
        <f t="shared" si="282"/>
        <v>125.55092469761996</v>
      </c>
      <c r="Z559" s="615">
        <f t="shared" si="283"/>
        <v>125.55092469761996</v>
      </c>
      <c r="AA559" s="615">
        <f t="shared" si="284"/>
        <v>125.55092469761996</v>
      </c>
      <c r="AB559" s="615">
        <f t="shared" si="285"/>
        <v>0</v>
      </c>
      <c r="AC559" s="615">
        <f t="shared" si="286"/>
        <v>0</v>
      </c>
    </row>
    <row r="560" spans="2:29" x14ac:dyDescent="0.45">
      <c r="B560" s="626" t="str">
        <f t="shared" si="248"/>
        <v>Rent</v>
      </c>
      <c r="D560" s="583" t="str">
        <f>'12. Inputs-Props &amp; Debtors 2016'!C$81</f>
        <v>WC</v>
      </c>
      <c r="F560" s="615"/>
      <c r="H560" s="631">
        <f t="shared" si="273"/>
        <v>608.88450653594793</v>
      </c>
      <c r="I560" s="615">
        <f t="shared" ref="I560:Q560" si="290">IF(I524&gt;0,H560*(1+I533),0)</f>
        <v>608.88450653594793</v>
      </c>
      <c r="J560" s="615">
        <f t="shared" si="290"/>
        <v>608.88450653594793</v>
      </c>
      <c r="K560" s="615">
        <f t="shared" si="290"/>
        <v>608.88450653594793</v>
      </c>
      <c r="L560" s="615">
        <f t="shared" si="290"/>
        <v>608.88450653594793</v>
      </c>
      <c r="M560" s="615">
        <f t="shared" si="290"/>
        <v>608.88450653594793</v>
      </c>
      <c r="N560" s="615">
        <f t="shared" si="290"/>
        <v>608.88450653594793</v>
      </c>
      <c r="O560" s="615">
        <f t="shared" si="290"/>
        <v>608.88450653594793</v>
      </c>
      <c r="P560" s="615">
        <f t="shared" si="290"/>
        <v>608.88450653594793</v>
      </c>
      <c r="Q560" s="615">
        <f t="shared" si="290"/>
        <v>608.88450653594793</v>
      </c>
      <c r="R560" s="615">
        <f t="shared" si="275"/>
        <v>608.88450653594793</v>
      </c>
      <c r="S560" s="615">
        <f t="shared" si="276"/>
        <v>608.88450653594793</v>
      </c>
      <c r="T560" s="615">
        <f t="shared" si="277"/>
        <v>608.88450653594793</v>
      </c>
      <c r="U560" s="615">
        <f t="shared" si="278"/>
        <v>608.88450653594793</v>
      </c>
      <c r="V560" s="615">
        <f t="shared" si="279"/>
        <v>608.88450653594793</v>
      </c>
      <c r="W560" s="615">
        <f t="shared" si="280"/>
        <v>608.88450653594793</v>
      </c>
      <c r="X560" s="615">
        <f t="shared" si="281"/>
        <v>608.88450653594793</v>
      </c>
      <c r="Y560" s="615">
        <f t="shared" si="282"/>
        <v>608.88450653594793</v>
      </c>
      <c r="Z560" s="615">
        <f t="shared" si="283"/>
        <v>608.88450653594793</v>
      </c>
      <c r="AA560" s="615">
        <f t="shared" si="284"/>
        <v>608.88450653594793</v>
      </c>
      <c r="AB560" s="615">
        <f t="shared" si="285"/>
        <v>0</v>
      </c>
      <c r="AC560" s="615">
        <f t="shared" si="286"/>
        <v>0</v>
      </c>
    </row>
    <row r="561" spans="1:30" x14ac:dyDescent="0.45">
      <c r="B561" s="626" t="str">
        <f t="shared" si="248"/>
        <v>Rent</v>
      </c>
      <c r="D561" s="596" t="s">
        <v>1066</v>
      </c>
      <c r="H561" s="613">
        <f t="shared" si="273"/>
        <v>189.60587548449618</v>
      </c>
      <c r="I561" s="613">
        <f t="shared" ref="I561:Q561" si="291">IF(I525&gt;0,H561*(1+I534),0)</f>
        <v>189.60587548449618</v>
      </c>
      <c r="J561" s="613">
        <f t="shared" si="291"/>
        <v>189.60587548449618</v>
      </c>
      <c r="K561" s="613">
        <f t="shared" si="291"/>
        <v>189.60587548449618</v>
      </c>
      <c r="L561" s="613">
        <f t="shared" si="291"/>
        <v>189.60587548449618</v>
      </c>
      <c r="M561" s="613">
        <f t="shared" si="291"/>
        <v>189.60587548449618</v>
      </c>
      <c r="N561" s="613">
        <f t="shared" si="291"/>
        <v>189.60587548449618</v>
      </c>
      <c r="O561" s="613">
        <f t="shared" si="291"/>
        <v>189.60587548449618</v>
      </c>
      <c r="P561" s="613">
        <f t="shared" si="291"/>
        <v>189.60587548449618</v>
      </c>
      <c r="Q561" s="613">
        <f t="shared" si="291"/>
        <v>189.60587548449618</v>
      </c>
      <c r="R561" s="613">
        <f t="shared" si="275"/>
        <v>189.60587548449618</v>
      </c>
      <c r="S561" s="613">
        <f t="shared" si="276"/>
        <v>189.60587548449618</v>
      </c>
      <c r="T561" s="613">
        <f t="shared" si="277"/>
        <v>189.60587548449618</v>
      </c>
      <c r="U561" s="613">
        <f t="shared" si="278"/>
        <v>189.60587548449618</v>
      </c>
      <c r="V561" s="613">
        <f t="shared" si="279"/>
        <v>189.60587548449618</v>
      </c>
      <c r="W561" s="613">
        <f t="shared" si="280"/>
        <v>189.60587548449618</v>
      </c>
      <c r="X561" s="613">
        <f t="shared" si="281"/>
        <v>189.60587548449618</v>
      </c>
      <c r="Y561" s="613">
        <f t="shared" si="282"/>
        <v>189.60587548449618</v>
      </c>
      <c r="Z561" s="613">
        <f t="shared" si="283"/>
        <v>189.60587548449618</v>
      </c>
      <c r="AA561" s="613">
        <f t="shared" si="284"/>
        <v>189.60587548449618</v>
      </c>
      <c r="AB561" s="613">
        <f t="shared" si="285"/>
        <v>0</v>
      </c>
      <c r="AC561" s="613">
        <f t="shared" si="286"/>
        <v>0</v>
      </c>
    </row>
    <row r="562" spans="1:30" x14ac:dyDescent="0.45">
      <c r="B562" s="626" t="str">
        <f t="shared" si="248"/>
        <v>Rent</v>
      </c>
      <c r="I562" s="630"/>
      <c r="J562" s="630"/>
      <c r="K562" s="630"/>
      <c r="L562" s="630"/>
      <c r="M562" s="630"/>
      <c r="N562" s="630"/>
      <c r="O562" s="630"/>
      <c r="P562" s="630"/>
      <c r="Q562" s="630"/>
      <c r="R562" s="630"/>
      <c r="S562" s="630"/>
      <c r="T562" s="630"/>
      <c r="U562" s="630"/>
      <c r="V562" s="630"/>
      <c r="W562" s="630"/>
      <c r="X562" s="630"/>
      <c r="Y562" s="630"/>
      <c r="Z562" s="630"/>
      <c r="AA562" s="630"/>
      <c r="AB562" s="630"/>
      <c r="AC562" s="630"/>
    </row>
    <row r="563" spans="1:30" x14ac:dyDescent="0.45">
      <c r="B563" s="626" t="str">
        <f t="shared" si="248"/>
        <v>Rent</v>
      </c>
      <c r="I563" s="630"/>
      <c r="J563" s="630"/>
      <c r="K563" s="630"/>
      <c r="L563" s="630"/>
      <c r="M563" s="630"/>
      <c r="N563" s="630"/>
      <c r="O563" s="630"/>
      <c r="P563" s="630"/>
      <c r="Q563" s="630"/>
      <c r="R563" s="630"/>
      <c r="S563" s="630"/>
      <c r="T563" s="630"/>
      <c r="U563" s="630"/>
      <c r="V563" s="630"/>
      <c r="W563" s="630"/>
      <c r="X563" s="630"/>
      <c r="Y563" s="630"/>
      <c r="Z563" s="630"/>
      <c r="AA563" s="630"/>
      <c r="AB563" s="630"/>
      <c r="AC563" s="630"/>
    </row>
    <row r="564" spans="1:30" x14ac:dyDescent="0.45">
      <c r="A564" s="643"/>
      <c r="B564" s="626" t="str">
        <f t="shared" si="248"/>
        <v>Rent</v>
      </c>
      <c r="C564" s="451">
        <f>C555+1</f>
        <v>59</v>
      </c>
      <c r="D564" s="591" t="s">
        <v>1062</v>
      </c>
      <c r="I564" s="630"/>
      <c r="J564" s="630"/>
      <c r="K564" s="630"/>
      <c r="L564" s="846" t="s">
        <v>1441</v>
      </c>
      <c r="M564" s="630"/>
      <c r="N564" s="630"/>
      <c r="O564" s="630"/>
      <c r="P564" s="630"/>
      <c r="Q564" s="630"/>
      <c r="R564" s="630"/>
      <c r="S564" s="630"/>
      <c r="T564" s="630"/>
      <c r="U564" s="630"/>
      <c r="V564" s="630"/>
      <c r="W564" s="630"/>
      <c r="X564" s="630"/>
      <c r="Y564" s="630"/>
      <c r="Z564" s="630"/>
      <c r="AA564" s="630"/>
      <c r="AB564" s="630"/>
      <c r="AC564" s="630"/>
    </row>
    <row r="565" spans="1:30" x14ac:dyDescent="0.45">
      <c r="B565" s="626" t="str">
        <f t="shared" si="248"/>
        <v>Rent</v>
      </c>
      <c r="D565" s="583" t="str">
        <f>'12. Inputs-Props &amp; Debtors 2016'!C$77</f>
        <v>EC</v>
      </c>
      <c r="H565" s="632">
        <f>H574/H538</f>
        <v>0.64104385848248757</v>
      </c>
      <c r="I565" s="600">
        <f>H565</f>
        <v>0.64104385848248757</v>
      </c>
      <c r="J565" s="600">
        <f>I565</f>
        <v>0.64104385848248757</v>
      </c>
      <c r="K565" s="600">
        <f>J565</f>
        <v>0.64104385848248757</v>
      </c>
      <c r="L565" s="632">
        <f>IF('7. Scenario Detailed'!$G$12='5a. Dashboard 2'!$D$8,'5a. Dashboard 2'!$D10,IF('7. Scenario Detailed'!$G$12='5a. Dashboard 2'!$E$8,'5a. Dashboard 2'!$E10,0))</f>
        <v>0.64104385848248757</v>
      </c>
      <c r="M565" s="600">
        <f>IF(M520&gt;0,L565,0)</f>
        <v>0.64104385848248757</v>
      </c>
      <c r="N565" s="600">
        <f t="shared" ref="N565:AC565" si="292">IF(N520&gt;0,M565,0)</f>
        <v>0.64104385848248757</v>
      </c>
      <c r="O565" s="600">
        <f t="shared" si="292"/>
        <v>0.64104385848248757</v>
      </c>
      <c r="P565" s="600">
        <f t="shared" si="292"/>
        <v>0.64104385848248757</v>
      </c>
      <c r="Q565" s="600">
        <f t="shared" si="292"/>
        <v>0.64104385848248757</v>
      </c>
      <c r="R565" s="600">
        <f t="shared" si="292"/>
        <v>0.64104385848248757</v>
      </c>
      <c r="S565" s="600">
        <f t="shared" si="292"/>
        <v>0.64104385848248757</v>
      </c>
      <c r="T565" s="600">
        <f t="shared" si="292"/>
        <v>0.64104385848248757</v>
      </c>
      <c r="U565" s="600">
        <f t="shared" si="292"/>
        <v>0.64104385848248757</v>
      </c>
      <c r="V565" s="600">
        <f t="shared" si="292"/>
        <v>0.64104385848248757</v>
      </c>
      <c r="W565" s="600">
        <f t="shared" si="292"/>
        <v>0.64104385848248757</v>
      </c>
      <c r="X565" s="600">
        <f t="shared" si="292"/>
        <v>0.64104385848248757</v>
      </c>
      <c r="Y565" s="600">
        <f t="shared" si="292"/>
        <v>0.64104385848248757</v>
      </c>
      <c r="Z565" s="600">
        <f t="shared" si="292"/>
        <v>0.64104385848248757</v>
      </c>
      <c r="AA565" s="600">
        <f t="shared" si="292"/>
        <v>0.64104385848248757</v>
      </c>
      <c r="AB565" s="600">
        <f t="shared" si="292"/>
        <v>0</v>
      </c>
      <c r="AC565" s="600">
        <f t="shared" si="292"/>
        <v>0</v>
      </c>
    </row>
    <row r="566" spans="1:30" x14ac:dyDescent="0.45">
      <c r="B566" s="626" t="str">
        <f t="shared" si="248"/>
        <v>Rent</v>
      </c>
      <c r="D566" s="583" t="str">
        <f>'12. Inputs-Props &amp; Debtors 2016'!C$78</f>
        <v>FS</v>
      </c>
      <c r="H566" s="632">
        <f>H575/H539</f>
        <v>0</v>
      </c>
      <c r="I566" s="600">
        <f t="shared" ref="I566:K569" si="293">H566</f>
        <v>0</v>
      </c>
      <c r="J566" s="600">
        <f t="shared" si="293"/>
        <v>0</v>
      </c>
      <c r="K566" s="600">
        <f t="shared" si="293"/>
        <v>0</v>
      </c>
      <c r="L566" s="632">
        <f>IF('7. Scenario Detailed'!$G$12='5a. Dashboard 2'!$D$8,'5a. Dashboard 2'!$D11,IF('7. Scenario Detailed'!$G$12='5a. Dashboard 2'!$E$8,'5a. Dashboard 2'!$E11,0))</f>
        <v>0</v>
      </c>
      <c r="M566" s="600">
        <f t="shared" ref="M566:AC566" si="294">IF(M521&gt;0,L566,0)</f>
        <v>0</v>
      </c>
      <c r="N566" s="600">
        <f t="shared" si="294"/>
        <v>0</v>
      </c>
      <c r="O566" s="600">
        <f t="shared" si="294"/>
        <v>0</v>
      </c>
      <c r="P566" s="600">
        <f t="shared" si="294"/>
        <v>0</v>
      </c>
      <c r="Q566" s="600">
        <f t="shared" si="294"/>
        <v>0</v>
      </c>
      <c r="R566" s="600">
        <f t="shared" si="294"/>
        <v>0</v>
      </c>
      <c r="S566" s="600">
        <f t="shared" si="294"/>
        <v>0</v>
      </c>
      <c r="T566" s="600">
        <f t="shared" si="294"/>
        <v>0</v>
      </c>
      <c r="U566" s="600">
        <f t="shared" si="294"/>
        <v>0</v>
      </c>
      <c r="V566" s="600">
        <f t="shared" si="294"/>
        <v>0</v>
      </c>
      <c r="W566" s="600">
        <f t="shared" si="294"/>
        <v>0</v>
      </c>
      <c r="X566" s="600">
        <f t="shared" si="294"/>
        <v>0</v>
      </c>
      <c r="Y566" s="600">
        <f t="shared" si="294"/>
        <v>0</v>
      </c>
      <c r="Z566" s="600">
        <f t="shared" si="294"/>
        <v>0</v>
      </c>
      <c r="AA566" s="600">
        <f t="shared" si="294"/>
        <v>0</v>
      </c>
      <c r="AB566" s="600">
        <f t="shared" si="294"/>
        <v>0</v>
      </c>
      <c r="AC566" s="600">
        <f t="shared" si="294"/>
        <v>0</v>
      </c>
    </row>
    <row r="567" spans="1:30" x14ac:dyDescent="0.45">
      <c r="B567" s="626" t="str">
        <f t="shared" si="248"/>
        <v>Rent</v>
      </c>
      <c r="D567" s="583" t="str">
        <f>'12. Inputs-Props &amp; Debtors 2016'!C$79</f>
        <v>Gau</v>
      </c>
      <c r="H567" s="632">
        <f>H576/H540</f>
        <v>3.7905623003453709E-2</v>
      </c>
      <c r="I567" s="600">
        <f t="shared" si="293"/>
        <v>3.7905623003453709E-2</v>
      </c>
      <c r="J567" s="600">
        <f t="shared" si="293"/>
        <v>3.7905623003453709E-2</v>
      </c>
      <c r="K567" s="600">
        <f t="shared" si="293"/>
        <v>3.7905623003453709E-2</v>
      </c>
      <c r="L567" s="632">
        <f>IF('7. Scenario Detailed'!$G$12='5a. Dashboard 2'!$D$8,'5a. Dashboard 2'!$D12,IF('7. Scenario Detailed'!$G$12='5a. Dashboard 2'!$E$8,'5a. Dashboard 2'!$E12,0))</f>
        <v>3.7905623003453709E-2</v>
      </c>
      <c r="M567" s="600">
        <f t="shared" ref="M567:AC567" si="295">IF(M522&gt;0,L567,0)</f>
        <v>3.7905623003453709E-2</v>
      </c>
      <c r="N567" s="600">
        <f t="shared" si="295"/>
        <v>3.7905623003453709E-2</v>
      </c>
      <c r="O567" s="600">
        <f t="shared" si="295"/>
        <v>3.7905623003453709E-2</v>
      </c>
      <c r="P567" s="600">
        <f t="shared" si="295"/>
        <v>3.7905623003453709E-2</v>
      </c>
      <c r="Q567" s="600">
        <f t="shared" si="295"/>
        <v>3.7905623003453709E-2</v>
      </c>
      <c r="R567" s="600">
        <f t="shared" si="295"/>
        <v>3.7905623003453709E-2</v>
      </c>
      <c r="S567" s="600">
        <f t="shared" si="295"/>
        <v>3.7905623003453709E-2</v>
      </c>
      <c r="T567" s="600">
        <f t="shared" si="295"/>
        <v>3.7905623003453709E-2</v>
      </c>
      <c r="U567" s="600">
        <f t="shared" si="295"/>
        <v>3.7905623003453709E-2</v>
      </c>
      <c r="V567" s="600">
        <f t="shared" si="295"/>
        <v>3.7905623003453709E-2</v>
      </c>
      <c r="W567" s="600">
        <f t="shared" si="295"/>
        <v>3.7905623003453709E-2</v>
      </c>
      <c r="X567" s="600">
        <f t="shared" si="295"/>
        <v>3.7905623003453709E-2</v>
      </c>
      <c r="Y567" s="600">
        <f t="shared" si="295"/>
        <v>3.7905623003453709E-2</v>
      </c>
      <c r="Z567" s="600">
        <f t="shared" si="295"/>
        <v>3.7905623003453709E-2</v>
      </c>
      <c r="AA567" s="600">
        <f t="shared" si="295"/>
        <v>3.7905623003453709E-2</v>
      </c>
      <c r="AB567" s="600">
        <f t="shared" si="295"/>
        <v>0</v>
      </c>
      <c r="AC567" s="600">
        <f t="shared" si="295"/>
        <v>0</v>
      </c>
    </row>
    <row r="568" spans="1:30" x14ac:dyDescent="0.45">
      <c r="B568" s="626" t="str">
        <f t="shared" si="248"/>
        <v>Rent</v>
      </c>
      <c r="D568" s="583" t="str">
        <f>'12. Inputs-Props &amp; Debtors 2016'!C$80</f>
        <v>KZN</v>
      </c>
      <c r="H568" s="632">
        <f>H577/H541</f>
        <v>0.2765409995924219</v>
      </c>
      <c r="I568" s="600">
        <f t="shared" si="293"/>
        <v>0.2765409995924219</v>
      </c>
      <c r="J568" s="600">
        <f t="shared" si="293"/>
        <v>0.2765409995924219</v>
      </c>
      <c r="K568" s="600">
        <f t="shared" si="293"/>
        <v>0.2765409995924219</v>
      </c>
      <c r="L568" s="632">
        <f>IF('7. Scenario Detailed'!$G$12='5a. Dashboard 2'!$D$8,'5a. Dashboard 2'!$D13,IF('7. Scenario Detailed'!$G$12='5a. Dashboard 2'!$E$8,'5a. Dashboard 2'!$E13,0))</f>
        <v>0.2765409995924219</v>
      </c>
      <c r="M568" s="600">
        <f t="shared" ref="M568:AC568" si="296">IF(M523&gt;0,L568,0)</f>
        <v>0.2765409995924219</v>
      </c>
      <c r="N568" s="600">
        <f t="shared" si="296"/>
        <v>0.2765409995924219</v>
      </c>
      <c r="O568" s="600">
        <f t="shared" si="296"/>
        <v>0.2765409995924219</v>
      </c>
      <c r="P568" s="600">
        <f t="shared" si="296"/>
        <v>0.2765409995924219</v>
      </c>
      <c r="Q568" s="600">
        <f t="shared" si="296"/>
        <v>0.2765409995924219</v>
      </c>
      <c r="R568" s="600">
        <f t="shared" si="296"/>
        <v>0.2765409995924219</v>
      </c>
      <c r="S568" s="600">
        <f t="shared" si="296"/>
        <v>0.2765409995924219</v>
      </c>
      <c r="T568" s="600">
        <f t="shared" si="296"/>
        <v>0.2765409995924219</v>
      </c>
      <c r="U568" s="600">
        <f t="shared" si="296"/>
        <v>0.2765409995924219</v>
      </c>
      <c r="V568" s="600">
        <f t="shared" si="296"/>
        <v>0.2765409995924219</v>
      </c>
      <c r="W568" s="600">
        <f t="shared" si="296"/>
        <v>0.2765409995924219</v>
      </c>
      <c r="X568" s="600">
        <f t="shared" si="296"/>
        <v>0.2765409995924219</v>
      </c>
      <c r="Y568" s="600">
        <f t="shared" si="296"/>
        <v>0.2765409995924219</v>
      </c>
      <c r="Z568" s="600">
        <f t="shared" si="296"/>
        <v>0.2765409995924219</v>
      </c>
      <c r="AA568" s="600">
        <f t="shared" si="296"/>
        <v>0.2765409995924219</v>
      </c>
      <c r="AB568" s="600">
        <f t="shared" si="296"/>
        <v>0</v>
      </c>
      <c r="AC568" s="600">
        <f t="shared" si="296"/>
        <v>0</v>
      </c>
    </row>
    <row r="569" spans="1:30" x14ac:dyDescent="0.45">
      <c r="B569" s="626" t="str">
        <f t="shared" si="248"/>
        <v>Rent</v>
      </c>
      <c r="D569" s="583" t="str">
        <f>'12. Inputs-Props &amp; Debtors 2016'!C$81</f>
        <v>WC</v>
      </c>
      <c r="H569" s="632">
        <f>H578/H542</f>
        <v>0.76546080658513083</v>
      </c>
      <c r="I569" s="600">
        <f t="shared" si="293"/>
        <v>0.76546080658513083</v>
      </c>
      <c r="J569" s="600">
        <f t="shared" si="293"/>
        <v>0.76546080658513083</v>
      </c>
      <c r="K569" s="600">
        <f t="shared" si="293"/>
        <v>0.76546080658513083</v>
      </c>
      <c r="L569" s="632">
        <f>IF('7. Scenario Detailed'!$G$12='5a. Dashboard 2'!$D$8,'5a. Dashboard 2'!$D14,IF('7. Scenario Detailed'!$G$12='5a. Dashboard 2'!$E$8,'5a. Dashboard 2'!$E14,0))</f>
        <v>0.76546080658513083</v>
      </c>
      <c r="M569" s="600">
        <f t="shared" ref="M569:AC569" si="297">IF(M524&gt;0,L569,0)</f>
        <v>0.76546080658513083</v>
      </c>
      <c r="N569" s="600">
        <f t="shared" si="297"/>
        <v>0.76546080658513083</v>
      </c>
      <c r="O569" s="600">
        <f t="shared" si="297"/>
        <v>0.76546080658513083</v>
      </c>
      <c r="P569" s="600">
        <f t="shared" si="297"/>
        <v>0.76546080658513083</v>
      </c>
      <c r="Q569" s="600">
        <f t="shared" si="297"/>
        <v>0.76546080658513083</v>
      </c>
      <c r="R569" s="600">
        <f t="shared" si="297"/>
        <v>0.76546080658513083</v>
      </c>
      <c r="S569" s="600">
        <f t="shared" si="297"/>
        <v>0.76546080658513083</v>
      </c>
      <c r="T569" s="600">
        <f t="shared" si="297"/>
        <v>0.76546080658513083</v>
      </c>
      <c r="U569" s="600">
        <f t="shared" si="297"/>
        <v>0.76546080658513083</v>
      </c>
      <c r="V569" s="600">
        <f t="shared" si="297"/>
        <v>0.76546080658513083</v>
      </c>
      <c r="W569" s="600">
        <f t="shared" si="297"/>
        <v>0.76546080658513083</v>
      </c>
      <c r="X569" s="600">
        <f t="shared" si="297"/>
        <v>0.76546080658513083</v>
      </c>
      <c r="Y569" s="600">
        <f t="shared" si="297"/>
        <v>0.76546080658513083</v>
      </c>
      <c r="Z569" s="600">
        <f t="shared" si="297"/>
        <v>0.76546080658513083</v>
      </c>
      <c r="AA569" s="600">
        <f t="shared" si="297"/>
        <v>0.76546080658513083</v>
      </c>
      <c r="AB569" s="600">
        <f t="shared" si="297"/>
        <v>0</v>
      </c>
      <c r="AC569" s="600">
        <f t="shared" si="297"/>
        <v>0</v>
      </c>
    </row>
    <row r="570" spans="1:30" ht="14.65" thickBot="1" x14ac:dyDescent="0.5">
      <c r="B570" s="626" t="str">
        <f t="shared" si="248"/>
        <v>Rent</v>
      </c>
      <c r="D570" s="596" t="s">
        <v>1066</v>
      </c>
      <c r="H570" s="599">
        <f t="shared" ref="H570:P570" si="298">SUMPRODUCT(H565:H569,$H$520:$H$524)/$H$525</f>
        <v>0.27446863791168158</v>
      </c>
      <c r="I570" s="599">
        <f t="shared" si="298"/>
        <v>0.27446863791168158</v>
      </c>
      <c r="J570" s="599">
        <f t="shared" si="298"/>
        <v>0.27446863791168158</v>
      </c>
      <c r="K570" s="599">
        <f t="shared" si="298"/>
        <v>0.27446863791168158</v>
      </c>
      <c r="L570" s="599">
        <f t="shared" si="298"/>
        <v>0.27446863791168158</v>
      </c>
      <c r="M570" s="599">
        <f t="shared" si="298"/>
        <v>0.27446863791168158</v>
      </c>
      <c r="N570" s="599">
        <f t="shared" si="298"/>
        <v>0.27446863791168158</v>
      </c>
      <c r="O570" s="599">
        <f t="shared" si="298"/>
        <v>0.27446863791168158</v>
      </c>
      <c r="P570" s="599">
        <f t="shared" si="298"/>
        <v>0.27446863791168158</v>
      </c>
      <c r="Q570" s="599">
        <f t="shared" ref="Q570:AB570" si="299">SUMPRODUCT(Q565:Q569,$H$520:$H$524)/$H$525</f>
        <v>0.27446863791168158</v>
      </c>
      <c r="R570" s="599">
        <f t="shared" si="299"/>
        <v>0.27446863791168158</v>
      </c>
      <c r="S570" s="599">
        <f t="shared" si="299"/>
        <v>0.27446863791168158</v>
      </c>
      <c r="T570" s="599">
        <f t="shared" si="299"/>
        <v>0.27446863791168158</v>
      </c>
      <c r="U570" s="599">
        <f t="shared" si="299"/>
        <v>0.27446863791168158</v>
      </c>
      <c r="V570" s="599">
        <f t="shared" si="299"/>
        <v>0.27446863791168158</v>
      </c>
      <c r="W570" s="599">
        <f t="shared" si="299"/>
        <v>0.27446863791168158</v>
      </c>
      <c r="X570" s="599">
        <f t="shared" si="299"/>
        <v>0.27446863791168158</v>
      </c>
      <c r="Y570" s="599">
        <f t="shared" si="299"/>
        <v>0.27446863791168158</v>
      </c>
      <c r="Z570" s="599">
        <f t="shared" si="299"/>
        <v>0.27446863791168158</v>
      </c>
      <c r="AA570" s="599">
        <f t="shared" si="299"/>
        <v>0.27446863791168158</v>
      </c>
      <c r="AB570" s="599">
        <f t="shared" si="299"/>
        <v>0</v>
      </c>
      <c r="AC570" s="599">
        <f>SUMPRODUCT(AC565:AC569,$H$520:$H$524)/$H$525</f>
        <v>0</v>
      </c>
    </row>
    <row r="571" spans="1:30" ht="14.65" thickTop="1" x14ac:dyDescent="0.45">
      <c r="B571" s="626" t="str">
        <f t="shared" si="248"/>
        <v>Rent</v>
      </c>
      <c r="I571" s="630"/>
      <c r="J571" s="630"/>
      <c r="K571" s="630"/>
      <c r="L571" s="630"/>
      <c r="M571" s="630"/>
      <c r="N571" s="630"/>
      <c r="O571" s="630"/>
      <c r="P571" s="630"/>
      <c r="Q571" s="630"/>
      <c r="R571" s="630"/>
      <c r="S571" s="630"/>
      <c r="T571" s="630"/>
      <c r="U571" s="630"/>
      <c r="V571" s="630"/>
      <c r="W571" s="630"/>
      <c r="X571" s="630"/>
      <c r="Y571" s="630"/>
      <c r="Z571" s="630"/>
      <c r="AA571" s="630"/>
      <c r="AB571" s="630"/>
      <c r="AC571" s="630"/>
    </row>
    <row r="572" spans="1:30" x14ac:dyDescent="0.45">
      <c r="B572" s="626" t="str">
        <f t="shared" si="248"/>
        <v>Rent</v>
      </c>
      <c r="I572" s="630"/>
      <c r="J572" s="630"/>
      <c r="K572" s="630"/>
      <c r="L572" s="630"/>
      <c r="M572" s="630"/>
      <c r="N572" s="630"/>
      <c r="O572" s="630"/>
      <c r="P572" s="630"/>
      <c r="Q572" s="630"/>
      <c r="R572" s="630"/>
      <c r="S572" s="630"/>
      <c r="T572" s="630"/>
      <c r="U572" s="630"/>
      <c r="V572" s="630"/>
      <c r="W572" s="630"/>
      <c r="X572" s="630"/>
      <c r="Y572" s="630"/>
      <c r="Z572" s="630"/>
      <c r="AA572" s="630"/>
      <c r="AB572" s="630"/>
      <c r="AC572" s="630"/>
    </row>
    <row r="573" spans="1:30" x14ac:dyDescent="0.45">
      <c r="B573" s="626" t="str">
        <f t="shared" si="248"/>
        <v>Rent</v>
      </c>
      <c r="C573" s="1149">
        <f>C564+1</f>
        <v>60</v>
      </c>
      <c r="D573" s="591" t="s">
        <v>1047</v>
      </c>
    </row>
    <row r="574" spans="1:30" x14ac:dyDescent="0.45">
      <c r="B574" s="626" t="str">
        <f t="shared" si="248"/>
        <v>Rent</v>
      </c>
      <c r="C574" s="1149"/>
      <c r="D574" s="583" t="str">
        <f>'12. Inputs-Props &amp; Debtors 2016'!C$77</f>
        <v>EC</v>
      </c>
      <c r="F574" s="629">
        <f>'11. Table - Expenditure Review'!I$198</f>
        <v>883643.01000000013</v>
      </c>
      <c r="G574" s="629">
        <f>'11. Table - Expenditure Review'!J$198</f>
        <v>197492.81</v>
      </c>
      <c r="H574" s="629">
        <f>'11. Table - Expenditure Review'!K$198</f>
        <v>219792.4</v>
      </c>
      <c r="I574" s="612">
        <f t="shared" ref="I574:Q574" si="300">I538*I565</f>
        <v>175833.91999999998</v>
      </c>
      <c r="J574" s="612">
        <f t="shared" si="300"/>
        <v>131875.43999999997</v>
      </c>
      <c r="K574" s="612">
        <f t="shared" si="300"/>
        <v>87916.959999999992</v>
      </c>
      <c r="L574" s="612">
        <f t="shared" si="300"/>
        <v>83032.684444444443</v>
      </c>
      <c r="M574" s="612">
        <f t="shared" si="300"/>
        <v>78148.408888888895</v>
      </c>
      <c r="N574" s="612">
        <f t="shared" si="300"/>
        <v>73264.133333333331</v>
      </c>
      <c r="O574" s="612">
        <f t="shared" si="300"/>
        <v>68379.857777777783</v>
      </c>
      <c r="P574" s="612">
        <f t="shared" si="300"/>
        <v>63495.58222222222</v>
      </c>
      <c r="Q574" s="612">
        <f t="shared" si="300"/>
        <v>58611.306666666664</v>
      </c>
      <c r="R574" s="612">
        <f t="shared" ref="R574:AB574" si="301">R538*R565</f>
        <v>53727.031111111108</v>
      </c>
      <c r="S574" s="612">
        <f t="shared" si="301"/>
        <v>48842.755555555552</v>
      </c>
      <c r="T574" s="612">
        <f t="shared" si="301"/>
        <v>43958.479999999996</v>
      </c>
      <c r="U574" s="612">
        <f t="shared" si="301"/>
        <v>39074.20444444444</v>
      </c>
      <c r="V574" s="612">
        <f t="shared" si="301"/>
        <v>34189.928888888884</v>
      </c>
      <c r="W574" s="612">
        <f t="shared" si="301"/>
        <v>29305.653333333332</v>
      </c>
      <c r="X574" s="612">
        <f t="shared" si="301"/>
        <v>24421.377777777776</v>
      </c>
      <c r="Y574" s="612">
        <f t="shared" si="301"/>
        <v>19537.102222222224</v>
      </c>
      <c r="Z574" s="612">
        <f t="shared" si="301"/>
        <v>14652.826666666666</v>
      </c>
      <c r="AA574" s="612">
        <f t="shared" si="301"/>
        <v>9768.5511111111118</v>
      </c>
      <c r="AB574" s="612">
        <f t="shared" si="301"/>
        <v>0</v>
      </c>
      <c r="AC574" s="612">
        <f>AC538*AC565</f>
        <v>0</v>
      </c>
      <c r="AD574" s="612">
        <f>SUM(I574:AC574)</f>
        <v>1138036.2044444445</v>
      </c>
    </row>
    <row r="575" spans="1:30" x14ac:dyDescent="0.45">
      <c r="B575" s="626" t="str">
        <f t="shared" si="248"/>
        <v>Rent</v>
      </c>
      <c r="C575" s="1149"/>
      <c r="D575" s="583" t="str">
        <f>'12. Inputs-Props &amp; Debtors 2016'!C$78</f>
        <v>FS</v>
      </c>
      <c r="F575" s="629">
        <f>'11. Table - Expenditure Review'!L$198</f>
        <v>8057.1</v>
      </c>
      <c r="G575" s="629">
        <f>'11. Table - Expenditure Review'!M$198</f>
        <v>4013.2</v>
      </c>
      <c r="H575" s="629">
        <f>'11. Table - Expenditure Review'!N$198</f>
        <v>0</v>
      </c>
      <c r="I575" s="612">
        <f t="shared" ref="I575:AC575" si="302">I539*I566</f>
        <v>0</v>
      </c>
      <c r="J575" s="612">
        <f t="shared" si="302"/>
        <v>0</v>
      </c>
      <c r="K575" s="612">
        <f t="shared" si="302"/>
        <v>0</v>
      </c>
      <c r="L575" s="612">
        <f t="shared" si="302"/>
        <v>0</v>
      </c>
      <c r="M575" s="612">
        <f t="shared" si="302"/>
        <v>0</v>
      </c>
      <c r="N575" s="612">
        <f t="shared" si="302"/>
        <v>0</v>
      </c>
      <c r="O575" s="612">
        <f t="shared" si="302"/>
        <v>0</v>
      </c>
      <c r="P575" s="612">
        <f t="shared" si="302"/>
        <v>0</v>
      </c>
      <c r="Q575" s="612">
        <f t="shared" si="302"/>
        <v>0</v>
      </c>
      <c r="R575" s="612">
        <f t="shared" ref="R575:AB575" si="303">R539*R566</f>
        <v>0</v>
      </c>
      <c r="S575" s="612">
        <f t="shared" si="303"/>
        <v>0</v>
      </c>
      <c r="T575" s="612">
        <f t="shared" si="303"/>
        <v>0</v>
      </c>
      <c r="U575" s="612">
        <f t="shared" si="303"/>
        <v>0</v>
      </c>
      <c r="V575" s="612">
        <f t="shared" si="303"/>
        <v>0</v>
      </c>
      <c r="W575" s="612">
        <f t="shared" si="303"/>
        <v>0</v>
      </c>
      <c r="X575" s="612">
        <f t="shared" si="303"/>
        <v>0</v>
      </c>
      <c r="Y575" s="612">
        <f t="shared" si="303"/>
        <v>0</v>
      </c>
      <c r="Z575" s="612">
        <f t="shared" si="303"/>
        <v>0</v>
      </c>
      <c r="AA575" s="612">
        <f t="shared" si="303"/>
        <v>0</v>
      </c>
      <c r="AB575" s="612">
        <f t="shared" si="303"/>
        <v>0</v>
      </c>
      <c r="AC575" s="612">
        <f t="shared" si="302"/>
        <v>0</v>
      </c>
      <c r="AD575" s="612">
        <f>SUM(I575:AC575)</f>
        <v>0</v>
      </c>
    </row>
    <row r="576" spans="1:30" x14ac:dyDescent="0.45">
      <c r="B576" s="626" t="str">
        <f t="shared" si="248"/>
        <v>Rent</v>
      </c>
      <c r="C576" s="1149"/>
      <c r="D576" s="583" t="str">
        <f>'12. Inputs-Props &amp; Debtors 2016'!C$79</f>
        <v>Gau</v>
      </c>
      <c r="F576" s="629">
        <f>'11. Table - Expenditure Review'!O$198</f>
        <v>245920.3</v>
      </c>
      <c r="G576" s="629">
        <f>'11. Table - Expenditure Review'!P$198</f>
        <v>80599.11</v>
      </c>
      <c r="H576" s="629">
        <f>'11. Table - Expenditure Review'!Q$198</f>
        <v>68874.049999999988</v>
      </c>
      <c r="I576" s="612">
        <f t="shared" ref="I576:AC576" si="304">I540*I567</f>
        <v>65418.150206611564</v>
      </c>
      <c r="J576" s="612">
        <f t="shared" si="304"/>
        <v>61962.250413223133</v>
      </c>
      <c r="K576" s="612">
        <f t="shared" si="304"/>
        <v>58506.350619834717</v>
      </c>
      <c r="L576" s="612">
        <f t="shared" si="304"/>
        <v>54887.820247933887</v>
      </c>
      <c r="M576" s="612">
        <f t="shared" si="304"/>
        <v>51269.289876033065</v>
      </c>
      <c r="N576" s="612">
        <f t="shared" si="304"/>
        <v>47650.759504132235</v>
      </c>
      <c r="O576" s="612">
        <f t="shared" si="304"/>
        <v>44032.229132231412</v>
      </c>
      <c r="P576" s="612">
        <f t="shared" si="304"/>
        <v>40413.698760330582</v>
      </c>
      <c r="Q576" s="612">
        <f t="shared" si="304"/>
        <v>36795.16838842976</v>
      </c>
      <c r="R576" s="612">
        <f t="shared" ref="R576:AB576" si="305">R540*R567</f>
        <v>33176.63801652893</v>
      </c>
      <c r="S576" s="612">
        <f t="shared" si="305"/>
        <v>29558.107644628104</v>
      </c>
      <c r="T576" s="612">
        <f t="shared" si="305"/>
        <v>25939.577272727278</v>
      </c>
      <c r="U576" s="612">
        <f t="shared" si="305"/>
        <v>22321.046900826448</v>
      </c>
      <c r="V576" s="612">
        <f t="shared" si="305"/>
        <v>18702.516528925622</v>
      </c>
      <c r="W576" s="612">
        <f t="shared" si="305"/>
        <v>15083.986157024792</v>
      </c>
      <c r="X576" s="612">
        <f t="shared" si="305"/>
        <v>11465.455785123964</v>
      </c>
      <c r="Y576" s="612">
        <f t="shared" si="305"/>
        <v>7846.925413223139</v>
      </c>
      <c r="Z576" s="612">
        <f t="shared" si="305"/>
        <v>4228.3950413223129</v>
      </c>
      <c r="AA576" s="612">
        <f t="shared" si="305"/>
        <v>609.86466942148752</v>
      </c>
      <c r="AB576" s="612">
        <f t="shared" si="305"/>
        <v>0</v>
      </c>
      <c r="AC576" s="612">
        <f t="shared" si="304"/>
        <v>0</v>
      </c>
      <c r="AD576" s="612">
        <f>SUM(I576:AC576)</f>
        <v>629868.23057851219</v>
      </c>
    </row>
    <row r="577" spans="2:30" x14ac:dyDescent="0.45">
      <c r="B577" s="626" t="str">
        <f t="shared" si="248"/>
        <v>Rent</v>
      </c>
      <c r="C577" s="1149"/>
      <c r="D577" s="583" t="str">
        <f>'12. Inputs-Props &amp; Debtors 2016'!C$80</f>
        <v>KZN</v>
      </c>
      <c r="F577" s="629">
        <f>'11. Table - Expenditure Review'!R$198</f>
        <v>841411.46</v>
      </c>
      <c r="G577" s="629">
        <f>'11. Table - Expenditure Review'!S$198</f>
        <v>925045.98</v>
      </c>
      <c r="H577" s="629">
        <f>'11. Table - Expenditure Review'!T$198</f>
        <v>1067847.6499999999</v>
      </c>
      <c r="I577" s="612">
        <f t="shared" ref="I577:AC577" si="306">I541*I568</f>
        <v>961187.87692157621</v>
      </c>
      <c r="J577" s="612">
        <f t="shared" si="306"/>
        <v>854528.10384315252</v>
      </c>
      <c r="K577" s="612">
        <f t="shared" si="306"/>
        <v>747868.33076472871</v>
      </c>
      <c r="L577" s="612">
        <f t="shared" si="306"/>
        <v>701204.68004291842</v>
      </c>
      <c r="M577" s="612">
        <f t="shared" si="306"/>
        <v>654541.02932110801</v>
      </c>
      <c r="N577" s="612">
        <f t="shared" si="306"/>
        <v>607877.37859929772</v>
      </c>
      <c r="O577" s="612">
        <f t="shared" si="306"/>
        <v>561213.72787748731</v>
      </c>
      <c r="P577" s="612">
        <f t="shared" si="306"/>
        <v>514550.07715567696</v>
      </c>
      <c r="Q577" s="612">
        <f t="shared" si="306"/>
        <v>467886.42643386655</v>
      </c>
      <c r="R577" s="612">
        <f t="shared" ref="R577:AB577" si="307">R541*R568</f>
        <v>421222.77571205614</v>
      </c>
      <c r="S577" s="612">
        <f t="shared" si="307"/>
        <v>374559.12499024568</v>
      </c>
      <c r="T577" s="612">
        <f t="shared" si="307"/>
        <v>327895.47426843533</v>
      </c>
      <c r="U577" s="612">
        <f t="shared" si="307"/>
        <v>281231.82354662498</v>
      </c>
      <c r="V577" s="612">
        <f t="shared" si="307"/>
        <v>234568.17282481462</v>
      </c>
      <c r="W577" s="612">
        <f t="shared" si="307"/>
        <v>187904.52210300427</v>
      </c>
      <c r="X577" s="612">
        <f t="shared" si="307"/>
        <v>141240.87138119392</v>
      </c>
      <c r="Y577" s="612">
        <f t="shared" si="307"/>
        <v>94577.220659383529</v>
      </c>
      <c r="Z577" s="612">
        <f t="shared" si="307"/>
        <v>47913.569937573164</v>
      </c>
      <c r="AA577" s="612">
        <f t="shared" si="307"/>
        <v>1249.9192157627781</v>
      </c>
      <c r="AB577" s="612">
        <f t="shared" si="307"/>
        <v>0</v>
      </c>
      <c r="AC577" s="612">
        <f t="shared" si="306"/>
        <v>0</v>
      </c>
      <c r="AD577" s="612">
        <f>SUM(I577:AC577)</f>
        <v>8183221.105598907</v>
      </c>
    </row>
    <row r="578" spans="2:30" x14ac:dyDescent="0.45">
      <c r="B578" s="626" t="str">
        <f t="shared" si="248"/>
        <v>Rent</v>
      </c>
      <c r="C578" s="1149"/>
      <c r="D578" s="583" t="str">
        <f>'12. Inputs-Props &amp; Debtors 2016'!C$81</f>
        <v>WC</v>
      </c>
      <c r="F578" s="629">
        <f>'11. Table - Expenditure Review'!U$198</f>
        <v>3541586.62</v>
      </c>
      <c r="G578" s="629">
        <f>'11. Table - Expenditure Review'!V$198</f>
        <v>3667686.04</v>
      </c>
      <c r="H578" s="629">
        <f>'11. Table - Expenditure Review'!W$198</f>
        <v>4278588.93</v>
      </c>
      <c r="I578" s="612">
        <f t="shared" ref="I578:AC578" si="308">I542*I569</f>
        <v>3422871.1439999989</v>
      </c>
      <c r="J578" s="612">
        <f t="shared" si="308"/>
        <v>2567153.3579999991</v>
      </c>
      <c r="K578" s="612">
        <f t="shared" si="308"/>
        <v>1923966.7868235286</v>
      </c>
      <c r="L578" s="612">
        <f t="shared" si="308"/>
        <v>1806515.3259999994</v>
      </c>
      <c r="M578" s="612">
        <f t="shared" si="308"/>
        <v>1689063.86517647</v>
      </c>
      <c r="N578" s="612">
        <f t="shared" si="308"/>
        <v>1571612.4043529406</v>
      </c>
      <c r="O578" s="612">
        <f t="shared" si="308"/>
        <v>1454160.9435294112</v>
      </c>
      <c r="P578" s="612">
        <f t="shared" si="308"/>
        <v>1336709.4827058816</v>
      </c>
      <c r="Q578" s="612">
        <f t="shared" si="308"/>
        <v>1219258.0218823524</v>
      </c>
      <c r="R578" s="612">
        <f t="shared" ref="R578:AB578" si="309">R542*R569</f>
        <v>1101806.561058823</v>
      </c>
      <c r="S578" s="612">
        <f t="shared" si="309"/>
        <v>984355.10023529385</v>
      </c>
      <c r="T578" s="612">
        <f t="shared" si="309"/>
        <v>866903.63941176445</v>
      </c>
      <c r="U578" s="612">
        <f t="shared" si="309"/>
        <v>749452.17858823505</v>
      </c>
      <c r="V578" s="612">
        <f t="shared" si="309"/>
        <v>632000.71776470565</v>
      </c>
      <c r="W578" s="612">
        <f t="shared" si="309"/>
        <v>514549.25694117625</v>
      </c>
      <c r="X578" s="612">
        <f t="shared" si="309"/>
        <v>397097.79611764691</v>
      </c>
      <c r="Y578" s="612">
        <f t="shared" si="309"/>
        <v>279646.33529411751</v>
      </c>
      <c r="Z578" s="612">
        <f t="shared" si="309"/>
        <v>162194.87447058814</v>
      </c>
      <c r="AA578" s="612">
        <f t="shared" si="309"/>
        <v>44743.413647058798</v>
      </c>
      <c r="AB578" s="612">
        <f t="shared" si="309"/>
        <v>0</v>
      </c>
      <c r="AC578" s="612">
        <f t="shared" si="308"/>
        <v>0</v>
      </c>
      <c r="AD578" s="612">
        <f>SUM(I578:AC578)</f>
        <v>22724061.205999997</v>
      </c>
    </row>
    <row r="579" spans="2:30" x14ac:dyDescent="0.45">
      <c r="B579" s="626" t="str">
        <f t="shared" si="248"/>
        <v>Rent</v>
      </c>
      <c r="C579" s="1149"/>
      <c r="D579" s="583" t="s">
        <v>11</v>
      </c>
      <c r="F579" s="613">
        <f>SUM(F574:F578)</f>
        <v>5520618.4900000002</v>
      </c>
      <c r="G579" s="613">
        <f>SUM(G574:G578)</f>
        <v>4874837.1400000006</v>
      </c>
      <c r="H579" s="613">
        <f>SUM(H574:H578)</f>
        <v>5635103.0299999993</v>
      </c>
      <c r="I579" s="613">
        <f>SUM(I574:I578)</f>
        <v>4625311.0911281873</v>
      </c>
      <c r="J579" s="613">
        <f t="shared" ref="J579:AD579" si="310">SUM(J574:J578)</f>
        <v>3615519.1522563747</v>
      </c>
      <c r="K579" s="613">
        <f t="shared" si="310"/>
        <v>2818258.4282080922</v>
      </c>
      <c r="L579" s="613">
        <f t="shared" si="310"/>
        <v>2645640.5107352962</v>
      </c>
      <c r="M579" s="613">
        <f t="shared" si="310"/>
        <v>2473022.5932625001</v>
      </c>
      <c r="N579" s="613">
        <f t="shared" si="310"/>
        <v>2300404.6757897036</v>
      </c>
      <c r="O579" s="613">
        <f t="shared" si="310"/>
        <v>2127786.7583169076</v>
      </c>
      <c r="P579" s="613">
        <f t="shared" si="310"/>
        <v>1955168.8408441113</v>
      </c>
      <c r="Q579" s="613">
        <f t="shared" si="310"/>
        <v>1782550.9233713155</v>
      </c>
      <c r="R579" s="613">
        <f t="shared" ref="R579:AB579" si="311">SUM(R574:R578)</f>
        <v>1609933.0058985192</v>
      </c>
      <c r="S579" s="613">
        <f t="shared" si="311"/>
        <v>1437315.0884257231</v>
      </c>
      <c r="T579" s="613">
        <f t="shared" si="311"/>
        <v>1264697.1709529271</v>
      </c>
      <c r="U579" s="613">
        <f t="shared" si="311"/>
        <v>1092079.2534801308</v>
      </c>
      <c r="V579" s="613">
        <f t="shared" si="311"/>
        <v>919461.33600733476</v>
      </c>
      <c r="W579" s="613">
        <f t="shared" si="311"/>
        <v>746843.41853453871</v>
      </c>
      <c r="X579" s="613">
        <f t="shared" si="311"/>
        <v>574225.50106174254</v>
      </c>
      <c r="Y579" s="613">
        <f t="shared" si="311"/>
        <v>401607.58358894638</v>
      </c>
      <c r="Z579" s="613">
        <f t="shared" si="311"/>
        <v>228989.66611615027</v>
      </c>
      <c r="AA579" s="613">
        <f t="shared" si="311"/>
        <v>56371.748643354178</v>
      </c>
      <c r="AB579" s="613">
        <f t="shared" si="311"/>
        <v>0</v>
      </c>
      <c r="AC579" s="613">
        <f t="shared" si="310"/>
        <v>0</v>
      </c>
      <c r="AD579" s="613">
        <f t="shared" si="310"/>
        <v>32675186.746621862</v>
      </c>
    </row>
    <row r="580" spans="2:30" x14ac:dyDescent="0.45">
      <c r="B580" s="626" t="str">
        <f t="shared" si="248"/>
        <v>Rent</v>
      </c>
    </row>
    <row r="581" spans="2:30" x14ac:dyDescent="0.45">
      <c r="B581" s="626" t="str">
        <f t="shared" si="248"/>
        <v>Rent</v>
      </c>
    </row>
    <row r="582" spans="2:30" x14ac:dyDescent="0.45">
      <c r="B582" s="626" t="str">
        <f t="shared" ref="B582:B667" si="312">B581</f>
        <v>Rent</v>
      </c>
      <c r="C582" s="451">
        <f>C573+1</f>
        <v>61</v>
      </c>
      <c r="D582" s="591" t="s">
        <v>1048</v>
      </c>
    </row>
    <row r="583" spans="2:30" x14ac:dyDescent="0.45">
      <c r="B583" s="626" t="str">
        <f t="shared" si="312"/>
        <v>Rent</v>
      </c>
      <c r="D583" s="583" t="str">
        <f>'12. Inputs-Props &amp; Debtors 2016'!C$77</f>
        <v>EC</v>
      </c>
      <c r="H583" s="612">
        <f t="shared" ref="H583:AC583" si="313">H538-H574</f>
        <v>123074.00000000003</v>
      </c>
      <c r="I583" s="612">
        <f t="shared" si="313"/>
        <v>98459.200000000012</v>
      </c>
      <c r="J583" s="612">
        <f t="shared" si="313"/>
        <v>73844.400000000023</v>
      </c>
      <c r="K583" s="612">
        <f t="shared" si="313"/>
        <v>49229.600000000006</v>
      </c>
      <c r="L583" s="612">
        <f t="shared" si="313"/>
        <v>46494.622222222228</v>
      </c>
      <c r="M583" s="612">
        <f t="shared" si="313"/>
        <v>43759.64444444445</v>
      </c>
      <c r="N583" s="612">
        <f t="shared" si="313"/>
        <v>41024.666666666686</v>
      </c>
      <c r="O583" s="612">
        <f t="shared" si="313"/>
        <v>38289.688888888893</v>
      </c>
      <c r="P583" s="612">
        <f t="shared" si="313"/>
        <v>35554.711111111115</v>
      </c>
      <c r="Q583" s="612">
        <f t="shared" si="313"/>
        <v>32819.733333333344</v>
      </c>
      <c r="R583" s="612">
        <f t="shared" ref="R583:AB583" si="314">R538-R574</f>
        <v>30084.755555555559</v>
      </c>
      <c r="S583" s="612">
        <f t="shared" si="314"/>
        <v>27349.777777777788</v>
      </c>
      <c r="T583" s="612">
        <f t="shared" si="314"/>
        <v>24614.800000000003</v>
      </c>
      <c r="U583" s="612">
        <f t="shared" si="314"/>
        <v>21879.822222222225</v>
      </c>
      <c r="V583" s="612">
        <f t="shared" si="314"/>
        <v>19144.844444444447</v>
      </c>
      <c r="W583" s="612">
        <f t="shared" si="314"/>
        <v>16409.866666666672</v>
      </c>
      <c r="X583" s="612">
        <f t="shared" si="314"/>
        <v>13674.888888888894</v>
      </c>
      <c r="Y583" s="612">
        <f t="shared" si="314"/>
        <v>10939.911111111112</v>
      </c>
      <c r="Z583" s="612">
        <f t="shared" si="314"/>
        <v>8204.9333333333361</v>
      </c>
      <c r="AA583" s="612">
        <f t="shared" si="314"/>
        <v>5469.9555555555562</v>
      </c>
      <c r="AB583" s="612">
        <f t="shared" si="314"/>
        <v>0</v>
      </c>
      <c r="AC583" s="612">
        <f t="shared" si="313"/>
        <v>0</v>
      </c>
      <c r="AD583" s="633">
        <f>SUM(I583:AC583)</f>
        <v>637249.82222222246</v>
      </c>
    </row>
    <row r="584" spans="2:30" x14ac:dyDescent="0.45">
      <c r="B584" s="626" t="str">
        <f t="shared" si="312"/>
        <v>Rent</v>
      </c>
      <c r="D584" s="583" t="str">
        <f>'12. Inputs-Props &amp; Debtors 2016'!C$78</f>
        <v>FS</v>
      </c>
      <c r="H584" s="612">
        <f t="shared" ref="H584:AC584" si="315">H539-H575</f>
        <v>129537.72</v>
      </c>
      <c r="I584" s="612">
        <f t="shared" si="315"/>
        <v>124140.315</v>
      </c>
      <c r="J584" s="612">
        <f t="shared" si="315"/>
        <v>118742.91</v>
      </c>
      <c r="K584" s="612">
        <f t="shared" si="315"/>
        <v>113345.50499999999</v>
      </c>
      <c r="L584" s="612">
        <f t="shared" si="315"/>
        <v>107948.09999999998</v>
      </c>
      <c r="M584" s="612">
        <f t="shared" si="315"/>
        <v>102550.69499999998</v>
      </c>
      <c r="N584" s="612">
        <f t="shared" si="315"/>
        <v>97153.289999999979</v>
      </c>
      <c r="O584" s="612">
        <f t="shared" si="315"/>
        <v>91755.88499999998</v>
      </c>
      <c r="P584" s="612">
        <f t="shared" si="315"/>
        <v>86358.479999999981</v>
      </c>
      <c r="Q584" s="612">
        <f t="shared" si="315"/>
        <v>80961.074999999983</v>
      </c>
      <c r="R584" s="612">
        <f t="shared" ref="R584:AB584" si="316">R539-R575</f>
        <v>75563.669999999984</v>
      </c>
      <c r="S584" s="612">
        <f t="shared" si="316"/>
        <v>70166.264999999985</v>
      </c>
      <c r="T584" s="612">
        <f t="shared" si="316"/>
        <v>64768.859999999986</v>
      </c>
      <c r="U584" s="612">
        <f t="shared" si="316"/>
        <v>59371.454999999987</v>
      </c>
      <c r="V584" s="612">
        <f t="shared" si="316"/>
        <v>53974.049999999981</v>
      </c>
      <c r="W584" s="612">
        <f t="shared" si="316"/>
        <v>48576.644999999982</v>
      </c>
      <c r="X584" s="612">
        <f t="shared" si="316"/>
        <v>43179.239999999983</v>
      </c>
      <c r="Y584" s="612">
        <f t="shared" si="316"/>
        <v>37781.834999999985</v>
      </c>
      <c r="Z584" s="612">
        <f t="shared" si="316"/>
        <v>32384.429999999986</v>
      </c>
      <c r="AA584" s="612">
        <f t="shared" si="316"/>
        <v>26987.024999999991</v>
      </c>
      <c r="AB584" s="612">
        <f t="shared" si="316"/>
        <v>0</v>
      </c>
      <c r="AC584" s="612">
        <f t="shared" si="315"/>
        <v>0</v>
      </c>
      <c r="AD584" s="633">
        <f>SUM(I584:AC584)</f>
        <v>1435709.7299999997</v>
      </c>
    </row>
    <row r="585" spans="2:30" x14ac:dyDescent="0.45">
      <c r="B585" s="626" t="str">
        <f t="shared" si="312"/>
        <v>Rent</v>
      </c>
      <c r="D585" s="583" t="str">
        <f>'12. Inputs-Props &amp; Debtors 2016'!C$79</f>
        <v>Gau</v>
      </c>
      <c r="H585" s="612">
        <f t="shared" ref="H585:AC585" si="317">H540-H576</f>
        <v>1748113.6300000001</v>
      </c>
      <c r="I585" s="612">
        <f t="shared" si="317"/>
        <v>1660398.365212515</v>
      </c>
      <c r="J585" s="612">
        <f t="shared" si="317"/>
        <v>1572683.1004250296</v>
      </c>
      <c r="K585" s="612">
        <f t="shared" si="317"/>
        <v>1484967.8356375447</v>
      </c>
      <c r="L585" s="612">
        <f t="shared" si="317"/>
        <v>1393124.7936835894</v>
      </c>
      <c r="M585" s="612">
        <f t="shared" si="317"/>
        <v>1301281.7517296344</v>
      </c>
      <c r="N585" s="612">
        <f t="shared" si="317"/>
        <v>1209438.7097756793</v>
      </c>
      <c r="O585" s="612">
        <f t="shared" si="317"/>
        <v>1117595.6678217242</v>
      </c>
      <c r="P585" s="612">
        <f t="shared" si="317"/>
        <v>1025752.625867769</v>
      </c>
      <c r="Q585" s="612">
        <f t="shared" si="317"/>
        <v>933909.58391381381</v>
      </c>
      <c r="R585" s="612">
        <f t="shared" ref="R585:AB585" si="318">R540-R576</f>
        <v>842066.54195985862</v>
      </c>
      <c r="S585" s="612">
        <f t="shared" si="318"/>
        <v>750223.50000590342</v>
      </c>
      <c r="T585" s="612">
        <f t="shared" si="318"/>
        <v>658380.45805194834</v>
      </c>
      <c r="U585" s="612">
        <f t="shared" si="318"/>
        <v>566537.41609799303</v>
      </c>
      <c r="V585" s="612">
        <f t="shared" si="318"/>
        <v>474694.37414403789</v>
      </c>
      <c r="W585" s="612">
        <f t="shared" si="318"/>
        <v>382851.3321900827</v>
      </c>
      <c r="X585" s="612">
        <f t="shared" si="318"/>
        <v>291008.2902361275</v>
      </c>
      <c r="Y585" s="612">
        <f t="shared" si="318"/>
        <v>199165.2482821724</v>
      </c>
      <c r="Z585" s="612">
        <f t="shared" si="318"/>
        <v>107322.20632821725</v>
      </c>
      <c r="AA585" s="612">
        <f t="shared" si="318"/>
        <v>15479.164374262102</v>
      </c>
      <c r="AB585" s="612">
        <f t="shared" si="318"/>
        <v>0</v>
      </c>
      <c r="AC585" s="612">
        <f t="shared" si="317"/>
        <v>0</v>
      </c>
      <c r="AD585" s="633">
        <f>SUM(I585:AC585)</f>
        <v>15986880.965737902</v>
      </c>
    </row>
    <row r="586" spans="2:30" x14ac:dyDescent="0.45">
      <c r="B586" s="626" t="str">
        <f t="shared" si="312"/>
        <v>Rent</v>
      </c>
      <c r="D586" s="583" t="str">
        <f>'12. Inputs-Props &amp; Debtors 2016'!C$80</f>
        <v>KZN</v>
      </c>
      <c r="H586" s="612">
        <f t="shared" ref="H586:AC586" si="319">H541-H577</f>
        <v>2793596.59</v>
      </c>
      <c r="I586" s="612">
        <f t="shared" si="319"/>
        <v>2514563.9224073356</v>
      </c>
      <c r="J586" s="612">
        <f t="shared" si="319"/>
        <v>2235531.2548146704</v>
      </c>
      <c r="K586" s="612">
        <f t="shared" si="319"/>
        <v>1956498.5872220057</v>
      </c>
      <c r="L586" s="612">
        <f t="shared" si="319"/>
        <v>1834421.7951502148</v>
      </c>
      <c r="M586" s="612">
        <f t="shared" si="319"/>
        <v>1712345.0030784239</v>
      </c>
      <c r="N586" s="612">
        <f t="shared" si="319"/>
        <v>1590268.211006633</v>
      </c>
      <c r="O586" s="612">
        <f t="shared" si="319"/>
        <v>1468191.4189348421</v>
      </c>
      <c r="P586" s="612">
        <f t="shared" si="319"/>
        <v>1346114.6268630514</v>
      </c>
      <c r="Q586" s="612">
        <f t="shared" si="319"/>
        <v>1224037.8347912603</v>
      </c>
      <c r="R586" s="612">
        <f t="shared" ref="R586:AB586" si="320">R541-R577</f>
        <v>1101961.0427194694</v>
      </c>
      <c r="S586" s="612">
        <f t="shared" si="320"/>
        <v>979884.25064767839</v>
      </c>
      <c r="T586" s="612">
        <f t="shared" si="320"/>
        <v>857807.45857588761</v>
      </c>
      <c r="U586" s="612">
        <f t="shared" si="320"/>
        <v>735730.66650409671</v>
      </c>
      <c r="V586" s="612">
        <f t="shared" si="320"/>
        <v>613653.87443230581</v>
      </c>
      <c r="W586" s="612">
        <f t="shared" si="320"/>
        <v>491577.08236051502</v>
      </c>
      <c r="X586" s="612">
        <f t="shared" si="320"/>
        <v>369500.29028872418</v>
      </c>
      <c r="Y586" s="612">
        <f t="shared" si="320"/>
        <v>247423.49821693334</v>
      </c>
      <c r="Z586" s="612">
        <f t="shared" si="320"/>
        <v>125346.70614514244</v>
      </c>
      <c r="AA586" s="612">
        <f t="shared" si="320"/>
        <v>3269.9140733515419</v>
      </c>
      <c r="AB586" s="612">
        <f t="shared" si="320"/>
        <v>0</v>
      </c>
      <c r="AC586" s="612">
        <f t="shared" si="319"/>
        <v>0</v>
      </c>
      <c r="AD586" s="633">
        <f>SUM(I586:AC586)</f>
        <v>21408127.438232541</v>
      </c>
    </row>
    <row r="587" spans="2:30" x14ac:dyDescent="0.45">
      <c r="B587" s="626" t="str">
        <f t="shared" si="312"/>
        <v>Rent</v>
      </c>
      <c r="D587" s="583" t="str">
        <f>'12. Inputs-Props &amp; Debtors 2016'!C$81</f>
        <v>WC</v>
      </c>
      <c r="H587" s="612">
        <f t="shared" ref="H587:AC587" si="321">H542-H578</f>
        <v>1310970.8400000017</v>
      </c>
      <c r="I587" s="612">
        <f t="shared" si="321"/>
        <v>1048776.6720000017</v>
      </c>
      <c r="J587" s="612">
        <f t="shared" si="321"/>
        <v>786582.50400000112</v>
      </c>
      <c r="K587" s="612">
        <f t="shared" si="321"/>
        <v>589508.4561568636</v>
      </c>
      <c r="L587" s="612">
        <f t="shared" si="321"/>
        <v>553521.02133333404</v>
      </c>
      <c r="M587" s="612">
        <f t="shared" si="321"/>
        <v>517533.58650980471</v>
      </c>
      <c r="N587" s="612">
        <f t="shared" si="321"/>
        <v>481546.15168627515</v>
      </c>
      <c r="O587" s="612">
        <f t="shared" si="321"/>
        <v>445558.71686274558</v>
      </c>
      <c r="P587" s="612">
        <f t="shared" si="321"/>
        <v>409571.28203921625</v>
      </c>
      <c r="Q587" s="612">
        <f t="shared" si="321"/>
        <v>373583.84721568669</v>
      </c>
      <c r="R587" s="612">
        <f t="shared" ref="R587:AB587" si="322">R542-R578</f>
        <v>337596.41239215736</v>
      </c>
      <c r="S587" s="612">
        <f t="shared" si="322"/>
        <v>301608.9775686278</v>
      </c>
      <c r="T587" s="612">
        <f t="shared" si="322"/>
        <v>265621.54274509847</v>
      </c>
      <c r="U587" s="612">
        <f t="shared" si="322"/>
        <v>229634.10792156891</v>
      </c>
      <c r="V587" s="612">
        <f t="shared" si="322"/>
        <v>193646.67309803946</v>
      </c>
      <c r="W587" s="612">
        <f t="shared" si="322"/>
        <v>157659.23827451002</v>
      </c>
      <c r="X587" s="612">
        <f t="shared" si="322"/>
        <v>121671.80345098051</v>
      </c>
      <c r="Y587" s="612">
        <f t="shared" si="322"/>
        <v>85684.368627451069</v>
      </c>
      <c r="Z587" s="612">
        <f t="shared" si="322"/>
        <v>49696.933803921624</v>
      </c>
      <c r="AA587" s="612">
        <f t="shared" si="322"/>
        <v>13709.498980392171</v>
      </c>
      <c r="AB587" s="612">
        <f t="shared" si="322"/>
        <v>0</v>
      </c>
      <c r="AC587" s="612">
        <f t="shared" si="321"/>
        <v>0</v>
      </c>
      <c r="AD587" s="633">
        <f>SUM(I587:AC587)</f>
        <v>6962711.7946666768</v>
      </c>
    </row>
    <row r="588" spans="2:30" ht="14.65" thickBot="1" x14ac:dyDescent="0.5">
      <c r="B588" s="626" t="str">
        <f t="shared" si="312"/>
        <v>Rent</v>
      </c>
      <c r="D588" s="583" t="s">
        <v>11</v>
      </c>
      <c r="H588" s="613">
        <f>SUM(H583:H587)</f>
        <v>6105292.7800000012</v>
      </c>
      <c r="I588" s="613">
        <f>SUM(I583:I587)</f>
        <v>5446338.4746198524</v>
      </c>
      <c r="J588" s="613">
        <f t="shared" ref="J588:AD588" si="323">SUM(J583:J587)</f>
        <v>4787384.1692397017</v>
      </c>
      <c r="K588" s="613">
        <f t="shared" si="323"/>
        <v>4193549.9840164138</v>
      </c>
      <c r="L588" s="613">
        <f t="shared" si="323"/>
        <v>3935510.3323893603</v>
      </c>
      <c r="M588" s="613">
        <f t="shared" si="323"/>
        <v>3677470.6807623073</v>
      </c>
      <c r="N588" s="613">
        <f t="shared" si="323"/>
        <v>3419431.0291352542</v>
      </c>
      <c r="O588" s="613">
        <f t="shared" si="323"/>
        <v>3161391.3775082007</v>
      </c>
      <c r="P588" s="613">
        <f t="shared" si="323"/>
        <v>2903351.7258811477</v>
      </c>
      <c r="Q588" s="613">
        <f t="shared" si="323"/>
        <v>2645312.0742540946</v>
      </c>
      <c r="R588" s="613">
        <f t="shared" ref="R588:AB588" si="324">SUM(R583:R587)</f>
        <v>2387272.4226270411</v>
      </c>
      <c r="S588" s="613">
        <f t="shared" si="324"/>
        <v>2129232.7709999876</v>
      </c>
      <c r="T588" s="613">
        <f t="shared" si="324"/>
        <v>1871193.1193729346</v>
      </c>
      <c r="U588" s="613">
        <f t="shared" si="324"/>
        <v>1613153.4677458808</v>
      </c>
      <c r="V588" s="613">
        <f t="shared" si="324"/>
        <v>1355113.8161188276</v>
      </c>
      <c r="W588" s="613">
        <f t="shared" si="324"/>
        <v>1097074.1644917745</v>
      </c>
      <c r="X588" s="613">
        <f t="shared" si="324"/>
        <v>839034.51286472101</v>
      </c>
      <c r="Y588" s="613">
        <f t="shared" si="324"/>
        <v>580994.86123766797</v>
      </c>
      <c r="Z588" s="613">
        <f t="shared" si="324"/>
        <v>322955.20961061463</v>
      </c>
      <c r="AA588" s="613">
        <f t="shared" si="324"/>
        <v>64915.557983561361</v>
      </c>
      <c r="AB588" s="613">
        <f t="shared" si="324"/>
        <v>0</v>
      </c>
      <c r="AC588" s="613">
        <f t="shared" si="323"/>
        <v>0</v>
      </c>
      <c r="AD588" s="777">
        <f t="shared" si="323"/>
        <v>46430679.750859343</v>
      </c>
    </row>
    <row r="589" spans="2:30" ht="14.65" thickTop="1" x14ac:dyDescent="0.45">
      <c r="B589" s="626" t="str">
        <f t="shared" si="312"/>
        <v>Rent</v>
      </c>
      <c r="H589" s="612"/>
    </row>
    <row r="590" spans="2:30" x14ac:dyDescent="0.45">
      <c r="B590" s="626" t="str">
        <f t="shared" si="312"/>
        <v>Rent</v>
      </c>
      <c r="H590" s="612"/>
    </row>
    <row r="591" spans="2:30" x14ac:dyDescent="0.45">
      <c r="B591" s="626" t="str">
        <f t="shared" si="312"/>
        <v>Rent</v>
      </c>
      <c r="C591" s="451">
        <f>C582+1</f>
        <v>62</v>
      </c>
      <c r="D591" s="591" t="s">
        <v>1049</v>
      </c>
    </row>
    <row r="592" spans="2:30" x14ac:dyDescent="0.45">
      <c r="B592" s="626" t="str">
        <f t="shared" si="312"/>
        <v>Rent</v>
      </c>
      <c r="D592" s="583" t="str">
        <f>'12. Inputs-Props &amp; Debtors 2016'!C$77</f>
        <v>EC</v>
      </c>
      <c r="H592" s="612">
        <f t="shared" ref="H592:AC592" si="325">IF(H520&gt;0,H583/H520,0)</f>
        <v>1367.4888888888893</v>
      </c>
      <c r="I592" s="612">
        <f t="shared" si="325"/>
        <v>1367.4888888888891</v>
      </c>
      <c r="J592" s="612">
        <f t="shared" si="325"/>
        <v>1367.4888888888893</v>
      </c>
      <c r="K592" s="612">
        <f t="shared" si="325"/>
        <v>1367.4888888888891</v>
      </c>
      <c r="L592" s="612">
        <f t="shared" si="325"/>
        <v>1367.4888888888891</v>
      </c>
      <c r="M592" s="612">
        <f t="shared" si="325"/>
        <v>1367.4888888888891</v>
      </c>
      <c r="N592" s="612">
        <f t="shared" si="325"/>
        <v>1367.4888888888895</v>
      </c>
      <c r="O592" s="612">
        <f t="shared" si="325"/>
        <v>1367.4888888888891</v>
      </c>
      <c r="P592" s="612">
        <f t="shared" si="325"/>
        <v>1367.4888888888891</v>
      </c>
      <c r="Q592" s="612">
        <f t="shared" si="325"/>
        <v>1367.4888888888893</v>
      </c>
      <c r="R592" s="612">
        <f t="shared" ref="R592:AB592" si="326">IF(R520&gt;0,R583/R520,0)</f>
        <v>1367.4888888888891</v>
      </c>
      <c r="S592" s="612">
        <f t="shared" si="326"/>
        <v>1367.4888888888895</v>
      </c>
      <c r="T592" s="612">
        <f t="shared" si="326"/>
        <v>1367.4888888888891</v>
      </c>
      <c r="U592" s="612">
        <f t="shared" si="326"/>
        <v>1367.4888888888891</v>
      </c>
      <c r="V592" s="612">
        <f t="shared" si="326"/>
        <v>1367.4888888888891</v>
      </c>
      <c r="W592" s="612">
        <f t="shared" si="326"/>
        <v>1367.4888888888893</v>
      </c>
      <c r="X592" s="612">
        <f t="shared" si="326"/>
        <v>1367.4888888888895</v>
      </c>
      <c r="Y592" s="612">
        <f t="shared" si="326"/>
        <v>1367.4888888888891</v>
      </c>
      <c r="Z592" s="612">
        <f t="shared" si="326"/>
        <v>1367.4888888888893</v>
      </c>
      <c r="AA592" s="612">
        <f t="shared" si="326"/>
        <v>1367.4888888888891</v>
      </c>
      <c r="AB592" s="612">
        <f t="shared" si="326"/>
        <v>0</v>
      </c>
      <c r="AC592" s="612">
        <f t="shared" si="325"/>
        <v>0</v>
      </c>
      <c r="AD592" s="612"/>
    </row>
    <row r="593" spans="2:30" x14ac:dyDescent="0.45">
      <c r="B593" s="626" t="str">
        <f t="shared" si="312"/>
        <v>Rent</v>
      </c>
      <c r="D593" s="583" t="str">
        <f>'12. Inputs-Props &amp; Debtors 2016'!C$78</f>
        <v>FS</v>
      </c>
      <c r="H593" s="612">
        <f t="shared" ref="H593:AC593" si="327">IF(H521&gt;0,H584/H521,0)</f>
        <v>2698.7024999999999</v>
      </c>
      <c r="I593" s="612">
        <f t="shared" si="327"/>
        <v>2698.7024999999999</v>
      </c>
      <c r="J593" s="612">
        <f t="shared" si="327"/>
        <v>2698.7024999999999</v>
      </c>
      <c r="K593" s="612">
        <f t="shared" si="327"/>
        <v>2698.7024999999999</v>
      </c>
      <c r="L593" s="612">
        <f t="shared" si="327"/>
        <v>2698.7024999999994</v>
      </c>
      <c r="M593" s="612">
        <f t="shared" si="327"/>
        <v>2698.7024999999994</v>
      </c>
      <c r="N593" s="612">
        <f t="shared" si="327"/>
        <v>2698.7024999999994</v>
      </c>
      <c r="O593" s="612">
        <f t="shared" si="327"/>
        <v>2698.7024999999994</v>
      </c>
      <c r="P593" s="612">
        <f t="shared" si="327"/>
        <v>2698.7024999999994</v>
      </c>
      <c r="Q593" s="612">
        <f t="shared" si="327"/>
        <v>2698.7024999999994</v>
      </c>
      <c r="R593" s="612">
        <f t="shared" ref="R593:AB593" si="328">IF(R521&gt;0,R584/R521,0)</f>
        <v>2698.7024999999994</v>
      </c>
      <c r="S593" s="612">
        <f t="shared" si="328"/>
        <v>2698.7024999999994</v>
      </c>
      <c r="T593" s="612">
        <f t="shared" si="328"/>
        <v>2698.7024999999994</v>
      </c>
      <c r="U593" s="612">
        <f t="shared" si="328"/>
        <v>2698.7024999999994</v>
      </c>
      <c r="V593" s="612">
        <f t="shared" si="328"/>
        <v>2698.702499999999</v>
      </c>
      <c r="W593" s="612">
        <f t="shared" si="328"/>
        <v>2698.702499999999</v>
      </c>
      <c r="X593" s="612">
        <f t="shared" si="328"/>
        <v>2698.702499999999</v>
      </c>
      <c r="Y593" s="612">
        <f t="shared" si="328"/>
        <v>2698.702499999999</v>
      </c>
      <c r="Z593" s="612">
        <f t="shared" si="328"/>
        <v>2698.702499999999</v>
      </c>
      <c r="AA593" s="612">
        <f t="shared" si="328"/>
        <v>2698.702499999999</v>
      </c>
      <c r="AB593" s="612">
        <f t="shared" si="328"/>
        <v>0</v>
      </c>
      <c r="AC593" s="612">
        <f t="shared" si="327"/>
        <v>0</v>
      </c>
      <c r="AD593" s="612"/>
    </row>
    <row r="594" spans="2:30" x14ac:dyDescent="0.45">
      <c r="B594" s="626" t="str">
        <f t="shared" si="312"/>
        <v>Rent</v>
      </c>
      <c r="D594" s="583" t="str">
        <f>'12. Inputs-Props &amp; Debtors 2016'!C$79</f>
        <v>Gau</v>
      </c>
      <c r="H594" s="612">
        <f t="shared" ref="H594:AC594" si="329">IF(H522&gt;0,H585/H522,0)</f>
        <v>1031.9442916174735</v>
      </c>
      <c r="I594" s="612">
        <f t="shared" si="329"/>
        <v>1031.9442916174735</v>
      </c>
      <c r="J594" s="612">
        <f t="shared" si="329"/>
        <v>1031.9442916174735</v>
      </c>
      <c r="K594" s="612">
        <f t="shared" si="329"/>
        <v>1031.9442916174737</v>
      </c>
      <c r="L594" s="612">
        <f t="shared" si="329"/>
        <v>1031.9442916174737</v>
      </c>
      <c r="M594" s="612">
        <f t="shared" si="329"/>
        <v>1031.9442916174737</v>
      </c>
      <c r="N594" s="612">
        <f t="shared" si="329"/>
        <v>1031.9442916174737</v>
      </c>
      <c r="O594" s="612">
        <f t="shared" si="329"/>
        <v>1031.9442916174739</v>
      </c>
      <c r="P594" s="612">
        <f t="shared" si="329"/>
        <v>1031.9442916174739</v>
      </c>
      <c r="Q594" s="612">
        <f t="shared" si="329"/>
        <v>1031.9442916174739</v>
      </c>
      <c r="R594" s="612">
        <f t="shared" ref="R594:AB594" si="330">IF(R522&gt;0,R585/R522,0)</f>
        <v>1031.9442916174737</v>
      </c>
      <c r="S594" s="612">
        <f t="shared" si="330"/>
        <v>1031.9442916174737</v>
      </c>
      <c r="T594" s="612">
        <f t="shared" si="330"/>
        <v>1031.9442916174739</v>
      </c>
      <c r="U594" s="612">
        <f t="shared" si="330"/>
        <v>1031.9442916174737</v>
      </c>
      <c r="V594" s="612">
        <f t="shared" si="330"/>
        <v>1031.9442916174737</v>
      </c>
      <c r="W594" s="612">
        <f t="shared" si="330"/>
        <v>1031.9442916174735</v>
      </c>
      <c r="X594" s="612">
        <f t="shared" si="330"/>
        <v>1031.9442916174735</v>
      </c>
      <c r="Y594" s="612">
        <f t="shared" si="330"/>
        <v>1031.9442916174735</v>
      </c>
      <c r="Z594" s="612">
        <f t="shared" si="330"/>
        <v>1031.9442916174735</v>
      </c>
      <c r="AA594" s="612">
        <f t="shared" si="330"/>
        <v>1031.9442916174735</v>
      </c>
      <c r="AB594" s="612">
        <f t="shared" si="330"/>
        <v>0</v>
      </c>
      <c r="AC594" s="612">
        <f t="shared" si="329"/>
        <v>0</v>
      </c>
      <c r="AD594" s="612"/>
    </row>
    <row r="595" spans="2:30" x14ac:dyDescent="0.45">
      <c r="B595" s="626" t="str">
        <f t="shared" si="312"/>
        <v>Rent</v>
      </c>
      <c r="D595" s="583" t="str">
        <f>'12. Inputs-Props &amp; Debtors 2016'!C$80</f>
        <v>KZN</v>
      </c>
      <c r="H595" s="612">
        <f t="shared" ref="H595:AC595" si="331">IF(H523&gt;0,H586/H523,0)</f>
        <v>1089.971357783847</v>
      </c>
      <c r="I595" s="612">
        <f t="shared" si="331"/>
        <v>1089.9713577838472</v>
      </c>
      <c r="J595" s="612">
        <f t="shared" si="331"/>
        <v>1089.971357783847</v>
      </c>
      <c r="K595" s="612">
        <f t="shared" si="331"/>
        <v>1089.9713577838472</v>
      </c>
      <c r="L595" s="612">
        <f t="shared" si="331"/>
        <v>1089.9713577838472</v>
      </c>
      <c r="M595" s="612">
        <f t="shared" si="331"/>
        <v>1089.9713577838472</v>
      </c>
      <c r="N595" s="612">
        <f t="shared" si="331"/>
        <v>1089.9713577838472</v>
      </c>
      <c r="O595" s="612">
        <f t="shared" si="331"/>
        <v>1089.9713577838472</v>
      </c>
      <c r="P595" s="612">
        <f t="shared" si="331"/>
        <v>1089.9713577838472</v>
      </c>
      <c r="Q595" s="612">
        <f t="shared" si="331"/>
        <v>1089.9713577838472</v>
      </c>
      <c r="R595" s="612">
        <f t="shared" ref="R595:AB595" si="332">IF(R523&gt;0,R586/R523,0)</f>
        <v>1089.971357783847</v>
      </c>
      <c r="S595" s="612">
        <f t="shared" si="332"/>
        <v>1089.971357783847</v>
      </c>
      <c r="T595" s="612">
        <f t="shared" si="332"/>
        <v>1089.971357783847</v>
      </c>
      <c r="U595" s="612">
        <f t="shared" si="332"/>
        <v>1089.971357783847</v>
      </c>
      <c r="V595" s="612">
        <f t="shared" si="332"/>
        <v>1089.971357783847</v>
      </c>
      <c r="W595" s="612">
        <f t="shared" si="332"/>
        <v>1089.971357783847</v>
      </c>
      <c r="X595" s="612">
        <f t="shared" si="332"/>
        <v>1089.9713577838472</v>
      </c>
      <c r="Y595" s="612">
        <f t="shared" si="332"/>
        <v>1089.9713577838472</v>
      </c>
      <c r="Z595" s="612">
        <f t="shared" si="332"/>
        <v>1089.9713577838472</v>
      </c>
      <c r="AA595" s="612">
        <f t="shared" si="332"/>
        <v>1089.9713577838472</v>
      </c>
      <c r="AB595" s="612">
        <f t="shared" si="332"/>
        <v>0</v>
      </c>
      <c r="AC595" s="612">
        <f t="shared" si="331"/>
        <v>0</v>
      </c>
      <c r="AD595" s="612"/>
    </row>
    <row r="596" spans="2:30" x14ac:dyDescent="0.45">
      <c r="B596" s="626" t="str">
        <f t="shared" si="312"/>
        <v>Rent</v>
      </c>
      <c r="D596" s="583" t="str">
        <f>'12. Inputs-Props &amp; Debtors 2016'!C$81</f>
        <v>WC</v>
      </c>
      <c r="H596" s="612">
        <f t="shared" ref="H596:AC596" si="333">IF(H524&gt;0,H587/H524,0)</f>
        <v>1713.6873725490218</v>
      </c>
      <c r="I596" s="612">
        <f t="shared" si="333"/>
        <v>1713.6873725490223</v>
      </c>
      <c r="J596" s="612">
        <f t="shared" si="333"/>
        <v>1713.687372549022</v>
      </c>
      <c r="K596" s="612">
        <f t="shared" si="333"/>
        <v>1713.687372549022</v>
      </c>
      <c r="L596" s="612">
        <f t="shared" si="333"/>
        <v>1713.6873725490218</v>
      </c>
      <c r="M596" s="612">
        <f t="shared" si="333"/>
        <v>1713.6873725490223</v>
      </c>
      <c r="N596" s="612">
        <f t="shared" si="333"/>
        <v>1713.6873725490218</v>
      </c>
      <c r="O596" s="612">
        <f t="shared" si="333"/>
        <v>1713.6873725490216</v>
      </c>
      <c r="P596" s="612">
        <f t="shared" si="333"/>
        <v>1713.687372549022</v>
      </c>
      <c r="Q596" s="612">
        <f t="shared" si="333"/>
        <v>1713.6873725490216</v>
      </c>
      <c r="R596" s="612">
        <f t="shared" ref="R596:AB596" si="334">IF(R524&gt;0,R587/R524,0)</f>
        <v>1713.6873725490223</v>
      </c>
      <c r="S596" s="612">
        <f t="shared" si="334"/>
        <v>1713.6873725490216</v>
      </c>
      <c r="T596" s="612">
        <f t="shared" si="334"/>
        <v>1713.6873725490225</v>
      </c>
      <c r="U596" s="612">
        <f t="shared" si="334"/>
        <v>1713.6873725490218</v>
      </c>
      <c r="V596" s="612">
        <f t="shared" si="334"/>
        <v>1713.6873725490218</v>
      </c>
      <c r="W596" s="612">
        <f t="shared" si="334"/>
        <v>1713.687372549022</v>
      </c>
      <c r="X596" s="612">
        <f t="shared" si="334"/>
        <v>1713.6873725490213</v>
      </c>
      <c r="Y596" s="612">
        <f t="shared" si="334"/>
        <v>1713.6873725490213</v>
      </c>
      <c r="Z596" s="612">
        <f t="shared" si="334"/>
        <v>1713.6873725490216</v>
      </c>
      <c r="AA596" s="612">
        <f t="shared" si="334"/>
        <v>1713.6873725490213</v>
      </c>
      <c r="AB596" s="612">
        <f t="shared" si="334"/>
        <v>0</v>
      </c>
      <c r="AC596" s="612">
        <f t="shared" si="333"/>
        <v>0</v>
      </c>
      <c r="AD596" s="612"/>
    </row>
    <row r="597" spans="2:30" x14ac:dyDescent="0.45">
      <c r="B597" s="626" t="str">
        <f t="shared" si="312"/>
        <v>Rent</v>
      </c>
      <c r="D597" s="596" t="s">
        <v>1066</v>
      </c>
      <c r="H597" s="613">
        <f t="shared" ref="H597:Q597" si="335">IF(H$525&lt;&gt;0,SUMPRODUCT(H592:H596,H$520:H$524)/H$525,0)</f>
        <v>1183.1962751937988</v>
      </c>
      <c r="I597" s="613">
        <f t="shared" si="335"/>
        <v>1172.2639850666924</v>
      </c>
      <c r="J597" s="613">
        <f t="shared" si="335"/>
        <v>1158.6118512196761</v>
      </c>
      <c r="K597" s="613">
        <f t="shared" si="335"/>
        <v>1147.0322713392816</v>
      </c>
      <c r="L597" s="613">
        <f t="shared" si="335"/>
        <v>1147.3791056528746</v>
      </c>
      <c r="M597" s="613">
        <f t="shared" si="335"/>
        <v>1147.7748691517813</v>
      </c>
      <c r="N597" s="613">
        <f t="shared" si="335"/>
        <v>1148.2307015229194</v>
      </c>
      <c r="O597" s="613">
        <f t="shared" si="335"/>
        <v>1148.7614017108287</v>
      </c>
      <c r="P597" s="613">
        <f t="shared" si="335"/>
        <v>1149.3870648777306</v>
      </c>
      <c r="Q597" s="613">
        <f t="shared" si="335"/>
        <v>1150.135684458302</v>
      </c>
      <c r="R597" s="613">
        <f t="shared" ref="R597:AB597" si="336">IF(R$525&lt;&gt;0,SUMPRODUCT(R592:R596,R$520:R$524)/R$525,0)</f>
        <v>1151.047455461447</v>
      </c>
      <c r="S597" s="613">
        <f t="shared" si="336"/>
        <v>1152.1822353896036</v>
      </c>
      <c r="T597" s="613">
        <f t="shared" si="336"/>
        <v>1153.6332425233875</v>
      </c>
      <c r="U597" s="613">
        <f t="shared" si="336"/>
        <v>1155.5540599898859</v>
      </c>
      <c r="V597" s="613">
        <f t="shared" si="336"/>
        <v>1158.2169368536988</v>
      </c>
      <c r="W597" s="613">
        <f t="shared" si="336"/>
        <v>1162.1548352667101</v>
      </c>
      <c r="X597" s="613">
        <f t="shared" si="336"/>
        <v>1168.5717449369374</v>
      </c>
      <c r="Y597" s="613">
        <f t="shared" si="336"/>
        <v>1180.8838643042029</v>
      </c>
      <c r="Z597" s="613">
        <f t="shared" si="336"/>
        <v>1214.117329363213</v>
      </c>
      <c r="AA597" s="613">
        <f t="shared" si="336"/>
        <v>1622.8889495890339</v>
      </c>
      <c r="AB597" s="613">
        <f t="shared" si="336"/>
        <v>0</v>
      </c>
      <c r="AC597" s="613">
        <f>IF(AC$525&lt;&gt;0,SUMPRODUCT(AC592:AC596,AC$520:AC$524)/AC$525,0)</f>
        <v>0</v>
      </c>
    </row>
    <row r="598" spans="2:30" x14ac:dyDescent="0.45">
      <c r="B598" s="626" t="str">
        <f t="shared" si="312"/>
        <v>Rent</v>
      </c>
    </row>
    <row r="599" spans="2:30" x14ac:dyDescent="0.45">
      <c r="B599" s="626" t="str">
        <f t="shared" si="312"/>
        <v>Rent</v>
      </c>
    </row>
    <row r="600" spans="2:30" x14ac:dyDescent="0.45">
      <c r="B600" s="626" t="str">
        <f t="shared" si="312"/>
        <v>Rent</v>
      </c>
      <c r="C600" s="451">
        <f>C591+1</f>
        <v>63</v>
      </c>
      <c r="D600" s="591" t="s">
        <v>1050</v>
      </c>
    </row>
    <row r="601" spans="2:30" x14ac:dyDescent="0.45">
      <c r="B601" s="626" t="str">
        <f t="shared" si="312"/>
        <v>Rent</v>
      </c>
      <c r="D601" s="583" t="str">
        <f>'12. Inputs-Props &amp; Debtors 2016'!C$77</f>
        <v>EC</v>
      </c>
      <c r="I601" s="612">
        <f t="shared" ref="I601:K605" si="337">H520*I592</f>
        <v>123074.00000000001</v>
      </c>
      <c r="J601" s="612">
        <f t="shared" si="337"/>
        <v>98459.200000000026</v>
      </c>
      <c r="K601" s="612">
        <f t="shared" si="337"/>
        <v>73844.400000000009</v>
      </c>
      <c r="L601" s="612">
        <f>L520*L592</f>
        <v>46494.622222222228</v>
      </c>
      <c r="M601" s="612">
        <f t="shared" ref="M601:N603" si="338">M520*M592</f>
        <v>43759.64444444445</v>
      </c>
      <c r="N601" s="612">
        <f t="shared" si="338"/>
        <v>41024.666666666686</v>
      </c>
      <c r="O601" s="612">
        <f t="shared" ref="O601:AC601" si="339">N520*O592</f>
        <v>41024.666666666672</v>
      </c>
      <c r="P601" s="612">
        <f t="shared" si="339"/>
        <v>38289.688888888893</v>
      </c>
      <c r="Q601" s="612">
        <f t="shared" si="339"/>
        <v>35554.711111111123</v>
      </c>
      <c r="R601" s="612">
        <f t="shared" si="339"/>
        <v>32819.733333333337</v>
      </c>
      <c r="S601" s="612">
        <f t="shared" si="339"/>
        <v>30084.75555555557</v>
      </c>
      <c r="T601" s="612">
        <f t="shared" si="339"/>
        <v>27349.777777777781</v>
      </c>
      <c r="U601" s="612">
        <f t="shared" si="339"/>
        <v>24614.800000000003</v>
      </c>
      <c r="V601" s="612">
        <f t="shared" si="339"/>
        <v>21879.822222222225</v>
      </c>
      <c r="W601" s="612">
        <f t="shared" si="339"/>
        <v>19144.84444444445</v>
      </c>
      <c r="X601" s="612">
        <f t="shared" si="339"/>
        <v>16409.866666666676</v>
      </c>
      <c r="Y601" s="612">
        <f t="shared" si="339"/>
        <v>13674.888888888891</v>
      </c>
      <c r="Z601" s="612">
        <f t="shared" si="339"/>
        <v>10939.911111111114</v>
      </c>
      <c r="AA601" s="612">
        <f t="shared" si="339"/>
        <v>8204.9333333333343</v>
      </c>
      <c r="AB601" s="612">
        <f t="shared" si="339"/>
        <v>0</v>
      </c>
      <c r="AC601" s="612">
        <f t="shared" si="339"/>
        <v>0</v>
      </c>
      <c r="AD601" s="633">
        <f>SUM(I601:AC601)</f>
        <v>746648.93333333358</v>
      </c>
    </row>
    <row r="602" spans="2:30" x14ac:dyDescent="0.45">
      <c r="B602" s="626" t="str">
        <f t="shared" si="312"/>
        <v>Rent</v>
      </c>
      <c r="D602" s="583" t="str">
        <f>'12. Inputs-Props &amp; Debtors 2016'!C$78</f>
        <v>FS</v>
      </c>
      <c r="I602" s="612">
        <f t="shared" si="337"/>
        <v>129537.72</v>
      </c>
      <c r="J602" s="612">
        <f t="shared" si="337"/>
        <v>124140.31499999999</v>
      </c>
      <c r="K602" s="612">
        <f t="shared" si="337"/>
        <v>118742.90999999999</v>
      </c>
      <c r="L602" s="612">
        <f>L521*L593</f>
        <v>107948.09999999998</v>
      </c>
      <c r="M602" s="612">
        <f t="shared" si="338"/>
        <v>102550.69499999998</v>
      </c>
      <c r="N602" s="612">
        <f t="shared" si="338"/>
        <v>97153.289999999979</v>
      </c>
      <c r="O602" s="612">
        <f t="shared" ref="O602:AC602" si="340">N521*O593</f>
        <v>97153.289999999979</v>
      </c>
      <c r="P602" s="612">
        <f t="shared" si="340"/>
        <v>91755.88499999998</v>
      </c>
      <c r="Q602" s="612">
        <f t="shared" si="340"/>
        <v>86358.479999999981</v>
      </c>
      <c r="R602" s="612">
        <f t="shared" si="340"/>
        <v>80961.074999999983</v>
      </c>
      <c r="S602" s="612">
        <f t="shared" si="340"/>
        <v>75563.669999999984</v>
      </c>
      <c r="T602" s="612">
        <f t="shared" si="340"/>
        <v>70166.264999999985</v>
      </c>
      <c r="U602" s="612">
        <f t="shared" si="340"/>
        <v>64768.859999999986</v>
      </c>
      <c r="V602" s="612">
        <f t="shared" si="340"/>
        <v>59371.45499999998</v>
      </c>
      <c r="W602" s="612">
        <f t="shared" si="340"/>
        <v>53974.049999999981</v>
      </c>
      <c r="X602" s="612">
        <f t="shared" si="340"/>
        <v>48576.644999999982</v>
      </c>
      <c r="Y602" s="612">
        <f t="shared" si="340"/>
        <v>43179.239999999983</v>
      </c>
      <c r="Z602" s="612">
        <f t="shared" si="340"/>
        <v>37781.834999999985</v>
      </c>
      <c r="AA602" s="612">
        <f t="shared" si="340"/>
        <v>32384.429999999986</v>
      </c>
      <c r="AB602" s="612">
        <f t="shared" si="340"/>
        <v>0</v>
      </c>
      <c r="AC602" s="612">
        <f t="shared" si="340"/>
        <v>0</v>
      </c>
      <c r="AD602" s="633">
        <f>SUM(I602:AC602)</f>
        <v>1522068.2099999997</v>
      </c>
    </row>
    <row r="603" spans="2:30" x14ac:dyDescent="0.45">
      <c r="B603" s="626" t="str">
        <f t="shared" si="312"/>
        <v>Rent</v>
      </c>
      <c r="D603" s="583" t="str">
        <f>'12. Inputs-Props &amp; Debtors 2016'!C$79</f>
        <v>Gau</v>
      </c>
      <c r="I603" s="612">
        <f t="shared" si="337"/>
        <v>1748113.6300000001</v>
      </c>
      <c r="J603" s="612">
        <f t="shared" si="337"/>
        <v>1660398.3652125148</v>
      </c>
      <c r="K603" s="612">
        <f t="shared" si="337"/>
        <v>1572683.1004250299</v>
      </c>
      <c r="L603" s="612">
        <f>L522*L594</f>
        <v>1393124.7936835894</v>
      </c>
      <c r="M603" s="612">
        <f t="shared" si="338"/>
        <v>1301281.7517296344</v>
      </c>
      <c r="N603" s="612">
        <f t="shared" si="338"/>
        <v>1209438.7097756793</v>
      </c>
      <c r="O603" s="612">
        <f t="shared" ref="O603:AC603" si="341">N522*O594</f>
        <v>1209438.7097756795</v>
      </c>
      <c r="P603" s="612">
        <f t="shared" si="341"/>
        <v>1117595.6678217242</v>
      </c>
      <c r="Q603" s="612">
        <f t="shared" si="341"/>
        <v>1025752.6258677691</v>
      </c>
      <c r="R603" s="612">
        <f t="shared" si="341"/>
        <v>933909.58391381369</v>
      </c>
      <c r="S603" s="612">
        <f t="shared" si="341"/>
        <v>842066.5419598585</v>
      </c>
      <c r="T603" s="612">
        <f t="shared" si="341"/>
        <v>750223.50000590354</v>
      </c>
      <c r="U603" s="612">
        <f t="shared" si="341"/>
        <v>658380.45805194823</v>
      </c>
      <c r="V603" s="612">
        <f t="shared" si="341"/>
        <v>566537.41609799303</v>
      </c>
      <c r="W603" s="612">
        <f t="shared" si="341"/>
        <v>474694.37414403778</v>
      </c>
      <c r="X603" s="612">
        <f t="shared" si="341"/>
        <v>382851.33219008264</v>
      </c>
      <c r="Y603" s="612">
        <f t="shared" si="341"/>
        <v>291008.2902361275</v>
      </c>
      <c r="Z603" s="612">
        <f t="shared" si="341"/>
        <v>199165.24828217237</v>
      </c>
      <c r="AA603" s="612">
        <f t="shared" si="341"/>
        <v>107322.20632821725</v>
      </c>
      <c r="AB603" s="612">
        <f t="shared" si="341"/>
        <v>0</v>
      </c>
      <c r="AC603" s="612">
        <f t="shared" si="341"/>
        <v>0</v>
      </c>
      <c r="AD603" s="633">
        <f>SUM(I603:AC603)</f>
        <v>17443986.30550177</v>
      </c>
    </row>
    <row r="604" spans="2:30" x14ac:dyDescent="0.45">
      <c r="B604" s="626" t="str">
        <f t="shared" si="312"/>
        <v>Rent</v>
      </c>
      <c r="D604" s="583" t="str">
        <f>'12. Inputs-Props &amp; Debtors 2016'!C$80</f>
        <v>KZN</v>
      </c>
      <c r="I604" s="612">
        <f t="shared" si="337"/>
        <v>2793596.5900000003</v>
      </c>
      <c r="J604" s="612">
        <f t="shared" si="337"/>
        <v>2514563.9224073351</v>
      </c>
      <c r="K604" s="612">
        <f t="shared" si="337"/>
        <v>2235531.2548146709</v>
      </c>
      <c r="L604" s="612">
        <f t="shared" ref="L604:N605" si="342">L523*L595</f>
        <v>1834421.7951502148</v>
      </c>
      <c r="M604" s="612">
        <f t="shared" si="342"/>
        <v>1712345.0030784239</v>
      </c>
      <c r="N604" s="612">
        <f t="shared" si="342"/>
        <v>1590268.211006633</v>
      </c>
      <c r="O604" s="612">
        <f t="shared" ref="O604:AC604" si="343">N523*O595</f>
        <v>1590268.211006633</v>
      </c>
      <c r="P604" s="612">
        <f t="shared" si="343"/>
        <v>1468191.4189348421</v>
      </c>
      <c r="Q604" s="612">
        <f t="shared" si="343"/>
        <v>1346114.6268630514</v>
      </c>
      <c r="R604" s="612">
        <f t="shared" si="343"/>
        <v>1224037.8347912601</v>
      </c>
      <c r="S604" s="612">
        <f t="shared" si="343"/>
        <v>1101961.0427194694</v>
      </c>
      <c r="T604" s="612">
        <f t="shared" si="343"/>
        <v>979884.25064767851</v>
      </c>
      <c r="U604" s="612">
        <f t="shared" si="343"/>
        <v>857807.45857588761</v>
      </c>
      <c r="V604" s="612">
        <f t="shared" si="343"/>
        <v>735730.66650409671</v>
      </c>
      <c r="W604" s="612">
        <f t="shared" si="343"/>
        <v>613653.87443230581</v>
      </c>
      <c r="X604" s="612">
        <f t="shared" si="343"/>
        <v>491577.08236051508</v>
      </c>
      <c r="Y604" s="612">
        <f t="shared" si="343"/>
        <v>369500.29028872424</v>
      </c>
      <c r="Z604" s="612">
        <f t="shared" si="343"/>
        <v>247423.49821693331</v>
      </c>
      <c r="AA604" s="612">
        <f t="shared" si="343"/>
        <v>125346.70614514244</v>
      </c>
      <c r="AB604" s="612">
        <f t="shared" si="343"/>
        <v>0</v>
      </c>
      <c r="AC604" s="612">
        <f t="shared" si="343"/>
        <v>0</v>
      </c>
      <c r="AD604" s="633">
        <f>SUM(I604:AC604)</f>
        <v>23832223.737943817</v>
      </c>
    </row>
    <row r="605" spans="2:30" x14ac:dyDescent="0.45">
      <c r="B605" s="626" t="str">
        <f t="shared" si="312"/>
        <v>Rent</v>
      </c>
      <c r="D605" s="583" t="str">
        <f>'12. Inputs-Props &amp; Debtors 2016'!C$81</f>
        <v>WC</v>
      </c>
      <c r="I605" s="612">
        <f t="shared" si="337"/>
        <v>1310970.8400000019</v>
      </c>
      <c r="J605" s="612">
        <f t="shared" si="337"/>
        <v>1048776.6720000014</v>
      </c>
      <c r="K605" s="612">
        <f t="shared" si="337"/>
        <v>786582.50400000112</v>
      </c>
      <c r="L605" s="612">
        <f t="shared" si="342"/>
        <v>553521.02133333404</v>
      </c>
      <c r="M605" s="612">
        <f t="shared" si="342"/>
        <v>517533.58650980471</v>
      </c>
      <c r="N605" s="612">
        <f t="shared" si="342"/>
        <v>481546.15168627515</v>
      </c>
      <c r="O605" s="612">
        <f t="shared" ref="O605:AC605" si="344">N524*O596</f>
        <v>481546.15168627509</v>
      </c>
      <c r="P605" s="612">
        <f t="shared" si="344"/>
        <v>445558.7168627457</v>
      </c>
      <c r="Q605" s="612">
        <f t="shared" si="344"/>
        <v>409571.28203921614</v>
      </c>
      <c r="R605" s="612">
        <f t="shared" si="344"/>
        <v>373583.84721568687</v>
      </c>
      <c r="S605" s="612">
        <f t="shared" si="344"/>
        <v>337596.41239215725</v>
      </c>
      <c r="T605" s="612">
        <f t="shared" si="344"/>
        <v>301608.97756862798</v>
      </c>
      <c r="U605" s="612">
        <f t="shared" si="344"/>
        <v>265621.54274509836</v>
      </c>
      <c r="V605" s="612">
        <f t="shared" si="344"/>
        <v>229634.10792156891</v>
      </c>
      <c r="W605" s="612">
        <f t="shared" si="344"/>
        <v>193646.67309803949</v>
      </c>
      <c r="X605" s="612">
        <f t="shared" si="344"/>
        <v>157659.23827450996</v>
      </c>
      <c r="Y605" s="612">
        <f t="shared" si="344"/>
        <v>121671.80345098051</v>
      </c>
      <c r="Z605" s="612">
        <f t="shared" si="344"/>
        <v>85684.368627451084</v>
      </c>
      <c r="AA605" s="612">
        <f t="shared" si="344"/>
        <v>49696.933803921616</v>
      </c>
      <c r="AB605" s="612">
        <f t="shared" si="344"/>
        <v>0</v>
      </c>
      <c r="AC605" s="612">
        <f t="shared" si="344"/>
        <v>0</v>
      </c>
      <c r="AD605" s="633">
        <f>SUM(I605:AC605)</f>
        <v>8152010.8312156973</v>
      </c>
    </row>
    <row r="606" spans="2:30" ht="14.65" thickBot="1" x14ac:dyDescent="0.5">
      <c r="B606" s="626" t="str">
        <f t="shared" si="312"/>
        <v>Rent</v>
      </c>
      <c r="D606" s="596" t="s">
        <v>1066</v>
      </c>
      <c r="I606" s="613">
        <f t="shared" ref="I606:Q606" si="345">IF(I$525&lt;&gt;0,SUMPRODUCT(I601:I605,I$520:I$524)/I$525,0)</f>
        <v>2168462.4151958684</v>
      </c>
      <c r="J606" s="613">
        <f t="shared" si="345"/>
        <v>1979667.274092284</v>
      </c>
      <c r="K606" s="613">
        <f t="shared" si="345"/>
        <v>1792696.8178063328</v>
      </c>
      <c r="L606" s="613">
        <f t="shared" si="345"/>
        <v>1502255.5054684782</v>
      </c>
      <c r="M606" s="613">
        <f t="shared" si="345"/>
        <v>1402185.6014124397</v>
      </c>
      <c r="N606" s="613">
        <f t="shared" si="345"/>
        <v>1302117.6006647472</v>
      </c>
      <c r="O606" s="613">
        <f t="shared" si="345"/>
        <v>1301441.6078772142</v>
      </c>
      <c r="P606" s="613">
        <f t="shared" si="345"/>
        <v>1201317.0030723007</v>
      </c>
      <c r="Q606" s="613">
        <f t="shared" si="345"/>
        <v>1101184.112751632</v>
      </c>
      <c r="R606" s="613">
        <f t="shared" ref="R606:AB606" si="346">IF(R$525&lt;&gt;0,SUMPRODUCT(R601:R605,R$520:R$524)/R$525,0)</f>
        <v>1001040.2283425552</v>
      </c>
      <c r="S606" s="613">
        <f t="shared" si="346"/>
        <v>900881.31629964872</v>
      </c>
      <c r="T606" s="613">
        <f t="shared" si="346"/>
        <v>800701.09503491165</v>
      </c>
      <c r="U606" s="613">
        <f t="shared" si="346"/>
        <v>700489.21522713965</v>
      </c>
      <c r="V606" s="613">
        <f t="shared" si="346"/>
        <v>600227.33115652285</v>
      </c>
      <c r="W606" s="613">
        <f t="shared" si="346"/>
        <v>499879.52874445007</v>
      </c>
      <c r="X606" s="613">
        <f t="shared" si="346"/>
        <v>399364.67618659436</v>
      </c>
      <c r="Y606" s="613">
        <f t="shared" si="346"/>
        <v>298452.57023327879</v>
      </c>
      <c r="Z606" s="613">
        <f t="shared" si="346"/>
        <v>196130.66275622559</v>
      </c>
      <c r="AA606" s="613">
        <f t="shared" si="346"/>
        <v>68502.817928084813</v>
      </c>
      <c r="AB606" s="613">
        <f t="shared" si="346"/>
        <v>0</v>
      </c>
      <c r="AC606" s="613">
        <f>IF(AC$525&lt;&gt;0,SUMPRODUCT(AC601:AC605,AC$520:AC$524)/AC$525,0)</f>
        <v>0</v>
      </c>
      <c r="AD606" s="777">
        <f>SUM(AD601:AD605)</f>
        <v>51696938.017994612</v>
      </c>
    </row>
    <row r="607" spans="2:30" ht="14.65" thickTop="1" x14ac:dyDescent="0.45">
      <c r="B607" s="626" t="str">
        <f t="shared" si="312"/>
        <v>Rent</v>
      </c>
      <c r="I607" s="612"/>
      <c r="J607" s="612"/>
      <c r="K607" s="612"/>
      <c r="L607" s="612"/>
      <c r="M607" s="612"/>
      <c r="N607" s="612"/>
      <c r="O607" s="612"/>
      <c r="P607" s="612"/>
      <c r="Q607" s="612"/>
      <c r="R607" s="612"/>
      <c r="S607" s="612"/>
      <c r="T607" s="612"/>
      <c r="U607" s="612"/>
      <c r="V607" s="612"/>
      <c r="W607" s="612"/>
      <c r="X607" s="612"/>
      <c r="Y607" s="612"/>
      <c r="Z607" s="612"/>
      <c r="AA607" s="612"/>
      <c r="AB607" s="612"/>
      <c r="AC607" s="612"/>
    </row>
    <row r="608" spans="2:30" x14ac:dyDescent="0.45">
      <c r="B608" s="626" t="str">
        <f t="shared" si="312"/>
        <v>Rent</v>
      </c>
    </row>
    <row r="609" spans="1:30" x14ac:dyDescent="0.45">
      <c r="B609" s="626" t="str">
        <f t="shared" si="312"/>
        <v>Rent</v>
      </c>
      <c r="C609" s="451">
        <f>C600+1</f>
        <v>64</v>
      </c>
      <c r="D609" s="591" t="s">
        <v>1052</v>
      </c>
    </row>
    <row r="610" spans="1:30" x14ac:dyDescent="0.45">
      <c r="B610" s="626" t="str">
        <f t="shared" si="312"/>
        <v>Rent</v>
      </c>
      <c r="D610" s="583" t="str">
        <f>'12. Inputs-Props &amp; Debtors 2016'!C$77</f>
        <v>EC</v>
      </c>
      <c r="H610" s="649">
        <f>'12. Inputs-Props &amp; Debtors 2016'!G$112</f>
        <v>11312.804</v>
      </c>
      <c r="I610" s="612">
        <f t="shared" ref="I610:AC610" si="347">IF(H520&lt;&gt;0,I592+H610,0)</f>
        <v>12680.292888888889</v>
      </c>
      <c r="J610" s="612">
        <f t="shared" si="347"/>
        <v>14047.781777777778</v>
      </c>
      <c r="K610" s="612">
        <f t="shared" si="347"/>
        <v>15415.270666666667</v>
      </c>
      <c r="L610" s="612">
        <f t="shared" si="347"/>
        <v>16782.759555555556</v>
      </c>
      <c r="M610" s="612">
        <f t="shared" si="347"/>
        <v>18150.248444444445</v>
      </c>
      <c r="N610" s="612">
        <f t="shared" si="347"/>
        <v>19517.737333333334</v>
      </c>
      <c r="O610" s="612">
        <f t="shared" si="347"/>
        <v>20885.226222222223</v>
      </c>
      <c r="P610" s="612">
        <f t="shared" si="347"/>
        <v>22252.715111111112</v>
      </c>
      <c r="Q610" s="612">
        <f t="shared" si="347"/>
        <v>23620.204000000002</v>
      </c>
      <c r="R610" s="612">
        <f t="shared" ref="R610:R615" si="348">IF(Q520&lt;&gt;0,R592+Q610,0)</f>
        <v>24987.692888888891</v>
      </c>
      <c r="S610" s="612">
        <f t="shared" ref="S610:S615" si="349">IF(R520&lt;&gt;0,S592+R610,0)</f>
        <v>26355.18177777778</v>
      </c>
      <c r="T610" s="612">
        <f t="shared" ref="T610:T615" si="350">IF(S520&lt;&gt;0,T592+S610,0)</f>
        <v>27722.670666666669</v>
      </c>
      <c r="U610" s="612">
        <f t="shared" ref="U610:U615" si="351">IF(T520&lt;&gt;0,U592+T610,0)</f>
        <v>29090.159555555558</v>
      </c>
      <c r="V610" s="612">
        <f t="shared" ref="V610:V615" si="352">IF(U520&lt;&gt;0,V592+U610,0)</f>
        <v>30457.648444444447</v>
      </c>
      <c r="W610" s="612">
        <f t="shared" ref="W610:W615" si="353">IF(V520&lt;&gt;0,W592+V610,0)</f>
        <v>31825.137333333336</v>
      </c>
      <c r="X610" s="612">
        <f t="shared" ref="X610:X615" si="354">IF(W520&lt;&gt;0,X592+W610,0)</f>
        <v>33192.626222222229</v>
      </c>
      <c r="Y610" s="612">
        <f t="shared" ref="Y610:Y615" si="355">IF(X520&lt;&gt;0,Y592+X610,0)</f>
        <v>34560.115111111118</v>
      </c>
      <c r="Z610" s="612">
        <f t="shared" ref="Z610:Z615" si="356">IF(Y520&lt;&gt;0,Z592+Y610,0)</f>
        <v>35927.604000000007</v>
      </c>
      <c r="AA610" s="612">
        <f t="shared" ref="AA610:AA615" si="357">IF(Z520&lt;&gt;0,AA592+Z610,0)</f>
        <v>37295.092888888896</v>
      </c>
      <c r="AB610" s="612">
        <f t="shared" ref="AB610:AB615" si="358">IF(AA520&lt;&gt;0,AB592+AA610,0)</f>
        <v>37295.092888888896</v>
      </c>
      <c r="AC610" s="612">
        <f t="shared" si="347"/>
        <v>0</v>
      </c>
    </row>
    <row r="611" spans="1:30" x14ac:dyDescent="0.45">
      <c r="B611" s="626" t="str">
        <f t="shared" si="312"/>
        <v>Rent</v>
      </c>
      <c r="D611" s="583" t="str">
        <f>'12. Inputs-Props &amp; Debtors 2016'!C$78</f>
        <v>FS</v>
      </c>
      <c r="H611" s="649">
        <f>'12. Inputs-Props &amp; Debtors 2016'!H$112</f>
        <v>31530.772916666669</v>
      </c>
      <c r="I611" s="612">
        <f t="shared" ref="I611:AC611" si="359">IF(H521&lt;&gt;0,I593+H611,0)</f>
        <v>34229.475416666668</v>
      </c>
      <c r="J611" s="612">
        <f t="shared" si="359"/>
        <v>36928.177916666667</v>
      </c>
      <c r="K611" s="612">
        <f t="shared" si="359"/>
        <v>39626.880416666667</v>
      </c>
      <c r="L611" s="612">
        <f t="shared" si="359"/>
        <v>42325.582916666666</v>
      </c>
      <c r="M611" s="612">
        <f t="shared" si="359"/>
        <v>45024.285416666666</v>
      </c>
      <c r="N611" s="612">
        <f t="shared" si="359"/>
        <v>47722.987916666665</v>
      </c>
      <c r="O611" s="612">
        <f t="shared" si="359"/>
        <v>50421.690416666665</v>
      </c>
      <c r="P611" s="612">
        <f t="shared" si="359"/>
        <v>53120.392916666664</v>
      </c>
      <c r="Q611" s="612">
        <f t="shared" si="359"/>
        <v>55819.095416666663</v>
      </c>
      <c r="R611" s="612">
        <f t="shared" si="348"/>
        <v>58517.797916666663</v>
      </c>
      <c r="S611" s="612">
        <f t="shared" si="349"/>
        <v>61216.500416666662</v>
      </c>
      <c r="T611" s="612">
        <f t="shared" si="350"/>
        <v>63915.202916666662</v>
      </c>
      <c r="U611" s="612">
        <f t="shared" si="351"/>
        <v>66613.905416666661</v>
      </c>
      <c r="V611" s="612">
        <f t="shared" si="352"/>
        <v>69312.60791666666</v>
      </c>
      <c r="W611" s="612">
        <f t="shared" si="353"/>
        <v>72011.31041666666</v>
      </c>
      <c r="X611" s="612">
        <f t="shared" si="354"/>
        <v>74710.012916666659</v>
      </c>
      <c r="Y611" s="612">
        <f t="shared" si="355"/>
        <v>77408.715416666659</v>
      </c>
      <c r="Z611" s="612">
        <f t="shared" si="356"/>
        <v>80107.417916666658</v>
      </c>
      <c r="AA611" s="612">
        <f t="shared" si="357"/>
        <v>82806.120416666658</v>
      </c>
      <c r="AB611" s="612">
        <f t="shared" si="358"/>
        <v>82806.120416666658</v>
      </c>
      <c r="AC611" s="612">
        <f t="shared" si="359"/>
        <v>0</v>
      </c>
    </row>
    <row r="612" spans="1:30" x14ac:dyDescent="0.45">
      <c r="B612" s="626" t="str">
        <f t="shared" si="312"/>
        <v>Rent</v>
      </c>
      <c r="D612" s="583" t="str">
        <f>'12. Inputs-Props &amp; Debtors 2016'!C$79</f>
        <v>Gau</v>
      </c>
      <c r="H612" s="649">
        <f>'12. Inputs-Props &amp; Debtors 2016'!I$112</f>
        <v>18881.007101534829</v>
      </c>
      <c r="I612" s="612">
        <f t="shared" ref="I612:AC612" si="360">IF(H522&lt;&gt;0,I594+H612,0)</f>
        <v>19912.951393152303</v>
      </c>
      <c r="J612" s="612">
        <f t="shared" si="360"/>
        <v>20944.895684769777</v>
      </c>
      <c r="K612" s="612">
        <f t="shared" si="360"/>
        <v>21976.839976387251</v>
      </c>
      <c r="L612" s="612">
        <f t="shared" si="360"/>
        <v>23008.784268004725</v>
      </c>
      <c r="M612" s="612">
        <f t="shared" si="360"/>
        <v>24040.728559622199</v>
      </c>
      <c r="N612" s="612">
        <f t="shared" si="360"/>
        <v>25072.672851239673</v>
      </c>
      <c r="O612" s="612">
        <f t="shared" si="360"/>
        <v>26104.617142857147</v>
      </c>
      <c r="P612" s="612">
        <f t="shared" si="360"/>
        <v>27136.561434474621</v>
      </c>
      <c r="Q612" s="612">
        <f t="shared" si="360"/>
        <v>28168.505726092095</v>
      </c>
      <c r="R612" s="612">
        <f t="shared" si="348"/>
        <v>29200.450017709569</v>
      </c>
      <c r="S612" s="612">
        <f t="shared" si="349"/>
        <v>30232.394309327043</v>
      </c>
      <c r="T612" s="612">
        <f t="shared" si="350"/>
        <v>31264.338600944517</v>
      </c>
      <c r="U612" s="612">
        <f t="shared" si="351"/>
        <v>32296.282892561991</v>
      </c>
      <c r="V612" s="612">
        <f t="shared" si="352"/>
        <v>33328.227184179465</v>
      </c>
      <c r="W612" s="612">
        <f t="shared" si="353"/>
        <v>34360.171475796938</v>
      </c>
      <c r="X612" s="612">
        <f t="shared" si="354"/>
        <v>35392.115767414412</v>
      </c>
      <c r="Y612" s="612">
        <f t="shared" si="355"/>
        <v>36424.060059031886</v>
      </c>
      <c r="Z612" s="612">
        <f t="shared" si="356"/>
        <v>37456.00435064936</v>
      </c>
      <c r="AA612" s="612">
        <f t="shared" si="357"/>
        <v>38487.948642266834</v>
      </c>
      <c r="AB612" s="612">
        <f t="shared" si="358"/>
        <v>38487.948642266834</v>
      </c>
      <c r="AC612" s="612">
        <f t="shared" si="360"/>
        <v>0</v>
      </c>
    </row>
    <row r="613" spans="1:30" x14ac:dyDescent="0.45">
      <c r="B613" s="626" t="str">
        <f t="shared" si="312"/>
        <v>Rent</v>
      </c>
      <c r="D613" s="583" t="str">
        <f>'12. Inputs-Props &amp; Debtors 2016'!C$80</f>
        <v>KZN</v>
      </c>
      <c r="H613" s="649">
        <f>'12. Inputs-Props &amp; Debtors 2016'!J$112</f>
        <v>19387.513105735467</v>
      </c>
      <c r="I613" s="612">
        <f t="shared" ref="I613:AC613" si="361">IF(H523&lt;&gt;0,I595+H613,0)</f>
        <v>20477.484463519315</v>
      </c>
      <c r="J613" s="612">
        <f t="shared" si="361"/>
        <v>21567.455821303163</v>
      </c>
      <c r="K613" s="612">
        <f t="shared" si="361"/>
        <v>22657.427179087012</v>
      </c>
      <c r="L613" s="612">
        <f t="shared" si="361"/>
        <v>23747.39853687086</v>
      </c>
      <c r="M613" s="612">
        <f t="shared" si="361"/>
        <v>24837.369894654708</v>
      </c>
      <c r="N613" s="612">
        <f t="shared" si="361"/>
        <v>25927.341252438557</v>
      </c>
      <c r="O613" s="612">
        <f t="shared" si="361"/>
        <v>27017.312610222405</v>
      </c>
      <c r="P613" s="612">
        <f t="shared" si="361"/>
        <v>28107.283968006253</v>
      </c>
      <c r="Q613" s="612">
        <f t="shared" si="361"/>
        <v>29197.255325790102</v>
      </c>
      <c r="R613" s="612">
        <f t="shared" si="348"/>
        <v>30287.22668357395</v>
      </c>
      <c r="S613" s="612">
        <f t="shared" si="349"/>
        <v>31377.198041357799</v>
      </c>
      <c r="T613" s="612">
        <f t="shared" si="350"/>
        <v>32467.169399141647</v>
      </c>
      <c r="U613" s="612">
        <f t="shared" si="351"/>
        <v>33557.140756925495</v>
      </c>
      <c r="V613" s="612">
        <f t="shared" si="352"/>
        <v>34647.112114709344</v>
      </c>
      <c r="W613" s="612">
        <f t="shared" si="353"/>
        <v>35737.083472493192</v>
      </c>
      <c r="X613" s="612">
        <f t="shared" si="354"/>
        <v>36827.05483027704</v>
      </c>
      <c r="Y613" s="612">
        <f t="shared" si="355"/>
        <v>37917.026188060889</v>
      </c>
      <c r="Z613" s="612">
        <f t="shared" si="356"/>
        <v>39006.997545844737</v>
      </c>
      <c r="AA613" s="612">
        <f t="shared" si="357"/>
        <v>40096.968903628585</v>
      </c>
      <c r="AB613" s="612">
        <f t="shared" si="358"/>
        <v>40096.968903628585</v>
      </c>
      <c r="AC613" s="612">
        <f t="shared" si="361"/>
        <v>0</v>
      </c>
    </row>
    <row r="614" spans="1:30" x14ac:dyDescent="0.45">
      <c r="B614" s="626" t="str">
        <f t="shared" si="312"/>
        <v>Rent</v>
      </c>
      <c r="D614" s="583" t="str">
        <f>'12. Inputs-Props &amp; Debtors 2016'!C$81</f>
        <v>WC</v>
      </c>
      <c r="H614" s="649">
        <f>'12. Inputs-Props &amp; Debtors 2016'!K$112</f>
        <v>15948.676287581698</v>
      </c>
      <c r="I614" s="612">
        <f t="shared" ref="I614:AC614" si="362">IF(H524&lt;&gt;0,I596+H614,0)</f>
        <v>17662.363660130723</v>
      </c>
      <c r="J614" s="612">
        <f t="shared" si="362"/>
        <v>19376.051032679745</v>
      </c>
      <c r="K614" s="612">
        <f t="shared" si="362"/>
        <v>21089.738405228767</v>
      </c>
      <c r="L614" s="612">
        <f t="shared" si="362"/>
        <v>22803.425777777789</v>
      </c>
      <c r="M614" s="612">
        <f t="shared" si="362"/>
        <v>24517.113150326812</v>
      </c>
      <c r="N614" s="612">
        <f t="shared" si="362"/>
        <v>26230.800522875834</v>
      </c>
      <c r="O614" s="612">
        <f t="shared" si="362"/>
        <v>27944.487895424856</v>
      </c>
      <c r="P614" s="612">
        <f t="shared" si="362"/>
        <v>29658.175267973878</v>
      </c>
      <c r="Q614" s="612">
        <f t="shared" si="362"/>
        <v>31371.862640522901</v>
      </c>
      <c r="R614" s="612">
        <f t="shared" si="348"/>
        <v>33085.550013071923</v>
      </c>
      <c r="S614" s="612">
        <f t="shared" si="349"/>
        <v>34799.237385620945</v>
      </c>
      <c r="T614" s="612">
        <f t="shared" si="350"/>
        <v>36512.924758169967</v>
      </c>
      <c r="U614" s="612">
        <f t="shared" si="351"/>
        <v>38226.61213071899</v>
      </c>
      <c r="V614" s="612">
        <f t="shared" si="352"/>
        <v>39940.299503268012</v>
      </c>
      <c r="W614" s="612">
        <f t="shared" si="353"/>
        <v>41653.986875817034</v>
      </c>
      <c r="X614" s="612">
        <f t="shared" si="354"/>
        <v>43367.674248366056</v>
      </c>
      <c r="Y614" s="612">
        <f t="shared" si="355"/>
        <v>45081.361620915079</v>
      </c>
      <c r="Z614" s="612">
        <f t="shared" si="356"/>
        <v>46795.048993464101</v>
      </c>
      <c r="AA614" s="612">
        <f t="shared" si="357"/>
        <v>48508.736366013123</v>
      </c>
      <c r="AB614" s="612">
        <f t="shared" si="358"/>
        <v>48508.736366013123</v>
      </c>
      <c r="AC614" s="612">
        <f t="shared" si="362"/>
        <v>0</v>
      </c>
    </row>
    <row r="615" spans="1:30" x14ac:dyDescent="0.45">
      <c r="B615" s="626" t="str">
        <f t="shared" si="312"/>
        <v>Rent</v>
      </c>
      <c r="D615" s="596" t="s">
        <v>1066</v>
      </c>
      <c r="H615" s="650">
        <f>'12. Inputs-Props &amp; Debtors 2016'!F$112</f>
        <v>18683.524988372097</v>
      </c>
      <c r="I615" s="613">
        <f t="shared" ref="I615:AC615" si="363">IF(H525&lt;&gt;0,I597+H615,0)</f>
        <v>19855.78897343879</v>
      </c>
      <c r="J615" s="613">
        <f t="shared" si="363"/>
        <v>21014.400824658467</v>
      </c>
      <c r="K615" s="613">
        <f t="shared" si="363"/>
        <v>22161.433095997749</v>
      </c>
      <c r="L615" s="613">
        <f t="shared" si="363"/>
        <v>23308.812201650624</v>
      </c>
      <c r="M615" s="613">
        <f t="shared" si="363"/>
        <v>24456.587070802405</v>
      </c>
      <c r="N615" s="613">
        <f t="shared" si="363"/>
        <v>25604.817772325325</v>
      </c>
      <c r="O615" s="613">
        <f t="shared" si="363"/>
        <v>26753.579174036153</v>
      </c>
      <c r="P615" s="613">
        <f t="shared" si="363"/>
        <v>27902.966238913883</v>
      </c>
      <c r="Q615" s="613">
        <f t="shared" si="363"/>
        <v>29053.101923372185</v>
      </c>
      <c r="R615" s="613">
        <f t="shared" si="348"/>
        <v>30204.149378833634</v>
      </c>
      <c r="S615" s="613">
        <f t="shared" si="349"/>
        <v>31356.331614223236</v>
      </c>
      <c r="T615" s="613">
        <f t="shared" si="350"/>
        <v>32509.964856746625</v>
      </c>
      <c r="U615" s="613">
        <f t="shared" si="351"/>
        <v>33665.51891673651</v>
      </c>
      <c r="V615" s="613">
        <f t="shared" si="352"/>
        <v>34823.735853590209</v>
      </c>
      <c r="W615" s="613">
        <f t="shared" si="353"/>
        <v>35985.890688856918</v>
      </c>
      <c r="X615" s="613">
        <f t="shared" si="354"/>
        <v>37154.462433793859</v>
      </c>
      <c r="Y615" s="613">
        <f t="shared" si="355"/>
        <v>38335.346298098062</v>
      </c>
      <c r="Z615" s="613">
        <f t="shared" si="356"/>
        <v>39549.463627461279</v>
      </c>
      <c r="AA615" s="613">
        <f t="shared" si="357"/>
        <v>41172.352577050311</v>
      </c>
      <c r="AB615" s="613">
        <f t="shared" si="358"/>
        <v>41172.352577050311</v>
      </c>
      <c r="AC615" s="613">
        <f t="shared" si="363"/>
        <v>0</v>
      </c>
    </row>
    <row r="616" spans="1:30" x14ac:dyDescent="0.45">
      <c r="B616" s="626" t="str">
        <f t="shared" si="312"/>
        <v>Rent</v>
      </c>
    </row>
    <row r="617" spans="1:30" x14ac:dyDescent="0.45">
      <c r="B617" s="626" t="str">
        <f>B616</f>
        <v>Rent</v>
      </c>
    </row>
    <row r="618" spans="1:30" x14ac:dyDescent="0.45">
      <c r="A618" s="984"/>
      <c r="B618" s="626" t="str">
        <f>B617</f>
        <v>Rent</v>
      </c>
      <c r="C618" s="451">
        <f>C609+1</f>
        <v>65</v>
      </c>
      <c r="D618" s="451" t="s">
        <v>1305</v>
      </c>
    </row>
    <row r="619" spans="1:30" x14ac:dyDescent="0.45">
      <c r="A619" s="984"/>
      <c r="B619" s="626" t="str">
        <f t="shared" si="312"/>
        <v>Rent</v>
      </c>
      <c r="D619" s="583" t="str">
        <f>'12. Inputs-Props &amp; Debtors 2016'!C$77</f>
        <v>EC</v>
      </c>
      <c r="I619" s="612">
        <f>IF(SUM($I51:I51)&gt;=$H520,-H628,MAX(-I51*I610,-H628))</f>
        <v>-228245.272</v>
      </c>
      <c r="J619" s="612">
        <f>IF(SUM($I51:J51)&gt;=$H520,-I628,MAX(-J51*J610,-I628))</f>
        <v>-252860.07200000001</v>
      </c>
      <c r="K619" s="612">
        <f>IF(SUM($I51:K51)&gt;=$H520,-J628,MAX(-K51*K610,-J628))</f>
        <v>-277474.87200000003</v>
      </c>
      <c r="L619" s="612">
        <f>IF(SUM($I51:L51)&gt;=$H520,-K628,MAX(-L51*L610,-K628))</f>
        <v>-33565.519111111113</v>
      </c>
      <c r="M619" s="612">
        <f>IF(SUM($I51:M51)&gt;=$H520,-L628,MAX(-M51*M610,-L628))</f>
        <v>-36300.496888888891</v>
      </c>
      <c r="N619" s="612">
        <f>IF(SUM($I51:N51)&gt;=$H520,-M628,MAX(-N51*N610,-M628))</f>
        <v>-39035.474666666669</v>
      </c>
      <c r="O619" s="612">
        <f>IF(SUM($I51:O51)&gt;=$H520,-N628,MAX(-O51*O610,-N628))</f>
        <v>-41770.452444444447</v>
      </c>
      <c r="P619" s="612">
        <f>IF(SUM($I51:P51)&gt;=$H520,-O628,MAX(-P51*P610,-O628))</f>
        <v>-44505.430222222225</v>
      </c>
      <c r="Q619" s="612">
        <f>IF(SUM($I51:Q51)&gt;=$H520,-P628,MAX(-Q51*Q610,-P628))</f>
        <v>-47240.408000000003</v>
      </c>
      <c r="R619" s="612">
        <f>IF(SUM($I51:R51)&gt;=$H520,-Q628,MAX(-R51*R610,-Q628))</f>
        <v>-49975.385777777781</v>
      </c>
      <c r="S619" s="612">
        <f>IF(SUM($I51:S51)&gt;=$H520,-R628,MAX(-S51*S610,-R628))</f>
        <v>-52710.363555555559</v>
      </c>
      <c r="T619" s="612">
        <f t="shared" ref="T619:AA623" si="364">MAX(-T51*T610,-S628)</f>
        <v>-55445.341333333337</v>
      </c>
      <c r="U619" s="612">
        <f t="shared" si="364"/>
        <v>-58180.319111111115</v>
      </c>
      <c r="V619" s="612">
        <f t="shared" si="364"/>
        <v>-60915.296888888894</v>
      </c>
      <c r="W619" s="612">
        <f t="shared" si="364"/>
        <v>-63650.274666666672</v>
      </c>
      <c r="X619" s="612">
        <f t="shared" si="364"/>
        <v>-66385.252444444457</v>
      </c>
      <c r="Y619" s="612">
        <f t="shared" si="364"/>
        <v>-69120.230222222235</v>
      </c>
      <c r="Z619" s="612">
        <f t="shared" si="364"/>
        <v>-71855.208000000013</v>
      </c>
      <c r="AA619" s="612">
        <f t="shared" si="364"/>
        <v>-74590.185777777791</v>
      </c>
      <c r="AB619" s="612">
        <f>IF(AB$4='7. Scenario Detailed'!$F$12+$L$4-1,-AA628,MAX(-AB51*AB610,-AA628))</f>
        <v>-140975.43822222226</v>
      </c>
      <c r="AC619" s="612">
        <f>MAX(-AC51*AC610,-AB628)</f>
        <v>0</v>
      </c>
      <c r="AD619" s="633">
        <f>SUM(I619:AC619)</f>
        <v>-1764801.2933333335</v>
      </c>
    </row>
    <row r="620" spans="1:30" x14ac:dyDescent="0.45">
      <c r="A620" s="984"/>
      <c r="B620" s="626" t="str">
        <f t="shared" si="312"/>
        <v>Rent</v>
      </c>
      <c r="D620" s="583" t="str">
        <f>'12. Inputs-Props &amp; Debtors 2016'!C$78</f>
        <v>FS</v>
      </c>
      <c r="I620" s="612">
        <f>IF(SUM($I52:I52)&gt;=$H521,-H629,MAX(-I52*I611,-H629))</f>
        <v>-68458.950833333336</v>
      </c>
      <c r="J620" s="612">
        <f>IF(SUM($I52:J52)&gt;=$H521,-I629,MAX(-J52*J611,-I629))</f>
        <v>-73856.355833333335</v>
      </c>
      <c r="K620" s="612">
        <f>IF(SUM($I52:K52)&gt;=$H521,-J629,MAX(-K52*K611,-J629))</f>
        <v>-79253.760833333334</v>
      </c>
      <c r="L620" s="612">
        <f>IF(SUM($I52:L52)&gt;=$H521,-K629,MAX(-L52*L611,-K629))</f>
        <v>-84651.165833333333</v>
      </c>
      <c r="M620" s="612">
        <f>IF(SUM($I52:M52)&gt;=$H521,-L629,MAX(-M52*M611,-L629))</f>
        <v>-90048.570833333331</v>
      </c>
      <c r="N620" s="612">
        <f>IF(SUM($I52:N52)&gt;=$H521,-M629,MAX(-N52*N611,-M629))</f>
        <v>-95445.97583333333</v>
      </c>
      <c r="O620" s="612">
        <f>IF(SUM($I52:O52)&gt;=$H521,-N629,MAX(-O52*O611,-N629))</f>
        <v>-100843.38083333333</v>
      </c>
      <c r="P620" s="612">
        <f>IF(SUM($I52:P52)&gt;=$H521,-O629,MAX(-P52*P611,-O629))</f>
        <v>-106240.78583333333</v>
      </c>
      <c r="Q620" s="612">
        <f>IF(SUM($I52:Q52)&gt;=$H521,-P629,MAX(-Q52*Q611,-P629))</f>
        <v>-111638.19083333333</v>
      </c>
      <c r="R620" s="612">
        <f>IF(SUM($I52:R52)&gt;=$H521,-Q629,MAX(-R52*R611,-Q629))</f>
        <v>-117035.59583333333</v>
      </c>
      <c r="S620" s="612">
        <f>IF(SUM($I52:S52)&gt;=$H521,-R629,MAX(-S52*S611,-R629))</f>
        <v>-122433.00083333332</v>
      </c>
      <c r="T620" s="612">
        <f t="shared" si="364"/>
        <v>-127830.40583333332</v>
      </c>
      <c r="U620" s="612">
        <f t="shared" si="364"/>
        <v>-133227.81083333332</v>
      </c>
      <c r="V620" s="612">
        <f t="shared" si="364"/>
        <v>-138625.21583333332</v>
      </c>
      <c r="W620" s="612">
        <f t="shared" si="364"/>
        <v>-144022.62083333332</v>
      </c>
      <c r="X620" s="612">
        <f t="shared" si="364"/>
        <v>-149420.02583333332</v>
      </c>
      <c r="Y620" s="612">
        <f t="shared" si="364"/>
        <v>-154817.43083333332</v>
      </c>
      <c r="Z620" s="612">
        <f t="shared" si="364"/>
        <v>-160214.83583333332</v>
      </c>
      <c r="AA620" s="612">
        <f t="shared" si="364"/>
        <v>-165612.24083333332</v>
      </c>
      <c r="AB620" s="612">
        <f>IF(AB$4='7. Scenario Detailed'!$F$12+$L$4-1,-AA629,MAX(-AB52*AB611,-AA629))</f>
        <v>-811868.98916666652</v>
      </c>
      <c r="AC620" s="612">
        <f>MAX(-AC52*AC611,-AB629)</f>
        <v>0</v>
      </c>
      <c r="AD620" s="633">
        <f>SUM(I620:AC620)</f>
        <v>-3035545.3099999996</v>
      </c>
    </row>
    <row r="621" spans="1:30" x14ac:dyDescent="0.45">
      <c r="A621" s="984"/>
      <c r="B621" s="626" t="str">
        <f t="shared" si="312"/>
        <v>Rent</v>
      </c>
      <c r="D621" s="583" t="str">
        <f>'12. Inputs-Props &amp; Debtors 2016'!C$79</f>
        <v>Gau</v>
      </c>
      <c r="I621" s="612">
        <f>IF(SUM($I53:I53)&gt;=$H522,-H630,MAX(-I53*I612,-H630))</f>
        <v>-1692600.8684179457</v>
      </c>
      <c r="J621" s="612">
        <f>IF(SUM($I53:J53)&gt;=$H522,-I630,MAX(-J53*J612,-I630))</f>
        <v>-1780316.133205431</v>
      </c>
      <c r="K621" s="612">
        <f>IF(SUM($I53:K53)&gt;=$H522,-J630,MAX(-K53*K612,-J630))</f>
        <v>-1868031.3979929164</v>
      </c>
      <c r="L621" s="612">
        <f>IF(SUM($I53:L53)&gt;=$H522,-K630,MAX(-L53*L612,-K630))</f>
        <v>-2047781.7998524206</v>
      </c>
      <c r="M621" s="612">
        <f>IF(SUM($I53:M53)&gt;=$H522,-L630,MAX(-M53*M612,-L630))</f>
        <v>-2139624.8418063759</v>
      </c>
      <c r="N621" s="612">
        <f>IF(SUM($I53:N53)&gt;=$H522,-M630,MAX(-N53*N612,-M630))</f>
        <v>-2231467.8837603307</v>
      </c>
      <c r="O621" s="612">
        <f>IF(SUM($I53:O53)&gt;=$H522,-N630,MAX(-O53*O612,-N630))</f>
        <v>-2323310.925714286</v>
      </c>
      <c r="P621" s="612">
        <f>IF(SUM($I53:P53)&gt;=$H522,-O630,MAX(-P53*P612,-O630))</f>
        <v>-2415153.9676682414</v>
      </c>
      <c r="Q621" s="612">
        <f>IF(SUM($I53:Q53)&gt;=$H522,-P630,MAX(-Q53*Q612,-P630))</f>
        <v>-2506997.0096221967</v>
      </c>
      <c r="R621" s="612">
        <f>IF(SUM($I53:R53)&gt;=$H522,-Q630,MAX(-R53*R612,-Q630))</f>
        <v>-2598840.0515761515</v>
      </c>
      <c r="S621" s="612">
        <f>IF(SUM($I53:S53)&gt;=$H522,-R630,MAX(-S53*S612,-R630))</f>
        <v>-2690683.0935301068</v>
      </c>
      <c r="T621" s="612">
        <f t="shared" si="364"/>
        <v>-2782526.1354840621</v>
      </c>
      <c r="U621" s="612">
        <f t="shared" si="364"/>
        <v>-2874369.177438017</v>
      </c>
      <c r="V621" s="612">
        <f t="shared" si="364"/>
        <v>-2966212.2193919723</v>
      </c>
      <c r="W621" s="612">
        <f t="shared" si="364"/>
        <v>-3058055.2613459276</v>
      </c>
      <c r="X621" s="612">
        <f t="shared" si="364"/>
        <v>-3149898.3032998829</v>
      </c>
      <c r="Y621" s="612">
        <f t="shared" si="364"/>
        <v>-3241741.3452538378</v>
      </c>
      <c r="Z621" s="612">
        <f t="shared" si="364"/>
        <v>-3333584.3872077931</v>
      </c>
      <c r="AA621" s="612">
        <f t="shared" si="364"/>
        <v>-3425427.4291617484</v>
      </c>
      <c r="AB621" s="612">
        <f>IF(AB$4='7. Scenario Detailed'!$F$12+$L$4-1,-AA630,MAX(-AB53*AB612,-AA630))</f>
        <v>-301790.10377213109</v>
      </c>
      <c r="AC621" s="612">
        <f>MAX(-AC53*AC612,-AB630)</f>
        <v>0</v>
      </c>
      <c r="AD621" s="633">
        <f>SUM(I621:AC621)</f>
        <v>-49428412.335501783</v>
      </c>
    </row>
    <row r="622" spans="1:30" x14ac:dyDescent="0.45">
      <c r="A622" s="984"/>
      <c r="B622" s="626" t="str">
        <f t="shared" si="312"/>
        <v>Rent</v>
      </c>
      <c r="D622" s="583" t="str">
        <f>'12. Inputs-Props &amp; Debtors 2016'!C$80</f>
        <v>KZN</v>
      </c>
      <c r="I622" s="612">
        <f>IF(SUM($I54:I54)&gt;=$H523,-H631,MAX(-I54*I613,-H631))</f>
        <v>-5242236.0226609446</v>
      </c>
      <c r="J622" s="612">
        <f>IF(SUM($I54:J54)&gt;=$H523,-I631,MAX(-J54*J613,-I631))</f>
        <v>-5521268.6902536098</v>
      </c>
      <c r="K622" s="612">
        <f>IF(SUM($I54:K54)&gt;=$H523,-J631,MAX(-K54*K613,-J631))</f>
        <v>-5800301.357846275</v>
      </c>
      <c r="L622" s="612">
        <f>IF(SUM($I54:L54)&gt;=$H523,-K631,MAX(-L54*L613,-K631))</f>
        <v>-2659708.6361295362</v>
      </c>
      <c r="M622" s="612">
        <f>IF(SUM($I54:M54)&gt;=$H523,-L631,MAX(-M54*M613,-L631))</f>
        <v>-2781785.4282013271</v>
      </c>
      <c r="N622" s="612">
        <f>IF(SUM($I54:N54)&gt;=$H523,-M631,MAX(-N54*N613,-M631))</f>
        <v>-2903862.2202731185</v>
      </c>
      <c r="O622" s="612">
        <f>IF(SUM($I54:O54)&gt;=$H523,-N631,MAX(-O54*O613,-N631))</f>
        <v>-3025939.0123449094</v>
      </c>
      <c r="P622" s="612">
        <f>IF(SUM($I54:P54)&gt;=$H523,-O631,MAX(-P54*P613,-O631))</f>
        <v>-3148015.8044167003</v>
      </c>
      <c r="Q622" s="612">
        <f>IF(SUM($I54:Q54)&gt;=$H523,-P631,MAX(-Q54*Q613,-P631))</f>
        <v>-3270092.5964884916</v>
      </c>
      <c r="R622" s="612">
        <f>IF(SUM($I54:R54)&gt;=$H523,-Q631,MAX(-R54*R613,-Q631))</f>
        <v>-3392169.3885602825</v>
      </c>
      <c r="S622" s="612">
        <f>IF(SUM($I54:S54)&gt;=$H523,-R631,MAX(-S54*S613,-R631))</f>
        <v>-3514246.1806320734</v>
      </c>
      <c r="T622" s="612">
        <f t="shared" si="364"/>
        <v>-3636322.9727038643</v>
      </c>
      <c r="U622" s="612">
        <f t="shared" si="364"/>
        <v>-3758399.7647756552</v>
      </c>
      <c r="V622" s="612">
        <f t="shared" si="364"/>
        <v>-3880476.5568474466</v>
      </c>
      <c r="W622" s="612">
        <f t="shared" si="364"/>
        <v>-4002553.3489192375</v>
      </c>
      <c r="X622" s="612">
        <f t="shared" si="364"/>
        <v>-4124630.1409910284</v>
      </c>
      <c r="Y622" s="612">
        <f t="shared" si="364"/>
        <v>-4246706.9330628198</v>
      </c>
      <c r="Z622" s="612">
        <f t="shared" si="364"/>
        <v>-4368783.7251346102</v>
      </c>
      <c r="AA622" s="612">
        <f t="shared" si="364"/>
        <v>-4119574.3415567535</v>
      </c>
      <c r="AB622" s="612">
        <f>IF(AB$4='7. Scenario Detailed'!$F$12+$L$4-1,-AA631,MAX(-AB54*AB613,-AA631))</f>
        <v>-125346.70614514244</v>
      </c>
      <c r="AC622" s="612">
        <f>MAX(-AC54*AC613,-AB631)</f>
        <v>0</v>
      </c>
      <c r="AD622" s="633">
        <f>SUM(I622:AC622)</f>
        <v>-73522419.827943832</v>
      </c>
    </row>
    <row r="623" spans="1:30" x14ac:dyDescent="0.45">
      <c r="A623" s="984"/>
      <c r="B623" s="626" t="str">
        <f t="shared" si="312"/>
        <v>Rent</v>
      </c>
      <c r="D623" s="583" t="str">
        <f>'12. Inputs-Props &amp; Debtors 2016'!C$81</f>
        <v>WC</v>
      </c>
      <c r="I623" s="612">
        <f>IF(SUM($I55:I55)&gt;=$H524,-H632,MAX(-I55*I614,-H632))</f>
        <v>-2702341.6400000006</v>
      </c>
      <c r="J623" s="612">
        <f>IF(SUM($I55:J55)&gt;=$H524,-I632,MAX(-J55*J614,-I632))</f>
        <v>-2964535.8080000011</v>
      </c>
      <c r="K623" s="612">
        <f>IF(SUM($I55:K55)&gt;=$H524,-J632,MAX(-K55*K614,-J632))</f>
        <v>-2425319.9166013082</v>
      </c>
      <c r="L623" s="612">
        <f>IF(SUM($I55:L55)&gt;=$H524,-K632,MAX(-L55*L614,-K632))</f>
        <v>-478871.94133333355</v>
      </c>
      <c r="M623" s="612">
        <f>IF(SUM($I55:M55)&gt;=$H524,-L632,MAX(-M55*M614,-L632))</f>
        <v>-514859.37615686306</v>
      </c>
      <c r="N623" s="612">
        <f>IF(SUM($I55:N55)&gt;=$H524,-M632,MAX(-N55*N614,-M632))</f>
        <v>-550846.8109803925</v>
      </c>
      <c r="O623" s="612">
        <f>IF(SUM($I55:O55)&gt;=$H524,-N632,MAX(-O55*O614,-N632))</f>
        <v>-586834.24580392195</v>
      </c>
      <c r="P623" s="612">
        <f>IF(SUM($I55:P55)&gt;=$H524,-O632,MAX(-P55*P614,-O632))</f>
        <v>-622821.68062745139</v>
      </c>
      <c r="Q623" s="612">
        <f>IF(SUM($I55:Q55)&gt;=$H524,-P632,MAX(-Q55*Q614,-P632))</f>
        <v>-658809.11545098096</v>
      </c>
      <c r="R623" s="612">
        <f>IF(SUM($I55:R55)&gt;=$H524,-Q632,MAX(-R55*R614,-Q632))</f>
        <v>-694796.5502745104</v>
      </c>
      <c r="S623" s="612">
        <f>IF(SUM($I55:S55)&gt;=$H524,-R632,MAX(-S55*S614,-R632))</f>
        <v>-730783.98509803985</v>
      </c>
      <c r="T623" s="612">
        <f t="shared" si="364"/>
        <v>-766771.41992156929</v>
      </c>
      <c r="U623" s="612">
        <f t="shared" si="364"/>
        <v>-802758.85474509874</v>
      </c>
      <c r="V623" s="612">
        <f t="shared" si="364"/>
        <v>-838746.2895686283</v>
      </c>
      <c r="W623" s="612">
        <f t="shared" si="364"/>
        <v>-874733.72439215775</v>
      </c>
      <c r="X623" s="612">
        <f t="shared" si="364"/>
        <v>-910721.15921568719</v>
      </c>
      <c r="Y623" s="612">
        <f t="shared" si="364"/>
        <v>-946708.59403921664</v>
      </c>
      <c r="Z623" s="612">
        <f t="shared" si="364"/>
        <v>-982696.02886274608</v>
      </c>
      <c r="AA623" s="612">
        <f t="shared" si="364"/>
        <v>-1018683.4636862755</v>
      </c>
      <c r="AB623" s="612">
        <f>IF(AB$4='7. Scenario Detailed'!$F$12+$L$4-1,-AA632,MAX(-AB55*AB614,-AA632))</f>
        <v>-280107.5864575138</v>
      </c>
      <c r="AC623" s="612">
        <f>MAX(-AC55*AC614,-AB632)</f>
        <v>0</v>
      </c>
      <c r="AD623" s="633">
        <f>SUM(I623:AC623)</f>
        <v>-20352748.191215698</v>
      </c>
    </row>
    <row r="624" spans="1:30" ht="14.65" thickBot="1" x14ac:dyDescent="0.5">
      <c r="A624" s="984"/>
      <c r="B624" s="626" t="str">
        <f t="shared" si="312"/>
        <v>Rent</v>
      </c>
      <c r="D624" s="596" t="s">
        <v>11</v>
      </c>
      <c r="I624" s="613">
        <f t="shared" ref="I624:AC624" si="365">-I56*I615*0+SUM(I619:I623)</f>
        <v>-9933882.7539122254</v>
      </c>
      <c r="J624" s="613">
        <f t="shared" si="365"/>
        <v>-10592837.059292376</v>
      </c>
      <c r="K624" s="613">
        <f t="shared" si="365"/>
        <v>-10450381.305273833</v>
      </c>
      <c r="L624" s="613">
        <f t="shared" si="365"/>
        <v>-5304579.0622597346</v>
      </c>
      <c r="M624" s="613">
        <f t="shared" si="365"/>
        <v>-5562618.7138867881</v>
      </c>
      <c r="N624" s="613">
        <f t="shared" si="365"/>
        <v>-5820658.3655138416</v>
      </c>
      <c r="O624" s="613">
        <f t="shared" si="365"/>
        <v>-6078698.0171408951</v>
      </c>
      <c r="P624" s="613">
        <f t="shared" si="365"/>
        <v>-6336737.6687679486</v>
      </c>
      <c r="Q624" s="613">
        <f t="shared" si="365"/>
        <v>-6594777.3203950031</v>
      </c>
      <c r="R624" s="613">
        <f t="shared" si="365"/>
        <v>-6852816.9720220547</v>
      </c>
      <c r="S624" s="613">
        <f t="shared" si="365"/>
        <v>-7110856.6236491092</v>
      </c>
      <c r="T624" s="613">
        <f t="shared" si="365"/>
        <v>-7368896.2752761627</v>
      </c>
      <c r="U624" s="613">
        <f t="shared" si="365"/>
        <v>-7626935.9269032152</v>
      </c>
      <c r="V624" s="613">
        <f t="shared" si="365"/>
        <v>-7884975.5785302697</v>
      </c>
      <c r="W624" s="613">
        <f t="shared" si="365"/>
        <v>-8143015.2301573232</v>
      </c>
      <c r="X624" s="613">
        <f t="shared" si="365"/>
        <v>-8401054.8817843758</v>
      </c>
      <c r="Y624" s="613">
        <f t="shared" si="365"/>
        <v>-8659094.5334114302</v>
      </c>
      <c r="Z624" s="613">
        <f t="shared" si="365"/>
        <v>-8917134.1850384828</v>
      </c>
      <c r="AA624" s="613">
        <f t="shared" si="365"/>
        <v>-8803887.6610158887</v>
      </c>
      <c r="AB624" s="613">
        <f t="shared" si="365"/>
        <v>-1660088.823763676</v>
      </c>
      <c r="AC624" s="613">
        <f t="shared" si="365"/>
        <v>0</v>
      </c>
      <c r="AD624" s="777">
        <f>SUM(AD619:AD623)</f>
        <v>-148103926.95799464</v>
      </c>
    </row>
    <row r="625" spans="2:29" ht="14.65" thickTop="1" x14ac:dyDescent="0.45">
      <c r="B625" s="626" t="str">
        <f t="shared" si="312"/>
        <v>Rent</v>
      </c>
      <c r="I625" s="612"/>
      <c r="J625" s="612"/>
      <c r="K625" s="612"/>
      <c r="L625" s="612"/>
    </row>
    <row r="626" spans="2:29" x14ac:dyDescent="0.45">
      <c r="B626" s="626" t="str">
        <f t="shared" si="312"/>
        <v>Rent</v>
      </c>
    </row>
    <row r="627" spans="2:29" x14ac:dyDescent="0.45">
      <c r="B627" s="626" t="str">
        <f t="shared" si="312"/>
        <v>Rent</v>
      </c>
      <c r="C627" s="451">
        <f>C618+1</f>
        <v>66</v>
      </c>
      <c r="D627" s="591" t="s">
        <v>1045</v>
      </c>
    </row>
    <row r="628" spans="2:29" x14ac:dyDescent="0.45">
      <c r="B628" s="626" t="str">
        <f t="shared" si="312"/>
        <v>Rent</v>
      </c>
      <c r="D628" s="583" t="str">
        <f>'12. Inputs-Props &amp; Debtors 2016'!C$77</f>
        <v>EC</v>
      </c>
      <c r="H628" s="649">
        <f>'12. Inputs-Props &amp; Debtors 2016'!$G$91</f>
        <v>1018152.36</v>
      </c>
      <c r="I628" s="633">
        <f t="shared" ref="I628:AC628" si="366">H628+I619+I601</f>
        <v>912981.08799999999</v>
      </c>
      <c r="J628" s="633">
        <f t="shared" si="366"/>
        <v>758580.21600000001</v>
      </c>
      <c r="K628" s="633">
        <f t="shared" si="366"/>
        <v>554949.74399999995</v>
      </c>
      <c r="L628" s="633">
        <f t="shared" si="366"/>
        <v>567878.84711111104</v>
      </c>
      <c r="M628" s="633">
        <f t="shared" si="366"/>
        <v>575337.99466666661</v>
      </c>
      <c r="N628" s="633">
        <f t="shared" si="366"/>
        <v>577327.18666666653</v>
      </c>
      <c r="O628" s="633">
        <f t="shared" si="366"/>
        <v>576581.40088888875</v>
      </c>
      <c r="P628" s="633">
        <f t="shared" si="366"/>
        <v>570365.65955555544</v>
      </c>
      <c r="Q628" s="633">
        <f t="shared" si="366"/>
        <v>558679.9626666666</v>
      </c>
      <c r="R628" s="633">
        <f t="shared" si="366"/>
        <v>541524.31022222224</v>
      </c>
      <c r="S628" s="633">
        <f t="shared" si="366"/>
        <v>518898.70222222223</v>
      </c>
      <c r="T628" s="633">
        <f t="shared" si="366"/>
        <v>490803.13866666669</v>
      </c>
      <c r="U628" s="633">
        <f t="shared" si="366"/>
        <v>457237.61955555558</v>
      </c>
      <c r="V628" s="633">
        <f t="shared" si="366"/>
        <v>418202.14488888893</v>
      </c>
      <c r="W628" s="633">
        <f t="shared" si="366"/>
        <v>373696.7146666667</v>
      </c>
      <c r="X628" s="633">
        <f t="shared" si="366"/>
        <v>323721.32888888894</v>
      </c>
      <c r="Y628" s="633">
        <f t="shared" si="366"/>
        <v>268275.98755555559</v>
      </c>
      <c r="Z628" s="633">
        <f t="shared" si="366"/>
        <v>207360.69066666669</v>
      </c>
      <c r="AA628" s="979">
        <f t="shared" si="366"/>
        <v>140975.43822222226</v>
      </c>
      <c r="AB628" s="979">
        <f t="shared" si="366"/>
        <v>0</v>
      </c>
      <c r="AC628" s="633">
        <f t="shared" si="366"/>
        <v>0</v>
      </c>
    </row>
    <row r="629" spans="2:29" x14ac:dyDescent="0.45">
      <c r="B629" s="626" t="str">
        <f t="shared" si="312"/>
        <v>Rent</v>
      </c>
      <c r="D629" s="583" t="str">
        <f>'12. Inputs-Props &amp; Debtors 2016'!C$78</f>
        <v>FS</v>
      </c>
      <c r="H629" s="649">
        <f>'12. Inputs-Props &amp; Debtors 2016'!$H$91</f>
        <v>1513477.1</v>
      </c>
      <c r="I629" s="633">
        <f t="shared" ref="I629:AC629" si="367">H629+I620+I602</f>
        <v>1574555.8691666666</v>
      </c>
      <c r="J629" s="633">
        <f t="shared" si="367"/>
        <v>1624839.8283333331</v>
      </c>
      <c r="K629" s="633">
        <f t="shared" si="367"/>
        <v>1664328.9774999998</v>
      </c>
      <c r="L629" s="633">
        <f t="shared" si="367"/>
        <v>1687625.9116666666</v>
      </c>
      <c r="M629" s="633">
        <f t="shared" si="367"/>
        <v>1700128.0358333334</v>
      </c>
      <c r="N629" s="633">
        <f t="shared" si="367"/>
        <v>1701835.35</v>
      </c>
      <c r="O629" s="633">
        <f t="shared" si="367"/>
        <v>1698145.2591666668</v>
      </c>
      <c r="P629" s="633">
        <f t="shared" si="367"/>
        <v>1683660.3583333334</v>
      </c>
      <c r="Q629" s="633">
        <f t="shared" si="367"/>
        <v>1658380.6475</v>
      </c>
      <c r="R629" s="633">
        <f t="shared" si="367"/>
        <v>1622306.1266666667</v>
      </c>
      <c r="S629" s="633">
        <f t="shared" si="367"/>
        <v>1575436.7958333334</v>
      </c>
      <c r="T629" s="633">
        <f t="shared" si="367"/>
        <v>1517772.655</v>
      </c>
      <c r="U629" s="633">
        <f t="shared" si="367"/>
        <v>1449313.7041666666</v>
      </c>
      <c r="V629" s="633">
        <f t="shared" si="367"/>
        <v>1370059.9433333334</v>
      </c>
      <c r="W629" s="633">
        <f t="shared" si="367"/>
        <v>1280011.3725000001</v>
      </c>
      <c r="X629" s="633">
        <f t="shared" si="367"/>
        <v>1179167.9916666667</v>
      </c>
      <c r="Y629" s="633">
        <f t="shared" si="367"/>
        <v>1067529.8008333333</v>
      </c>
      <c r="Z629" s="633">
        <f t="shared" si="367"/>
        <v>945096.79999999993</v>
      </c>
      <c r="AA629" s="979">
        <f t="shared" si="367"/>
        <v>811868.98916666652</v>
      </c>
      <c r="AB629" s="979">
        <f t="shared" si="367"/>
        <v>0</v>
      </c>
      <c r="AC629" s="633">
        <f t="shared" si="367"/>
        <v>0</v>
      </c>
    </row>
    <row r="630" spans="2:29" x14ac:dyDescent="0.45">
      <c r="B630" s="626" t="str">
        <f t="shared" si="312"/>
        <v>Rent</v>
      </c>
      <c r="D630" s="583" t="str">
        <f>'12. Inputs-Props &amp; Debtors 2016'!C$79</f>
        <v>Gau</v>
      </c>
      <c r="H630" s="649">
        <f>'12. Inputs-Props &amp; Debtors 2016'!$I$91</f>
        <v>31984426.030000001</v>
      </c>
      <c r="I630" s="633">
        <f t="shared" ref="I630:AC630" si="368">H630+I621+I603</f>
        <v>32039938.791582055</v>
      </c>
      <c r="J630" s="633">
        <f t="shared" si="368"/>
        <v>31920021.023589138</v>
      </c>
      <c r="K630" s="633">
        <f t="shared" si="368"/>
        <v>31624672.726021253</v>
      </c>
      <c r="L630" s="633">
        <f t="shared" si="368"/>
        <v>30970015.719852421</v>
      </c>
      <c r="M630" s="633">
        <f t="shared" si="368"/>
        <v>30131672.629775681</v>
      </c>
      <c r="N630" s="633">
        <f t="shared" si="368"/>
        <v>29109643.45579103</v>
      </c>
      <c r="O630" s="633">
        <f t="shared" si="368"/>
        <v>27995771.239852421</v>
      </c>
      <c r="P630" s="633">
        <f t="shared" si="368"/>
        <v>26698212.940005902</v>
      </c>
      <c r="Q630" s="633">
        <f t="shared" si="368"/>
        <v>25216968.556251474</v>
      </c>
      <c r="R630" s="633">
        <f t="shared" si="368"/>
        <v>23552038.088589136</v>
      </c>
      <c r="S630" s="633">
        <f t="shared" si="368"/>
        <v>21703421.537018888</v>
      </c>
      <c r="T630" s="633">
        <f t="shared" si="368"/>
        <v>19671118.90154073</v>
      </c>
      <c r="U630" s="633">
        <f t="shared" si="368"/>
        <v>17455130.182154663</v>
      </c>
      <c r="V630" s="633">
        <f t="shared" si="368"/>
        <v>15055455.378860684</v>
      </c>
      <c r="W630" s="633">
        <f t="shared" si="368"/>
        <v>12472094.491658794</v>
      </c>
      <c r="X630" s="633">
        <f t="shared" si="368"/>
        <v>9705047.5205489937</v>
      </c>
      <c r="Y630" s="633">
        <f t="shared" si="368"/>
        <v>6754314.4655312831</v>
      </c>
      <c r="Z630" s="633">
        <f t="shared" si="368"/>
        <v>3619895.3266056622</v>
      </c>
      <c r="AA630" s="979">
        <f t="shared" si="368"/>
        <v>301790.10377213109</v>
      </c>
      <c r="AB630" s="979">
        <f t="shared" si="368"/>
        <v>0</v>
      </c>
      <c r="AC630" s="633">
        <f t="shared" si="368"/>
        <v>0</v>
      </c>
    </row>
    <row r="631" spans="2:29" x14ac:dyDescent="0.45">
      <c r="B631" s="626" t="str">
        <f t="shared" si="312"/>
        <v>Rent</v>
      </c>
      <c r="D631" s="583" t="str">
        <f>'12. Inputs-Props &amp; Debtors 2016'!C$80</f>
        <v>KZN</v>
      </c>
      <c r="H631" s="649">
        <f>'12. Inputs-Props &amp; Debtors 2016'!$J$91</f>
        <v>49690196.090000004</v>
      </c>
      <c r="I631" s="633">
        <f t="shared" ref="I631:AC631" si="369">H631+I622+I604</f>
        <v>47241556.657339066</v>
      </c>
      <c r="J631" s="633">
        <f t="shared" si="369"/>
        <v>44234851.889492795</v>
      </c>
      <c r="K631" s="633">
        <f t="shared" si="369"/>
        <v>40670081.786461189</v>
      </c>
      <c r="L631" s="633">
        <f t="shared" si="369"/>
        <v>39844794.945481867</v>
      </c>
      <c r="M631" s="633">
        <f t="shared" si="369"/>
        <v>38775354.520358965</v>
      </c>
      <c r="N631" s="633">
        <f t="shared" si="369"/>
        <v>37461760.511092477</v>
      </c>
      <c r="O631" s="633">
        <f t="shared" si="369"/>
        <v>36026089.709754199</v>
      </c>
      <c r="P631" s="633">
        <f t="shared" si="369"/>
        <v>34346265.324272342</v>
      </c>
      <c r="Q631" s="633">
        <f t="shared" si="369"/>
        <v>32422287.354646903</v>
      </c>
      <c r="R631" s="633">
        <f t="shared" si="369"/>
        <v>30254155.80087788</v>
      </c>
      <c r="S631" s="633">
        <f t="shared" si="369"/>
        <v>27841870.662965275</v>
      </c>
      <c r="T631" s="633">
        <f t="shared" si="369"/>
        <v>25185431.940909091</v>
      </c>
      <c r="U631" s="633">
        <f t="shared" si="369"/>
        <v>22284839.634709321</v>
      </c>
      <c r="V631" s="633">
        <f t="shared" si="369"/>
        <v>19140093.744365972</v>
      </c>
      <c r="W631" s="633">
        <f t="shared" si="369"/>
        <v>15751194.269879039</v>
      </c>
      <c r="X631" s="633">
        <f t="shared" si="369"/>
        <v>12118141.211248526</v>
      </c>
      <c r="Y631" s="633">
        <f t="shared" si="369"/>
        <v>8240934.5684744306</v>
      </c>
      <c r="Z631" s="633">
        <f t="shared" si="369"/>
        <v>4119574.3415567535</v>
      </c>
      <c r="AA631" s="979">
        <f t="shared" si="369"/>
        <v>125346.70614514244</v>
      </c>
      <c r="AB631" s="979">
        <f t="shared" si="369"/>
        <v>0</v>
      </c>
      <c r="AC631" s="633">
        <f t="shared" si="369"/>
        <v>0</v>
      </c>
    </row>
    <row r="632" spans="2:29" x14ac:dyDescent="0.45">
      <c r="B632" s="626" t="str">
        <f t="shared" si="312"/>
        <v>Rent</v>
      </c>
      <c r="D632" s="583" t="str">
        <f>'12. Inputs-Props &amp; Debtors 2016'!C$81</f>
        <v>WC</v>
      </c>
      <c r="H632" s="649">
        <f>'12. Inputs-Props &amp; Debtors 2016'!$K$91</f>
        <v>12200737.359999999</v>
      </c>
      <c r="I632" s="633">
        <f t="shared" ref="I632:AC632" si="370">H632+I623+I605</f>
        <v>10809366.560000001</v>
      </c>
      <c r="J632" s="633">
        <f t="shared" si="370"/>
        <v>8893607.4240000006</v>
      </c>
      <c r="K632" s="633">
        <f t="shared" si="370"/>
        <v>7254870.0113986935</v>
      </c>
      <c r="L632" s="633">
        <f t="shared" si="370"/>
        <v>7329519.0913986936</v>
      </c>
      <c r="M632" s="633">
        <f t="shared" si="370"/>
        <v>7332193.301751636</v>
      </c>
      <c r="N632" s="633">
        <f t="shared" si="370"/>
        <v>7262892.6424575187</v>
      </c>
      <c r="O632" s="633">
        <f t="shared" si="370"/>
        <v>7157604.5483398717</v>
      </c>
      <c r="P632" s="633">
        <f t="shared" si="370"/>
        <v>6980341.584575166</v>
      </c>
      <c r="Q632" s="633">
        <f t="shared" si="370"/>
        <v>6731103.7511634007</v>
      </c>
      <c r="R632" s="633">
        <f t="shared" si="370"/>
        <v>6409891.0481045777</v>
      </c>
      <c r="S632" s="633">
        <f t="shared" si="370"/>
        <v>6016703.4753986951</v>
      </c>
      <c r="T632" s="633">
        <f t="shared" si="370"/>
        <v>5551541.0330457538</v>
      </c>
      <c r="U632" s="633">
        <f t="shared" si="370"/>
        <v>5014403.7210457539</v>
      </c>
      <c r="V632" s="633">
        <f t="shared" si="370"/>
        <v>4405291.5393986944</v>
      </c>
      <c r="W632" s="633">
        <f t="shared" si="370"/>
        <v>3724204.4881045758</v>
      </c>
      <c r="X632" s="633">
        <f t="shared" si="370"/>
        <v>2971142.5671633985</v>
      </c>
      <c r="Y632" s="633">
        <f t="shared" si="370"/>
        <v>2146105.7765751625</v>
      </c>
      <c r="Z632" s="633">
        <f t="shared" si="370"/>
        <v>1249094.1163398677</v>
      </c>
      <c r="AA632" s="979">
        <f t="shared" si="370"/>
        <v>280107.5864575138</v>
      </c>
      <c r="AB632" s="979">
        <f t="shared" si="370"/>
        <v>0</v>
      </c>
      <c r="AC632" s="633">
        <f t="shared" si="370"/>
        <v>0</v>
      </c>
    </row>
    <row r="633" spans="2:29" x14ac:dyDescent="0.45">
      <c r="B633" s="626" t="str">
        <f t="shared" si="312"/>
        <v>Rent</v>
      </c>
      <c r="D633" s="596" t="s">
        <v>11</v>
      </c>
      <c r="H633" s="634">
        <f t="shared" ref="H633:Q633" si="371">SUM(H628:H632)</f>
        <v>96406988.940000013</v>
      </c>
      <c r="I633" s="634">
        <f t="shared" si="371"/>
        <v>92578398.966087788</v>
      </c>
      <c r="J633" s="634">
        <f t="shared" si="371"/>
        <v>87431900.381415263</v>
      </c>
      <c r="K633" s="634">
        <f t="shared" si="371"/>
        <v>81768903.245381132</v>
      </c>
      <c r="L633" s="634">
        <f t="shared" si="371"/>
        <v>80399834.515510768</v>
      </c>
      <c r="M633" s="634">
        <f t="shared" si="371"/>
        <v>78514686.482386291</v>
      </c>
      <c r="N633" s="634">
        <f t="shared" si="371"/>
        <v>76113459.146007687</v>
      </c>
      <c r="O633" s="634">
        <f t="shared" si="371"/>
        <v>73454192.158002049</v>
      </c>
      <c r="P633" s="634">
        <f t="shared" si="371"/>
        <v>70278845.866742298</v>
      </c>
      <c r="Q633" s="634">
        <f t="shared" si="371"/>
        <v>66587420.272228442</v>
      </c>
      <c r="R633" s="634">
        <f t="shared" ref="R633:AB633" si="372">SUM(R628:R632)</f>
        <v>62379915.374460481</v>
      </c>
      <c r="S633" s="634">
        <f t="shared" si="372"/>
        <v>57656331.173438415</v>
      </c>
      <c r="T633" s="634">
        <f t="shared" si="372"/>
        <v>52416667.669162244</v>
      </c>
      <c r="U633" s="634">
        <f t="shared" si="372"/>
        <v>46660924.86163196</v>
      </c>
      <c r="V633" s="634">
        <f t="shared" si="372"/>
        <v>40389102.750847571</v>
      </c>
      <c r="W633" s="634">
        <f t="shared" si="372"/>
        <v>33601201.336809076</v>
      </c>
      <c r="X633" s="634">
        <f t="shared" si="372"/>
        <v>26297220.619516477</v>
      </c>
      <c r="Y633" s="634">
        <f t="shared" si="372"/>
        <v>18477160.598969765</v>
      </c>
      <c r="Z633" s="634">
        <f t="shared" si="372"/>
        <v>10141021.27516895</v>
      </c>
      <c r="AA633" s="634">
        <f t="shared" si="372"/>
        <v>1660088.823763676</v>
      </c>
      <c r="AB633" s="634">
        <f t="shared" si="372"/>
        <v>0</v>
      </c>
      <c r="AC633" s="634">
        <f>SUM(AC628:AC632)</f>
        <v>0</v>
      </c>
    </row>
    <row r="634" spans="2:29" x14ac:dyDescent="0.45">
      <c r="B634" s="626" t="str">
        <f t="shared" si="312"/>
        <v>Rent</v>
      </c>
    </row>
    <row r="635" spans="2:29" x14ac:dyDescent="0.45">
      <c r="B635" s="626" t="str">
        <f t="shared" si="312"/>
        <v>Rent</v>
      </c>
    </row>
    <row r="636" spans="2:29" x14ac:dyDescent="0.45">
      <c r="B636" s="626" t="str">
        <f t="shared" si="312"/>
        <v>Rent</v>
      </c>
      <c r="C636" s="451">
        <f>C627+1</f>
        <v>67</v>
      </c>
      <c r="D636" s="583" t="s">
        <v>1071</v>
      </c>
    </row>
    <row r="637" spans="2:29" x14ac:dyDescent="0.45">
      <c r="B637" s="626" t="str">
        <f t="shared" si="312"/>
        <v>Rent</v>
      </c>
      <c r="D637" s="583" t="str">
        <f>'12. Inputs-Props &amp; Debtors 2016'!C$77</f>
        <v>EC</v>
      </c>
      <c r="F637" s="627">
        <f>'11. Table - Expenditure Review'!I33</f>
        <v>235</v>
      </c>
      <c r="G637" s="627">
        <f>'11. Table - Expenditure Review'!J33</f>
        <v>130</v>
      </c>
      <c r="H637" s="627">
        <f>'11. Table - Expenditure Review'!K33</f>
        <v>90</v>
      </c>
    </row>
    <row r="638" spans="2:29" x14ac:dyDescent="0.45">
      <c r="B638" s="626" t="str">
        <f t="shared" si="312"/>
        <v>Rent</v>
      </c>
      <c r="D638" s="583" t="str">
        <f>'12. Inputs-Props &amp; Debtors 2016'!C$78</f>
        <v>FS</v>
      </c>
      <c r="F638" s="627">
        <f>'11. Table - Expenditure Review'!L33</f>
        <v>0</v>
      </c>
      <c r="G638" s="627">
        <f>'11. Table - Expenditure Review'!M33</f>
        <v>0</v>
      </c>
      <c r="H638" s="627">
        <f>'11. Table - Expenditure Review'!N33</f>
        <v>48</v>
      </c>
    </row>
    <row r="639" spans="2:29" x14ac:dyDescent="0.45">
      <c r="B639" s="626" t="str">
        <f t="shared" si="312"/>
        <v>Rent</v>
      </c>
      <c r="D639" s="583" t="str">
        <f>'12. Inputs-Props &amp; Debtors 2016'!C$79</f>
        <v>Gau</v>
      </c>
      <c r="F639" s="627">
        <f>'11. Table - Expenditure Review'!O33</f>
        <v>0</v>
      </c>
      <c r="G639" s="627">
        <f>'11. Table - Expenditure Review'!P33</f>
        <v>0</v>
      </c>
      <c r="H639" s="627">
        <f>'11. Table - Expenditure Review'!Q33</f>
        <v>1694</v>
      </c>
    </row>
    <row r="640" spans="2:29" x14ac:dyDescent="0.45">
      <c r="B640" s="626" t="str">
        <f t="shared" si="312"/>
        <v>Rent</v>
      </c>
      <c r="D640" s="583" t="str">
        <f>'12. Inputs-Props &amp; Debtors 2016'!C$80</f>
        <v>KZN</v>
      </c>
      <c r="F640" s="627">
        <f>'11. Table - Expenditure Review'!R33</f>
        <v>0</v>
      </c>
      <c r="G640" s="627">
        <f>'11. Table - Expenditure Review'!S33</f>
        <v>0</v>
      </c>
      <c r="H640" s="627">
        <f>'11. Table - Expenditure Review'!T33</f>
        <v>2563</v>
      </c>
    </row>
    <row r="641" spans="2:30" x14ac:dyDescent="0.45">
      <c r="B641" s="626" t="str">
        <f t="shared" si="312"/>
        <v>Rent</v>
      </c>
      <c r="D641" s="583" t="str">
        <f>'12. Inputs-Props &amp; Debtors 2016'!C$81</f>
        <v>WC</v>
      </c>
      <c r="F641" s="627">
        <f>'11. Table - Expenditure Review'!U33</f>
        <v>0</v>
      </c>
      <c r="G641" s="627">
        <f>'11. Table - Expenditure Review'!V33</f>
        <v>0</v>
      </c>
      <c r="H641" s="627">
        <f>'11. Table - Expenditure Review'!W33</f>
        <v>765</v>
      </c>
    </row>
    <row r="642" spans="2:30" x14ac:dyDescent="0.45">
      <c r="B642" s="626" t="str">
        <f t="shared" si="312"/>
        <v>Rent</v>
      </c>
      <c r="D642" s="596" t="s">
        <v>11</v>
      </c>
      <c r="F642" s="628">
        <f>SUM(F637:F641)</f>
        <v>235</v>
      </c>
      <c r="G642" s="628">
        <f>SUM(G637:G641)</f>
        <v>130</v>
      </c>
      <c r="H642" s="628">
        <f>SUM(H637:H641)</f>
        <v>5160</v>
      </c>
    </row>
    <row r="643" spans="2:30" x14ac:dyDescent="0.45">
      <c r="B643" s="656" t="str">
        <f t="shared" si="312"/>
        <v>Rent</v>
      </c>
      <c r="F643" s="627">
        <f>'11. Table - Expenditure Review'!F33</f>
        <v>235</v>
      </c>
      <c r="G643" s="627">
        <f>'11. Table - Expenditure Review'!G33</f>
        <v>130</v>
      </c>
      <c r="H643" s="627">
        <f>'11. Table - Expenditure Review'!H33</f>
        <v>5160</v>
      </c>
    </row>
    <row r="644" spans="2:30" x14ac:dyDescent="0.45">
      <c r="B644" s="1140"/>
      <c r="J644" s="769"/>
    </row>
    <row r="645" spans="2:30" x14ac:dyDescent="0.45">
      <c r="B645" s="1141"/>
    </row>
    <row r="646" spans="2:30" x14ac:dyDescent="0.45">
      <c r="B646" s="635" t="s">
        <v>59</v>
      </c>
      <c r="D646" s="636" t="s">
        <v>1084</v>
      </c>
      <c r="F646" s="1366" t="s">
        <v>1069</v>
      </c>
      <c r="G646" s="1366"/>
      <c r="H646" s="1366"/>
      <c r="I646" s="1367" t="s">
        <v>1070</v>
      </c>
      <c r="J646" s="1367"/>
      <c r="K646" s="1367"/>
      <c r="L646" s="1367"/>
      <c r="M646" s="1367"/>
      <c r="N646" s="1367"/>
      <c r="O646" s="1367"/>
      <c r="P646" s="1367"/>
      <c r="Q646" s="1367"/>
      <c r="R646" s="1367"/>
      <c r="S646" s="1367"/>
      <c r="T646" s="1367"/>
      <c r="U646" s="1367"/>
      <c r="V646" s="1367"/>
      <c r="W646" s="1367"/>
      <c r="X646" s="1367"/>
      <c r="Y646" s="1367"/>
      <c r="Z646" s="1367"/>
      <c r="AA646" s="1367"/>
      <c r="AB646" s="1367"/>
      <c r="AC646" s="1367"/>
      <c r="AD646" s="1367"/>
    </row>
    <row r="647" spans="2:30" x14ac:dyDescent="0.45">
      <c r="B647" s="637" t="str">
        <f t="shared" si="312"/>
        <v>Rent</v>
      </c>
      <c r="F647" s="587">
        <v>-3</v>
      </c>
      <c r="G647" s="587">
        <v>-2</v>
      </c>
      <c r="H647" s="587">
        <v>-1</v>
      </c>
      <c r="I647" s="587">
        <v>0</v>
      </c>
      <c r="J647" s="587">
        <v>1</v>
      </c>
      <c r="K647" s="588">
        <v>2</v>
      </c>
      <c r="L647" s="587">
        <v>3</v>
      </c>
      <c r="M647" s="587">
        <v>4</v>
      </c>
      <c r="N647" s="588">
        <v>5</v>
      </c>
      <c r="O647" s="587">
        <v>6</v>
      </c>
      <c r="P647" s="587">
        <v>7</v>
      </c>
      <c r="Q647" s="588">
        <v>8</v>
      </c>
      <c r="R647" s="529">
        <v>9</v>
      </c>
      <c r="S647" s="530">
        <v>10</v>
      </c>
      <c r="T647" s="529">
        <v>11</v>
      </c>
      <c r="U647" s="529">
        <v>12</v>
      </c>
      <c r="V647" s="530">
        <v>13</v>
      </c>
      <c r="W647" s="529">
        <v>14</v>
      </c>
      <c r="X647" s="529">
        <v>15</v>
      </c>
      <c r="Y647" s="530">
        <v>16</v>
      </c>
      <c r="Z647" s="529">
        <v>17</v>
      </c>
      <c r="AA647" s="529">
        <v>18</v>
      </c>
      <c r="AB647" s="530">
        <v>19</v>
      </c>
      <c r="AC647" s="529">
        <v>20</v>
      </c>
      <c r="AD647" s="536" t="s">
        <v>1420</v>
      </c>
    </row>
    <row r="648" spans="2:30" x14ac:dyDescent="0.45">
      <c r="B648" s="637" t="str">
        <f t="shared" si="312"/>
        <v>Rent</v>
      </c>
      <c r="F648" s="536" t="s">
        <v>102</v>
      </c>
      <c r="G648" s="536" t="s">
        <v>103</v>
      </c>
      <c r="H648" s="536" t="s">
        <v>104</v>
      </c>
      <c r="I648" s="809" t="s">
        <v>1345</v>
      </c>
      <c r="J648" s="536" t="s">
        <v>1346</v>
      </c>
      <c r="K648" s="809" t="s">
        <v>1347</v>
      </c>
      <c r="L648" s="536" t="s">
        <v>1348</v>
      </c>
      <c r="M648" s="536" t="s">
        <v>1349</v>
      </c>
      <c r="N648" s="809" t="s">
        <v>1350</v>
      </c>
      <c r="O648" s="536" t="s">
        <v>1351</v>
      </c>
      <c r="P648" s="536" t="s">
        <v>1352</v>
      </c>
      <c r="Q648" s="809" t="s">
        <v>1353</v>
      </c>
      <c r="R648" s="578" t="s">
        <v>1354</v>
      </c>
      <c r="S648" s="536" t="s">
        <v>1355</v>
      </c>
      <c r="T648" s="536" t="s">
        <v>1410</v>
      </c>
      <c r="U648" s="536" t="s">
        <v>1411</v>
      </c>
      <c r="V648" s="536" t="s">
        <v>1412</v>
      </c>
      <c r="W648" s="536" t="s">
        <v>1413</v>
      </c>
      <c r="X648" s="536" t="s">
        <v>1414</v>
      </c>
      <c r="Y648" s="536" t="s">
        <v>1415</v>
      </c>
      <c r="Z648" s="536" t="s">
        <v>1416</v>
      </c>
      <c r="AA648" s="536" t="s">
        <v>1417</v>
      </c>
      <c r="AB648" s="536" t="s">
        <v>1418</v>
      </c>
      <c r="AC648" s="809" t="s">
        <v>1419</v>
      </c>
    </row>
    <row r="649" spans="2:30" x14ac:dyDescent="0.45">
      <c r="B649" s="637" t="str">
        <f t="shared" si="312"/>
        <v>Rent</v>
      </c>
      <c r="C649" s="451">
        <f>C636+1</f>
        <v>68</v>
      </c>
      <c r="D649" s="591" t="str">
        <f>'11. Table - Expenditure Review'!E177</f>
        <v>Rates &amp; Taxes</v>
      </c>
    </row>
    <row r="650" spans="2:30" x14ac:dyDescent="0.45">
      <c r="B650" s="637" t="str">
        <f t="shared" si="312"/>
        <v>Rent</v>
      </c>
      <c r="D650" s="583" t="str">
        <f>'12. Inputs-Props &amp; Debtors 2016'!C$77</f>
        <v>EC</v>
      </c>
      <c r="F650" s="614">
        <f>'11. Table - Expenditure Review'!I177</f>
        <v>1116065</v>
      </c>
      <c r="G650" s="614">
        <f>'11. Table - Expenditure Review'!J177</f>
        <v>1590923</v>
      </c>
      <c r="H650" s="614">
        <f>'11. Table - Expenditure Review'!K177</f>
        <v>108876</v>
      </c>
      <c r="I650" s="633">
        <f t="shared" ref="I650:AC650" si="373">IF(H$520&gt;1,(H650*I$520/H$520)*(1+I$23),0)</f>
        <v>91891.343999999997</v>
      </c>
      <c r="J650" s="633">
        <f t="shared" si="373"/>
        <v>72709.025939999978</v>
      </c>
      <c r="K650" s="633">
        <f t="shared" si="373"/>
        <v>51138.681577799987</v>
      </c>
      <c r="L650" s="633">
        <f t="shared" si="373"/>
        <v>50954.014116546816</v>
      </c>
      <c r="M650" s="633">
        <f t="shared" si="373"/>
        <v>50594.338722782959</v>
      </c>
      <c r="N650" s="633">
        <f t="shared" si="373"/>
        <v>50040.963143002518</v>
      </c>
      <c r="O650" s="633">
        <f t="shared" si="373"/>
        <v>49273.668374809808</v>
      </c>
      <c r="P650" s="633">
        <f t="shared" si="373"/>
        <v>48270.597268608319</v>
      </c>
      <c r="Q650" s="633">
        <f t="shared" si="373"/>
        <v>47008.13549389087</v>
      </c>
      <c r="R650" s="633">
        <f t="shared" si="373"/>
        <v>45460.784367216962</v>
      </c>
      <c r="S650" s="633">
        <f t="shared" si="373"/>
        <v>43601.025006739896</v>
      </c>
      <c r="T650" s="633">
        <f t="shared" si="373"/>
        <v>41399.173243899531</v>
      </c>
      <c r="U650" s="633">
        <f t="shared" si="373"/>
        <v>38823.224686501337</v>
      </c>
      <c r="V650" s="633">
        <f t="shared" si="373"/>
        <v>35838.689288726549</v>
      </c>
      <c r="W650" s="633">
        <f t="shared" si="373"/>
        <v>32408.414742519864</v>
      </c>
      <c r="X650" s="633">
        <f t="shared" si="373"/>
        <v>28492.397961132043</v>
      </c>
      <c r="Y650" s="633">
        <f t="shared" si="373"/>
        <v>24047.583879195441</v>
      </c>
      <c r="Z650" s="633">
        <f t="shared" si="373"/>
        <v>19027.650744413389</v>
      </c>
      <c r="AA650" s="633">
        <f t="shared" si="373"/>
        <v>13382.781023570749</v>
      </c>
      <c r="AB650" s="633">
        <f t="shared" si="373"/>
        <v>0</v>
      </c>
      <c r="AC650" s="633">
        <f t="shared" si="373"/>
        <v>0</v>
      </c>
      <c r="AD650" s="633">
        <f>SUM(I650:AC650)</f>
        <v>834362.49358135683</v>
      </c>
    </row>
    <row r="651" spans="2:30" x14ac:dyDescent="0.45">
      <c r="B651" s="637" t="str">
        <f t="shared" si="312"/>
        <v>Rent</v>
      </c>
      <c r="D651" s="583" t="str">
        <f>'12. Inputs-Props &amp; Debtors 2016'!C$78</f>
        <v>FS</v>
      </c>
      <c r="F651" s="614">
        <f>'11. Table - Expenditure Review'!L177</f>
        <v>0</v>
      </c>
      <c r="G651" s="614">
        <f>'11. Table - Expenditure Review'!M177</f>
        <v>0</v>
      </c>
      <c r="H651" s="614">
        <f>'11. Table - Expenditure Review'!N177</f>
        <v>0</v>
      </c>
      <c r="I651" s="633">
        <f t="shared" ref="I651:AC651" si="374">IF(H$521&gt;1,(H651*I$521/H$521)*(1+I$23),0)</f>
        <v>0</v>
      </c>
      <c r="J651" s="633">
        <f t="shared" si="374"/>
        <v>0</v>
      </c>
      <c r="K651" s="633">
        <f t="shared" si="374"/>
        <v>0</v>
      </c>
      <c r="L651" s="633">
        <f t="shared" si="374"/>
        <v>0</v>
      </c>
      <c r="M651" s="633">
        <f t="shared" si="374"/>
        <v>0</v>
      </c>
      <c r="N651" s="633">
        <f t="shared" si="374"/>
        <v>0</v>
      </c>
      <c r="O651" s="633">
        <f t="shared" si="374"/>
        <v>0</v>
      </c>
      <c r="P651" s="633">
        <f t="shared" si="374"/>
        <v>0</v>
      </c>
      <c r="Q651" s="633">
        <f t="shared" si="374"/>
        <v>0</v>
      </c>
      <c r="R651" s="633">
        <f t="shared" si="374"/>
        <v>0</v>
      </c>
      <c r="S651" s="633">
        <f t="shared" si="374"/>
        <v>0</v>
      </c>
      <c r="T651" s="633">
        <f t="shared" si="374"/>
        <v>0</v>
      </c>
      <c r="U651" s="633">
        <f t="shared" si="374"/>
        <v>0</v>
      </c>
      <c r="V651" s="633">
        <f t="shared" si="374"/>
        <v>0</v>
      </c>
      <c r="W651" s="633">
        <f t="shared" si="374"/>
        <v>0</v>
      </c>
      <c r="X651" s="633">
        <f t="shared" si="374"/>
        <v>0</v>
      </c>
      <c r="Y651" s="633">
        <f t="shared" si="374"/>
        <v>0</v>
      </c>
      <c r="Z651" s="633">
        <f t="shared" si="374"/>
        <v>0</v>
      </c>
      <c r="AA651" s="633">
        <f t="shared" si="374"/>
        <v>0</v>
      </c>
      <c r="AB651" s="633">
        <f t="shared" si="374"/>
        <v>0</v>
      </c>
      <c r="AC651" s="633">
        <f t="shared" si="374"/>
        <v>0</v>
      </c>
      <c r="AD651" s="633">
        <f>SUM(I651:AC651)</f>
        <v>0</v>
      </c>
    </row>
    <row r="652" spans="2:30" x14ac:dyDescent="0.45">
      <c r="B652" s="637" t="str">
        <f t="shared" si="312"/>
        <v>Rent</v>
      </c>
      <c r="D652" s="583" t="str">
        <f>'12. Inputs-Props &amp; Debtors 2016'!C$79</f>
        <v>Gau</v>
      </c>
      <c r="F652" s="614">
        <f>'11. Table - Expenditure Review'!O177</f>
        <v>10736227.380000001</v>
      </c>
      <c r="G652" s="614">
        <f>'11. Table - Expenditure Review'!P177</f>
        <v>20154498.489999998</v>
      </c>
      <c r="H652" s="614">
        <f>'11. Table - Expenditure Review'!Q177</f>
        <v>9133854.3499999996</v>
      </c>
      <c r="I652" s="633">
        <f t="shared" ref="I652:AC652" si="375">IF(H$522&gt;1,(H652*I$522/H$522)*(1+I$23),0)</f>
        <v>9152698.9904682692</v>
      </c>
      <c r="J652" s="633">
        <f t="shared" si="375"/>
        <v>9145986.6319792997</v>
      </c>
      <c r="K652" s="633">
        <f t="shared" si="375"/>
        <v>9110848.9996103756</v>
      </c>
      <c r="L652" s="633">
        <f t="shared" si="375"/>
        <v>9017461.2145205531</v>
      </c>
      <c r="M652" s="633">
        <f t="shared" si="375"/>
        <v>8886240.4548470303</v>
      </c>
      <c r="N652" s="633">
        <f t="shared" si="375"/>
        <v>8713307.5914354939</v>
      </c>
      <c r="O652" s="633">
        <f t="shared" si="375"/>
        <v>8494471.2356727757</v>
      </c>
      <c r="P652" s="633">
        <f t="shared" si="375"/>
        <v>8225205.1253120685</v>
      </c>
      <c r="Q652" s="633">
        <f t="shared" si="375"/>
        <v>7900623.9673237717</v>
      </c>
      <c r="R652" s="633">
        <f t="shared" si="375"/>
        <v>7515457.6364526935</v>
      </c>
      <c r="S652" s="633">
        <f t="shared" si="375"/>
        <v>7064023.6216846425</v>
      </c>
      <c r="T652" s="633">
        <f t="shared" si="375"/>
        <v>6540197.6059418377</v>
      </c>
      <c r="U652" s="633">
        <f t="shared" si="375"/>
        <v>5937382.0570117282</v>
      </c>
      <c r="V652" s="633">
        <f t="shared" si="375"/>
        <v>5248472.6999413315</v>
      </c>
      <c r="W652" s="633">
        <f t="shared" si="375"/>
        <v>4465822.7328707315</v>
      </c>
      <c r="X652" s="633">
        <f t="shared" si="375"/>
        <v>3581204.6395050441</v>
      </c>
      <c r="Y652" s="633">
        <f t="shared" si="375"/>
        <v>2585769.4421021971</v>
      </c>
      <c r="Z652" s="633">
        <f t="shared" si="375"/>
        <v>1470003.228950534</v>
      </c>
      <c r="AA652" s="633">
        <f t="shared" si="375"/>
        <v>223680.77978982884</v>
      </c>
      <c r="AB652" s="633">
        <f t="shared" si="375"/>
        <v>0</v>
      </c>
      <c r="AC652" s="633">
        <f t="shared" si="375"/>
        <v>0</v>
      </c>
      <c r="AD652" s="633">
        <f>SUM(I652:AC652)</f>
        <v>123278858.65542018</v>
      </c>
    </row>
    <row r="653" spans="2:30" x14ac:dyDescent="0.45">
      <c r="B653" s="637" t="str">
        <f t="shared" si="312"/>
        <v>Rent</v>
      </c>
      <c r="D653" s="583" t="str">
        <f>'12. Inputs-Props &amp; Debtors 2016'!C$80</f>
        <v>KZN</v>
      </c>
      <c r="F653" s="614">
        <f>'11. Table - Expenditure Review'!R177</f>
        <v>10013066.199999999</v>
      </c>
      <c r="G653" s="614">
        <f>'11. Table - Expenditure Review'!S177</f>
        <v>9988926.7400000002</v>
      </c>
      <c r="H653" s="614">
        <f>'11. Table - Expenditure Review'!T177</f>
        <v>12776897.890000001</v>
      </c>
      <c r="I653" s="633">
        <f t="shared" ref="I653:AC653" si="376">IF(H$523&gt;1,(H653*I$523/H$523)*(1+I$23),0)</f>
        <v>12133242.341397833</v>
      </c>
      <c r="J653" s="633">
        <f t="shared" si="376"/>
        <v>11380134.566332178</v>
      </c>
      <c r="K653" s="633">
        <f t="shared" si="376"/>
        <v>10507481.877926573</v>
      </c>
      <c r="L653" s="633">
        <f t="shared" si="376"/>
        <v>10393714.239877826</v>
      </c>
      <c r="M653" s="633">
        <f t="shared" si="376"/>
        <v>10235647.028962988</v>
      </c>
      <c r="N653" s="633">
        <f t="shared" si="376"/>
        <v>10028751.439271888</v>
      </c>
      <c r="O653" s="633">
        <f t="shared" si="376"/>
        <v>9768134.5024521518</v>
      </c>
      <c r="P653" s="633">
        <f t="shared" si="376"/>
        <v>9448512.7294784486</v>
      </c>
      <c r="Q653" s="633">
        <f t="shared" si="376"/>
        <v>9064183.9546077214</v>
      </c>
      <c r="R653" s="633">
        <f t="shared" si="376"/>
        <v>8608997.26349454</v>
      </c>
      <c r="S653" s="633">
        <f t="shared" si="376"/>
        <v>8076320.8798962208</v>
      </c>
      <c r="T653" s="633">
        <f t="shared" si="376"/>
        <v>7459007.8773800153</v>
      </c>
      <c r="U653" s="633">
        <f t="shared" si="376"/>
        <v>6749359.5739253405</v>
      </c>
      <c r="V653" s="633">
        <f t="shared" si="376"/>
        <v>5939086.4582615765</v>
      </c>
      <c r="W653" s="633">
        <f t="shared" si="376"/>
        <v>5019266.487163675</v>
      </c>
      <c r="X653" s="633">
        <f t="shared" si="376"/>
        <v>3980300.5827087639</v>
      </c>
      <c r="Y653" s="633">
        <f t="shared" si="376"/>
        <v>2811865.1476401421</v>
      </c>
      <c r="Z653" s="633">
        <f t="shared" si="376"/>
        <v>1502861.4054512784</v>
      </c>
      <c r="AA653" s="633">
        <f t="shared" si="376"/>
        <v>41361.359550028668</v>
      </c>
      <c r="AB653" s="633">
        <f t="shared" si="376"/>
        <v>0</v>
      </c>
      <c r="AC653" s="633">
        <f t="shared" si="376"/>
        <v>0</v>
      </c>
      <c r="AD653" s="633">
        <f>SUM(I653:AC653)</f>
        <v>143148229.71577922</v>
      </c>
    </row>
    <row r="654" spans="2:30" x14ac:dyDescent="0.45">
      <c r="B654" s="637" t="str">
        <f t="shared" si="312"/>
        <v>Rent</v>
      </c>
      <c r="D654" s="583" t="str">
        <f>'12. Inputs-Props &amp; Debtors 2016'!C$81</f>
        <v>WC</v>
      </c>
      <c r="F654" s="614">
        <f>'11. Table - Expenditure Review'!U177</f>
        <v>336246.98</v>
      </c>
      <c r="G654" s="614">
        <f>'11. Table - Expenditure Review'!V177</f>
        <v>140707.18000000002</v>
      </c>
      <c r="H654" s="614">
        <f>'11. Table - Expenditure Review'!W177</f>
        <v>199932.33000000002</v>
      </c>
      <c r="I654" s="633">
        <f t="shared" ref="I654:AC654" si="377">IF(H$524&gt;1,(H654*I$524/H$524)*(1+I$23),0)</f>
        <v>168742.88652</v>
      </c>
      <c r="J654" s="633">
        <f t="shared" si="377"/>
        <v>133517.80895894999</v>
      </c>
      <c r="K654" s="633">
        <f t="shared" si="377"/>
        <v>105569.2445041005</v>
      </c>
      <c r="L654" s="633">
        <f t="shared" si="377"/>
        <v>104576.4639634878</v>
      </c>
      <c r="M654" s="633">
        <f t="shared" si="377"/>
        <v>103155.13059878279</v>
      </c>
      <c r="N654" s="633">
        <f t="shared" si="377"/>
        <v>101261.10676047069</v>
      </c>
      <c r="O654" s="633">
        <f t="shared" si="377"/>
        <v>98846.696029882951</v>
      </c>
      <c r="P654" s="633">
        <f t="shared" si="377"/>
        <v>95860.385270980143</v>
      </c>
      <c r="Q654" s="633">
        <f t="shared" si="377"/>
        <v>92246.569073107632</v>
      </c>
      <c r="R654" s="633">
        <f t="shared" si="377"/>
        <v>87945.255428024422</v>
      </c>
      <c r="S654" s="633">
        <f t="shared" si="377"/>
        <v>82891.751410535901</v>
      </c>
      <c r="T654" s="633">
        <f t="shared" si="377"/>
        <v>77016.32755345387</v>
      </c>
      <c r="U654" s="633">
        <f t="shared" si="377"/>
        <v>70243.859524075961</v>
      </c>
      <c r="V654" s="633">
        <f t="shared" si="377"/>
        <v>62493.445620617284</v>
      </c>
      <c r="W654" s="633">
        <f t="shared" si="377"/>
        <v>53677.998512717815</v>
      </c>
      <c r="X654" s="633">
        <f t="shared" si="377"/>
        <v>43703.809549947044</v>
      </c>
      <c r="Y654" s="633">
        <f t="shared" si="377"/>
        <v>32470.083855770514</v>
      </c>
      <c r="Z654" s="633">
        <f t="shared" si="377"/>
        <v>19868.444311345975</v>
      </c>
      <c r="AA654" s="633">
        <f t="shared" si="377"/>
        <v>5782.4024133710354</v>
      </c>
      <c r="AB654" s="633">
        <f t="shared" si="377"/>
        <v>0</v>
      </c>
      <c r="AC654" s="633">
        <f t="shared" si="377"/>
        <v>0</v>
      </c>
      <c r="AD654" s="633">
        <f>SUM(I654:AC654)</f>
        <v>1539869.6698596224</v>
      </c>
    </row>
    <row r="655" spans="2:30" ht="14.65" thickBot="1" x14ac:dyDescent="0.5">
      <c r="B655" s="637" t="str">
        <f t="shared" si="312"/>
        <v>Rent</v>
      </c>
      <c r="D655" s="596" t="s">
        <v>11</v>
      </c>
      <c r="F655" s="613">
        <f t="shared" ref="F655:AC655" si="378">SUM(F650:F654)</f>
        <v>22201605.559999999</v>
      </c>
      <c r="G655" s="613">
        <f t="shared" si="378"/>
        <v>31875055.409999996</v>
      </c>
      <c r="H655" s="613">
        <f t="shared" si="378"/>
        <v>22219560.57</v>
      </c>
      <c r="I655" s="634">
        <f t="shared" si="378"/>
        <v>21546575.562386103</v>
      </c>
      <c r="J655" s="634">
        <f t="shared" si="378"/>
        <v>20732348.03321043</v>
      </c>
      <c r="K655" s="634">
        <f t="shared" si="378"/>
        <v>19775038.803618848</v>
      </c>
      <c r="L655" s="634">
        <f t="shared" si="378"/>
        <v>19566705.932478413</v>
      </c>
      <c r="M655" s="634">
        <f t="shared" si="378"/>
        <v>19275636.953131586</v>
      </c>
      <c r="N655" s="634">
        <f t="shared" si="378"/>
        <v>18893361.100610856</v>
      </c>
      <c r="O655" s="634">
        <f t="shared" si="378"/>
        <v>18410726.102529619</v>
      </c>
      <c r="P655" s="634">
        <f t="shared" si="378"/>
        <v>17817848.837330107</v>
      </c>
      <c r="Q655" s="634">
        <f t="shared" si="378"/>
        <v>17104062.626498491</v>
      </c>
      <c r="R655" s="634">
        <f t="shared" ref="R655:AB655" si="379">SUM(R650:R654)</f>
        <v>16257860.939742474</v>
      </c>
      <c r="S655" s="634">
        <f t="shared" si="379"/>
        <v>15266837.27799814</v>
      </c>
      <c r="T655" s="634">
        <f t="shared" si="379"/>
        <v>14117620.984119207</v>
      </c>
      <c r="U655" s="634">
        <f t="shared" si="379"/>
        <v>12795808.715147646</v>
      </c>
      <c r="V655" s="634">
        <f t="shared" si="379"/>
        <v>11285891.293112252</v>
      </c>
      <c r="W655" s="634">
        <f t="shared" si="379"/>
        <v>9571175.6332896445</v>
      </c>
      <c r="X655" s="634">
        <f t="shared" si="379"/>
        <v>7633701.4297248879</v>
      </c>
      <c r="Y655" s="634">
        <f t="shared" si="379"/>
        <v>5454152.2574773058</v>
      </c>
      <c r="Z655" s="634">
        <f t="shared" si="379"/>
        <v>3011760.7294575721</v>
      </c>
      <c r="AA655" s="634">
        <f t="shared" si="379"/>
        <v>284207.32277679926</v>
      </c>
      <c r="AB655" s="634">
        <f t="shared" si="379"/>
        <v>0</v>
      </c>
      <c r="AC655" s="634">
        <f t="shared" si="378"/>
        <v>0</v>
      </c>
      <c r="AD655" s="777">
        <f>SUM(AD650:AD654)</f>
        <v>268801320.53464037</v>
      </c>
    </row>
    <row r="656" spans="2:30" ht="14.65" thickTop="1" x14ac:dyDescent="0.45">
      <c r="B656" s="637" t="str">
        <f t="shared" si="312"/>
        <v>Rent</v>
      </c>
      <c r="F656" s="615">
        <f>'11. Table - Expenditure Review'!F177</f>
        <v>22201605.559999999</v>
      </c>
      <c r="G656" s="615">
        <f>'11. Table - Expenditure Review'!G177</f>
        <v>31875055.409999996</v>
      </c>
      <c r="H656" s="615">
        <f>'11. Table - Expenditure Review'!H177</f>
        <v>22219560.57</v>
      </c>
      <c r="I656" s="633">
        <f t="shared" ref="I656:AC656" si="380">IF(H$525&gt;1,H655*I$525/H$525,0)</f>
        <v>20006216.745779071</v>
      </c>
      <c r="J656" s="633">
        <f t="shared" si="380"/>
        <v>19162817.525565945</v>
      </c>
      <c r="K656" s="633">
        <f t="shared" si="380"/>
        <v>18344013.651843496</v>
      </c>
      <c r="L656" s="633">
        <f t="shared" si="380"/>
        <v>18552621.197049413</v>
      </c>
      <c r="M656" s="633">
        <f t="shared" si="380"/>
        <v>18277471.080950681</v>
      </c>
      <c r="N656" s="633">
        <f t="shared" si="380"/>
        <v>17915994.646200333</v>
      </c>
      <c r="O656" s="633">
        <f t="shared" si="380"/>
        <v>17459546.591296531</v>
      </c>
      <c r="P656" s="633">
        <f t="shared" si="380"/>
        <v>16898798.740911998</v>
      </c>
      <c r="Q656" s="633">
        <f t="shared" si="380"/>
        <v>16223694.507466052</v>
      </c>
      <c r="R656" s="633">
        <f t="shared" si="380"/>
        <v>15423402.559720814</v>
      </c>
      <c r="S656" s="633">
        <f t="shared" si="380"/>
        <v>14486271.464148549</v>
      </c>
      <c r="T656" s="633">
        <f t="shared" si="380"/>
        <v>13399788.996165033</v>
      </c>
      <c r="U656" s="633">
        <f t="shared" si="380"/>
        <v>12150554.188551426</v>
      </c>
      <c r="V656" s="633">
        <f t="shared" si="380"/>
        <v>10724280.943211136</v>
      </c>
      <c r="W656" s="633">
        <f t="shared" si="380"/>
        <v>9105881.5219640732</v>
      </c>
      <c r="X656" s="633">
        <f t="shared" si="380"/>
        <v>7279771.2973537762</v>
      </c>
      <c r="Y656" s="633">
        <f t="shared" si="380"/>
        <v>5230892.9017056338</v>
      </c>
      <c r="Z656" s="633">
        <f t="shared" si="380"/>
        <v>2948789.6351401694</v>
      </c>
      <c r="AA656" s="633">
        <f t="shared" si="380"/>
        <v>452896.35029437172</v>
      </c>
      <c r="AB656" s="633">
        <f t="shared" si="380"/>
        <v>0</v>
      </c>
      <c r="AC656" s="633">
        <f t="shared" si="380"/>
        <v>0</v>
      </c>
      <c r="AD656" s="633">
        <f>SUM(I656:AC656)</f>
        <v>254043704.54531851</v>
      </c>
    </row>
    <row r="657" spans="2:30" x14ac:dyDescent="0.45">
      <c r="B657" s="637" t="str">
        <f t="shared" si="312"/>
        <v>Rent</v>
      </c>
    </row>
    <row r="658" spans="2:30" x14ac:dyDescent="0.45">
      <c r="B658" s="637" t="str">
        <f t="shared" si="312"/>
        <v>Rent</v>
      </c>
      <c r="C658" s="451">
        <f>C649+1</f>
        <v>69</v>
      </c>
      <c r="D658" s="591" t="s">
        <v>340</v>
      </c>
    </row>
    <row r="659" spans="2:30" x14ac:dyDescent="0.45">
      <c r="B659" s="637" t="str">
        <f t="shared" si="312"/>
        <v>Rent</v>
      </c>
      <c r="D659" s="583" t="str">
        <f>'12. Inputs-Props &amp; Debtors 2016'!C$77</f>
        <v>EC</v>
      </c>
      <c r="F659" s="614">
        <f>'11. Table - Expenditure Review'!I178</f>
        <v>1986493.629015544</v>
      </c>
      <c r="G659" s="614">
        <f>'11. Table - Expenditure Review'!J178</f>
        <v>1396462.4550970874</v>
      </c>
      <c r="H659" s="614">
        <f>'11. Table - Expenditure Review'!K178</f>
        <v>1083923.9213630406</v>
      </c>
      <c r="I659" s="633">
        <f t="shared" ref="I659:AC659" si="381">IF(H$520&gt;1,(H659*I$520/H$520)*(1+I$23),0)</f>
        <v>914831.78963040619</v>
      </c>
      <c r="J659" s="633">
        <f t="shared" si="381"/>
        <v>723860.65354505891</v>
      </c>
      <c r="K659" s="633">
        <f t="shared" si="381"/>
        <v>509115.32632669143</v>
      </c>
      <c r="L659" s="633">
        <f t="shared" si="381"/>
        <v>507276.85431495606</v>
      </c>
      <c r="M659" s="633">
        <f t="shared" si="381"/>
        <v>503696.07651979162</v>
      </c>
      <c r="N659" s="633">
        <f t="shared" si="381"/>
        <v>498186.90068285633</v>
      </c>
      <c r="O659" s="633">
        <f t="shared" si="381"/>
        <v>490548.03487238585</v>
      </c>
      <c r="P659" s="633">
        <f t="shared" si="381"/>
        <v>480561.87844819797</v>
      </c>
      <c r="Q659" s="633">
        <f t="shared" si="381"/>
        <v>467993.33701186045</v>
      </c>
      <c r="R659" s="633">
        <f t="shared" si="381"/>
        <v>452588.55633522</v>
      </c>
      <c r="S659" s="633">
        <f t="shared" si="381"/>
        <v>434073.56993968826</v>
      </c>
      <c r="T659" s="633">
        <f t="shared" si="381"/>
        <v>412152.85465773399</v>
      </c>
      <c r="U659" s="633">
        <f t="shared" si="381"/>
        <v>386507.78814569721</v>
      </c>
      <c r="V659" s="633">
        <f t="shared" si="381"/>
        <v>356795.00193199673</v>
      </c>
      <c r="W659" s="633">
        <f t="shared" si="381"/>
        <v>322644.62317564839</v>
      </c>
      <c r="X659" s="633">
        <f t="shared" si="381"/>
        <v>283658.39787525759</v>
      </c>
      <c r="Y659" s="633">
        <f t="shared" si="381"/>
        <v>239407.68780671738</v>
      </c>
      <c r="Z659" s="633">
        <f t="shared" si="381"/>
        <v>189431.33297706512</v>
      </c>
      <c r="AA659" s="633">
        <f t="shared" si="381"/>
        <v>133233.3708605358</v>
      </c>
      <c r="AB659" s="633">
        <f t="shared" si="381"/>
        <v>0</v>
      </c>
      <c r="AC659" s="633">
        <f t="shared" si="381"/>
        <v>0</v>
      </c>
      <c r="AD659" s="633">
        <f>SUM(I659:AC659)</f>
        <v>8306564.0350577645</v>
      </c>
    </row>
    <row r="660" spans="2:30" x14ac:dyDescent="0.45">
      <c r="B660" s="637" t="str">
        <f t="shared" si="312"/>
        <v>Rent</v>
      </c>
      <c r="D660" s="583" t="str">
        <f>'12. Inputs-Props &amp; Debtors 2016'!C$78</f>
        <v>FS</v>
      </c>
      <c r="F660" s="614">
        <f>'11. Table - Expenditure Review'!L178</f>
        <v>0</v>
      </c>
      <c r="G660" s="614">
        <f>'11. Table - Expenditure Review'!M178</f>
        <v>0</v>
      </c>
      <c r="H660" s="614">
        <f>'11. Table - Expenditure Review'!N178</f>
        <v>0</v>
      </c>
      <c r="I660" s="633">
        <f t="shared" ref="I660:AC660" si="382">IF(H$521&gt;1,(H660*I$521/H$521)*(1+I$23),0)</f>
        <v>0</v>
      </c>
      <c r="J660" s="633">
        <f t="shared" si="382"/>
        <v>0</v>
      </c>
      <c r="K660" s="633">
        <f t="shared" si="382"/>
        <v>0</v>
      </c>
      <c r="L660" s="633">
        <f t="shared" si="382"/>
        <v>0</v>
      </c>
      <c r="M660" s="633">
        <f t="shared" si="382"/>
        <v>0</v>
      </c>
      <c r="N660" s="633">
        <f t="shared" si="382"/>
        <v>0</v>
      </c>
      <c r="O660" s="633">
        <f t="shared" si="382"/>
        <v>0</v>
      </c>
      <c r="P660" s="633">
        <f t="shared" si="382"/>
        <v>0</v>
      </c>
      <c r="Q660" s="633">
        <f t="shared" si="382"/>
        <v>0</v>
      </c>
      <c r="R660" s="633">
        <f t="shared" si="382"/>
        <v>0</v>
      </c>
      <c r="S660" s="633">
        <f t="shared" si="382"/>
        <v>0</v>
      </c>
      <c r="T660" s="633">
        <f t="shared" si="382"/>
        <v>0</v>
      </c>
      <c r="U660" s="633">
        <f t="shared" si="382"/>
        <v>0</v>
      </c>
      <c r="V660" s="633">
        <f t="shared" si="382"/>
        <v>0</v>
      </c>
      <c r="W660" s="633">
        <f t="shared" si="382"/>
        <v>0</v>
      </c>
      <c r="X660" s="633">
        <f t="shared" si="382"/>
        <v>0</v>
      </c>
      <c r="Y660" s="633">
        <f t="shared" si="382"/>
        <v>0</v>
      </c>
      <c r="Z660" s="633">
        <f t="shared" si="382"/>
        <v>0</v>
      </c>
      <c r="AA660" s="633">
        <f t="shared" si="382"/>
        <v>0</v>
      </c>
      <c r="AB660" s="633">
        <f t="shared" si="382"/>
        <v>0</v>
      </c>
      <c r="AC660" s="633">
        <f t="shared" si="382"/>
        <v>0</v>
      </c>
      <c r="AD660" s="633">
        <f>SUM(I660:AC660)</f>
        <v>0</v>
      </c>
    </row>
    <row r="661" spans="2:30" x14ac:dyDescent="0.45">
      <c r="B661" s="637" t="str">
        <f t="shared" si="312"/>
        <v>Rent</v>
      </c>
      <c r="D661" s="583" t="str">
        <f>'12. Inputs-Props &amp; Debtors 2016'!C$79</f>
        <v>Gau</v>
      </c>
      <c r="F661" s="614">
        <f>'11. Table - Expenditure Review'!O178</f>
        <v>2180158.14</v>
      </c>
      <c r="G661" s="614">
        <f>'11. Table - Expenditure Review'!P178</f>
        <v>1848232.59</v>
      </c>
      <c r="H661" s="614">
        <f>'11. Table - Expenditure Review'!Q178</f>
        <v>1727582.3</v>
      </c>
      <c r="I661" s="633">
        <f t="shared" ref="I661:AC661" si="383">IF(H$522&gt;1,(H661*I$522/H$522)*(1+I$23),0)</f>
        <v>1731146.5857960449</v>
      </c>
      <c r="J661" s="633">
        <f t="shared" si="383"/>
        <v>1729877.0065721546</v>
      </c>
      <c r="K661" s="633">
        <f t="shared" si="383"/>
        <v>1723231.0552116032</v>
      </c>
      <c r="L661" s="633">
        <f t="shared" si="383"/>
        <v>1705567.6375157232</v>
      </c>
      <c r="M661" s="633">
        <f t="shared" si="383"/>
        <v>1680748.4699312814</v>
      </c>
      <c r="N661" s="633">
        <f t="shared" si="383"/>
        <v>1648039.851809066</v>
      </c>
      <c r="O661" s="633">
        <f t="shared" si="383"/>
        <v>1606649.0215718648</v>
      </c>
      <c r="P661" s="633">
        <f t="shared" si="383"/>
        <v>1555719.8794568488</v>
      </c>
      <c r="Q661" s="633">
        <f t="shared" si="383"/>
        <v>1494328.4184189262</v>
      </c>
      <c r="R661" s="633">
        <f t="shared" si="383"/>
        <v>1421477.844031475</v>
      </c>
      <c r="S661" s="633">
        <f t="shared" si="383"/>
        <v>1336093.3629956872</v>
      </c>
      <c r="T661" s="633">
        <f t="shared" si="383"/>
        <v>1237016.6185677676</v>
      </c>
      <c r="U661" s="633">
        <f t="shared" si="383"/>
        <v>1122999.7498297149</v>
      </c>
      <c r="V661" s="633">
        <f t="shared" si="383"/>
        <v>992699.05025930889</v>
      </c>
      <c r="W661" s="633">
        <f t="shared" si="383"/>
        <v>844668.19949292345</v>
      </c>
      <c r="X661" s="633">
        <f t="shared" si="383"/>
        <v>677351.04051520117</v>
      </c>
      <c r="Y661" s="633">
        <f t="shared" si="383"/>
        <v>489073.8727464634</v>
      </c>
      <c r="Z661" s="633">
        <f t="shared" si="383"/>
        <v>278037.22962560604</v>
      </c>
      <c r="AA661" s="633">
        <f t="shared" si="383"/>
        <v>42307.107296396302</v>
      </c>
      <c r="AB661" s="633">
        <f t="shared" si="383"/>
        <v>0</v>
      </c>
      <c r="AC661" s="633">
        <f t="shared" si="383"/>
        <v>0</v>
      </c>
      <c r="AD661" s="633">
        <f>SUM(I661:AC661)</f>
        <v>23317032.001644053</v>
      </c>
    </row>
    <row r="662" spans="2:30" x14ac:dyDescent="0.45">
      <c r="B662" s="637" t="str">
        <f t="shared" si="312"/>
        <v>Rent</v>
      </c>
      <c r="D662" s="583" t="str">
        <f>'12. Inputs-Props &amp; Debtors 2016'!C$80</f>
        <v>KZN</v>
      </c>
      <c r="F662" s="614">
        <f>'11. Table - Expenditure Review'!R178</f>
        <v>1942983.22</v>
      </c>
      <c r="G662" s="614">
        <f>'11. Table - Expenditure Review'!S178</f>
        <v>7345953.8099999996</v>
      </c>
      <c r="H662" s="614">
        <f>'11. Table - Expenditure Review'!T178</f>
        <v>5662581.5999999996</v>
      </c>
      <c r="I662" s="633">
        <f t="shared" ref="I662:AC662" si="384">IF(H$523&gt;1,(H662*I$523/H$523)*(1+I$23),0)</f>
        <v>5377320.4906422161</v>
      </c>
      <c r="J662" s="633">
        <f t="shared" si="384"/>
        <v>5043551.3499150751</v>
      </c>
      <c r="K662" s="633">
        <f t="shared" si="384"/>
        <v>4656801.2092237556</v>
      </c>
      <c r="L662" s="633">
        <f t="shared" si="384"/>
        <v>4606380.6345712412</v>
      </c>
      <c r="M662" s="633">
        <f t="shared" si="384"/>
        <v>4536326.9730490474</v>
      </c>
      <c r="N662" s="633">
        <f t="shared" si="384"/>
        <v>4444633.1073398348</v>
      </c>
      <c r="O662" s="633">
        <f t="shared" si="384"/>
        <v>4329130.5273091355</v>
      </c>
      <c r="P662" s="633">
        <f t="shared" si="384"/>
        <v>4187477.6483253567</v>
      </c>
      <c r="Q662" s="633">
        <f t="shared" si="384"/>
        <v>4017147.3328082524</v>
      </c>
      <c r="R662" s="633">
        <f t="shared" si="384"/>
        <v>3815413.5626980816</v>
      </c>
      <c r="S662" s="633">
        <f t="shared" si="384"/>
        <v>3579337.207194047</v>
      </c>
      <c r="T662" s="633">
        <f t="shared" si="384"/>
        <v>3305750.8265574076</v>
      </c>
      <c r="U662" s="633">
        <f t="shared" si="384"/>
        <v>2991242.4489989751</v>
      </c>
      <c r="V662" s="633">
        <f t="shared" si="384"/>
        <v>2632138.2536587794</v>
      </c>
      <c r="W662" s="633">
        <f t="shared" si="384"/>
        <v>2224484.0884229406</v>
      </c>
      <c r="X662" s="633">
        <f t="shared" si="384"/>
        <v>1764025.7467938415</v>
      </c>
      <c r="Y662" s="633">
        <f t="shared" si="384"/>
        <v>1246187.9232180621</v>
      </c>
      <c r="Z662" s="633">
        <f t="shared" si="384"/>
        <v>666051.76116489596</v>
      </c>
      <c r="AA662" s="633">
        <f t="shared" si="384"/>
        <v>18330.902818146918</v>
      </c>
      <c r="AB662" s="633">
        <f t="shared" si="384"/>
        <v>0</v>
      </c>
      <c r="AC662" s="633">
        <f t="shared" si="384"/>
        <v>0</v>
      </c>
      <c r="AD662" s="633">
        <f>SUM(I662:AC662)</f>
        <v>63441731.994709082</v>
      </c>
    </row>
    <row r="663" spans="2:30" x14ac:dyDescent="0.45">
      <c r="B663" s="637" t="str">
        <f t="shared" si="312"/>
        <v>Rent</v>
      </c>
      <c r="D663" s="583" t="str">
        <f>'12. Inputs-Props &amp; Debtors 2016'!C$81</f>
        <v>WC</v>
      </c>
      <c r="F663" s="614">
        <f>'11. Table - Expenditure Review'!U178</f>
        <v>0</v>
      </c>
      <c r="G663" s="614">
        <f>'11. Table - Expenditure Review'!V178</f>
        <v>0</v>
      </c>
      <c r="H663" s="614">
        <f>'11. Table - Expenditure Review'!W178</f>
        <v>0</v>
      </c>
      <c r="I663" s="633">
        <f t="shared" ref="I663:AC663" si="385">IF(H$524&gt;1,(H663*I$524/H$524)*(1+I$23),0)</f>
        <v>0</v>
      </c>
      <c r="J663" s="633">
        <f t="shared" si="385"/>
        <v>0</v>
      </c>
      <c r="K663" s="633">
        <f t="shared" si="385"/>
        <v>0</v>
      </c>
      <c r="L663" s="633">
        <f t="shared" si="385"/>
        <v>0</v>
      </c>
      <c r="M663" s="633">
        <f t="shared" si="385"/>
        <v>0</v>
      </c>
      <c r="N663" s="633">
        <f t="shared" si="385"/>
        <v>0</v>
      </c>
      <c r="O663" s="633">
        <f t="shared" si="385"/>
        <v>0</v>
      </c>
      <c r="P663" s="633">
        <f t="shared" si="385"/>
        <v>0</v>
      </c>
      <c r="Q663" s="633">
        <f t="shared" si="385"/>
        <v>0</v>
      </c>
      <c r="R663" s="633">
        <f t="shared" si="385"/>
        <v>0</v>
      </c>
      <c r="S663" s="633">
        <f t="shared" si="385"/>
        <v>0</v>
      </c>
      <c r="T663" s="633">
        <f t="shared" si="385"/>
        <v>0</v>
      </c>
      <c r="U663" s="633">
        <f t="shared" si="385"/>
        <v>0</v>
      </c>
      <c r="V663" s="633">
        <f t="shared" si="385"/>
        <v>0</v>
      </c>
      <c r="W663" s="633">
        <f t="shared" si="385"/>
        <v>0</v>
      </c>
      <c r="X663" s="633">
        <f t="shared" si="385"/>
        <v>0</v>
      </c>
      <c r="Y663" s="633">
        <f t="shared" si="385"/>
        <v>0</v>
      </c>
      <c r="Z663" s="633">
        <f t="shared" si="385"/>
        <v>0</v>
      </c>
      <c r="AA663" s="633">
        <f t="shared" si="385"/>
        <v>0</v>
      </c>
      <c r="AB663" s="633">
        <f t="shared" si="385"/>
        <v>0</v>
      </c>
      <c r="AC663" s="633">
        <f t="shared" si="385"/>
        <v>0</v>
      </c>
      <c r="AD663" s="633">
        <f>SUM(I663:AC663)</f>
        <v>0</v>
      </c>
    </row>
    <row r="664" spans="2:30" ht="14.65" thickBot="1" x14ac:dyDescent="0.5">
      <c r="B664" s="637" t="str">
        <f t="shared" si="312"/>
        <v>Rent</v>
      </c>
      <c r="D664" s="596" t="s">
        <v>11</v>
      </c>
      <c r="F664" s="613">
        <f t="shared" ref="F664:Q664" si="386">SUM(F659:F663)</f>
        <v>6109634.9890155438</v>
      </c>
      <c r="G664" s="613">
        <f t="shared" si="386"/>
        <v>10590648.855097087</v>
      </c>
      <c r="H664" s="613">
        <f t="shared" si="386"/>
        <v>8474087.8213630393</v>
      </c>
      <c r="I664" s="634">
        <f t="shared" si="386"/>
        <v>8023298.8660686668</v>
      </c>
      <c r="J664" s="634">
        <f t="shared" si="386"/>
        <v>7497289.0100322887</v>
      </c>
      <c r="K664" s="634">
        <f t="shared" si="386"/>
        <v>6889147.5907620508</v>
      </c>
      <c r="L664" s="634">
        <f t="shared" si="386"/>
        <v>6819225.1264019199</v>
      </c>
      <c r="M664" s="634">
        <f t="shared" si="386"/>
        <v>6720771.5195001205</v>
      </c>
      <c r="N664" s="634">
        <f t="shared" si="386"/>
        <v>6590859.8598317569</v>
      </c>
      <c r="O664" s="634">
        <f t="shared" si="386"/>
        <v>6426327.5837533865</v>
      </c>
      <c r="P664" s="634">
        <f t="shared" si="386"/>
        <v>6223759.4062304031</v>
      </c>
      <c r="Q664" s="634">
        <f t="shared" si="386"/>
        <v>5979469.0882390393</v>
      </c>
      <c r="R664" s="634">
        <f t="shared" ref="R664:AB664" si="387">SUM(R659:R663)</f>
        <v>5689479.9630647767</v>
      </c>
      <c r="S664" s="634">
        <f t="shared" si="387"/>
        <v>5349504.1401294228</v>
      </c>
      <c r="T664" s="634">
        <f t="shared" si="387"/>
        <v>4954920.2997829095</v>
      </c>
      <c r="U664" s="634">
        <f t="shared" si="387"/>
        <v>4500749.9869743874</v>
      </c>
      <c r="V664" s="634">
        <f t="shared" si="387"/>
        <v>3981632.3058500849</v>
      </c>
      <c r="W664" s="634">
        <f t="shared" si="387"/>
        <v>3391796.9110915125</v>
      </c>
      <c r="X664" s="634">
        <f t="shared" si="387"/>
        <v>2725035.1851842999</v>
      </c>
      <c r="Y664" s="634">
        <f t="shared" si="387"/>
        <v>1974669.4837712429</v>
      </c>
      <c r="Z664" s="634">
        <f t="shared" si="387"/>
        <v>1133520.3237675671</v>
      </c>
      <c r="AA664" s="634">
        <f t="shared" si="387"/>
        <v>193871.38097507902</v>
      </c>
      <c r="AB664" s="634">
        <f t="shared" si="387"/>
        <v>0</v>
      </c>
      <c r="AC664" s="634">
        <f>SUM(AC659:AC663)</f>
        <v>0</v>
      </c>
      <c r="AD664" s="777">
        <f>SUM(AD659:AD663)</f>
        <v>95065328.031410903</v>
      </c>
    </row>
    <row r="665" spans="2:30" ht="14.65" thickTop="1" x14ac:dyDescent="0.45">
      <c r="B665" s="637" t="str">
        <f t="shared" si="312"/>
        <v>Rent</v>
      </c>
      <c r="F665" s="615">
        <f>'11. Table - Expenditure Review'!F178</f>
        <v>6109634.9890155438</v>
      </c>
      <c r="G665" s="615">
        <f>'11. Table - Expenditure Review'!G178</f>
        <v>10590648.855097087</v>
      </c>
      <c r="H665" s="615">
        <f>'11. Table - Expenditure Review'!H178</f>
        <v>8474087.8213630393</v>
      </c>
      <c r="I665" s="633">
        <f t="shared" ref="I665:AC665" si="388">IF(H$525&gt;1,H664*I$525/H$525,0)</f>
        <v>7629963.5693900548</v>
      </c>
      <c r="J665" s="633">
        <f t="shared" si="388"/>
        <v>7135658.8279370917</v>
      </c>
      <c r="K665" s="633">
        <f t="shared" si="388"/>
        <v>6633612.9285280854</v>
      </c>
      <c r="L665" s="633">
        <f t="shared" si="388"/>
        <v>6463286.7167160381</v>
      </c>
      <c r="M665" s="633">
        <f t="shared" si="388"/>
        <v>6369911.7507264586</v>
      </c>
      <c r="N665" s="633">
        <f t="shared" si="388"/>
        <v>6246709.6083243936</v>
      </c>
      <c r="O665" s="633">
        <f t="shared" si="388"/>
        <v>6090680.4346061097</v>
      </c>
      <c r="P665" s="633">
        <f t="shared" si="388"/>
        <v>5898584.1121224761</v>
      </c>
      <c r="Q665" s="633">
        <f t="shared" si="388"/>
        <v>5666922.6580878571</v>
      </c>
      <c r="R665" s="633">
        <f t="shared" si="388"/>
        <v>5391921.2560903337</v>
      </c>
      <c r="S665" s="633">
        <f t="shared" si="388"/>
        <v>5069507.700937178</v>
      </c>
      <c r="T665" s="633">
        <f t="shared" si="388"/>
        <v>4695289.8892261498</v>
      </c>
      <c r="U665" s="633">
        <f t="shared" si="388"/>
        <v>4264530.6649179664</v>
      </c>
      <c r="V665" s="633">
        <f t="shared" si="388"/>
        <v>3772118.5420917147</v>
      </c>
      <c r="W665" s="633">
        <f t="shared" si="388"/>
        <v>3212530.6809593849</v>
      </c>
      <c r="X665" s="633">
        <f t="shared" si="388"/>
        <v>2579777.7353429087</v>
      </c>
      <c r="Y665" s="633">
        <f t="shared" si="388"/>
        <v>1867294.3051680718</v>
      </c>
      <c r="Z665" s="633">
        <f t="shared" si="388"/>
        <v>1067605.8591120946</v>
      </c>
      <c r="AA665" s="633">
        <f t="shared" si="388"/>
        <v>170454.18402519805</v>
      </c>
      <c r="AB665" s="633">
        <f t="shared" si="388"/>
        <v>0</v>
      </c>
      <c r="AC665" s="633">
        <f t="shared" si="388"/>
        <v>0</v>
      </c>
      <c r="AD665" s="633">
        <f>SUM(I665:AC665)</f>
        <v>90226361.424309582</v>
      </c>
    </row>
    <row r="666" spans="2:30" x14ac:dyDescent="0.45">
      <c r="B666" s="637" t="str">
        <f t="shared" si="312"/>
        <v>Rent</v>
      </c>
    </row>
    <row r="667" spans="2:30" x14ac:dyDescent="0.45">
      <c r="B667" s="637" t="str">
        <f t="shared" si="312"/>
        <v>Rent</v>
      </c>
      <c r="C667" s="451">
        <f>C658+1</f>
        <v>70</v>
      </c>
      <c r="D667" s="591" t="s">
        <v>342</v>
      </c>
    </row>
    <row r="668" spans="2:30" x14ac:dyDescent="0.45">
      <c r="B668" s="637" t="str">
        <f t="shared" ref="B668:B741" si="389">B667</f>
        <v>Rent</v>
      </c>
      <c r="D668" s="583" t="str">
        <f>'12. Inputs-Props &amp; Debtors 2016'!C$77</f>
        <v>EC</v>
      </c>
      <c r="F668" s="614">
        <f>'11. Table - Expenditure Review'!I179</f>
        <v>0</v>
      </c>
      <c r="G668" s="614">
        <f>'11. Table - Expenditure Review'!J179</f>
        <v>0</v>
      </c>
      <c r="H668" s="614">
        <f>'11. Table - Expenditure Review'!K179</f>
        <v>0</v>
      </c>
      <c r="I668" s="633">
        <f t="shared" ref="I668:AC668" si="390">IF(H$520&gt;1,(H668*I$520/H$520)*(1+I$23),0)</f>
        <v>0</v>
      </c>
      <c r="J668" s="633">
        <f t="shared" si="390"/>
        <v>0</v>
      </c>
      <c r="K668" s="633">
        <f t="shared" si="390"/>
        <v>0</v>
      </c>
      <c r="L668" s="633">
        <f t="shared" si="390"/>
        <v>0</v>
      </c>
      <c r="M668" s="633">
        <f t="shared" si="390"/>
        <v>0</v>
      </c>
      <c r="N668" s="633">
        <f t="shared" si="390"/>
        <v>0</v>
      </c>
      <c r="O668" s="633">
        <f t="shared" si="390"/>
        <v>0</v>
      </c>
      <c r="P668" s="633">
        <f t="shared" si="390"/>
        <v>0</v>
      </c>
      <c r="Q668" s="633">
        <f t="shared" si="390"/>
        <v>0</v>
      </c>
      <c r="R668" s="633">
        <f t="shared" si="390"/>
        <v>0</v>
      </c>
      <c r="S668" s="633">
        <f t="shared" si="390"/>
        <v>0</v>
      </c>
      <c r="T668" s="633">
        <f t="shared" si="390"/>
        <v>0</v>
      </c>
      <c r="U668" s="633">
        <f t="shared" si="390"/>
        <v>0</v>
      </c>
      <c r="V668" s="633">
        <f t="shared" si="390"/>
        <v>0</v>
      </c>
      <c r="W668" s="633">
        <f t="shared" si="390"/>
        <v>0</v>
      </c>
      <c r="X668" s="633">
        <f t="shared" si="390"/>
        <v>0</v>
      </c>
      <c r="Y668" s="633">
        <f t="shared" si="390"/>
        <v>0</v>
      </c>
      <c r="Z668" s="633">
        <f t="shared" si="390"/>
        <v>0</v>
      </c>
      <c r="AA668" s="633">
        <f t="shared" si="390"/>
        <v>0</v>
      </c>
      <c r="AB668" s="633">
        <f t="shared" si="390"/>
        <v>0</v>
      </c>
      <c r="AC668" s="633">
        <f t="shared" si="390"/>
        <v>0</v>
      </c>
      <c r="AD668" s="633">
        <f>SUM(I668:AC668)</f>
        <v>0</v>
      </c>
    </row>
    <row r="669" spans="2:30" x14ac:dyDescent="0.45">
      <c r="B669" s="637" t="str">
        <f t="shared" si="389"/>
        <v>Rent</v>
      </c>
      <c r="D669" s="583" t="str">
        <f>'12. Inputs-Props &amp; Debtors 2016'!C$78</f>
        <v>FS</v>
      </c>
      <c r="F669" s="614">
        <f>'11. Table - Expenditure Review'!L179</f>
        <v>0</v>
      </c>
      <c r="G669" s="614">
        <f>'11. Table - Expenditure Review'!M179</f>
        <v>0</v>
      </c>
      <c r="H669" s="614">
        <f>'11. Table - Expenditure Review'!N179</f>
        <v>0</v>
      </c>
      <c r="I669" s="633">
        <f t="shared" ref="I669:AC669" si="391">IF(H$521&gt;1,(H669*I$521/H$521)*(1+I$23),0)</f>
        <v>0</v>
      </c>
      <c r="J669" s="633">
        <f t="shared" si="391"/>
        <v>0</v>
      </c>
      <c r="K669" s="633">
        <f t="shared" si="391"/>
        <v>0</v>
      </c>
      <c r="L669" s="633">
        <f t="shared" si="391"/>
        <v>0</v>
      </c>
      <c r="M669" s="633">
        <f t="shared" si="391"/>
        <v>0</v>
      </c>
      <c r="N669" s="633">
        <f t="shared" si="391"/>
        <v>0</v>
      </c>
      <c r="O669" s="633">
        <f t="shared" si="391"/>
        <v>0</v>
      </c>
      <c r="P669" s="633">
        <f t="shared" si="391"/>
        <v>0</v>
      </c>
      <c r="Q669" s="633">
        <f t="shared" si="391"/>
        <v>0</v>
      </c>
      <c r="R669" s="633">
        <f t="shared" si="391"/>
        <v>0</v>
      </c>
      <c r="S669" s="633">
        <f t="shared" si="391"/>
        <v>0</v>
      </c>
      <c r="T669" s="633">
        <f t="shared" si="391"/>
        <v>0</v>
      </c>
      <c r="U669" s="633">
        <f t="shared" si="391"/>
        <v>0</v>
      </c>
      <c r="V669" s="633">
        <f t="shared" si="391"/>
        <v>0</v>
      </c>
      <c r="W669" s="633">
        <f t="shared" si="391"/>
        <v>0</v>
      </c>
      <c r="X669" s="633">
        <f t="shared" si="391"/>
        <v>0</v>
      </c>
      <c r="Y669" s="633">
        <f t="shared" si="391"/>
        <v>0</v>
      </c>
      <c r="Z669" s="633">
        <f t="shared" si="391"/>
        <v>0</v>
      </c>
      <c r="AA669" s="633">
        <f t="shared" si="391"/>
        <v>0</v>
      </c>
      <c r="AB669" s="633">
        <f t="shared" si="391"/>
        <v>0</v>
      </c>
      <c r="AC669" s="633">
        <f t="shared" si="391"/>
        <v>0</v>
      </c>
      <c r="AD669" s="633">
        <f>SUM(I669:AC669)</f>
        <v>0</v>
      </c>
    </row>
    <row r="670" spans="2:30" x14ac:dyDescent="0.45">
      <c r="B670" s="637" t="str">
        <f t="shared" si="389"/>
        <v>Rent</v>
      </c>
      <c r="D670" s="583" t="str">
        <f>'12. Inputs-Props &amp; Debtors 2016'!C$79</f>
        <v>Gau</v>
      </c>
      <c r="F670" s="614">
        <f>'11. Table - Expenditure Review'!O179</f>
        <v>29786126.449999999</v>
      </c>
      <c r="G670" s="614">
        <f>'11. Table - Expenditure Review'!P179</f>
        <v>21565237.469999999</v>
      </c>
      <c r="H670" s="614">
        <f>'11. Table - Expenditure Review'!Q179</f>
        <v>27062400.5</v>
      </c>
      <c r="I670" s="633">
        <f t="shared" ref="I670:AC670" si="392">IF(H$522&gt;1,(H670*I$522/H$522)*(1+I$23),0)</f>
        <v>27118234.67340466</v>
      </c>
      <c r="J670" s="633">
        <f t="shared" si="392"/>
        <v>27098346.844371334</v>
      </c>
      <c r="K670" s="633">
        <f t="shared" si="392"/>
        <v>26994238.694257293</v>
      </c>
      <c r="L670" s="633">
        <f t="shared" si="392"/>
        <v>26717543.057884604</v>
      </c>
      <c r="M670" s="633">
        <f t="shared" si="392"/>
        <v>26328753.329460792</v>
      </c>
      <c r="N670" s="633">
        <f t="shared" si="392"/>
        <v>25816376.163160261</v>
      </c>
      <c r="O670" s="633">
        <f t="shared" si="392"/>
        <v>25167993.029745053</v>
      </c>
      <c r="P670" s="633">
        <f t="shared" si="392"/>
        <v>24370193.213760611</v>
      </c>
      <c r="Q670" s="633">
        <f t="shared" si="392"/>
        <v>23408502.239102904</v>
      </c>
      <c r="R670" s="633">
        <f t="shared" si="392"/>
        <v>22267305.422761224</v>
      </c>
      <c r="S670" s="633">
        <f t="shared" si="392"/>
        <v>20929766.237348676</v>
      </c>
      <c r="T670" s="633">
        <f t="shared" si="392"/>
        <v>19377739.142636888</v>
      </c>
      <c r="U670" s="633">
        <f t="shared" si="392"/>
        <v>17591676.524638828</v>
      </c>
      <c r="V670" s="633">
        <f t="shared" si="392"/>
        <v>15550529.357754504</v>
      </c>
      <c r="W670" s="633">
        <f t="shared" si="392"/>
        <v>13231641.181025872</v>
      </c>
      <c r="X670" s="633">
        <f t="shared" si="392"/>
        <v>10610634.953549884</v>
      </c>
      <c r="Y670" s="633">
        <f t="shared" si="392"/>
        <v>7661292.3264789348</v>
      </c>
      <c r="Z670" s="633">
        <f t="shared" si="392"/>
        <v>4355424.839695693</v>
      </c>
      <c r="AA670" s="633">
        <f t="shared" si="392"/>
        <v>662736.52007869561</v>
      </c>
      <c r="AB670" s="633">
        <f t="shared" si="392"/>
        <v>0</v>
      </c>
      <c r="AC670" s="633">
        <f t="shared" si="392"/>
        <v>0</v>
      </c>
      <c r="AD670" s="633">
        <f>SUM(I670:AC670)</f>
        <v>365258927.75111675</v>
      </c>
    </row>
    <row r="671" spans="2:30" x14ac:dyDescent="0.45">
      <c r="B671" s="637" t="str">
        <f t="shared" si="389"/>
        <v>Rent</v>
      </c>
      <c r="D671" s="583" t="str">
        <f>'12. Inputs-Props &amp; Debtors 2016'!C$80</f>
        <v>KZN</v>
      </c>
      <c r="F671" s="614">
        <f>'11. Table - Expenditure Review'!R179</f>
        <v>21457726.75</v>
      </c>
      <c r="G671" s="614">
        <f>'11. Table - Expenditure Review'!S179</f>
        <v>22270178.579999998</v>
      </c>
      <c r="H671" s="614">
        <f>'11. Table - Expenditure Review'!T179</f>
        <v>30060642.490000002</v>
      </c>
      <c r="I671" s="633">
        <f t="shared" ref="I671:AC671" si="393">IF(H$523&gt;1,(H671*I$523/H$523)*(1+I$23),0)</f>
        <v>28546292.175877355</v>
      </c>
      <c r="J671" s="633">
        <f t="shared" si="393"/>
        <v>26774429.883668967</v>
      </c>
      <c r="K671" s="633">
        <f t="shared" si="393"/>
        <v>24721310.205485623</v>
      </c>
      <c r="L671" s="633">
        <f t="shared" si="393"/>
        <v>24453645.211700879</v>
      </c>
      <c r="M671" s="633">
        <f t="shared" si="393"/>
        <v>24081755.105228223</v>
      </c>
      <c r="N671" s="633">
        <f t="shared" si="393"/>
        <v>23594984.810278177</v>
      </c>
      <c r="O671" s="633">
        <f t="shared" si="393"/>
        <v>22981822.473690309</v>
      </c>
      <c r="P671" s="633">
        <f t="shared" si="393"/>
        <v>22229837.451026682</v>
      </c>
      <c r="Q671" s="633">
        <f t="shared" si="393"/>
        <v>21325614.062887143</v>
      </c>
      <c r="R671" s="633">
        <f t="shared" si="393"/>
        <v>20254680.843762904</v>
      </c>
      <c r="S671" s="633">
        <f t="shared" si="393"/>
        <v>19001434.987994764</v>
      </c>
      <c r="T671" s="633">
        <f t="shared" si="393"/>
        <v>17549061.678539749</v>
      </c>
      <c r="U671" s="633">
        <f t="shared" si="393"/>
        <v>15879447.964205993</v>
      </c>
      <c r="V671" s="633">
        <f t="shared" si="393"/>
        <v>13973090.829717943</v>
      </c>
      <c r="W671" s="633">
        <f t="shared" si="393"/>
        <v>11808999.080344485</v>
      </c>
      <c r="X671" s="633">
        <f t="shared" si="393"/>
        <v>9364588.6387800518</v>
      </c>
      <c r="Y671" s="633">
        <f t="shared" si="393"/>
        <v>6615570.826425489</v>
      </c>
      <c r="Z671" s="633">
        <f t="shared" si="393"/>
        <v>3535833.1740796142</v>
      </c>
      <c r="AA671" s="633">
        <f t="shared" si="393"/>
        <v>97312.278225756338</v>
      </c>
      <c r="AB671" s="633">
        <f t="shared" si="393"/>
        <v>0</v>
      </c>
      <c r="AC671" s="633">
        <f t="shared" si="393"/>
        <v>0</v>
      </c>
      <c r="AD671" s="633">
        <f>SUM(I671:AC671)</f>
        <v>336789711.68192005</v>
      </c>
    </row>
    <row r="672" spans="2:30" x14ac:dyDescent="0.45">
      <c r="B672" s="637" t="str">
        <f t="shared" si="389"/>
        <v>Rent</v>
      </c>
      <c r="D672" s="583" t="str">
        <f>'12. Inputs-Props &amp; Debtors 2016'!C$81</f>
        <v>WC</v>
      </c>
      <c r="F672" s="614">
        <f>'11. Table - Expenditure Review'!U179</f>
        <v>859632.69000000006</v>
      </c>
      <c r="G672" s="614">
        <f>'11. Table - Expenditure Review'!V179</f>
        <v>630746.84</v>
      </c>
      <c r="H672" s="614">
        <f>'11. Table - Expenditure Review'!W179</f>
        <v>300799.96000000002</v>
      </c>
      <c r="I672" s="633">
        <f t="shared" ref="I672:AC672" si="394">IF(H$524&gt;1,(H672*I$524/H$524)*(1+I$23),0)</f>
        <v>253875.16624000002</v>
      </c>
      <c r="J672" s="633">
        <f t="shared" si="394"/>
        <v>200878.72528739998</v>
      </c>
      <c r="K672" s="633">
        <f t="shared" si="394"/>
        <v>158829.86270436426</v>
      </c>
      <c r="L672" s="633">
        <f t="shared" si="394"/>
        <v>157336.21559433918</v>
      </c>
      <c r="M672" s="633">
        <f t="shared" si="394"/>
        <v>155197.80696753066</v>
      </c>
      <c r="N672" s="633">
        <f t="shared" si="394"/>
        <v>152348.23133960034</v>
      </c>
      <c r="O672" s="633">
        <f t="shared" si="394"/>
        <v>148715.72902652089</v>
      </c>
      <c r="P672" s="633">
        <f t="shared" si="394"/>
        <v>144222.7980592004</v>
      </c>
      <c r="Q672" s="633">
        <f t="shared" si="394"/>
        <v>138785.77960516946</v>
      </c>
      <c r="R672" s="633">
        <f t="shared" si="394"/>
        <v>132314.41515706602</v>
      </c>
      <c r="S672" s="633">
        <f t="shared" si="394"/>
        <v>124711.37363636558</v>
      </c>
      <c r="T672" s="633">
        <f t="shared" si="394"/>
        <v>115871.74644253796</v>
      </c>
      <c r="U672" s="633">
        <f t="shared" si="394"/>
        <v>105682.5083521393</v>
      </c>
      <c r="V672" s="633">
        <f t="shared" si="394"/>
        <v>94021.942038808105</v>
      </c>
      <c r="W672" s="633">
        <f t="shared" si="394"/>
        <v>80759.023843245261</v>
      </c>
      <c r="X672" s="633">
        <f t="shared" si="394"/>
        <v>65752.768271503111</v>
      </c>
      <c r="Y672" s="633">
        <f t="shared" si="394"/>
        <v>48851.528539743507</v>
      </c>
      <c r="Z672" s="633">
        <f t="shared" si="394"/>
        <v>29892.250313469049</v>
      </c>
      <c r="AA672" s="633">
        <f t="shared" si="394"/>
        <v>8699.6756084716817</v>
      </c>
      <c r="AB672" s="633">
        <f t="shared" si="394"/>
        <v>0</v>
      </c>
      <c r="AC672" s="633">
        <f t="shared" si="394"/>
        <v>0</v>
      </c>
      <c r="AD672" s="633">
        <f>SUM(I672:AC672)</f>
        <v>2316747.5470274747</v>
      </c>
    </row>
    <row r="673" spans="2:30" ht="14.65" thickBot="1" x14ac:dyDescent="0.5">
      <c r="B673" s="637" t="str">
        <f t="shared" si="389"/>
        <v>Rent</v>
      </c>
      <c r="D673" s="596" t="s">
        <v>11</v>
      </c>
      <c r="F673" s="613">
        <f t="shared" ref="F673:Q673" si="395">SUM(F668:F672)</f>
        <v>52103485.890000001</v>
      </c>
      <c r="G673" s="613">
        <f t="shared" si="395"/>
        <v>44466162.890000001</v>
      </c>
      <c r="H673" s="613">
        <f t="shared" si="395"/>
        <v>57423842.950000003</v>
      </c>
      <c r="I673" s="634">
        <f t="shared" si="395"/>
        <v>55918402.015522011</v>
      </c>
      <c r="J673" s="634">
        <f t="shared" si="395"/>
        <v>54073655.4533277</v>
      </c>
      <c r="K673" s="634">
        <f t="shared" si="395"/>
        <v>51874378.762447283</v>
      </c>
      <c r="L673" s="634">
        <f t="shared" si="395"/>
        <v>51328524.485179819</v>
      </c>
      <c r="M673" s="634">
        <f t="shared" si="395"/>
        <v>50565706.241656549</v>
      </c>
      <c r="N673" s="634">
        <f t="shared" si="395"/>
        <v>49563709.204778045</v>
      </c>
      <c r="O673" s="634">
        <f t="shared" si="395"/>
        <v>48298531.232461877</v>
      </c>
      <c r="P673" s="634">
        <f t="shared" si="395"/>
        <v>46744253.462846495</v>
      </c>
      <c r="Q673" s="634">
        <f t="shared" si="395"/>
        <v>44872902.08159522</v>
      </c>
      <c r="R673" s="634">
        <f t="shared" ref="R673:AB673" si="396">SUM(R668:R672)</f>
        <v>42654300.681681193</v>
      </c>
      <c r="S673" s="634">
        <f t="shared" si="396"/>
        <v>40055912.598979801</v>
      </c>
      <c r="T673" s="634">
        <f t="shared" si="396"/>
        <v>37042672.567619175</v>
      </c>
      <c r="U673" s="634">
        <f t="shared" si="396"/>
        <v>33576806.997196957</v>
      </c>
      <c r="V673" s="634">
        <f t="shared" si="396"/>
        <v>29617642.129511256</v>
      </c>
      <c r="W673" s="634">
        <f t="shared" si="396"/>
        <v>25121399.285213601</v>
      </c>
      <c r="X673" s="634">
        <f t="shared" si="396"/>
        <v>20040976.360601436</v>
      </c>
      <c r="Y673" s="634">
        <f t="shared" si="396"/>
        <v>14325714.681444168</v>
      </c>
      <c r="Z673" s="634">
        <f t="shared" si="396"/>
        <v>7921150.2640887769</v>
      </c>
      <c r="AA673" s="634">
        <f t="shared" si="396"/>
        <v>768748.47391292371</v>
      </c>
      <c r="AB673" s="634">
        <f t="shared" si="396"/>
        <v>0</v>
      </c>
      <c r="AC673" s="634">
        <f>SUM(AC668:AC672)</f>
        <v>0</v>
      </c>
      <c r="AD673" s="777">
        <f>SUM(AD668:AD672)</f>
        <v>704365386.98006427</v>
      </c>
    </row>
    <row r="674" spans="2:30" ht="14.65" thickTop="1" x14ac:dyDescent="0.45">
      <c r="B674" s="637" t="str">
        <f t="shared" si="389"/>
        <v>Rent</v>
      </c>
      <c r="F674" s="615">
        <f>'11. Table - Expenditure Review'!F179</f>
        <v>52103485.890000001</v>
      </c>
      <c r="G674" s="615">
        <f>'11. Table - Expenditure Review'!G179</f>
        <v>44466162.890000001</v>
      </c>
      <c r="H674" s="615">
        <f>'11. Table - Expenditure Review'!H179</f>
        <v>57423842.950000003</v>
      </c>
      <c r="I674" s="633">
        <f t="shared" ref="I674:AC674" si="397">IF(H$525&gt;1,H673*I$525/H$525,0)</f>
        <v>51703715.958468996</v>
      </c>
      <c r="J674" s="633">
        <f t="shared" si="397"/>
        <v>49731992.494218029</v>
      </c>
      <c r="K674" s="633">
        <f t="shared" si="397"/>
        <v>47844454.099072136</v>
      </c>
      <c r="L674" s="633">
        <f t="shared" si="397"/>
        <v>48667702.175928384</v>
      </c>
      <c r="M674" s="633">
        <f t="shared" si="397"/>
        <v>47946528.411229193</v>
      </c>
      <c r="N674" s="633">
        <f t="shared" si="397"/>
        <v>46998961.669055305</v>
      </c>
      <c r="O674" s="633">
        <f t="shared" si="397"/>
        <v>45802326.303408049</v>
      </c>
      <c r="P674" s="633">
        <f t="shared" si="397"/>
        <v>44332154.757703014</v>
      </c>
      <c r="Q674" s="633">
        <f t="shared" si="397"/>
        <v>42562067.681926735</v>
      </c>
      <c r="R674" s="633">
        <f t="shared" si="397"/>
        <v>40463651.703142822</v>
      </c>
      <c r="S674" s="633">
        <f t="shared" si="397"/>
        <v>38006339.276637822</v>
      </c>
      <c r="T674" s="633">
        <f t="shared" si="397"/>
        <v>35157299.911009327</v>
      </c>
      <c r="U674" s="633">
        <f t="shared" si="397"/>
        <v>31881363.072994065</v>
      </c>
      <c r="V674" s="633">
        <f t="shared" si="397"/>
        <v>28141020.191060491</v>
      </c>
      <c r="W674" s="633">
        <f t="shared" si="397"/>
        <v>23896627.495947544</v>
      </c>
      <c r="X674" s="633">
        <f t="shared" si="397"/>
        <v>19107165.98176204</v>
      </c>
      <c r="Y674" s="633">
        <f t="shared" si="397"/>
        <v>13732813.884980371</v>
      </c>
      <c r="Z674" s="633">
        <f t="shared" si="397"/>
        <v>7745203.4659840418</v>
      </c>
      <c r="AA674" s="633">
        <f t="shared" si="397"/>
        <v>1191150.4156524476</v>
      </c>
      <c r="AB674" s="633">
        <f t="shared" si="397"/>
        <v>0</v>
      </c>
      <c r="AC674" s="633">
        <f t="shared" si="397"/>
        <v>0</v>
      </c>
      <c r="AD674" s="633">
        <f>SUM(I674:AC674)</f>
        <v>664912538.95018077</v>
      </c>
    </row>
    <row r="675" spans="2:30" x14ac:dyDescent="0.45">
      <c r="B675" s="637" t="str">
        <f t="shared" si="389"/>
        <v>Rent</v>
      </c>
      <c r="F675" s="615"/>
      <c r="G675" s="615"/>
      <c r="H675" s="615"/>
    </row>
    <row r="676" spans="2:30" x14ac:dyDescent="0.45">
      <c r="B676" s="637" t="str">
        <f t="shared" si="389"/>
        <v>Rent</v>
      </c>
      <c r="C676" s="451">
        <f>C667+1</f>
        <v>71</v>
      </c>
      <c r="D676" s="591" t="s">
        <v>344</v>
      </c>
    </row>
    <row r="677" spans="2:30" x14ac:dyDescent="0.45">
      <c r="B677" s="637" t="str">
        <f t="shared" si="389"/>
        <v>Rent</v>
      </c>
      <c r="D677" s="583" t="str">
        <f>'12. Inputs-Props &amp; Debtors 2016'!C$77</f>
        <v>EC</v>
      </c>
      <c r="F677" s="614">
        <f>'11. Table - Expenditure Review'!I180</f>
        <v>0</v>
      </c>
      <c r="G677" s="614">
        <f>'11. Table - Expenditure Review'!J180</f>
        <v>0</v>
      </c>
      <c r="H677" s="614">
        <f>'11. Table - Expenditure Review'!K180</f>
        <v>0</v>
      </c>
      <c r="I677" s="633">
        <f t="shared" ref="I677:AC677" si="398">IF(H$520&gt;1,(H677*I$520/H$520)*(1+I$23),0)</f>
        <v>0</v>
      </c>
      <c r="J677" s="633">
        <f t="shared" si="398"/>
        <v>0</v>
      </c>
      <c r="K677" s="633">
        <f t="shared" si="398"/>
        <v>0</v>
      </c>
      <c r="L677" s="633">
        <f t="shared" si="398"/>
        <v>0</v>
      </c>
      <c r="M677" s="633">
        <f t="shared" si="398"/>
        <v>0</v>
      </c>
      <c r="N677" s="633">
        <f t="shared" si="398"/>
        <v>0</v>
      </c>
      <c r="O677" s="633">
        <f t="shared" si="398"/>
        <v>0</v>
      </c>
      <c r="P677" s="633">
        <f t="shared" si="398"/>
        <v>0</v>
      </c>
      <c r="Q677" s="633">
        <f t="shared" si="398"/>
        <v>0</v>
      </c>
      <c r="R677" s="633">
        <f t="shared" si="398"/>
        <v>0</v>
      </c>
      <c r="S677" s="633">
        <f t="shared" si="398"/>
        <v>0</v>
      </c>
      <c r="T677" s="633">
        <f t="shared" si="398"/>
        <v>0</v>
      </c>
      <c r="U677" s="633">
        <f t="shared" si="398"/>
        <v>0</v>
      </c>
      <c r="V677" s="633">
        <f t="shared" si="398"/>
        <v>0</v>
      </c>
      <c r="W677" s="633">
        <f t="shared" si="398"/>
        <v>0</v>
      </c>
      <c r="X677" s="633">
        <f t="shared" si="398"/>
        <v>0</v>
      </c>
      <c r="Y677" s="633">
        <f t="shared" si="398"/>
        <v>0</v>
      </c>
      <c r="Z677" s="633">
        <f t="shared" si="398"/>
        <v>0</v>
      </c>
      <c r="AA677" s="633">
        <f t="shared" si="398"/>
        <v>0</v>
      </c>
      <c r="AB677" s="633">
        <f t="shared" si="398"/>
        <v>0</v>
      </c>
      <c r="AC677" s="633">
        <f t="shared" si="398"/>
        <v>0</v>
      </c>
      <c r="AD677" s="633">
        <f>SUM(I677:AC677)</f>
        <v>0</v>
      </c>
    </row>
    <row r="678" spans="2:30" x14ac:dyDescent="0.45">
      <c r="B678" s="637" t="str">
        <f t="shared" si="389"/>
        <v>Rent</v>
      </c>
      <c r="D678" s="583" t="str">
        <f>'12. Inputs-Props &amp; Debtors 2016'!C$78</f>
        <v>FS</v>
      </c>
      <c r="F678" s="614">
        <f>'11. Table - Expenditure Review'!L180</f>
        <v>0</v>
      </c>
      <c r="G678" s="614">
        <f>'11. Table - Expenditure Review'!M180</f>
        <v>0</v>
      </c>
      <c r="H678" s="614">
        <f>'11. Table - Expenditure Review'!N180</f>
        <v>0</v>
      </c>
      <c r="I678" s="633">
        <f t="shared" ref="I678:AC678" si="399">IF(H$521&gt;1,(H678*I$521/H$521)*(1+I$23),0)</f>
        <v>0</v>
      </c>
      <c r="J678" s="633">
        <f t="shared" si="399"/>
        <v>0</v>
      </c>
      <c r="K678" s="633">
        <f t="shared" si="399"/>
        <v>0</v>
      </c>
      <c r="L678" s="633">
        <f t="shared" si="399"/>
        <v>0</v>
      </c>
      <c r="M678" s="633">
        <f t="shared" si="399"/>
        <v>0</v>
      </c>
      <c r="N678" s="633">
        <f t="shared" si="399"/>
        <v>0</v>
      </c>
      <c r="O678" s="633">
        <f t="shared" si="399"/>
        <v>0</v>
      </c>
      <c r="P678" s="633">
        <f t="shared" si="399"/>
        <v>0</v>
      </c>
      <c r="Q678" s="633">
        <f t="shared" si="399"/>
        <v>0</v>
      </c>
      <c r="R678" s="633">
        <f t="shared" si="399"/>
        <v>0</v>
      </c>
      <c r="S678" s="633">
        <f t="shared" si="399"/>
        <v>0</v>
      </c>
      <c r="T678" s="633">
        <f t="shared" si="399"/>
        <v>0</v>
      </c>
      <c r="U678" s="633">
        <f t="shared" si="399"/>
        <v>0</v>
      </c>
      <c r="V678" s="633">
        <f t="shared" si="399"/>
        <v>0</v>
      </c>
      <c r="W678" s="633">
        <f t="shared" si="399"/>
        <v>0</v>
      </c>
      <c r="X678" s="633">
        <f t="shared" si="399"/>
        <v>0</v>
      </c>
      <c r="Y678" s="633">
        <f t="shared" si="399"/>
        <v>0</v>
      </c>
      <c r="Z678" s="633">
        <f t="shared" si="399"/>
        <v>0</v>
      </c>
      <c r="AA678" s="633">
        <f t="shared" si="399"/>
        <v>0</v>
      </c>
      <c r="AB678" s="633">
        <f t="shared" si="399"/>
        <v>0</v>
      </c>
      <c r="AC678" s="633">
        <f t="shared" si="399"/>
        <v>0</v>
      </c>
      <c r="AD678" s="633">
        <f>SUM(I678:AC678)</f>
        <v>0</v>
      </c>
    </row>
    <row r="679" spans="2:30" x14ac:dyDescent="0.45">
      <c r="B679" s="637" t="str">
        <f t="shared" si="389"/>
        <v>Rent</v>
      </c>
      <c r="D679" s="583" t="str">
        <f>'12. Inputs-Props &amp; Debtors 2016'!C$79</f>
        <v>Gau</v>
      </c>
      <c r="F679" s="614">
        <f>'11. Table - Expenditure Review'!O180</f>
        <v>276698.82</v>
      </c>
      <c r="G679" s="614">
        <f>'11. Table - Expenditure Review'!P180</f>
        <v>0</v>
      </c>
      <c r="H679" s="614">
        <f>'11. Table - Expenditure Review'!Q180</f>
        <v>0</v>
      </c>
      <c r="I679" s="633">
        <f t="shared" ref="I679:AC679" si="400">IF(H$522&gt;1,(H679*I$522/H$522)*(1+I$23),0)</f>
        <v>0</v>
      </c>
      <c r="J679" s="633">
        <f t="shared" si="400"/>
        <v>0</v>
      </c>
      <c r="K679" s="633">
        <f t="shared" si="400"/>
        <v>0</v>
      </c>
      <c r="L679" s="633">
        <f t="shared" si="400"/>
        <v>0</v>
      </c>
      <c r="M679" s="633">
        <f t="shared" si="400"/>
        <v>0</v>
      </c>
      <c r="N679" s="633">
        <f t="shared" si="400"/>
        <v>0</v>
      </c>
      <c r="O679" s="633">
        <f t="shared" si="400"/>
        <v>0</v>
      </c>
      <c r="P679" s="633">
        <f t="shared" si="400"/>
        <v>0</v>
      </c>
      <c r="Q679" s="633">
        <f t="shared" si="400"/>
        <v>0</v>
      </c>
      <c r="R679" s="633">
        <f t="shared" si="400"/>
        <v>0</v>
      </c>
      <c r="S679" s="633">
        <f t="shared" si="400"/>
        <v>0</v>
      </c>
      <c r="T679" s="633">
        <f t="shared" si="400"/>
        <v>0</v>
      </c>
      <c r="U679" s="633">
        <f t="shared" si="400"/>
        <v>0</v>
      </c>
      <c r="V679" s="633">
        <f t="shared" si="400"/>
        <v>0</v>
      </c>
      <c r="W679" s="633">
        <f t="shared" si="400"/>
        <v>0</v>
      </c>
      <c r="X679" s="633">
        <f t="shared" si="400"/>
        <v>0</v>
      </c>
      <c r="Y679" s="633">
        <f t="shared" si="400"/>
        <v>0</v>
      </c>
      <c r="Z679" s="633">
        <f t="shared" si="400"/>
        <v>0</v>
      </c>
      <c r="AA679" s="633">
        <f t="shared" si="400"/>
        <v>0</v>
      </c>
      <c r="AB679" s="633">
        <f t="shared" si="400"/>
        <v>0</v>
      </c>
      <c r="AC679" s="633">
        <f t="shared" si="400"/>
        <v>0</v>
      </c>
      <c r="AD679" s="633">
        <f>SUM(I679:AC679)</f>
        <v>0</v>
      </c>
    </row>
    <row r="680" spans="2:30" x14ac:dyDescent="0.45">
      <c r="B680" s="637" t="str">
        <f t="shared" si="389"/>
        <v>Rent</v>
      </c>
      <c r="D680" s="583" t="str">
        <f>'12. Inputs-Props &amp; Debtors 2016'!C$80</f>
        <v>KZN</v>
      </c>
      <c r="F680" s="614">
        <f>'11. Table - Expenditure Review'!R180</f>
        <v>605783.96</v>
      </c>
      <c r="G680" s="614">
        <f>'11. Table - Expenditure Review'!S180</f>
        <v>0</v>
      </c>
      <c r="H680" s="614">
        <f>'11. Table - Expenditure Review'!T180</f>
        <v>0</v>
      </c>
      <c r="I680" s="633">
        <f t="shared" ref="I680:AC680" si="401">IF(H$523&gt;1,(H680*I$523/H$523)*(1+I$23),0)</f>
        <v>0</v>
      </c>
      <c r="J680" s="633">
        <f t="shared" si="401"/>
        <v>0</v>
      </c>
      <c r="K680" s="633">
        <f t="shared" si="401"/>
        <v>0</v>
      </c>
      <c r="L680" s="633">
        <f t="shared" si="401"/>
        <v>0</v>
      </c>
      <c r="M680" s="633">
        <f t="shared" si="401"/>
        <v>0</v>
      </c>
      <c r="N680" s="633">
        <f t="shared" si="401"/>
        <v>0</v>
      </c>
      <c r="O680" s="633">
        <f t="shared" si="401"/>
        <v>0</v>
      </c>
      <c r="P680" s="633">
        <f t="shared" si="401"/>
        <v>0</v>
      </c>
      <c r="Q680" s="633">
        <f t="shared" si="401"/>
        <v>0</v>
      </c>
      <c r="R680" s="633">
        <f t="shared" si="401"/>
        <v>0</v>
      </c>
      <c r="S680" s="633">
        <f t="shared" si="401"/>
        <v>0</v>
      </c>
      <c r="T680" s="633">
        <f t="shared" si="401"/>
        <v>0</v>
      </c>
      <c r="U680" s="633">
        <f t="shared" si="401"/>
        <v>0</v>
      </c>
      <c r="V680" s="633">
        <f t="shared" si="401"/>
        <v>0</v>
      </c>
      <c r="W680" s="633">
        <f t="shared" si="401"/>
        <v>0</v>
      </c>
      <c r="X680" s="633">
        <f t="shared" si="401"/>
        <v>0</v>
      </c>
      <c r="Y680" s="633">
        <f t="shared" si="401"/>
        <v>0</v>
      </c>
      <c r="Z680" s="633">
        <f t="shared" si="401"/>
        <v>0</v>
      </c>
      <c r="AA680" s="633">
        <f t="shared" si="401"/>
        <v>0</v>
      </c>
      <c r="AB680" s="633">
        <f t="shared" si="401"/>
        <v>0</v>
      </c>
      <c r="AC680" s="633">
        <f t="shared" si="401"/>
        <v>0</v>
      </c>
      <c r="AD680" s="633">
        <f>SUM(I680:AC680)</f>
        <v>0</v>
      </c>
    </row>
    <row r="681" spans="2:30" x14ac:dyDescent="0.45">
      <c r="B681" s="637" t="str">
        <f t="shared" si="389"/>
        <v>Rent</v>
      </c>
      <c r="D681" s="583" t="str">
        <f>'12. Inputs-Props &amp; Debtors 2016'!C$81</f>
        <v>WC</v>
      </c>
      <c r="F681" s="614">
        <f>'11. Table - Expenditure Review'!U180</f>
        <v>0</v>
      </c>
      <c r="G681" s="614">
        <f>'11. Table - Expenditure Review'!V180</f>
        <v>0</v>
      </c>
      <c r="H681" s="614">
        <f>'11. Table - Expenditure Review'!W180</f>
        <v>0</v>
      </c>
      <c r="I681" s="633">
        <f t="shared" ref="I681:AC681" si="402">IF(H$524&gt;1,(H681*I$524/H$524)*(1+I$23),0)</f>
        <v>0</v>
      </c>
      <c r="J681" s="633">
        <f t="shared" si="402"/>
        <v>0</v>
      </c>
      <c r="K681" s="633">
        <f t="shared" si="402"/>
        <v>0</v>
      </c>
      <c r="L681" s="633">
        <f t="shared" si="402"/>
        <v>0</v>
      </c>
      <c r="M681" s="633">
        <f t="shared" si="402"/>
        <v>0</v>
      </c>
      <c r="N681" s="633">
        <f t="shared" si="402"/>
        <v>0</v>
      </c>
      <c r="O681" s="633">
        <f t="shared" si="402"/>
        <v>0</v>
      </c>
      <c r="P681" s="633">
        <f t="shared" si="402"/>
        <v>0</v>
      </c>
      <c r="Q681" s="633">
        <f t="shared" si="402"/>
        <v>0</v>
      </c>
      <c r="R681" s="633">
        <f t="shared" si="402"/>
        <v>0</v>
      </c>
      <c r="S681" s="633">
        <f t="shared" si="402"/>
        <v>0</v>
      </c>
      <c r="T681" s="633">
        <f t="shared" si="402"/>
        <v>0</v>
      </c>
      <c r="U681" s="633">
        <f t="shared" si="402"/>
        <v>0</v>
      </c>
      <c r="V681" s="633">
        <f t="shared" si="402"/>
        <v>0</v>
      </c>
      <c r="W681" s="633">
        <f t="shared" si="402"/>
        <v>0</v>
      </c>
      <c r="X681" s="633">
        <f t="shared" si="402"/>
        <v>0</v>
      </c>
      <c r="Y681" s="633">
        <f t="shared" si="402"/>
        <v>0</v>
      </c>
      <c r="Z681" s="633">
        <f t="shared" si="402"/>
        <v>0</v>
      </c>
      <c r="AA681" s="633">
        <f t="shared" si="402"/>
        <v>0</v>
      </c>
      <c r="AB681" s="633">
        <f t="shared" si="402"/>
        <v>0</v>
      </c>
      <c r="AC681" s="633">
        <f t="shared" si="402"/>
        <v>0</v>
      </c>
      <c r="AD681" s="633">
        <f>SUM(I681:AC681)</f>
        <v>0</v>
      </c>
    </row>
    <row r="682" spans="2:30" ht="14.65" thickBot="1" x14ac:dyDescent="0.5">
      <c r="B682" s="637" t="str">
        <f t="shared" si="389"/>
        <v>Rent</v>
      </c>
      <c r="D682" s="596" t="s">
        <v>11</v>
      </c>
      <c r="F682" s="613">
        <f>SUM(F677:F681)</f>
        <v>882482.78</v>
      </c>
      <c r="G682" s="613">
        <f>SUM(G677:G681)</f>
        <v>0</v>
      </c>
      <c r="H682" s="613">
        <f>SUM(H677:H681)</f>
        <v>0</v>
      </c>
      <c r="I682" s="634">
        <f t="shared" ref="I682:AC682" si="403">IF(H$525&gt;1,H682*I$525/H$525,0)</f>
        <v>0</v>
      </c>
      <c r="J682" s="634">
        <f t="shared" si="403"/>
        <v>0</v>
      </c>
      <c r="K682" s="634">
        <f t="shared" si="403"/>
        <v>0</v>
      </c>
      <c r="L682" s="634">
        <f t="shared" si="403"/>
        <v>0</v>
      </c>
      <c r="M682" s="634">
        <f t="shared" si="403"/>
        <v>0</v>
      </c>
      <c r="N682" s="634">
        <f t="shared" si="403"/>
        <v>0</v>
      </c>
      <c r="O682" s="634">
        <f t="shared" si="403"/>
        <v>0</v>
      </c>
      <c r="P682" s="634">
        <f t="shared" si="403"/>
        <v>0</v>
      </c>
      <c r="Q682" s="634">
        <f t="shared" si="403"/>
        <v>0</v>
      </c>
      <c r="R682" s="634">
        <f t="shared" si="403"/>
        <v>0</v>
      </c>
      <c r="S682" s="634">
        <f t="shared" si="403"/>
        <v>0</v>
      </c>
      <c r="T682" s="634">
        <f t="shared" si="403"/>
        <v>0</v>
      </c>
      <c r="U682" s="634">
        <f t="shared" si="403"/>
        <v>0</v>
      </c>
      <c r="V682" s="634">
        <f t="shared" si="403"/>
        <v>0</v>
      </c>
      <c r="W682" s="634">
        <f t="shared" si="403"/>
        <v>0</v>
      </c>
      <c r="X682" s="634">
        <f t="shared" si="403"/>
        <v>0</v>
      </c>
      <c r="Y682" s="634">
        <f t="shared" si="403"/>
        <v>0</v>
      </c>
      <c r="Z682" s="634">
        <f t="shared" si="403"/>
        <v>0</v>
      </c>
      <c r="AA682" s="634">
        <f t="shared" si="403"/>
        <v>0</v>
      </c>
      <c r="AB682" s="634">
        <f t="shared" si="403"/>
        <v>0</v>
      </c>
      <c r="AC682" s="634">
        <f t="shared" si="403"/>
        <v>0</v>
      </c>
      <c r="AD682" s="777">
        <f>SUM(AD677:AD681)</f>
        <v>0</v>
      </c>
    </row>
    <row r="683" spans="2:30" ht="14.65" thickTop="1" x14ac:dyDescent="0.45">
      <c r="B683" s="637" t="str">
        <f t="shared" si="389"/>
        <v>Rent</v>
      </c>
      <c r="F683" s="615">
        <f>'11. Table - Expenditure Review'!F180</f>
        <v>882482.78</v>
      </c>
      <c r="G683" s="615">
        <f>'11. Table - Expenditure Review'!G180</f>
        <v>0</v>
      </c>
      <c r="H683" s="615">
        <f>'11. Table - Expenditure Review'!H180</f>
        <v>0</v>
      </c>
      <c r="I683" s="633">
        <f t="shared" ref="I683:AC683" si="404">IF(H$525&gt;1,H682*I$525/H$525,0)</f>
        <v>0</v>
      </c>
      <c r="J683" s="633">
        <f t="shared" si="404"/>
        <v>0</v>
      </c>
      <c r="K683" s="633">
        <f t="shared" si="404"/>
        <v>0</v>
      </c>
      <c r="L683" s="633">
        <f t="shared" si="404"/>
        <v>0</v>
      </c>
      <c r="M683" s="633">
        <f t="shared" si="404"/>
        <v>0</v>
      </c>
      <c r="N683" s="633">
        <f t="shared" si="404"/>
        <v>0</v>
      </c>
      <c r="O683" s="633">
        <f t="shared" si="404"/>
        <v>0</v>
      </c>
      <c r="P683" s="633">
        <f t="shared" si="404"/>
        <v>0</v>
      </c>
      <c r="Q683" s="633">
        <f t="shared" si="404"/>
        <v>0</v>
      </c>
      <c r="R683" s="633">
        <f t="shared" si="404"/>
        <v>0</v>
      </c>
      <c r="S683" s="633">
        <f t="shared" si="404"/>
        <v>0</v>
      </c>
      <c r="T683" s="633">
        <f t="shared" si="404"/>
        <v>0</v>
      </c>
      <c r="U683" s="633">
        <f t="shared" si="404"/>
        <v>0</v>
      </c>
      <c r="V683" s="633">
        <f t="shared" si="404"/>
        <v>0</v>
      </c>
      <c r="W683" s="633">
        <f t="shared" si="404"/>
        <v>0</v>
      </c>
      <c r="X683" s="633">
        <f t="shared" si="404"/>
        <v>0</v>
      </c>
      <c r="Y683" s="633">
        <f t="shared" si="404"/>
        <v>0</v>
      </c>
      <c r="Z683" s="633">
        <f t="shared" si="404"/>
        <v>0</v>
      </c>
      <c r="AA683" s="633">
        <f t="shared" si="404"/>
        <v>0</v>
      </c>
      <c r="AB683" s="633">
        <f t="shared" si="404"/>
        <v>0</v>
      </c>
      <c r="AC683" s="633">
        <f t="shared" si="404"/>
        <v>0</v>
      </c>
      <c r="AD683" s="633">
        <f>SUM(I683:AC683)</f>
        <v>0</v>
      </c>
    </row>
    <row r="684" spans="2:30" x14ac:dyDescent="0.45">
      <c r="B684" s="637" t="str">
        <f t="shared" si="389"/>
        <v>Rent</v>
      </c>
    </row>
    <row r="685" spans="2:30" x14ac:dyDescent="0.45">
      <c r="B685" s="637" t="str">
        <f t="shared" si="389"/>
        <v>Rent</v>
      </c>
      <c r="C685" s="451">
        <f>C676+1</f>
        <v>72</v>
      </c>
      <c r="D685" s="591" t="s">
        <v>346</v>
      </c>
    </row>
    <row r="686" spans="2:30" x14ac:dyDescent="0.45">
      <c r="B686" s="637" t="str">
        <f t="shared" si="389"/>
        <v>Rent</v>
      </c>
      <c r="D686" s="583" t="str">
        <f>'12. Inputs-Props &amp; Debtors 2016'!C$77</f>
        <v>EC</v>
      </c>
      <c r="F686" s="614">
        <f>'11. Table - Expenditure Review'!I181</f>
        <v>2858990</v>
      </c>
      <c r="G686" s="614">
        <f>'11. Table - Expenditure Review'!J181</f>
        <v>3028121</v>
      </c>
      <c r="H686" s="614">
        <f>'11. Table - Expenditure Review'!K181</f>
        <v>1025150</v>
      </c>
      <c r="I686" s="633">
        <f t="shared" ref="I686:AC686" si="405">IF(H$520&gt;1,(H686*I$520/H$520)*(1+I$23),0)</f>
        <v>865226.6</v>
      </c>
      <c r="J686" s="633">
        <f t="shared" si="405"/>
        <v>684610.54724999995</v>
      </c>
      <c r="K686" s="633">
        <f t="shared" si="405"/>
        <v>481509.41823249997</v>
      </c>
      <c r="L686" s="633">
        <f t="shared" si="405"/>
        <v>479770.63422221591</v>
      </c>
      <c r="M686" s="633">
        <f t="shared" si="405"/>
        <v>476384.01798064727</v>
      </c>
      <c r="N686" s="633">
        <f t="shared" si="405"/>
        <v>471173.56778398389</v>
      </c>
      <c r="O686" s="633">
        <f t="shared" si="405"/>
        <v>463948.90641129611</v>
      </c>
      <c r="P686" s="633">
        <f t="shared" si="405"/>
        <v>454504.23224506614</v>
      </c>
      <c r="Q686" s="633">
        <f t="shared" si="405"/>
        <v>442617.1984786567</v>
      </c>
      <c r="R686" s="633">
        <f t="shared" si="405"/>
        <v>428047.7156954009</v>
      </c>
      <c r="S686" s="633">
        <f t="shared" si="405"/>
        <v>410536.67278058903</v>
      </c>
      <c r="T686" s="633">
        <f t="shared" si="405"/>
        <v>389804.57080516929</v>
      </c>
      <c r="U686" s="633">
        <f t="shared" si="405"/>
        <v>365550.06417729205</v>
      </c>
      <c r="V686" s="633">
        <f t="shared" si="405"/>
        <v>337448.40299366269</v>
      </c>
      <c r="W686" s="633">
        <f t="shared" si="405"/>
        <v>305149.77013569779</v>
      </c>
      <c r="X686" s="633">
        <f t="shared" si="405"/>
        <v>268277.50624430098</v>
      </c>
      <c r="Y686" s="633">
        <f t="shared" si="405"/>
        <v>226426.21527019</v>
      </c>
      <c r="Z686" s="633">
        <f t="shared" si="405"/>
        <v>179159.74283253783</v>
      </c>
      <c r="AA686" s="633">
        <f t="shared" si="405"/>
        <v>126009.0191255516</v>
      </c>
      <c r="AB686" s="633">
        <f t="shared" si="405"/>
        <v>0</v>
      </c>
      <c r="AC686" s="633">
        <f t="shared" si="405"/>
        <v>0</v>
      </c>
      <c r="AD686" s="633">
        <f>SUM(I686:AC686)</f>
        <v>7856154.8026647586</v>
      </c>
    </row>
    <row r="687" spans="2:30" x14ac:dyDescent="0.45">
      <c r="B687" s="637" t="str">
        <f t="shared" si="389"/>
        <v>Rent</v>
      </c>
      <c r="D687" s="583" t="str">
        <f>'12. Inputs-Props &amp; Debtors 2016'!C$78</f>
        <v>FS</v>
      </c>
      <c r="F687" s="614">
        <f>'11. Table - Expenditure Review'!L181</f>
        <v>0</v>
      </c>
      <c r="G687" s="614">
        <f>'11. Table - Expenditure Review'!M181</f>
        <v>0</v>
      </c>
      <c r="H687" s="614">
        <f>'11. Table - Expenditure Review'!N181</f>
        <v>0</v>
      </c>
      <c r="I687" s="633">
        <f t="shared" ref="I687:AC687" si="406">IF(H$521&gt;1,(H687*I$521/H$521)*(1+I$23),0)</f>
        <v>0</v>
      </c>
      <c r="J687" s="633">
        <f t="shared" si="406"/>
        <v>0</v>
      </c>
      <c r="K687" s="633">
        <f t="shared" si="406"/>
        <v>0</v>
      </c>
      <c r="L687" s="633">
        <f t="shared" si="406"/>
        <v>0</v>
      </c>
      <c r="M687" s="633">
        <f t="shared" si="406"/>
        <v>0</v>
      </c>
      <c r="N687" s="633">
        <f t="shared" si="406"/>
        <v>0</v>
      </c>
      <c r="O687" s="633">
        <f t="shared" si="406"/>
        <v>0</v>
      </c>
      <c r="P687" s="633">
        <f t="shared" si="406"/>
        <v>0</v>
      </c>
      <c r="Q687" s="633">
        <f t="shared" si="406"/>
        <v>0</v>
      </c>
      <c r="R687" s="633">
        <f t="shared" si="406"/>
        <v>0</v>
      </c>
      <c r="S687" s="633">
        <f t="shared" si="406"/>
        <v>0</v>
      </c>
      <c r="T687" s="633">
        <f t="shared" si="406"/>
        <v>0</v>
      </c>
      <c r="U687" s="633">
        <f t="shared" si="406"/>
        <v>0</v>
      </c>
      <c r="V687" s="633">
        <f t="shared" si="406"/>
        <v>0</v>
      </c>
      <c r="W687" s="633">
        <f t="shared" si="406"/>
        <v>0</v>
      </c>
      <c r="X687" s="633">
        <f t="shared" si="406"/>
        <v>0</v>
      </c>
      <c r="Y687" s="633">
        <f t="shared" si="406"/>
        <v>0</v>
      </c>
      <c r="Z687" s="633">
        <f t="shared" si="406"/>
        <v>0</v>
      </c>
      <c r="AA687" s="633">
        <f t="shared" si="406"/>
        <v>0</v>
      </c>
      <c r="AB687" s="633">
        <f t="shared" si="406"/>
        <v>0</v>
      </c>
      <c r="AC687" s="633">
        <f t="shared" si="406"/>
        <v>0</v>
      </c>
      <c r="AD687" s="633">
        <f>SUM(I687:AC687)</f>
        <v>0</v>
      </c>
    </row>
    <row r="688" spans="2:30" x14ac:dyDescent="0.45">
      <c r="B688" s="637" t="str">
        <f t="shared" si="389"/>
        <v>Rent</v>
      </c>
      <c r="D688" s="583" t="str">
        <f>'12. Inputs-Props &amp; Debtors 2016'!C$79</f>
        <v>Gau</v>
      </c>
      <c r="F688" s="614">
        <f>'11. Table - Expenditure Review'!O181</f>
        <v>0</v>
      </c>
      <c r="G688" s="614">
        <f>'11. Table - Expenditure Review'!P181</f>
        <v>0</v>
      </c>
      <c r="H688" s="614">
        <f>'11. Table - Expenditure Review'!Q181</f>
        <v>0</v>
      </c>
      <c r="I688" s="633">
        <f t="shared" ref="I688:AC688" si="407">IF(H$522&gt;1,(H688*I$522/H$522)*(1+I$23),0)</f>
        <v>0</v>
      </c>
      <c r="J688" s="633">
        <f t="shared" si="407"/>
        <v>0</v>
      </c>
      <c r="K688" s="633">
        <f t="shared" si="407"/>
        <v>0</v>
      </c>
      <c r="L688" s="633">
        <f t="shared" si="407"/>
        <v>0</v>
      </c>
      <c r="M688" s="633">
        <f t="shared" si="407"/>
        <v>0</v>
      </c>
      <c r="N688" s="633">
        <f t="shared" si="407"/>
        <v>0</v>
      </c>
      <c r="O688" s="633">
        <f t="shared" si="407"/>
        <v>0</v>
      </c>
      <c r="P688" s="633">
        <f t="shared" si="407"/>
        <v>0</v>
      </c>
      <c r="Q688" s="633">
        <f t="shared" si="407"/>
        <v>0</v>
      </c>
      <c r="R688" s="633">
        <f t="shared" si="407"/>
        <v>0</v>
      </c>
      <c r="S688" s="633">
        <f t="shared" si="407"/>
        <v>0</v>
      </c>
      <c r="T688" s="633">
        <f t="shared" si="407"/>
        <v>0</v>
      </c>
      <c r="U688" s="633">
        <f t="shared" si="407"/>
        <v>0</v>
      </c>
      <c r="V688" s="633">
        <f t="shared" si="407"/>
        <v>0</v>
      </c>
      <c r="W688" s="633">
        <f t="shared" si="407"/>
        <v>0</v>
      </c>
      <c r="X688" s="633">
        <f t="shared" si="407"/>
        <v>0</v>
      </c>
      <c r="Y688" s="633">
        <f t="shared" si="407"/>
        <v>0</v>
      </c>
      <c r="Z688" s="633">
        <f t="shared" si="407"/>
        <v>0</v>
      </c>
      <c r="AA688" s="633">
        <f t="shared" si="407"/>
        <v>0</v>
      </c>
      <c r="AB688" s="633">
        <f t="shared" si="407"/>
        <v>0</v>
      </c>
      <c r="AC688" s="633">
        <f t="shared" si="407"/>
        <v>0</v>
      </c>
      <c r="AD688" s="633">
        <f>SUM(I688:AC688)</f>
        <v>0</v>
      </c>
    </row>
    <row r="689" spans="1:30" x14ac:dyDescent="0.45">
      <c r="B689" s="637" t="str">
        <f t="shared" si="389"/>
        <v>Rent</v>
      </c>
      <c r="D689" s="583" t="str">
        <f>'12. Inputs-Props &amp; Debtors 2016'!C$80</f>
        <v>KZN</v>
      </c>
      <c r="F689" s="614">
        <f>'11. Table - Expenditure Review'!R181</f>
        <v>0</v>
      </c>
      <c r="G689" s="614">
        <f>'11. Table - Expenditure Review'!S181</f>
        <v>0</v>
      </c>
      <c r="H689" s="614">
        <f>'11. Table - Expenditure Review'!T181</f>
        <v>0</v>
      </c>
      <c r="I689" s="633">
        <f t="shared" ref="I689:AC689" si="408">IF(H$523&gt;1,(H689*I$523/H$523)*(1+I$23),0)</f>
        <v>0</v>
      </c>
      <c r="J689" s="633">
        <f t="shared" si="408"/>
        <v>0</v>
      </c>
      <c r="K689" s="633">
        <f t="shared" si="408"/>
        <v>0</v>
      </c>
      <c r="L689" s="633">
        <f t="shared" si="408"/>
        <v>0</v>
      </c>
      <c r="M689" s="633">
        <f t="shared" si="408"/>
        <v>0</v>
      </c>
      <c r="N689" s="633">
        <f t="shared" si="408"/>
        <v>0</v>
      </c>
      <c r="O689" s="633">
        <f t="shared" si="408"/>
        <v>0</v>
      </c>
      <c r="P689" s="633">
        <f t="shared" si="408"/>
        <v>0</v>
      </c>
      <c r="Q689" s="633">
        <f t="shared" si="408"/>
        <v>0</v>
      </c>
      <c r="R689" s="633">
        <f t="shared" si="408"/>
        <v>0</v>
      </c>
      <c r="S689" s="633">
        <f t="shared" si="408"/>
        <v>0</v>
      </c>
      <c r="T689" s="633">
        <f t="shared" si="408"/>
        <v>0</v>
      </c>
      <c r="U689" s="633">
        <f t="shared" si="408"/>
        <v>0</v>
      </c>
      <c r="V689" s="633">
        <f t="shared" si="408"/>
        <v>0</v>
      </c>
      <c r="W689" s="633">
        <f t="shared" si="408"/>
        <v>0</v>
      </c>
      <c r="X689" s="633">
        <f t="shared" si="408"/>
        <v>0</v>
      </c>
      <c r="Y689" s="633">
        <f t="shared" si="408"/>
        <v>0</v>
      </c>
      <c r="Z689" s="633">
        <f t="shared" si="408"/>
        <v>0</v>
      </c>
      <c r="AA689" s="633">
        <f t="shared" si="408"/>
        <v>0</v>
      </c>
      <c r="AB689" s="633">
        <f t="shared" si="408"/>
        <v>0</v>
      </c>
      <c r="AC689" s="633">
        <f t="shared" si="408"/>
        <v>0</v>
      </c>
      <c r="AD689" s="633">
        <f>SUM(I689:AC689)</f>
        <v>0</v>
      </c>
    </row>
    <row r="690" spans="1:30" x14ac:dyDescent="0.45">
      <c r="B690" s="637" t="str">
        <f t="shared" si="389"/>
        <v>Rent</v>
      </c>
      <c r="D690" s="583" t="str">
        <f>'12. Inputs-Props &amp; Debtors 2016'!C$81</f>
        <v>WC</v>
      </c>
      <c r="F690" s="614">
        <f>'11. Table - Expenditure Review'!U181</f>
        <v>0</v>
      </c>
      <c r="G690" s="614">
        <f>'11. Table - Expenditure Review'!V181</f>
        <v>0</v>
      </c>
      <c r="H690" s="614">
        <f>'11. Table - Expenditure Review'!W181</f>
        <v>0</v>
      </c>
      <c r="I690" s="633">
        <f t="shared" ref="I690:AC690" si="409">IF(H$524&gt;1,(H690*I$524/H$524)*(1+I$23),0)</f>
        <v>0</v>
      </c>
      <c r="J690" s="633">
        <f t="shared" si="409"/>
        <v>0</v>
      </c>
      <c r="K690" s="633">
        <f t="shared" si="409"/>
        <v>0</v>
      </c>
      <c r="L690" s="633">
        <f t="shared" si="409"/>
        <v>0</v>
      </c>
      <c r="M690" s="633">
        <f t="shared" si="409"/>
        <v>0</v>
      </c>
      <c r="N690" s="633">
        <f t="shared" si="409"/>
        <v>0</v>
      </c>
      <c r="O690" s="633">
        <f t="shared" si="409"/>
        <v>0</v>
      </c>
      <c r="P690" s="633">
        <f t="shared" si="409"/>
        <v>0</v>
      </c>
      <c r="Q690" s="633">
        <f t="shared" si="409"/>
        <v>0</v>
      </c>
      <c r="R690" s="633">
        <f t="shared" si="409"/>
        <v>0</v>
      </c>
      <c r="S690" s="633">
        <f t="shared" si="409"/>
        <v>0</v>
      </c>
      <c r="T690" s="633">
        <f t="shared" si="409"/>
        <v>0</v>
      </c>
      <c r="U690" s="633">
        <f t="shared" si="409"/>
        <v>0</v>
      </c>
      <c r="V690" s="633">
        <f t="shared" si="409"/>
        <v>0</v>
      </c>
      <c r="W690" s="633">
        <f t="shared" si="409"/>
        <v>0</v>
      </c>
      <c r="X690" s="633">
        <f t="shared" si="409"/>
        <v>0</v>
      </c>
      <c r="Y690" s="633">
        <f t="shared" si="409"/>
        <v>0</v>
      </c>
      <c r="Z690" s="633">
        <f t="shared" si="409"/>
        <v>0</v>
      </c>
      <c r="AA690" s="633">
        <f t="shared" si="409"/>
        <v>0</v>
      </c>
      <c r="AB690" s="633">
        <f t="shared" si="409"/>
        <v>0</v>
      </c>
      <c r="AC690" s="633">
        <f t="shared" si="409"/>
        <v>0</v>
      </c>
      <c r="AD690" s="633">
        <f>SUM(I690:AC690)</f>
        <v>0</v>
      </c>
    </row>
    <row r="691" spans="1:30" ht="14.65" thickBot="1" x14ac:dyDescent="0.5">
      <c r="B691" s="637" t="str">
        <f t="shared" si="389"/>
        <v>Rent</v>
      </c>
      <c r="D691" s="596" t="s">
        <v>11</v>
      </c>
      <c r="F691" s="613">
        <f t="shared" ref="F691:Q691" si="410">SUM(F686:F690)</f>
        <v>2858990</v>
      </c>
      <c r="G691" s="613">
        <f t="shared" si="410"/>
        <v>3028121</v>
      </c>
      <c r="H691" s="613">
        <f t="shared" si="410"/>
        <v>1025150</v>
      </c>
      <c r="I691" s="634">
        <f t="shared" si="410"/>
        <v>865226.6</v>
      </c>
      <c r="J691" s="634">
        <f t="shared" si="410"/>
        <v>684610.54724999995</v>
      </c>
      <c r="K691" s="634">
        <f t="shared" si="410"/>
        <v>481509.41823249997</v>
      </c>
      <c r="L691" s="634">
        <f t="shared" si="410"/>
        <v>479770.63422221591</v>
      </c>
      <c r="M691" s="634">
        <f t="shared" si="410"/>
        <v>476384.01798064727</v>
      </c>
      <c r="N691" s="634">
        <f t="shared" si="410"/>
        <v>471173.56778398389</v>
      </c>
      <c r="O691" s="634">
        <f t="shared" si="410"/>
        <v>463948.90641129611</v>
      </c>
      <c r="P691" s="634">
        <f t="shared" si="410"/>
        <v>454504.23224506614</v>
      </c>
      <c r="Q691" s="634">
        <f t="shared" si="410"/>
        <v>442617.1984786567</v>
      </c>
      <c r="R691" s="634">
        <f t="shared" ref="R691:AB691" si="411">SUM(R686:R690)</f>
        <v>428047.7156954009</v>
      </c>
      <c r="S691" s="634">
        <f t="shared" si="411"/>
        <v>410536.67278058903</v>
      </c>
      <c r="T691" s="634">
        <f t="shared" si="411"/>
        <v>389804.57080516929</v>
      </c>
      <c r="U691" s="634">
        <f t="shared" si="411"/>
        <v>365550.06417729205</v>
      </c>
      <c r="V691" s="634">
        <f t="shared" si="411"/>
        <v>337448.40299366269</v>
      </c>
      <c r="W691" s="634">
        <f t="shared" si="411"/>
        <v>305149.77013569779</v>
      </c>
      <c r="X691" s="634">
        <f t="shared" si="411"/>
        <v>268277.50624430098</v>
      </c>
      <c r="Y691" s="634">
        <f t="shared" si="411"/>
        <v>226426.21527019</v>
      </c>
      <c r="Z691" s="634">
        <f t="shared" si="411"/>
        <v>179159.74283253783</v>
      </c>
      <c r="AA691" s="634">
        <f t="shared" si="411"/>
        <v>126009.0191255516</v>
      </c>
      <c r="AB691" s="634">
        <f t="shared" si="411"/>
        <v>0</v>
      </c>
      <c r="AC691" s="634">
        <f>SUM(AC686:AC690)</f>
        <v>0</v>
      </c>
      <c r="AD691" s="777">
        <f>SUM(AD686:AD690)</f>
        <v>7856154.8026647586</v>
      </c>
    </row>
    <row r="692" spans="1:30" ht="14.65" thickTop="1" x14ac:dyDescent="0.45">
      <c r="B692" s="637" t="str">
        <f t="shared" si="389"/>
        <v>Rent</v>
      </c>
      <c r="I692" s="633">
        <f t="shared" ref="I692:AC692" si="412">IF(H$525&gt;1,H691*I$525/H$525,0)</f>
        <v>923032.34496124031</v>
      </c>
      <c r="J692" s="633">
        <f t="shared" si="412"/>
        <v>769504.15652173909</v>
      </c>
      <c r="K692" s="633">
        <f t="shared" si="412"/>
        <v>605744.472590997</v>
      </c>
      <c r="L692" s="633">
        <f t="shared" si="412"/>
        <v>451744.33931550186</v>
      </c>
      <c r="M692" s="633">
        <f t="shared" si="412"/>
        <v>448158.9247953294</v>
      </c>
      <c r="N692" s="633">
        <f t="shared" si="412"/>
        <v>442781.39998326084</v>
      </c>
      <c r="O692" s="633">
        <f t="shared" si="412"/>
        <v>435416.27217646869</v>
      </c>
      <c r="P692" s="633">
        <f t="shared" si="412"/>
        <v>425848.45116094983</v>
      </c>
      <c r="Q692" s="633">
        <f t="shared" si="412"/>
        <v>413839.95810120832</v>
      </c>
      <c r="R692" s="633">
        <f t="shared" si="412"/>
        <v>399125.24767162348</v>
      </c>
      <c r="S692" s="633">
        <f t="shared" si="412"/>
        <v>381404.13626089721</v>
      </c>
      <c r="T692" s="633">
        <f t="shared" si="412"/>
        <v>360330.34807906678</v>
      </c>
      <c r="U692" s="633">
        <f t="shared" si="412"/>
        <v>335491.48017510254</v>
      </c>
      <c r="V692" s="633">
        <f t="shared" si="412"/>
        <v>306370.75579328917</v>
      </c>
      <c r="W692" s="633">
        <f t="shared" si="412"/>
        <v>272266.06190257915</v>
      </c>
      <c r="X692" s="633">
        <f t="shared" si="412"/>
        <v>232094.84635321083</v>
      </c>
      <c r="Y692" s="633">
        <f t="shared" si="412"/>
        <v>183833.61152116445</v>
      </c>
      <c r="Z692" s="633">
        <f t="shared" si="412"/>
        <v>122417.42532900517</v>
      </c>
      <c r="AA692" s="633">
        <f t="shared" si="412"/>
        <v>26941.314711659823</v>
      </c>
      <c r="AB692" s="633">
        <f t="shared" si="412"/>
        <v>0</v>
      </c>
      <c r="AC692" s="633">
        <f t="shared" si="412"/>
        <v>0</v>
      </c>
      <c r="AD692" s="633">
        <f>SUM(I692:AC692)</f>
        <v>7536345.5474042939</v>
      </c>
    </row>
    <row r="693" spans="1:30" x14ac:dyDescent="0.45">
      <c r="B693" s="637" t="str">
        <f t="shared" ref="B693:B709" si="413">B692</f>
        <v>Rent</v>
      </c>
    </row>
    <row r="694" spans="1:30" x14ac:dyDescent="0.45">
      <c r="B694" s="637" t="str">
        <f t="shared" si="413"/>
        <v>Rent</v>
      </c>
      <c r="C694" s="451">
        <f>C685+1</f>
        <v>73</v>
      </c>
      <c r="D694" s="451" t="s">
        <v>1464</v>
      </c>
      <c r="E694" s="747" t="s">
        <v>1316</v>
      </c>
      <c r="F694" s="596"/>
      <c r="G694" s="596"/>
      <c r="H694" s="596"/>
      <c r="I694" s="615"/>
      <c r="J694" s="615"/>
      <c r="K694" s="615"/>
      <c r="L694" s="615"/>
      <c r="M694" s="615"/>
      <c r="N694" s="615"/>
      <c r="O694" s="615"/>
      <c r="P694" s="615"/>
      <c r="Q694" s="615"/>
      <c r="R694" s="615"/>
      <c r="S694" s="615"/>
      <c r="T694" s="615"/>
      <c r="U694" s="615"/>
      <c r="V694" s="615"/>
      <c r="W694" s="615"/>
      <c r="X694" s="615"/>
      <c r="Y694" s="615"/>
      <c r="Z694" s="615"/>
      <c r="AA694" s="615"/>
      <c r="AB694" s="615"/>
      <c r="AC694" s="615"/>
    </row>
    <row r="695" spans="1:30" x14ac:dyDescent="0.45">
      <c r="A695" s="911" t="s">
        <v>1463</v>
      </c>
      <c r="B695" s="637" t="str">
        <f t="shared" si="413"/>
        <v>Rent</v>
      </c>
      <c r="D695" s="583" t="str">
        <f>'12. Inputs-Props &amp; Debtors 2016'!C$77</f>
        <v>EC</v>
      </c>
      <c r="F695" s="596"/>
      <c r="G695" s="596"/>
      <c r="H695" s="596"/>
      <c r="I695" s="611">
        <v>400</v>
      </c>
      <c r="J695" s="612">
        <f t="shared" ref="J695:AC695" si="414">IF(J520&gt;0,I695*(1+J$23),0)</f>
        <v>422</v>
      </c>
      <c r="K695" s="612">
        <f t="shared" si="414"/>
        <v>445.21</v>
      </c>
      <c r="L695" s="612">
        <f t="shared" si="414"/>
        <v>469.69654999999995</v>
      </c>
      <c r="M695" s="612">
        <f t="shared" si="414"/>
        <v>495.5298602499999</v>
      </c>
      <c r="N695" s="612">
        <f t="shared" si="414"/>
        <v>522.78400256374982</v>
      </c>
      <c r="O695" s="612">
        <f t="shared" si="414"/>
        <v>551.53712270475603</v>
      </c>
      <c r="P695" s="612">
        <f t="shared" si="414"/>
        <v>581.87166445351761</v>
      </c>
      <c r="Q695" s="612">
        <f t="shared" si="414"/>
        <v>613.87460599846099</v>
      </c>
      <c r="R695" s="612">
        <f t="shared" si="414"/>
        <v>647.63770932837633</v>
      </c>
      <c r="S695" s="612">
        <f t="shared" si="414"/>
        <v>683.25778334143695</v>
      </c>
      <c r="T695" s="612">
        <f t="shared" si="414"/>
        <v>720.83696142521592</v>
      </c>
      <c r="U695" s="612">
        <f t="shared" si="414"/>
        <v>760.48299430360271</v>
      </c>
      <c r="V695" s="612">
        <f t="shared" si="414"/>
        <v>802.30955899030084</v>
      </c>
      <c r="W695" s="612">
        <f t="shared" si="414"/>
        <v>846.43658473476739</v>
      </c>
      <c r="X695" s="612">
        <f t="shared" si="414"/>
        <v>892.99059689517958</v>
      </c>
      <c r="Y695" s="612">
        <f t="shared" si="414"/>
        <v>942.1050797244144</v>
      </c>
      <c r="Z695" s="612">
        <f t="shared" si="414"/>
        <v>993.92085910925709</v>
      </c>
      <c r="AA695" s="612">
        <f t="shared" si="414"/>
        <v>1048.5865063602662</v>
      </c>
      <c r="AB695" s="612">
        <f t="shared" si="414"/>
        <v>0</v>
      </c>
      <c r="AC695" s="612">
        <f t="shared" si="414"/>
        <v>0</v>
      </c>
    </row>
    <row r="696" spans="1:30" x14ac:dyDescent="0.45">
      <c r="A696" s="911" t="s">
        <v>1463</v>
      </c>
      <c r="B696" s="637" t="str">
        <f t="shared" si="413"/>
        <v>Rent</v>
      </c>
      <c r="D696" s="583" t="str">
        <f>'12. Inputs-Props &amp; Debtors 2016'!C$78</f>
        <v>FS</v>
      </c>
      <c r="F696" s="596"/>
      <c r="G696" s="596"/>
      <c r="H696" s="596"/>
      <c r="I696" s="611">
        <v>400</v>
      </c>
      <c r="J696" s="612">
        <f t="shared" ref="J696:AC696" si="415">IF(J521&gt;0,I696*(1+J$23),0)</f>
        <v>422</v>
      </c>
      <c r="K696" s="612">
        <f t="shared" si="415"/>
        <v>445.21</v>
      </c>
      <c r="L696" s="612">
        <f t="shared" si="415"/>
        <v>469.69654999999995</v>
      </c>
      <c r="M696" s="612">
        <f t="shared" si="415"/>
        <v>495.5298602499999</v>
      </c>
      <c r="N696" s="612">
        <f t="shared" si="415"/>
        <v>522.78400256374982</v>
      </c>
      <c r="O696" s="612">
        <f t="shared" si="415"/>
        <v>551.53712270475603</v>
      </c>
      <c r="P696" s="612">
        <f t="shared" si="415"/>
        <v>581.87166445351761</v>
      </c>
      <c r="Q696" s="612">
        <f t="shared" si="415"/>
        <v>613.87460599846099</v>
      </c>
      <c r="R696" s="612">
        <f t="shared" si="415"/>
        <v>647.63770932837633</v>
      </c>
      <c r="S696" s="612">
        <f t="shared" si="415"/>
        <v>683.25778334143695</v>
      </c>
      <c r="T696" s="612">
        <f t="shared" si="415"/>
        <v>720.83696142521592</v>
      </c>
      <c r="U696" s="612">
        <f t="shared" si="415"/>
        <v>760.48299430360271</v>
      </c>
      <c r="V696" s="612">
        <f t="shared" si="415"/>
        <v>802.30955899030084</v>
      </c>
      <c r="W696" s="612">
        <f t="shared" si="415"/>
        <v>846.43658473476739</v>
      </c>
      <c r="X696" s="612">
        <f t="shared" si="415"/>
        <v>892.99059689517958</v>
      </c>
      <c r="Y696" s="612">
        <f t="shared" si="415"/>
        <v>942.1050797244144</v>
      </c>
      <c r="Z696" s="612">
        <f t="shared" si="415"/>
        <v>993.92085910925709</v>
      </c>
      <c r="AA696" s="612">
        <f t="shared" si="415"/>
        <v>1048.5865063602662</v>
      </c>
      <c r="AB696" s="612">
        <f t="shared" si="415"/>
        <v>0</v>
      </c>
      <c r="AC696" s="612">
        <f t="shared" si="415"/>
        <v>0</v>
      </c>
    </row>
    <row r="697" spans="1:30" x14ac:dyDescent="0.45">
      <c r="A697" s="911" t="s">
        <v>1463</v>
      </c>
      <c r="B697" s="637" t="str">
        <f t="shared" si="413"/>
        <v>Rent</v>
      </c>
      <c r="D697" s="583" t="str">
        <f>'12. Inputs-Props &amp; Debtors 2016'!C$79</f>
        <v>Gau</v>
      </c>
      <c r="F697" s="596"/>
      <c r="G697" s="596"/>
      <c r="H697" s="596"/>
      <c r="I697" s="611">
        <v>400</v>
      </c>
      <c r="J697" s="612">
        <f t="shared" ref="J697:AC697" si="416">IF(J522&gt;0,I697*(1+J$23),0)</f>
        <v>422</v>
      </c>
      <c r="K697" s="612">
        <f t="shared" si="416"/>
        <v>445.21</v>
      </c>
      <c r="L697" s="612">
        <f t="shared" si="416"/>
        <v>469.69654999999995</v>
      </c>
      <c r="M697" s="612">
        <f t="shared" si="416"/>
        <v>495.5298602499999</v>
      </c>
      <c r="N697" s="612">
        <f t="shared" si="416"/>
        <v>522.78400256374982</v>
      </c>
      <c r="O697" s="612">
        <f t="shared" si="416"/>
        <v>551.53712270475603</v>
      </c>
      <c r="P697" s="612">
        <f t="shared" si="416"/>
        <v>581.87166445351761</v>
      </c>
      <c r="Q697" s="612">
        <f t="shared" si="416"/>
        <v>613.87460599846099</v>
      </c>
      <c r="R697" s="612">
        <f t="shared" si="416"/>
        <v>647.63770932837633</v>
      </c>
      <c r="S697" s="612">
        <f t="shared" si="416"/>
        <v>683.25778334143695</v>
      </c>
      <c r="T697" s="612">
        <f t="shared" si="416"/>
        <v>720.83696142521592</v>
      </c>
      <c r="U697" s="612">
        <f t="shared" si="416"/>
        <v>760.48299430360271</v>
      </c>
      <c r="V697" s="612">
        <f t="shared" si="416"/>
        <v>802.30955899030084</v>
      </c>
      <c r="W697" s="612">
        <f t="shared" si="416"/>
        <v>846.43658473476739</v>
      </c>
      <c r="X697" s="612">
        <f t="shared" si="416"/>
        <v>892.99059689517958</v>
      </c>
      <c r="Y697" s="612">
        <f t="shared" si="416"/>
        <v>942.1050797244144</v>
      </c>
      <c r="Z697" s="612">
        <f t="shared" si="416"/>
        <v>993.92085910925709</v>
      </c>
      <c r="AA697" s="612">
        <f t="shared" si="416"/>
        <v>1048.5865063602662</v>
      </c>
      <c r="AB697" s="612">
        <f t="shared" si="416"/>
        <v>0</v>
      </c>
      <c r="AC697" s="612">
        <f t="shared" si="416"/>
        <v>0</v>
      </c>
    </row>
    <row r="698" spans="1:30" x14ac:dyDescent="0.45">
      <c r="A698" s="911" t="s">
        <v>1463</v>
      </c>
      <c r="B698" s="637" t="str">
        <f t="shared" si="413"/>
        <v>Rent</v>
      </c>
      <c r="D698" s="583" t="str">
        <f>'12. Inputs-Props &amp; Debtors 2016'!C$80</f>
        <v>KZN</v>
      </c>
      <c r="F698" s="596"/>
      <c r="G698" s="596"/>
      <c r="H698" s="596"/>
      <c r="I698" s="611">
        <v>400</v>
      </c>
      <c r="J698" s="612">
        <f t="shared" ref="J698:AC698" si="417">IF(J523&gt;0,I698*(1+J$23),0)</f>
        <v>422</v>
      </c>
      <c r="K698" s="612">
        <f t="shared" si="417"/>
        <v>445.21</v>
      </c>
      <c r="L698" s="612">
        <f t="shared" si="417"/>
        <v>469.69654999999995</v>
      </c>
      <c r="M698" s="612">
        <f t="shared" si="417"/>
        <v>495.5298602499999</v>
      </c>
      <c r="N698" s="612">
        <f t="shared" si="417"/>
        <v>522.78400256374982</v>
      </c>
      <c r="O698" s="612">
        <f t="shared" si="417"/>
        <v>551.53712270475603</v>
      </c>
      <c r="P698" s="612">
        <f t="shared" si="417"/>
        <v>581.87166445351761</v>
      </c>
      <c r="Q698" s="612">
        <f t="shared" si="417"/>
        <v>613.87460599846099</v>
      </c>
      <c r="R698" s="612">
        <f t="shared" si="417"/>
        <v>647.63770932837633</v>
      </c>
      <c r="S698" s="612">
        <f t="shared" si="417"/>
        <v>683.25778334143695</v>
      </c>
      <c r="T698" s="612">
        <f t="shared" si="417"/>
        <v>720.83696142521592</v>
      </c>
      <c r="U698" s="612">
        <f t="shared" si="417"/>
        <v>760.48299430360271</v>
      </c>
      <c r="V698" s="612">
        <f t="shared" si="417"/>
        <v>802.30955899030084</v>
      </c>
      <c r="W698" s="612">
        <f t="shared" si="417"/>
        <v>846.43658473476739</v>
      </c>
      <c r="X698" s="612">
        <f t="shared" si="417"/>
        <v>892.99059689517958</v>
      </c>
      <c r="Y698" s="612">
        <f t="shared" si="417"/>
        <v>942.1050797244144</v>
      </c>
      <c r="Z698" s="612">
        <f t="shared" si="417"/>
        <v>993.92085910925709</v>
      </c>
      <c r="AA698" s="612">
        <f t="shared" si="417"/>
        <v>1048.5865063602662</v>
      </c>
      <c r="AB698" s="612">
        <f t="shared" si="417"/>
        <v>0</v>
      </c>
      <c r="AC698" s="612">
        <f t="shared" si="417"/>
        <v>0</v>
      </c>
    </row>
    <row r="699" spans="1:30" x14ac:dyDescent="0.45">
      <c r="A699" s="911" t="s">
        <v>1463</v>
      </c>
      <c r="B699" s="637" t="str">
        <f t="shared" si="413"/>
        <v>Rent</v>
      </c>
      <c r="D699" s="583" t="str">
        <f>'12. Inputs-Props &amp; Debtors 2016'!C$81</f>
        <v>WC</v>
      </c>
      <c r="F699" s="596"/>
      <c r="G699" s="596"/>
      <c r="H699" s="596"/>
      <c r="I699" s="611">
        <v>400</v>
      </c>
      <c r="J699" s="612">
        <f t="shared" ref="J699:AC699" si="418">IF(J524&gt;0,I699*(1+J$23),0)</f>
        <v>422</v>
      </c>
      <c r="K699" s="612">
        <f t="shared" si="418"/>
        <v>445.21</v>
      </c>
      <c r="L699" s="612">
        <f t="shared" si="418"/>
        <v>469.69654999999995</v>
      </c>
      <c r="M699" s="612">
        <f t="shared" si="418"/>
        <v>495.5298602499999</v>
      </c>
      <c r="N699" s="612">
        <f t="shared" si="418"/>
        <v>522.78400256374982</v>
      </c>
      <c r="O699" s="612">
        <f t="shared" si="418"/>
        <v>551.53712270475603</v>
      </c>
      <c r="P699" s="612">
        <f t="shared" si="418"/>
        <v>581.87166445351761</v>
      </c>
      <c r="Q699" s="612">
        <f t="shared" si="418"/>
        <v>613.87460599846099</v>
      </c>
      <c r="R699" s="612">
        <f t="shared" si="418"/>
        <v>647.63770932837633</v>
      </c>
      <c r="S699" s="612">
        <f t="shared" si="418"/>
        <v>683.25778334143695</v>
      </c>
      <c r="T699" s="612">
        <f t="shared" si="418"/>
        <v>720.83696142521592</v>
      </c>
      <c r="U699" s="612">
        <f t="shared" si="418"/>
        <v>760.48299430360271</v>
      </c>
      <c r="V699" s="612">
        <f t="shared" si="418"/>
        <v>802.30955899030084</v>
      </c>
      <c r="W699" s="612">
        <f t="shared" si="418"/>
        <v>846.43658473476739</v>
      </c>
      <c r="X699" s="612">
        <f t="shared" si="418"/>
        <v>892.99059689517958</v>
      </c>
      <c r="Y699" s="612">
        <f t="shared" si="418"/>
        <v>942.1050797244144</v>
      </c>
      <c r="Z699" s="612">
        <f t="shared" si="418"/>
        <v>993.92085910925709</v>
      </c>
      <c r="AA699" s="612">
        <f t="shared" si="418"/>
        <v>1048.5865063602662</v>
      </c>
      <c r="AB699" s="612">
        <f t="shared" si="418"/>
        <v>0</v>
      </c>
      <c r="AC699" s="612">
        <f t="shared" si="418"/>
        <v>0</v>
      </c>
    </row>
    <row r="700" spans="1:30" x14ac:dyDescent="0.45">
      <c r="B700" s="637" t="str">
        <f t="shared" si="413"/>
        <v>Rent</v>
      </c>
      <c r="D700" s="583" t="s">
        <v>11</v>
      </c>
      <c r="F700" s="596"/>
      <c r="G700" s="596"/>
      <c r="H700" s="596"/>
      <c r="I700" s="613">
        <f t="shared" ref="I700:Q700" si="419">IF(I$56&gt;0,SUMPRODUCT(I695:I699,I$51:I$55)/I$56,0)</f>
        <v>400</v>
      </c>
      <c r="J700" s="613">
        <f t="shared" si="419"/>
        <v>422</v>
      </c>
      <c r="K700" s="613">
        <f t="shared" si="419"/>
        <v>445.21</v>
      </c>
      <c r="L700" s="613">
        <f t="shared" si="419"/>
        <v>469.69655</v>
      </c>
      <c r="M700" s="613">
        <f t="shared" si="419"/>
        <v>495.5298602499999</v>
      </c>
      <c r="N700" s="613">
        <f t="shared" si="419"/>
        <v>522.78400256374994</v>
      </c>
      <c r="O700" s="613">
        <f t="shared" si="419"/>
        <v>551.53712270475603</v>
      </c>
      <c r="P700" s="613">
        <f t="shared" si="419"/>
        <v>581.87166445351772</v>
      </c>
      <c r="Q700" s="613">
        <f t="shared" si="419"/>
        <v>613.87460599846099</v>
      </c>
      <c r="R700" s="613">
        <f t="shared" ref="R700:AB700" si="420">IF(R$56&gt;0,SUMPRODUCT(R695:R699,R$51:R$55)/R$56,0)</f>
        <v>647.63770932837633</v>
      </c>
      <c r="S700" s="613">
        <f t="shared" si="420"/>
        <v>683.25778334143683</v>
      </c>
      <c r="T700" s="613">
        <f t="shared" si="420"/>
        <v>720.83696142521592</v>
      </c>
      <c r="U700" s="613">
        <f t="shared" si="420"/>
        <v>760.48299430360282</v>
      </c>
      <c r="V700" s="613">
        <f t="shared" si="420"/>
        <v>802.30955899030084</v>
      </c>
      <c r="W700" s="613">
        <f t="shared" si="420"/>
        <v>846.43658473476739</v>
      </c>
      <c r="X700" s="613">
        <f t="shared" si="420"/>
        <v>892.99059689517958</v>
      </c>
      <c r="Y700" s="613">
        <f t="shared" si="420"/>
        <v>942.10507972441451</v>
      </c>
      <c r="Z700" s="613">
        <f t="shared" si="420"/>
        <v>993.92085910925709</v>
      </c>
      <c r="AA700" s="613">
        <f t="shared" si="420"/>
        <v>1048.5865063602662</v>
      </c>
      <c r="AB700" s="613">
        <f t="shared" si="420"/>
        <v>0</v>
      </c>
      <c r="AC700" s="613">
        <f>IF(AC$56&gt;0,SUMPRODUCT(AC695:AC699,AC$51:AC$55)/AC$56,0)</f>
        <v>0</v>
      </c>
    </row>
    <row r="701" spans="1:30" x14ac:dyDescent="0.45">
      <c r="B701" s="637" t="str">
        <f t="shared" si="413"/>
        <v>Rent</v>
      </c>
      <c r="I701" s="612"/>
    </row>
    <row r="702" spans="1:30" x14ac:dyDescent="0.45">
      <c r="B702" s="637" t="str">
        <f t="shared" si="413"/>
        <v>Rent</v>
      </c>
    </row>
    <row r="703" spans="1:30" x14ac:dyDescent="0.45">
      <c r="B703" s="637" t="str">
        <f t="shared" si="413"/>
        <v>Rent</v>
      </c>
      <c r="C703" s="451">
        <f>C694+1</f>
        <v>74</v>
      </c>
      <c r="D703" s="451" t="s">
        <v>1468</v>
      </c>
      <c r="E703" s="747" t="s">
        <v>1316</v>
      </c>
    </row>
    <row r="704" spans="1:30" x14ac:dyDescent="0.45">
      <c r="B704" s="637" t="str">
        <f t="shared" si="413"/>
        <v>Rent</v>
      </c>
      <c r="D704" s="583" t="str">
        <f>'12. Inputs-Props &amp; Debtors 2016'!C$77</f>
        <v>EC</v>
      </c>
      <c r="I704" s="778"/>
      <c r="J704" s="778"/>
      <c r="K704" s="633">
        <f>IF('7. Scenario Detailed'!$E$12='7. Scenario Detailed'!$E$14,K695*12*K520,0)</f>
        <v>0</v>
      </c>
      <c r="L704" s="633">
        <f t="shared" ref="L704:AC704" si="421">L695*12*L520</f>
        <v>191636.1924</v>
      </c>
      <c r="M704" s="633">
        <f t="shared" si="421"/>
        <v>190283.46633599995</v>
      </c>
      <c r="N704" s="633">
        <f t="shared" si="421"/>
        <v>188202.24092294995</v>
      </c>
      <c r="O704" s="633">
        <f t="shared" si="421"/>
        <v>185316.47322879802</v>
      </c>
      <c r="P704" s="633">
        <f t="shared" si="421"/>
        <v>181543.9593094975</v>
      </c>
      <c r="Q704" s="633">
        <f t="shared" si="421"/>
        <v>176795.88652755675</v>
      </c>
      <c r="R704" s="633">
        <f t="shared" si="421"/>
        <v>170976.35526269136</v>
      </c>
      <c r="S704" s="633">
        <f t="shared" si="421"/>
        <v>163981.86800194485</v>
      </c>
      <c r="T704" s="633">
        <f t="shared" si="421"/>
        <v>155700.78366784664</v>
      </c>
      <c r="U704" s="633">
        <f t="shared" si="421"/>
        <v>146012.73490629171</v>
      </c>
      <c r="V704" s="633">
        <f t="shared" si="421"/>
        <v>134788.00591037053</v>
      </c>
      <c r="W704" s="633">
        <f t="shared" si="421"/>
        <v>121886.86820180652</v>
      </c>
      <c r="X704" s="633">
        <f t="shared" si="421"/>
        <v>107158.87162742154</v>
      </c>
      <c r="Y704" s="633">
        <f t="shared" si="421"/>
        <v>90442.087653543786</v>
      </c>
      <c r="Z704" s="633">
        <f t="shared" si="421"/>
        <v>71562.301855866506</v>
      </c>
      <c r="AA704" s="633">
        <f t="shared" si="421"/>
        <v>50332.152305292781</v>
      </c>
      <c r="AB704" s="633">
        <f t="shared" si="421"/>
        <v>0</v>
      </c>
      <c r="AC704" s="633">
        <f t="shared" si="421"/>
        <v>0</v>
      </c>
      <c r="AD704" s="633">
        <f>SUM(I704:AC704)</f>
        <v>2326620.2481178781</v>
      </c>
    </row>
    <row r="705" spans="2:30" x14ac:dyDescent="0.45">
      <c r="B705" s="637" t="str">
        <f t="shared" si="413"/>
        <v>Rent</v>
      </c>
      <c r="D705" s="583" t="str">
        <f>'12. Inputs-Props &amp; Debtors 2016'!C$78</f>
        <v>FS</v>
      </c>
      <c r="I705" s="778"/>
      <c r="J705" s="778"/>
      <c r="K705" s="633">
        <f>IF('7. Scenario Detailed'!$E$12='7. Scenario Detailed'!$E$14,K696*12*K521,0)</f>
        <v>0</v>
      </c>
      <c r="L705" s="633">
        <f t="shared" ref="L705:AC705" si="422">L696*12*L521</f>
        <v>225454.34399999998</v>
      </c>
      <c r="M705" s="633">
        <f t="shared" si="422"/>
        <v>225961.61627399994</v>
      </c>
      <c r="N705" s="633">
        <f t="shared" si="422"/>
        <v>225842.68910753995</v>
      </c>
      <c r="O705" s="633">
        <f t="shared" si="422"/>
        <v>225027.14606354045</v>
      </c>
      <c r="P705" s="633">
        <f t="shared" si="422"/>
        <v>223438.71915015078</v>
      </c>
      <c r="Q705" s="633">
        <f t="shared" si="422"/>
        <v>220994.85815944595</v>
      </c>
      <c r="R705" s="633">
        <f t="shared" si="422"/>
        <v>217606.27033433446</v>
      </c>
      <c r="S705" s="633">
        <f t="shared" si="422"/>
        <v>213176.42840252831</v>
      </c>
      <c r="T705" s="633">
        <f t="shared" si="422"/>
        <v>207601.04489046219</v>
      </c>
      <c r="U705" s="633">
        <f t="shared" si="422"/>
        <v>200767.51049615111</v>
      </c>
      <c r="V705" s="633">
        <f t="shared" si="422"/>
        <v>192554.29415767221</v>
      </c>
      <c r="W705" s="633">
        <f t="shared" si="422"/>
        <v>182830.30230270978</v>
      </c>
      <c r="X705" s="633">
        <f t="shared" si="422"/>
        <v>171454.19460387446</v>
      </c>
      <c r="Y705" s="633">
        <f t="shared" si="422"/>
        <v>158273.65339370162</v>
      </c>
      <c r="Z705" s="633">
        <f t="shared" si="422"/>
        <v>143124.60371173301</v>
      </c>
      <c r="AA705" s="633">
        <f t="shared" si="422"/>
        <v>125830.38076323195</v>
      </c>
      <c r="AB705" s="633">
        <f t="shared" si="422"/>
        <v>0</v>
      </c>
      <c r="AC705" s="633">
        <f t="shared" si="422"/>
        <v>0</v>
      </c>
      <c r="AD705" s="633">
        <f>SUM(I705:AC705)</f>
        <v>3159938.055811076</v>
      </c>
    </row>
    <row r="706" spans="2:30" x14ac:dyDescent="0.45">
      <c r="B706" s="637" t="str">
        <f t="shared" si="413"/>
        <v>Rent</v>
      </c>
      <c r="D706" s="583" t="str">
        <f>'12. Inputs-Props &amp; Debtors 2016'!C$79</f>
        <v>Gau</v>
      </c>
      <c r="I706" s="778"/>
      <c r="J706" s="778"/>
      <c r="K706" s="633">
        <f>IF('7. Scenario Detailed'!$E$12='7. Scenario Detailed'!$E$14,K697*12*K522,0)</f>
        <v>0</v>
      </c>
      <c r="L706" s="633">
        <f t="shared" ref="L706:AC706" si="423">L697*12*L522</f>
        <v>7609084.1099999994</v>
      </c>
      <c r="M706" s="633">
        <f t="shared" si="423"/>
        <v>7498357.8453029981</v>
      </c>
      <c r="N706" s="633">
        <f t="shared" si="423"/>
        <v>7352434.2120565781</v>
      </c>
      <c r="O706" s="633">
        <f t="shared" si="423"/>
        <v>7167776.4466710091</v>
      </c>
      <c r="P706" s="633">
        <f t="shared" si="423"/>
        <v>6940565.2136015585</v>
      </c>
      <c r="Q706" s="633">
        <f t="shared" si="423"/>
        <v>6666678.2211432867</v>
      </c>
      <c r="R706" s="633">
        <f t="shared" si="423"/>
        <v>6341668.4497434609</v>
      </c>
      <c r="S706" s="633">
        <f t="shared" si="423"/>
        <v>5960740.9018706959</v>
      </c>
      <c r="T706" s="633">
        <f t="shared" si="423"/>
        <v>5518727.7766714524</v>
      </c>
      <c r="U706" s="633">
        <f t="shared" si="423"/>
        <v>5010061.966472134</v>
      </c>
      <c r="V706" s="633">
        <f t="shared" si="423"/>
        <v>4428748.7656264603</v>
      </c>
      <c r="W706" s="633">
        <f t="shared" si="423"/>
        <v>3768335.6752391849</v>
      </c>
      <c r="X706" s="633">
        <f t="shared" si="423"/>
        <v>3021880.1798932874</v>
      </c>
      <c r="Y706" s="633">
        <f t="shared" si="423"/>
        <v>2181915.3646417437</v>
      </c>
      <c r="Z706" s="633">
        <f t="shared" si="423"/>
        <v>1240413.2321683529</v>
      </c>
      <c r="AA706" s="633">
        <f t="shared" si="423"/>
        <v>188745.57114484793</v>
      </c>
      <c r="AB706" s="633">
        <f t="shared" si="423"/>
        <v>0</v>
      </c>
      <c r="AC706" s="633">
        <f t="shared" si="423"/>
        <v>0</v>
      </c>
      <c r="AD706" s="633">
        <f>SUM(I706:AC706)</f>
        <v>80896133.932247058</v>
      </c>
    </row>
    <row r="707" spans="2:30" x14ac:dyDescent="0.45">
      <c r="B707" s="637" t="str">
        <f t="shared" si="413"/>
        <v>Rent</v>
      </c>
      <c r="D707" s="583" t="str">
        <f>'12. Inputs-Props &amp; Debtors 2016'!C$80</f>
        <v>KZN</v>
      </c>
      <c r="I707" s="778"/>
      <c r="J707" s="778"/>
      <c r="K707" s="633">
        <f>IF('7. Scenario Detailed'!$E$12='7. Scenario Detailed'!$E$14,K698*12*K523,0)</f>
        <v>0</v>
      </c>
      <c r="L707" s="633">
        <f t="shared" ref="L707:AC707" si="424">L698*12*L523</f>
        <v>9485991.5237999987</v>
      </c>
      <c r="M707" s="633">
        <f t="shared" si="424"/>
        <v>9341728.9254329968</v>
      </c>
      <c r="N707" s="633">
        <f t="shared" si="424"/>
        <v>9152902.3168861326</v>
      </c>
      <c r="O707" s="633">
        <f t="shared" si="424"/>
        <v>8915046.0513996761</v>
      </c>
      <c r="P707" s="633">
        <f t="shared" si="424"/>
        <v>8623338.067201132</v>
      </c>
      <c r="Q707" s="633">
        <f t="shared" si="424"/>
        <v>8272574.1904352605</v>
      </c>
      <c r="R707" s="633">
        <f t="shared" si="424"/>
        <v>7857140.6895718621</v>
      </c>
      <c r="S707" s="633">
        <f t="shared" si="424"/>
        <v>7370984.9666874213</v>
      </c>
      <c r="T707" s="633">
        <f t="shared" si="424"/>
        <v>6807584.2636997383</v>
      </c>
      <c r="U707" s="633">
        <f t="shared" si="424"/>
        <v>6159912.253859181</v>
      </c>
      <c r="V707" s="633">
        <f t="shared" si="424"/>
        <v>5420403.380538472</v>
      </c>
      <c r="W707" s="633">
        <f t="shared" si="424"/>
        <v>4580914.7965845615</v>
      </c>
      <c r="X707" s="633">
        <f t="shared" si="424"/>
        <v>3632685.7481695903</v>
      </c>
      <c r="Y707" s="633">
        <f t="shared" si="424"/>
        <v>2566294.2371693049</v>
      </c>
      <c r="Z707" s="633">
        <f t="shared" si="424"/>
        <v>1371610.7855707749</v>
      </c>
      <c r="AA707" s="633">
        <f t="shared" si="424"/>
        <v>37749.114228969585</v>
      </c>
      <c r="AB707" s="633">
        <f t="shared" si="424"/>
        <v>0</v>
      </c>
      <c r="AC707" s="633">
        <f t="shared" si="424"/>
        <v>0</v>
      </c>
      <c r="AD707" s="633">
        <f>SUM(I707:AC707)</f>
        <v>99596861.31123507</v>
      </c>
    </row>
    <row r="708" spans="2:30" x14ac:dyDescent="0.45">
      <c r="B708" s="637" t="str">
        <f t="shared" si="413"/>
        <v>Rent</v>
      </c>
      <c r="D708" s="583" t="str">
        <f>'12. Inputs-Props &amp; Debtors 2016'!C$81</f>
        <v>WC</v>
      </c>
      <c r="I708" s="778"/>
      <c r="J708" s="778"/>
      <c r="K708" s="633">
        <f>IF('7. Scenario Detailed'!$E$12='7. Scenario Detailed'!$E$14,K699*12*K524,0)</f>
        <v>0</v>
      </c>
      <c r="L708" s="633">
        <f t="shared" ref="L708:AC708" si="425">L699*12*L524</f>
        <v>1820543.8277999999</v>
      </c>
      <c r="M708" s="633">
        <f t="shared" si="425"/>
        <v>1795800.2135459995</v>
      </c>
      <c r="N708" s="633">
        <f t="shared" si="425"/>
        <v>1762827.6566449646</v>
      </c>
      <c r="O708" s="633">
        <f t="shared" si="425"/>
        <v>1720795.8228388389</v>
      </c>
      <c r="P708" s="633">
        <f t="shared" si="425"/>
        <v>1668807.9336526885</v>
      </c>
      <c r="Q708" s="633">
        <f t="shared" si="425"/>
        <v>1605895.9692919739</v>
      </c>
      <c r="R708" s="633">
        <f t="shared" si="425"/>
        <v>1531015.5448522817</v>
      </c>
      <c r="S708" s="633">
        <f t="shared" si="425"/>
        <v>1443040.4384171148</v>
      </c>
      <c r="T708" s="633">
        <f t="shared" si="425"/>
        <v>1340756.7482509015</v>
      </c>
      <c r="U708" s="633">
        <f t="shared" si="425"/>
        <v>1222856.654840193</v>
      </c>
      <c r="V708" s="633">
        <f t="shared" si="425"/>
        <v>1087931.761990848</v>
      </c>
      <c r="W708" s="633">
        <f t="shared" si="425"/>
        <v>934465.98954718327</v>
      </c>
      <c r="X708" s="633">
        <f t="shared" si="425"/>
        <v>760827.98855469294</v>
      </c>
      <c r="Y708" s="633">
        <f t="shared" si="425"/>
        <v>565263.04783464863</v>
      </c>
      <c r="Z708" s="633">
        <f t="shared" si="425"/>
        <v>345884.45897002146</v>
      </c>
      <c r="AA708" s="633">
        <f t="shared" si="425"/>
        <v>100664.30461058556</v>
      </c>
      <c r="AB708" s="633">
        <f t="shared" si="425"/>
        <v>0</v>
      </c>
      <c r="AC708" s="633">
        <f t="shared" si="425"/>
        <v>0</v>
      </c>
      <c r="AD708" s="633">
        <f>SUM(I708:AC708)</f>
        <v>19707378.361642934</v>
      </c>
    </row>
    <row r="709" spans="2:30" ht="14.65" thickBot="1" x14ac:dyDescent="0.5">
      <c r="B709" s="637" t="str">
        <f t="shared" si="413"/>
        <v>Rent</v>
      </c>
      <c r="D709" s="583" t="s">
        <v>11</v>
      </c>
      <c r="I709" s="777">
        <f>SUM(I704:I708)</f>
        <v>0</v>
      </c>
      <c r="J709" s="777">
        <f t="shared" ref="J709:AD709" si="426">SUM(J704:J708)</f>
        <v>0</v>
      </c>
      <c r="K709" s="777">
        <f t="shared" si="426"/>
        <v>0</v>
      </c>
      <c r="L709" s="777">
        <f t="shared" si="426"/>
        <v>19332709.997999996</v>
      </c>
      <c r="M709" s="777">
        <f t="shared" si="426"/>
        <v>19052132.066891994</v>
      </c>
      <c r="N709" s="777">
        <f t="shared" si="426"/>
        <v>18682209.115618162</v>
      </c>
      <c r="O709" s="777">
        <f t="shared" si="426"/>
        <v>18213961.940201864</v>
      </c>
      <c r="P709" s="777">
        <f t="shared" si="426"/>
        <v>17637693.892915025</v>
      </c>
      <c r="Q709" s="777">
        <f t="shared" si="426"/>
        <v>16942939.125557523</v>
      </c>
      <c r="R709" s="777">
        <f t="shared" ref="R709:AB709" si="427">SUM(R704:R708)</f>
        <v>16118407.309764629</v>
      </c>
      <c r="S709" s="777">
        <f t="shared" si="427"/>
        <v>15151924.603379704</v>
      </c>
      <c r="T709" s="777">
        <f t="shared" si="427"/>
        <v>14030370.617180401</v>
      </c>
      <c r="U709" s="777">
        <f t="shared" si="427"/>
        <v>12739611.120573953</v>
      </c>
      <c r="V709" s="777">
        <f t="shared" si="427"/>
        <v>11264426.208223823</v>
      </c>
      <c r="W709" s="777">
        <f t="shared" si="427"/>
        <v>9588433.6318754461</v>
      </c>
      <c r="X709" s="777">
        <f t="shared" si="427"/>
        <v>7694006.9828488668</v>
      </c>
      <c r="Y709" s="777">
        <f t="shared" si="427"/>
        <v>5562188.3906929428</v>
      </c>
      <c r="Z709" s="777">
        <f t="shared" si="427"/>
        <v>3172595.3822767488</v>
      </c>
      <c r="AA709" s="777">
        <f t="shared" si="427"/>
        <v>503321.52305292781</v>
      </c>
      <c r="AB709" s="777">
        <f t="shared" si="427"/>
        <v>0</v>
      </c>
      <c r="AC709" s="777">
        <f t="shared" si="426"/>
        <v>0</v>
      </c>
      <c r="AD709" s="777">
        <f t="shared" si="426"/>
        <v>205686931.90905401</v>
      </c>
    </row>
    <row r="710" spans="2:30" ht="14.65" thickTop="1" x14ac:dyDescent="0.45">
      <c r="B710" s="637" t="str">
        <f>B709</f>
        <v>Rent</v>
      </c>
    </row>
    <row r="711" spans="2:30" x14ac:dyDescent="0.45">
      <c r="B711" s="637" t="str">
        <f>B710</f>
        <v>Rent</v>
      </c>
    </row>
    <row r="712" spans="2:30" x14ac:dyDescent="0.45">
      <c r="B712" s="637" t="str">
        <f>B711</f>
        <v>Rent</v>
      </c>
      <c r="C712" s="451">
        <f>C703+1</f>
        <v>75</v>
      </c>
      <c r="D712" s="591" t="s">
        <v>354</v>
      </c>
    </row>
    <row r="713" spans="2:30" x14ac:dyDescent="0.45">
      <c r="B713" s="637" t="str">
        <f t="shared" si="389"/>
        <v>Rent</v>
      </c>
      <c r="D713" s="583" t="str">
        <f>'12. Inputs-Props &amp; Debtors 2016'!C$77</f>
        <v>EC</v>
      </c>
      <c r="F713" s="614">
        <f>'11. Table - Expenditure Review'!I187</f>
        <v>3718763.7609844562</v>
      </c>
      <c r="G713" s="614">
        <f>'11. Table - Expenditure Review'!J187</f>
        <v>4385874.4349029129</v>
      </c>
      <c r="H713" s="614">
        <f>'11. Table - Expenditure Review'!K187</f>
        <v>8183430.9686369598</v>
      </c>
      <c r="I713" s="633">
        <f t="shared" ref="I713:AC713" si="428">IF(H$520&gt;1,(H713*I$520/H$520)*(1+I$23),0)</f>
        <v>6906815.7375295935</v>
      </c>
      <c r="J713" s="633">
        <f t="shared" si="428"/>
        <v>5465017.9523202907</v>
      </c>
      <c r="K713" s="633">
        <f t="shared" si="428"/>
        <v>3843729.2931319377</v>
      </c>
      <c r="L713" s="633">
        <f t="shared" si="428"/>
        <v>3829849.1595734055</v>
      </c>
      <c r="M713" s="633">
        <f t="shared" si="428"/>
        <v>3802814.9302117107</v>
      </c>
      <c r="N713" s="633">
        <f t="shared" si="428"/>
        <v>3761221.6419125199</v>
      </c>
      <c r="O713" s="633">
        <f t="shared" si="428"/>
        <v>3703549.5767365275</v>
      </c>
      <c r="P713" s="633">
        <f t="shared" si="428"/>
        <v>3628155.888924391</v>
      </c>
      <c r="Q713" s="633">
        <f t="shared" si="428"/>
        <v>3533265.6579832919</v>
      </c>
      <c r="R713" s="633">
        <f t="shared" si="428"/>
        <v>3416962.3300746754</v>
      </c>
      <c r="S713" s="633">
        <f t="shared" si="428"/>
        <v>3277177.5074807112</v>
      </c>
      <c r="T713" s="633">
        <f t="shared" si="428"/>
        <v>3111680.043352935</v>
      </c>
      <c r="U713" s="633">
        <f t="shared" si="428"/>
        <v>2918064.3962109741</v>
      </c>
      <c r="V713" s="633">
        <f t="shared" si="428"/>
        <v>2693738.1957522552</v>
      </c>
      <c r="W713" s="633">
        <f t="shared" si="428"/>
        <v>2435908.9684445388</v>
      </c>
      <c r="X713" s="633">
        <f t="shared" si="428"/>
        <v>2141569.9680908239</v>
      </c>
      <c r="Y713" s="633">
        <f t="shared" si="428"/>
        <v>1807485.0530686553</v>
      </c>
      <c r="Z713" s="633">
        <f t="shared" si="428"/>
        <v>1430172.5482405734</v>
      </c>
      <c r="AA713" s="633">
        <f t="shared" si="428"/>
        <v>1005888.0255958699</v>
      </c>
      <c r="AB713" s="633">
        <f t="shared" si="428"/>
        <v>0</v>
      </c>
      <c r="AC713" s="633">
        <f t="shared" si="428"/>
        <v>0</v>
      </c>
      <c r="AD713" s="633">
        <f>SUM(I713:AC713)</f>
        <v>62713066.874635682</v>
      </c>
    </row>
    <row r="714" spans="2:30" x14ac:dyDescent="0.45">
      <c r="B714" s="637" t="str">
        <f t="shared" si="389"/>
        <v>Rent</v>
      </c>
      <c r="D714" s="583" t="str">
        <f>'12. Inputs-Props &amp; Debtors 2016'!C$78</f>
        <v>FS</v>
      </c>
      <c r="F714" s="614">
        <f>'11. Table - Expenditure Review'!L187</f>
        <v>701000</v>
      </c>
      <c r="G714" s="614">
        <f>'11. Table - Expenditure Review'!M187</f>
        <v>701000</v>
      </c>
      <c r="H714" s="614">
        <f>'11. Table - Expenditure Review'!N187</f>
        <v>701000</v>
      </c>
      <c r="I714" s="633">
        <f t="shared" ref="I714:AC714" si="429">IF(H$521&gt;1,(H714*I$521/H$521)*(1+I$23),0)</f>
        <v>708740.20833333326</v>
      </c>
      <c r="J714" s="633">
        <f t="shared" si="429"/>
        <v>715211.31458333321</v>
      </c>
      <c r="K714" s="633">
        <f t="shared" si="429"/>
        <v>720250.30339062482</v>
      </c>
      <c r="L714" s="633">
        <f t="shared" si="429"/>
        <v>723680.06674010388</v>
      </c>
      <c r="M714" s="633">
        <f t="shared" si="429"/>
        <v>725308.34689026896</v>
      </c>
      <c r="N714" s="633">
        <f t="shared" si="429"/>
        <v>724926.60565506341</v>
      </c>
      <c r="O714" s="633">
        <f t="shared" si="429"/>
        <v>722308.8151346423</v>
      </c>
      <c r="P714" s="633">
        <f t="shared" si="429"/>
        <v>717210.16467486834</v>
      </c>
      <c r="Q714" s="633">
        <f t="shared" si="429"/>
        <v>709365.67849873693</v>
      </c>
      <c r="R714" s="633">
        <f t="shared" si="429"/>
        <v>698488.73809508968</v>
      </c>
      <c r="S714" s="633">
        <f t="shared" si="429"/>
        <v>684269.50306958251</v>
      </c>
      <c r="T714" s="633">
        <f t="shared" si="429"/>
        <v>666373.22375853185</v>
      </c>
      <c r="U714" s="633">
        <f t="shared" si="429"/>
        <v>644438.43847648008</v>
      </c>
      <c r="V714" s="633">
        <f t="shared" si="429"/>
        <v>618075.04781153321</v>
      </c>
      <c r="W714" s="633">
        <f t="shared" si="429"/>
        <v>586862.25789705082</v>
      </c>
      <c r="X714" s="633">
        <f t="shared" si="429"/>
        <v>550346.38407234545</v>
      </c>
      <c r="Y714" s="633">
        <f t="shared" si="429"/>
        <v>508038.50579678384</v>
      </c>
      <c r="Z714" s="633">
        <f t="shared" si="429"/>
        <v>459411.96309909166</v>
      </c>
      <c r="AA714" s="633">
        <f t="shared" si="429"/>
        <v>403899.68422461807</v>
      </c>
      <c r="AB714" s="633">
        <f t="shared" si="429"/>
        <v>0</v>
      </c>
      <c r="AC714" s="633">
        <f t="shared" si="429"/>
        <v>0</v>
      </c>
      <c r="AD714" s="633">
        <f>SUM(I714:AC714)</f>
        <v>12287205.250202084</v>
      </c>
    </row>
    <row r="715" spans="2:30" x14ac:dyDescent="0.45">
      <c r="B715" s="637" t="str">
        <f t="shared" si="389"/>
        <v>Rent</v>
      </c>
      <c r="D715" s="583" t="str">
        <f>'12. Inputs-Props &amp; Debtors 2016'!C$79</f>
        <v>Gau</v>
      </c>
      <c r="F715" s="614">
        <f>'11. Table - Expenditure Review'!O187</f>
        <v>0</v>
      </c>
      <c r="G715" s="614">
        <f>'11. Table - Expenditure Review'!P187</f>
        <v>0</v>
      </c>
      <c r="H715" s="614">
        <f>'11. Table - Expenditure Review'!Q187</f>
        <v>0</v>
      </c>
      <c r="I715" s="633">
        <f t="shared" ref="I715:AC715" si="430">IF(H$522&gt;1,(H715*I$522/H$522)*(1+I$23),0)</f>
        <v>0</v>
      </c>
      <c r="J715" s="633">
        <f t="shared" si="430"/>
        <v>0</v>
      </c>
      <c r="K715" s="633">
        <f t="shared" si="430"/>
        <v>0</v>
      </c>
      <c r="L715" s="633">
        <f t="shared" si="430"/>
        <v>0</v>
      </c>
      <c r="M715" s="633">
        <f t="shared" si="430"/>
        <v>0</v>
      </c>
      <c r="N715" s="633">
        <f t="shared" si="430"/>
        <v>0</v>
      </c>
      <c r="O715" s="633">
        <f t="shared" si="430"/>
        <v>0</v>
      </c>
      <c r="P715" s="633">
        <f t="shared" si="430"/>
        <v>0</v>
      </c>
      <c r="Q715" s="633">
        <f t="shared" si="430"/>
        <v>0</v>
      </c>
      <c r="R715" s="633">
        <f t="shared" si="430"/>
        <v>0</v>
      </c>
      <c r="S715" s="633">
        <f t="shared" si="430"/>
        <v>0</v>
      </c>
      <c r="T715" s="633">
        <f t="shared" si="430"/>
        <v>0</v>
      </c>
      <c r="U715" s="633">
        <f t="shared" si="430"/>
        <v>0</v>
      </c>
      <c r="V715" s="633">
        <f t="shared" si="430"/>
        <v>0</v>
      </c>
      <c r="W715" s="633">
        <f t="shared" si="430"/>
        <v>0</v>
      </c>
      <c r="X715" s="633">
        <f t="shared" si="430"/>
        <v>0</v>
      </c>
      <c r="Y715" s="633">
        <f t="shared" si="430"/>
        <v>0</v>
      </c>
      <c r="Z715" s="633">
        <f t="shared" si="430"/>
        <v>0</v>
      </c>
      <c r="AA715" s="633">
        <f t="shared" si="430"/>
        <v>0</v>
      </c>
      <c r="AB715" s="633">
        <f t="shared" si="430"/>
        <v>0</v>
      </c>
      <c r="AC715" s="633">
        <f t="shared" si="430"/>
        <v>0</v>
      </c>
      <c r="AD715" s="633">
        <f>SUM(I715:AC715)</f>
        <v>0</v>
      </c>
    </row>
    <row r="716" spans="2:30" x14ac:dyDescent="0.45">
      <c r="B716" s="637" t="str">
        <f t="shared" si="389"/>
        <v>Rent</v>
      </c>
      <c r="D716" s="583" t="str">
        <f>'12. Inputs-Props &amp; Debtors 2016'!C$80</f>
        <v>KZN</v>
      </c>
      <c r="F716" s="614">
        <f>'11. Table - Expenditure Review'!R187</f>
        <v>0</v>
      </c>
      <c r="G716" s="614">
        <f>'11. Table - Expenditure Review'!S187</f>
        <v>0</v>
      </c>
      <c r="H716" s="614">
        <f>'11. Table - Expenditure Review'!T187</f>
        <v>0</v>
      </c>
      <c r="I716" s="633">
        <f t="shared" ref="I716:AC716" si="431">IF(H$523&gt;1,(H716*I$523/H$523)*(1+I$23),0)</f>
        <v>0</v>
      </c>
      <c r="J716" s="633">
        <f t="shared" si="431"/>
        <v>0</v>
      </c>
      <c r="K716" s="633">
        <f t="shared" si="431"/>
        <v>0</v>
      </c>
      <c r="L716" s="633">
        <f t="shared" si="431"/>
        <v>0</v>
      </c>
      <c r="M716" s="633">
        <f t="shared" si="431"/>
        <v>0</v>
      </c>
      <c r="N716" s="633">
        <f t="shared" si="431"/>
        <v>0</v>
      </c>
      <c r="O716" s="633">
        <f t="shared" si="431"/>
        <v>0</v>
      </c>
      <c r="P716" s="633">
        <f t="shared" si="431"/>
        <v>0</v>
      </c>
      <c r="Q716" s="633">
        <f t="shared" si="431"/>
        <v>0</v>
      </c>
      <c r="R716" s="633">
        <f t="shared" si="431"/>
        <v>0</v>
      </c>
      <c r="S716" s="633">
        <f t="shared" si="431"/>
        <v>0</v>
      </c>
      <c r="T716" s="633">
        <f t="shared" si="431"/>
        <v>0</v>
      </c>
      <c r="U716" s="633">
        <f t="shared" si="431"/>
        <v>0</v>
      </c>
      <c r="V716" s="633">
        <f t="shared" si="431"/>
        <v>0</v>
      </c>
      <c r="W716" s="633">
        <f t="shared" si="431"/>
        <v>0</v>
      </c>
      <c r="X716" s="633">
        <f t="shared" si="431"/>
        <v>0</v>
      </c>
      <c r="Y716" s="633">
        <f t="shared" si="431"/>
        <v>0</v>
      </c>
      <c r="Z716" s="633">
        <f t="shared" si="431"/>
        <v>0</v>
      </c>
      <c r="AA716" s="633">
        <f t="shared" si="431"/>
        <v>0</v>
      </c>
      <c r="AB716" s="633">
        <f t="shared" si="431"/>
        <v>0</v>
      </c>
      <c r="AC716" s="633">
        <f t="shared" si="431"/>
        <v>0</v>
      </c>
      <c r="AD716" s="633">
        <f>SUM(I716:AC716)</f>
        <v>0</v>
      </c>
    </row>
    <row r="717" spans="2:30" x14ac:dyDescent="0.45">
      <c r="B717" s="637" t="str">
        <f t="shared" si="389"/>
        <v>Rent</v>
      </c>
      <c r="D717" s="583" t="str">
        <f>'12. Inputs-Props &amp; Debtors 2016'!C$81</f>
        <v>WC</v>
      </c>
      <c r="F717" s="614">
        <f>'11. Table - Expenditure Review'!U187</f>
        <v>0</v>
      </c>
      <c r="G717" s="614">
        <f>'11. Table - Expenditure Review'!V187</f>
        <v>0</v>
      </c>
      <c r="H717" s="614">
        <f>'11. Table - Expenditure Review'!W187</f>
        <v>0</v>
      </c>
      <c r="I717" s="633">
        <f t="shared" ref="I717:AC717" si="432">IF(H$524&gt;1,(H717*I$524/H$524)*(1+I$23),0)</f>
        <v>0</v>
      </c>
      <c r="J717" s="633">
        <f t="shared" si="432"/>
        <v>0</v>
      </c>
      <c r="K717" s="633">
        <f t="shared" si="432"/>
        <v>0</v>
      </c>
      <c r="L717" s="633">
        <f t="shared" si="432"/>
        <v>0</v>
      </c>
      <c r="M717" s="633">
        <f t="shared" si="432"/>
        <v>0</v>
      </c>
      <c r="N717" s="633">
        <f t="shared" si="432"/>
        <v>0</v>
      </c>
      <c r="O717" s="633">
        <f t="shared" si="432"/>
        <v>0</v>
      </c>
      <c r="P717" s="633">
        <f t="shared" si="432"/>
        <v>0</v>
      </c>
      <c r="Q717" s="633">
        <f t="shared" si="432"/>
        <v>0</v>
      </c>
      <c r="R717" s="633">
        <f t="shared" si="432"/>
        <v>0</v>
      </c>
      <c r="S717" s="633">
        <f t="shared" si="432"/>
        <v>0</v>
      </c>
      <c r="T717" s="633">
        <f t="shared" si="432"/>
        <v>0</v>
      </c>
      <c r="U717" s="633">
        <f t="shared" si="432"/>
        <v>0</v>
      </c>
      <c r="V717" s="633">
        <f t="shared" si="432"/>
        <v>0</v>
      </c>
      <c r="W717" s="633">
        <f t="shared" si="432"/>
        <v>0</v>
      </c>
      <c r="X717" s="633">
        <f t="shared" si="432"/>
        <v>0</v>
      </c>
      <c r="Y717" s="633">
        <f t="shared" si="432"/>
        <v>0</v>
      </c>
      <c r="Z717" s="633">
        <f t="shared" si="432"/>
        <v>0</v>
      </c>
      <c r="AA717" s="633">
        <f t="shared" si="432"/>
        <v>0</v>
      </c>
      <c r="AB717" s="633">
        <f t="shared" si="432"/>
        <v>0</v>
      </c>
      <c r="AC717" s="633">
        <f t="shared" si="432"/>
        <v>0</v>
      </c>
      <c r="AD717" s="633">
        <f>SUM(I717:AC717)</f>
        <v>0</v>
      </c>
    </row>
    <row r="718" spans="2:30" ht="14.65" thickBot="1" x14ac:dyDescent="0.5">
      <c r="B718" s="637" t="str">
        <f t="shared" si="389"/>
        <v>Rent</v>
      </c>
      <c r="D718" s="596" t="s">
        <v>11</v>
      </c>
      <c r="F718" s="613">
        <f t="shared" ref="F718:Q718" si="433">SUM(F713:F717)</f>
        <v>4419763.7609844562</v>
      </c>
      <c r="G718" s="613">
        <f t="shared" si="433"/>
        <v>5086874.4349029129</v>
      </c>
      <c r="H718" s="613">
        <f t="shared" si="433"/>
        <v>8884430.9686369598</v>
      </c>
      <c r="I718" s="634">
        <f t="shared" si="433"/>
        <v>7615555.9458629265</v>
      </c>
      <c r="J718" s="634">
        <f t="shared" si="433"/>
        <v>6180229.2669036239</v>
      </c>
      <c r="K718" s="634">
        <f t="shared" si="433"/>
        <v>4563979.5965225622</v>
      </c>
      <c r="L718" s="634">
        <f t="shared" si="433"/>
        <v>4553529.226313509</v>
      </c>
      <c r="M718" s="634">
        <f t="shared" si="433"/>
        <v>4528123.2771019796</v>
      </c>
      <c r="N718" s="634">
        <f t="shared" si="433"/>
        <v>4486148.2475675829</v>
      </c>
      <c r="O718" s="634">
        <f t="shared" si="433"/>
        <v>4425858.3918711701</v>
      </c>
      <c r="P718" s="634">
        <f t="shared" si="433"/>
        <v>4345366.0535992589</v>
      </c>
      <c r="Q718" s="634">
        <f t="shared" si="433"/>
        <v>4242631.3364820285</v>
      </c>
      <c r="R718" s="634">
        <f t="shared" ref="R718:AB718" si="434">SUM(R713:R717)</f>
        <v>4115451.0681697652</v>
      </c>
      <c r="S718" s="634">
        <f t="shared" si="434"/>
        <v>3961447.0105502936</v>
      </c>
      <c r="T718" s="634">
        <f t="shared" si="434"/>
        <v>3778053.2671114667</v>
      </c>
      <c r="U718" s="634">
        <f t="shared" si="434"/>
        <v>3562502.8346874542</v>
      </c>
      <c r="V718" s="634">
        <f t="shared" si="434"/>
        <v>3311813.2435637885</v>
      </c>
      <c r="W718" s="634">
        <f t="shared" si="434"/>
        <v>3022771.2263415894</v>
      </c>
      <c r="X718" s="634">
        <f t="shared" si="434"/>
        <v>2691916.3521631695</v>
      </c>
      <c r="Y718" s="634">
        <f t="shared" si="434"/>
        <v>2315523.5588654391</v>
      </c>
      <c r="Z718" s="634">
        <f t="shared" si="434"/>
        <v>1889584.5113396649</v>
      </c>
      <c r="AA718" s="634">
        <f t="shared" si="434"/>
        <v>1409787.709820488</v>
      </c>
      <c r="AB718" s="634">
        <f t="shared" si="434"/>
        <v>0</v>
      </c>
      <c r="AC718" s="634">
        <f>SUM(AC713:AC717)</f>
        <v>0</v>
      </c>
      <c r="AD718" s="777">
        <f>SUM(AD713:AD717)</f>
        <v>75000272.124837771</v>
      </c>
    </row>
    <row r="719" spans="2:30" ht="14.65" thickTop="1" x14ac:dyDescent="0.45">
      <c r="B719" s="637" t="str">
        <f t="shared" si="389"/>
        <v>Rent</v>
      </c>
      <c r="F719" s="615">
        <f>'11. Table - Expenditure Review'!F187</f>
        <v>4419763.7609844562</v>
      </c>
      <c r="G719" s="615">
        <f>'11. Table - Expenditure Review'!G187</f>
        <v>5086874.4349029129</v>
      </c>
      <c r="H719" s="615">
        <f>'11. Table - Expenditure Review'!H187</f>
        <v>8884430.9686369598</v>
      </c>
      <c r="I719" s="633">
        <f t="shared" ref="I719:AC719" si="435">IF(H$525&gt;1,H718*I$525/H$525,0)</f>
        <v>7999431.4496680843</v>
      </c>
      <c r="J719" s="633">
        <f t="shared" si="435"/>
        <v>6773025.6496568257</v>
      </c>
      <c r="K719" s="633">
        <f t="shared" si="435"/>
        <v>5468276.4278314738</v>
      </c>
      <c r="L719" s="633">
        <f t="shared" si="435"/>
        <v>4281851.7549432134</v>
      </c>
      <c r="M719" s="633">
        <f t="shared" si="435"/>
        <v>4253500.7700024731</v>
      </c>
      <c r="N719" s="633">
        <f t="shared" si="435"/>
        <v>4208723.8199780574</v>
      </c>
      <c r="O719" s="633">
        <f t="shared" si="435"/>
        <v>4145695.0897602378</v>
      </c>
      <c r="P719" s="633">
        <f t="shared" si="435"/>
        <v>4062397.6373061682</v>
      </c>
      <c r="Q719" s="633">
        <f t="shared" si="435"/>
        <v>3956588.2514957623</v>
      </c>
      <c r="R719" s="633">
        <f t="shared" si="435"/>
        <v>3825746.6921146642</v>
      </c>
      <c r="S719" s="633">
        <f t="shared" si="435"/>
        <v>3666997.865948759</v>
      </c>
      <c r="T719" s="633">
        <f t="shared" si="435"/>
        <v>3476984.335017628</v>
      </c>
      <c r="U719" s="633">
        <f t="shared" si="435"/>
        <v>3251641.4062192403</v>
      </c>
      <c r="V719" s="633">
        <f t="shared" si="435"/>
        <v>2985765.2697595428</v>
      </c>
      <c r="W719" s="633">
        <f t="shared" si="435"/>
        <v>2672095.4717300995</v>
      </c>
      <c r="X719" s="633">
        <f t="shared" si="435"/>
        <v>2299099.3013911666</v>
      </c>
      <c r="Y719" s="633">
        <f t="shared" si="435"/>
        <v>1844600.0630421718</v>
      </c>
      <c r="Z719" s="633">
        <f t="shared" si="435"/>
        <v>1251888.7533703391</v>
      </c>
      <c r="AA719" s="633">
        <f t="shared" si="435"/>
        <v>284148.04681799473</v>
      </c>
      <c r="AB719" s="633">
        <f t="shared" si="435"/>
        <v>0</v>
      </c>
      <c r="AC719" s="633">
        <f t="shared" si="435"/>
        <v>0</v>
      </c>
      <c r="AD719" s="633">
        <f>SUM(I719:AC719)</f>
        <v>70708458.056053907</v>
      </c>
    </row>
    <row r="720" spans="2:30" x14ac:dyDescent="0.45">
      <c r="B720" s="637" t="str">
        <f t="shared" si="389"/>
        <v>Rent</v>
      </c>
    </row>
    <row r="721" spans="1:30" x14ac:dyDescent="0.45">
      <c r="B721" s="637" t="str">
        <f>B720</f>
        <v>Rent</v>
      </c>
      <c r="C721" s="451">
        <f>C712+1</f>
        <v>76</v>
      </c>
      <c r="D721" s="591" t="s">
        <v>358</v>
      </c>
    </row>
    <row r="722" spans="1:30" x14ac:dyDescent="0.45">
      <c r="B722" s="637" t="str">
        <f t="shared" ref="B722:B732" si="436">B721</f>
        <v>Rent</v>
      </c>
      <c r="D722" s="591"/>
    </row>
    <row r="723" spans="1:30" x14ac:dyDescent="0.45">
      <c r="A723" s="911" t="s">
        <v>1463</v>
      </c>
      <c r="B723" s="637" t="str">
        <f t="shared" si="436"/>
        <v>Rent</v>
      </c>
      <c r="C723" s="451">
        <f>C721+0.1</f>
        <v>76.099999999999994</v>
      </c>
      <c r="D723" s="451" t="s">
        <v>1461</v>
      </c>
      <c r="F723" s="615"/>
      <c r="G723" s="615"/>
      <c r="H723" s="615"/>
      <c r="I723" s="592">
        <v>0</v>
      </c>
      <c r="J723" s="592">
        <v>0</v>
      </c>
      <c r="K723" s="592">
        <v>0</v>
      </c>
      <c r="L723" s="592">
        <v>-0.5</v>
      </c>
      <c r="M723" s="592">
        <v>-1</v>
      </c>
      <c r="N723" s="592">
        <v>-1</v>
      </c>
      <c r="O723" s="592">
        <v>-1</v>
      </c>
      <c r="P723" s="592">
        <v>-1</v>
      </c>
      <c r="Q723" s="592">
        <v>-1</v>
      </c>
      <c r="R723" s="592">
        <v>-1</v>
      </c>
      <c r="S723" s="592">
        <v>-1</v>
      </c>
      <c r="T723" s="592">
        <v>-1</v>
      </c>
      <c r="U723" s="592">
        <v>-1</v>
      </c>
      <c r="V723" s="592">
        <v>-1</v>
      </c>
      <c r="W723" s="592">
        <v>-1</v>
      </c>
      <c r="X723" s="592">
        <v>-1</v>
      </c>
      <c r="Y723" s="592">
        <v>-1</v>
      </c>
      <c r="Z723" s="592">
        <v>-1</v>
      </c>
      <c r="AA723" s="592">
        <v>-1</v>
      </c>
      <c r="AB723" s="592">
        <v>-1</v>
      </c>
      <c r="AC723" s="592">
        <v>-1</v>
      </c>
    </row>
    <row r="724" spans="1:30" x14ac:dyDescent="0.45">
      <c r="B724" s="637" t="str">
        <f t="shared" si="436"/>
        <v>Rent</v>
      </c>
      <c r="D724" s="583" t="str">
        <f>'12. Inputs-Props &amp; Debtors 2016'!C$77</f>
        <v>EC</v>
      </c>
      <c r="I724" s="610">
        <f>IF('7. Scenario Detailed'!$E$12='7. Scenario Detailed'!$E$14,'10. Inputs &amp; Calcs'!I$723,0)</f>
        <v>0</v>
      </c>
      <c r="J724" s="610">
        <f>IF('7. Scenario Detailed'!$E$12='7. Scenario Detailed'!$E$14,'10. Inputs &amp; Calcs'!J$723,0)</f>
        <v>0</v>
      </c>
      <c r="K724" s="610">
        <f>IF('7. Scenario Detailed'!$E$12='7. Scenario Detailed'!$E$14,'10. Inputs &amp; Calcs'!K$723,0)</f>
        <v>0</v>
      </c>
      <c r="L724" s="610">
        <f>IF('7. Scenario Detailed'!$E$12='7. Scenario Detailed'!$E$14,'10. Inputs &amp; Calcs'!L$723,0)</f>
        <v>0</v>
      </c>
      <c r="M724" s="610">
        <f>IF('7. Scenario Detailed'!$E$12='7. Scenario Detailed'!$E$14,'10. Inputs &amp; Calcs'!M$723,0)</f>
        <v>0</v>
      </c>
      <c r="N724" s="610">
        <f>IF('7. Scenario Detailed'!$E$12='7. Scenario Detailed'!$E$14,'10. Inputs &amp; Calcs'!N$723,0)</f>
        <v>0</v>
      </c>
      <c r="O724" s="610">
        <f>IF('7. Scenario Detailed'!$E$12='7. Scenario Detailed'!$E$14,'10. Inputs &amp; Calcs'!O$723,0)</f>
        <v>0</v>
      </c>
      <c r="P724" s="610">
        <f>IF('7. Scenario Detailed'!$E$12='7. Scenario Detailed'!$E$14,'10. Inputs &amp; Calcs'!P$723,0)</f>
        <v>0</v>
      </c>
      <c r="Q724" s="610">
        <f>IF('7. Scenario Detailed'!$E$12='7. Scenario Detailed'!$E$14,'10. Inputs &amp; Calcs'!Q$723,0)</f>
        <v>0</v>
      </c>
      <c r="R724" s="610">
        <f>IF('7. Scenario Detailed'!$E$12='7. Scenario Detailed'!$E$14,'10. Inputs &amp; Calcs'!R$723,0)</f>
        <v>0</v>
      </c>
      <c r="S724" s="610">
        <f>IF('7. Scenario Detailed'!$E$12='7. Scenario Detailed'!$E$14,'10. Inputs &amp; Calcs'!S$723,0)</f>
        <v>0</v>
      </c>
      <c r="T724" s="610">
        <f>IF('7. Scenario Detailed'!$E$12='7. Scenario Detailed'!$E$14,'10. Inputs &amp; Calcs'!T$723,0)</f>
        <v>0</v>
      </c>
      <c r="U724" s="610">
        <f>IF('7. Scenario Detailed'!$E$12='7. Scenario Detailed'!$E$14,'10. Inputs &amp; Calcs'!U$723,0)</f>
        <v>0</v>
      </c>
      <c r="V724" s="610">
        <f>IF('7. Scenario Detailed'!$E$12='7. Scenario Detailed'!$E$14,'10. Inputs &amp; Calcs'!V$723,0)</f>
        <v>0</v>
      </c>
      <c r="W724" s="610">
        <f>IF('7. Scenario Detailed'!$E$12='7. Scenario Detailed'!$E$14,'10. Inputs &amp; Calcs'!W$723,0)</f>
        <v>0</v>
      </c>
      <c r="X724" s="610">
        <f>IF('7. Scenario Detailed'!$E$12='7. Scenario Detailed'!$E$14,'10. Inputs &amp; Calcs'!X$723,0)</f>
        <v>0</v>
      </c>
      <c r="Y724" s="610">
        <f>IF('7. Scenario Detailed'!$E$12='7. Scenario Detailed'!$E$14,'10. Inputs &amp; Calcs'!Y$723,0)</f>
        <v>0</v>
      </c>
      <c r="Z724" s="610">
        <f>IF('7. Scenario Detailed'!$E$12='7. Scenario Detailed'!$E$14,'10. Inputs &amp; Calcs'!Z$723,0)</f>
        <v>0</v>
      </c>
      <c r="AA724" s="610">
        <f>IF('7. Scenario Detailed'!$E$12='7. Scenario Detailed'!$E$14,'10. Inputs &amp; Calcs'!AA$723,0)</f>
        <v>0</v>
      </c>
      <c r="AB724" s="610">
        <f>IF('7. Scenario Detailed'!$E$12='7. Scenario Detailed'!$E$14,'10. Inputs &amp; Calcs'!AB$723,0)</f>
        <v>0</v>
      </c>
      <c r="AC724" s="610">
        <f>IF('7. Scenario Detailed'!$E$12='7. Scenario Detailed'!$E$14,'10. Inputs &amp; Calcs'!AC$723,0)</f>
        <v>0</v>
      </c>
    </row>
    <row r="725" spans="1:30" x14ac:dyDescent="0.45">
      <c r="B725" s="637" t="str">
        <f t="shared" si="436"/>
        <v>Rent</v>
      </c>
      <c r="D725" s="583" t="str">
        <f>'12. Inputs-Props &amp; Debtors 2016'!C$78</f>
        <v>FS</v>
      </c>
      <c r="I725" s="610">
        <f>IF('7. Scenario Detailed'!$E$12='7. Scenario Detailed'!$E$14,'10. Inputs &amp; Calcs'!I$723,0)</f>
        <v>0</v>
      </c>
      <c r="J725" s="610">
        <f>IF('7. Scenario Detailed'!$E$12='7. Scenario Detailed'!$E$14,'10. Inputs &amp; Calcs'!J$723,0)</f>
        <v>0</v>
      </c>
      <c r="K725" s="610">
        <f>IF('7. Scenario Detailed'!$E$12='7. Scenario Detailed'!$E$14,'10. Inputs &amp; Calcs'!K$723,0)</f>
        <v>0</v>
      </c>
      <c r="L725" s="610">
        <f>IF('7. Scenario Detailed'!$E$12='7. Scenario Detailed'!$E$14,'10. Inputs &amp; Calcs'!L$723,0)</f>
        <v>0</v>
      </c>
      <c r="M725" s="610">
        <f>IF('7. Scenario Detailed'!$E$12='7. Scenario Detailed'!$E$14,'10. Inputs &amp; Calcs'!M$723,0)</f>
        <v>0</v>
      </c>
      <c r="N725" s="610">
        <f>IF('7. Scenario Detailed'!$E$12='7. Scenario Detailed'!$E$14,'10. Inputs &amp; Calcs'!N$723,0)</f>
        <v>0</v>
      </c>
      <c r="O725" s="610">
        <f>IF('7. Scenario Detailed'!$E$12='7. Scenario Detailed'!$E$14,'10. Inputs &amp; Calcs'!O$723,0)</f>
        <v>0</v>
      </c>
      <c r="P725" s="610">
        <f>IF('7. Scenario Detailed'!$E$12='7. Scenario Detailed'!$E$14,'10. Inputs &amp; Calcs'!P$723,0)</f>
        <v>0</v>
      </c>
      <c r="Q725" s="610">
        <f>IF('7. Scenario Detailed'!$E$12='7. Scenario Detailed'!$E$14,'10. Inputs &amp; Calcs'!Q$723,0)</f>
        <v>0</v>
      </c>
      <c r="R725" s="610">
        <f>IF('7. Scenario Detailed'!$E$12='7. Scenario Detailed'!$E$14,'10. Inputs &amp; Calcs'!R$723,0)</f>
        <v>0</v>
      </c>
      <c r="S725" s="610">
        <f>IF('7. Scenario Detailed'!$E$12='7. Scenario Detailed'!$E$14,'10. Inputs &amp; Calcs'!S$723,0)</f>
        <v>0</v>
      </c>
      <c r="T725" s="610">
        <f>IF('7. Scenario Detailed'!$E$12='7. Scenario Detailed'!$E$14,'10. Inputs &amp; Calcs'!T$723,0)</f>
        <v>0</v>
      </c>
      <c r="U725" s="610">
        <f>IF('7. Scenario Detailed'!$E$12='7. Scenario Detailed'!$E$14,'10. Inputs &amp; Calcs'!U$723,0)</f>
        <v>0</v>
      </c>
      <c r="V725" s="610">
        <f>IF('7. Scenario Detailed'!$E$12='7. Scenario Detailed'!$E$14,'10. Inputs &amp; Calcs'!V$723,0)</f>
        <v>0</v>
      </c>
      <c r="W725" s="610">
        <f>IF('7. Scenario Detailed'!$E$12='7. Scenario Detailed'!$E$14,'10. Inputs &amp; Calcs'!W$723,0)</f>
        <v>0</v>
      </c>
      <c r="X725" s="610">
        <f>IF('7. Scenario Detailed'!$E$12='7. Scenario Detailed'!$E$14,'10. Inputs &amp; Calcs'!X$723,0)</f>
        <v>0</v>
      </c>
      <c r="Y725" s="610">
        <f>IF('7. Scenario Detailed'!$E$12='7. Scenario Detailed'!$E$14,'10. Inputs &amp; Calcs'!Y$723,0)</f>
        <v>0</v>
      </c>
      <c r="Z725" s="610">
        <f>IF('7. Scenario Detailed'!$E$12='7. Scenario Detailed'!$E$14,'10. Inputs &amp; Calcs'!Z$723,0)</f>
        <v>0</v>
      </c>
      <c r="AA725" s="610">
        <f>IF('7. Scenario Detailed'!$E$12='7. Scenario Detailed'!$E$14,'10. Inputs &amp; Calcs'!AA$723,0)</f>
        <v>0</v>
      </c>
      <c r="AB725" s="610">
        <f>IF('7. Scenario Detailed'!$E$12='7. Scenario Detailed'!$E$14,'10. Inputs &amp; Calcs'!AB$723,0)</f>
        <v>0</v>
      </c>
      <c r="AC725" s="610">
        <f>IF('7. Scenario Detailed'!$E$12='7. Scenario Detailed'!$E$14,'10. Inputs &amp; Calcs'!AC$723,0)</f>
        <v>0</v>
      </c>
    </row>
    <row r="726" spans="1:30" x14ac:dyDescent="0.45">
      <c r="B726" s="637" t="str">
        <f t="shared" si="436"/>
        <v>Rent</v>
      </c>
      <c r="D726" s="583" t="str">
        <f>'12. Inputs-Props &amp; Debtors 2016'!C$79</f>
        <v>Gau</v>
      </c>
      <c r="I726" s="610">
        <f>IF('7. Scenario Detailed'!$E$12='7. Scenario Detailed'!$E$14,'10. Inputs &amp; Calcs'!I$723,0)</f>
        <v>0</v>
      </c>
      <c r="J726" s="610">
        <f>IF('7. Scenario Detailed'!$E$12='7. Scenario Detailed'!$E$14,'10. Inputs &amp; Calcs'!J$723,0)</f>
        <v>0</v>
      </c>
      <c r="K726" s="610">
        <f>IF('7. Scenario Detailed'!$E$12='7. Scenario Detailed'!$E$14,'10. Inputs &amp; Calcs'!K$723,0)</f>
        <v>0</v>
      </c>
      <c r="L726" s="610">
        <f>IF('7. Scenario Detailed'!$E$12='7. Scenario Detailed'!$E$14,'10. Inputs &amp; Calcs'!L$723,0)</f>
        <v>0</v>
      </c>
      <c r="M726" s="610">
        <f>IF('7. Scenario Detailed'!$E$12='7. Scenario Detailed'!$E$14,'10. Inputs &amp; Calcs'!M$723,0)</f>
        <v>0</v>
      </c>
      <c r="N726" s="610">
        <f>IF('7. Scenario Detailed'!$E$12='7. Scenario Detailed'!$E$14,'10. Inputs &amp; Calcs'!N$723,0)</f>
        <v>0</v>
      </c>
      <c r="O726" s="610">
        <f>IF('7. Scenario Detailed'!$E$12='7. Scenario Detailed'!$E$14,'10. Inputs &amp; Calcs'!O$723,0)</f>
        <v>0</v>
      </c>
      <c r="P726" s="610">
        <f>IF('7. Scenario Detailed'!$E$12='7. Scenario Detailed'!$E$14,'10. Inputs &amp; Calcs'!P$723,0)</f>
        <v>0</v>
      </c>
      <c r="Q726" s="610">
        <f>IF('7. Scenario Detailed'!$E$12='7. Scenario Detailed'!$E$14,'10. Inputs &amp; Calcs'!Q$723,0)</f>
        <v>0</v>
      </c>
      <c r="R726" s="610">
        <f>IF('7. Scenario Detailed'!$E$12='7. Scenario Detailed'!$E$14,'10. Inputs &amp; Calcs'!R$723,0)</f>
        <v>0</v>
      </c>
      <c r="S726" s="610">
        <f>IF('7. Scenario Detailed'!$E$12='7. Scenario Detailed'!$E$14,'10. Inputs &amp; Calcs'!S$723,0)</f>
        <v>0</v>
      </c>
      <c r="T726" s="610">
        <f>IF('7. Scenario Detailed'!$E$12='7. Scenario Detailed'!$E$14,'10. Inputs &amp; Calcs'!T$723,0)</f>
        <v>0</v>
      </c>
      <c r="U726" s="610">
        <f>IF('7. Scenario Detailed'!$E$12='7. Scenario Detailed'!$E$14,'10. Inputs &amp; Calcs'!U$723,0)</f>
        <v>0</v>
      </c>
      <c r="V726" s="610">
        <f>IF('7. Scenario Detailed'!$E$12='7. Scenario Detailed'!$E$14,'10. Inputs &amp; Calcs'!V$723,0)</f>
        <v>0</v>
      </c>
      <c r="W726" s="610">
        <f>IF('7. Scenario Detailed'!$E$12='7. Scenario Detailed'!$E$14,'10. Inputs &amp; Calcs'!W$723,0)</f>
        <v>0</v>
      </c>
      <c r="X726" s="610">
        <f>IF('7. Scenario Detailed'!$E$12='7. Scenario Detailed'!$E$14,'10. Inputs &amp; Calcs'!X$723,0)</f>
        <v>0</v>
      </c>
      <c r="Y726" s="610">
        <f>IF('7. Scenario Detailed'!$E$12='7. Scenario Detailed'!$E$14,'10. Inputs &amp; Calcs'!Y$723,0)</f>
        <v>0</v>
      </c>
      <c r="Z726" s="610">
        <f>IF('7. Scenario Detailed'!$E$12='7. Scenario Detailed'!$E$14,'10. Inputs &amp; Calcs'!Z$723,0)</f>
        <v>0</v>
      </c>
      <c r="AA726" s="610">
        <f>IF('7. Scenario Detailed'!$E$12='7. Scenario Detailed'!$E$14,'10. Inputs &amp; Calcs'!AA$723,0)</f>
        <v>0</v>
      </c>
      <c r="AB726" s="610">
        <f>IF('7. Scenario Detailed'!$E$12='7. Scenario Detailed'!$E$14,'10. Inputs &amp; Calcs'!AB$723,0)</f>
        <v>0</v>
      </c>
      <c r="AC726" s="610">
        <f>IF('7. Scenario Detailed'!$E$12='7. Scenario Detailed'!$E$14,'10. Inputs &amp; Calcs'!AC$723,0)</f>
        <v>0</v>
      </c>
    </row>
    <row r="727" spans="1:30" x14ac:dyDescent="0.45">
      <c r="B727" s="637" t="str">
        <f t="shared" si="436"/>
        <v>Rent</v>
      </c>
      <c r="D727" s="583" t="str">
        <f>'12. Inputs-Props &amp; Debtors 2016'!C$80</f>
        <v>KZN</v>
      </c>
      <c r="I727" s="610">
        <f>IF('7. Scenario Detailed'!$E$12='7. Scenario Detailed'!$E$14,'10. Inputs &amp; Calcs'!I$723,0)</f>
        <v>0</v>
      </c>
      <c r="J727" s="610">
        <f>IF('7. Scenario Detailed'!$E$12='7. Scenario Detailed'!$E$14,'10. Inputs &amp; Calcs'!J$723,0)</f>
        <v>0</v>
      </c>
      <c r="K727" s="610">
        <f>IF('7. Scenario Detailed'!$E$12='7. Scenario Detailed'!$E$14,'10. Inputs &amp; Calcs'!K$723,0)</f>
        <v>0</v>
      </c>
      <c r="L727" s="610">
        <f>IF('7. Scenario Detailed'!$E$12='7. Scenario Detailed'!$E$14,'10. Inputs &amp; Calcs'!L$723,0)</f>
        <v>0</v>
      </c>
      <c r="M727" s="610">
        <f>IF('7. Scenario Detailed'!$E$12='7. Scenario Detailed'!$E$14,'10. Inputs &amp; Calcs'!M$723,0)</f>
        <v>0</v>
      </c>
      <c r="N727" s="610">
        <f>IF('7. Scenario Detailed'!$E$12='7. Scenario Detailed'!$E$14,'10. Inputs &amp; Calcs'!N$723,0)</f>
        <v>0</v>
      </c>
      <c r="O727" s="610">
        <f>IF('7. Scenario Detailed'!$E$12='7. Scenario Detailed'!$E$14,'10. Inputs &amp; Calcs'!O$723,0)</f>
        <v>0</v>
      </c>
      <c r="P727" s="610">
        <f>IF('7. Scenario Detailed'!$E$12='7. Scenario Detailed'!$E$14,'10. Inputs &amp; Calcs'!P$723,0)</f>
        <v>0</v>
      </c>
      <c r="Q727" s="610">
        <f>IF('7. Scenario Detailed'!$E$12='7. Scenario Detailed'!$E$14,'10. Inputs &amp; Calcs'!Q$723,0)</f>
        <v>0</v>
      </c>
      <c r="R727" s="610">
        <f>IF('7. Scenario Detailed'!$E$12='7. Scenario Detailed'!$E$14,'10. Inputs &amp; Calcs'!R$723,0)</f>
        <v>0</v>
      </c>
      <c r="S727" s="610">
        <f>IF('7. Scenario Detailed'!$E$12='7. Scenario Detailed'!$E$14,'10. Inputs &amp; Calcs'!S$723,0)</f>
        <v>0</v>
      </c>
      <c r="T727" s="610">
        <f>IF('7. Scenario Detailed'!$E$12='7. Scenario Detailed'!$E$14,'10. Inputs &amp; Calcs'!T$723,0)</f>
        <v>0</v>
      </c>
      <c r="U727" s="610">
        <f>IF('7. Scenario Detailed'!$E$12='7. Scenario Detailed'!$E$14,'10. Inputs &amp; Calcs'!U$723,0)</f>
        <v>0</v>
      </c>
      <c r="V727" s="610">
        <f>IF('7. Scenario Detailed'!$E$12='7. Scenario Detailed'!$E$14,'10. Inputs &amp; Calcs'!V$723,0)</f>
        <v>0</v>
      </c>
      <c r="W727" s="610">
        <f>IF('7. Scenario Detailed'!$E$12='7. Scenario Detailed'!$E$14,'10. Inputs &amp; Calcs'!W$723,0)</f>
        <v>0</v>
      </c>
      <c r="X727" s="610">
        <f>IF('7. Scenario Detailed'!$E$12='7. Scenario Detailed'!$E$14,'10. Inputs &amp; Calcs'!X$723,0)</f>
        <v>0</v>
      </c>
      <c r="Y727" s="610">
        <f>IF('7. Scenario Detailed'!$E$12='7. Scenario Detailed'!$E$14,'10. Inputs &amp; Calcs'!Y$723,0)</f>
        <v>0</v>
      </c>
      <c r="Z727" s="610">
        <f>IF('7. Scenario Detailed'!$E$12='7. Scenario Detailed'!$E$14,'10. Inputs &amp; Calcs'!Z$723,0)</f>
        <v>0</v>
      </c>
      <c r="AA727" s="610">
        <f>IF('7. Scenario Detailed'!$E$12='7. Scenario Detailed'!$E$14,'10. Inputs &amp; Calcs'!AA$723,0)</f>
        <v>0</v>
      </c>
      <c r="AB727" s="610">
        <f>IF('7. Scenario Detailed'!$E$12='7. Scenario Detailed'!$E$14,'10. Inputs &amp; Calcs'!AB$723,0)</f>
        <v>0</v>
      </c>
      <c r="AC727" s="610">
        <f>IF('7. Scenario Detailed'!$E$12='7. Scenario Detailed'!$E$14,'10. Inputs &amp; Calcs'!AC$723,0)</f>
        <v>0</v>
      </c>
    </row>
    <row r="728" spans="1:30" x14ac:dyDescent="0.45">
      <c r="B728" s="637" t="str">
        <f t="shared" si="436"/>
        <v>Rent</v>
      </c>
      <c r="D728" s="583" t="str">
        <f>'12. Inputs-Props &amp; Debtors 2016'!C$81</f>
        <v>WC</v>
      </c>
      <c r="I728" s="610">
        <f>IF('7. Scenario Detailed'!$E$12='7. Scenario Detailed'!$E$14,'10. Inputs &amp; Calcs'!I$723,0)</f>
        <v>0</v>
      </c>
      <c r="J728" s="610">
        <f>IF('7. Scenario Detailed'!$E$12='7. Scenario Detailed'!$E$14,'10. Inputs &amp; Calcs'!J$723,0)</f>
        <v>0</v>
      </c>
      <c r="K728" s="610">
        <f>IF('7. Scenario Detailed'!$E$12='7. Scenario Detailed'!$E$14,'10. Inputs &amp; Calcs'!K$723,0)</f>
        <v>0</v>
      </c>
      <c r="L728" s="610">
        <f>IF('7. Scenario Detailed'!$E$12='7. Scenario Detailed'!$E$14,'10. Inputs &amp; Calcs'!L$723,0)</f>
        <v>0</v>
      </c>
      <c r="M728" s="610">
        <f>IF('7. Scenario Detailed'!$E$12='7. Scenario Detailed'!$E$14,'10. Inputs &amp; Calcs'!M$723,0)</f>
        <v>0</v>
      </c>
      <c r="N728" s="610">
        <f>IF('7. Scenario Detailed'!$E$12='7. Scenario Detailed'!$E$14,'10. Inputs &amp; Calcs'!N$723,0)</f>
        <v>0</v>
      </c>
      <c r="O728" s="610">
        <f>IF('7. Scenario Detailed'!$E$12='7. Scenario Detailed'!$E$14,'10. Inputs &amp; Calcs'!O$723,0)</f>
        <v>0</v>
      </c>
      <c r="P728" s="610">
        <f>IF('7. Scenario Detailed'!$E$12='7. Scenario Detailed'!$E$14,'10. Inputs &amp; Calcs'!P$723,0)</f>
        <v>0</v>
      </c>
      <c r="Q728" s="610">
        <f>IF('7. Scenario Detailed'!$E$12='7. Scenario Detailed'!$E$14,'10. Inputs &amp; Calcs'!Q$723,0)</f>
        <v>0</v>
      </c>
      <c r="R728" s="610">
        <f>IF('7. Scenario Detailed'!$E$12='7. Scenario Detailed'!$E$14,'10. Inputs &amp; Calcs'!R$723,0)</f>
        <v>0</v>
      </c>
      <c r="S728" s="610">
        <f>IF('7. Scenario Detailed'!$E$12='7. Scenario Detailed'!$E$14,'10. Inputs &amp; Calcs'!S$723,0)</f>
        <v>0</v>
      </c>
      <c r="T728" s="610">
        <f>IF('7. Scenario Detailed'!$E$12='7. Scenario Detailed'!$E$14,'10. Inputs &amp; Calcs'!T$723,0)</f>
        <v>0</v>
      </c>
      <c r="U728" s="610">
        <f>IF('7. Scenario Detailed'!$E$12='7. Scenario Detailed'!$E$14,'10. Inputs &amp; Calcs'!U$723,0)</f>
        <v>0</v>
      </c>
      <c r="V728" s="610">
        <f>IF('7. Scenario Detailed'!$E$12='7. Scenario Detailed'!$E$14,'10. Inputs &amp; Calcs'!V$723,0)</f>
        <v>0</v>
      </c>
      <c r="W728" s="610">
        <f>IF('7. Scenario Detailed'!$E$12='7. Scenario Detailed'!$E$14,'10. Inputs &amp; Calcs'!W$723,0)</f>
        <v>0</v>
      </c>
      <c r="X728" s="610">
        <f>IF('7. Scenario Detailed'!$E$12='7. Scenario Detailed'!$E$14,'10. Inputs &amp; Calcs'!X$723,0)</f>
        <v>0</v>
      </c>
      <c r="Y728" s="610">
        <f>IF('7. Scenario Detailed'!$E$12='7. Scenario Detailed'!$E$14,'10. Inputs &amp; Calcs'!Y$723,0)</f>
        <v>0</v>
      </c>
      <c r="Z728" s="610">
        <f>IF('7. Scenario Detailed'!$E$12='7. Scenario Detailed'!$E$14,'10. Inputs &amp; Calcs'!Z$723,0)</f>
        <v>0</v>
      </c>
      <c r="AA728" s="610">
        <f>IF('7. Scenario Detailed'!$E$12='7. Scenario Detailed'!$E$14,'10. Inputs &amp; Calcs'!AA$723,0)</f>
        <v>0</v>
      </c>
      <c r="AB728" s="610">
        <f>IF('7. Scenario Detailed'!$E$12='7. Scenario Detailed'!$E$14,'10. Inputs &amp; Calcs'!AB$723,0)</f>
        <v>0</v>
      </c>
      <c r="AC728" s="610">
        <f>IF('7. Scenario Detailed'!$E$12='7. Scenario Detailed'!$E$14,'10. Inputs &amp; Calcs'!AC$723,0)</f>
        <v>0</v>
      </c>
    </row>
    <row r="729" spans="1:30" x14ac:dyDescent="0.45">
      <c r="B729" s="637" t="str">
        <f t="shared" si="436"/>
        <v>Rent</v>
      </c>
      <c r="D729" s="596" t="s">
        <v>11</v>
      </c>
      <c r="I729" s="610">
        <f>IF('7. Scenario Detailed'!$E$12='7. Scenario Detailed'!$E$14,'10. Inputs &amp; Calcs'!I$723,0)</f>
        <v>0</v>
      </c>
      <c r="J729" s="610">
        <f>IF('7. Scenario Detailed'!$E$12='7. Scenario Detailed'!$E$14,'10. Inputs &amp; Calcs'!J$723,0)</f>
        <v>0</v>
      </c>
      <c r="K729" s="610">
        <f>IF('7. Scenario Detailed'!$E$12='7. Scenario Detailed'!$E$14,'10. Inputs &amp; Calcs'!K$723,0)</f>
        <v>0</v>
      </c>
      <c r="L729" s="610">
        <f>IF('7. Scenario Detailed'!$E$12='7. Scenario Detailed'!$E$14,'10. Inputs &amp; Calcs'!L$723,0)</f>
        <v>0</v>
      </c>
      <c r="M729" s="610">
        <f>IF('7. Scenario Detailed'!$E$12='7. Scenario Detailed'!$E$14,'10. Inputs &amp; Calcs'!M$723,0)</f>
        <v>0</v>
      </c>
      <c r="N729" s="610">
        <f>IF('7. Scenario Detailed'!$E$12='7. Scenario Detailed'!$E$14,'10. Inputs &amp; Calcs'!N$723,0)</f>
        <v>0</v>
      </c>
      <c r="O729" s="610">
        <f>IF('7. Scenario Detailed'!$E$12='7. Scenario Detailed'!$E$14,'10. Inputs &amp; Calcs'!O$723,0)</f>
        <v>0</v>
      </c>
      <c r="P729" s="610">
        <f>IF('7. Scenario Detailed'!$E$12='7. Scenario Detailed'!$E$14,'10. Inputs &amp; Calcs'!P$723,0)</f>
        <v>0</v>
      </c>
      <c r="Q729" s="610">
        <f>IF('7. Scenario Detailed'!$E$12='7. Scenario Detailed'!$E$14,'10. Inputs &amp; Calcs'!Q$723,0)</f>
        <v>0</v>
      </c>
      <c r="R729" s="610">
        <f>IF('7. Scenario Detailed'!$E$12='7. Scenario Detailed'!$E$14,'10. Inputs &amp; Calcs'!R$723,0)</f>
        <v>0</v>
      </c>
      <c r="S729" s="610">
        <f>IF('7. Scenario Detailed'!$E$12='7. Scenario Detailed'!$E$14,'10. Inputs &amp; Calcs'!S$723,0)</f>
        <v>0</v>
      </c>
      <c r="T729" s="610">
        <f>IF('7. Scenario Detailed'!$E$12='7. Scenario Detailed'!$E$14,'10. Inputs &amp; Calcs'!T$723,0)</f>
        <v>0</v>
      </c>
      <c r="U729" s="610">
        <f>IF('7. Scenario Detailed'!$E$12='7. Scenario Detailed'!$E$14,'10. Inputs &amp; Calcs'!U$723,0)</f>
        <v>0</v>
      </c>
      <c r="V729" s="610">
        <f>IF('7. Scenario Detailed'!$E$12='7. Scenario Detailed'!$E$14,'10. Inputs &amp; Calcs'!V$723,0)</f>
        <v>0</v>
      </c>
      <c r="W729" s="610">
        <f>IF('7. Scenario Detailed'!$E$12='7. Scenario Detailed'!$E$14,'10. Inputs &amp; Calcs'!W$723,0)</f>
        <v>0</v>
      </c>
      <c r="X729" s="610">
        <f>IF('7. Scenario Detailed'!$E$12='7. Scenario Detailed'!$E$14,'10. Inputs &amp; Calcs'!X$723,0)</f>
        <v>0</v>
      </c>
      <c r="Y729" s="610">
        <f>IF('7. Scenario Detailed'!$E$12='7. Scenario Detailed'!$E$14,'10. Inputs &amp; Calcs'!Y$723,0)</f>
        <v>0</v>
      </c>
      <c r="Z729" s="610">
        <f>IF('7. Scenario Detailed'!$E$12='7. Scenario Detailed'!$E$14,'10. Inputs &amp; Calcs'!Z$723,0)</f>
        <v>0</v>
      </c>
      <c r="AA729" s="610">
        <f>IF('7. Scenario Detailed'!$E$12='7. Scenario Detailed'!$E$14,'10. Inputs &amp; Calcs'!AA$723,0)</f>
        <v>0</v>
      </c>
      <c r="AB729" s="610">
        <f>IF('7. Scenario Detailed'!$E$12='7. Scenario Detailed'!$E$14,'10. Inputs &amp; Calcs'!AB$723,0)</f>
        <v>0</v>
      </c>
      <c r="AC729" s="610">
        <f>IF('7. Scenario Detailed'!$E$12='7. Scenario Detailed'!$E$14,'10. Inputs &amp; Calcs'!AC$723,0)</f>
        <v>0</v>
      </c>
    </row>
    <row r="730" spans="1:30" x14ac:dyDescent="0.45">
      <c r="B730" s="637" t="str">
        <f t="shared" si="436"/>
        <v>Rent</v>
      </c>
      <c r="D730" s="591"/>
    </row>
    <row r="731" spans="1:30" x14ac:dyDescent="0.45">
      <c r="B731" s="637" t="str">
        <f t="shared" si="436"/>
        <v>Rent</v>
      </c>
      <c r="D731" s="591"/>
    </row>
    <row r="732" spans="1:30" x14ac:dyDescent="0.45">
      <c r="B732" s="637" t="str">
        <f t="shared" si="436"/>
        <v>Rent</v>
      </c>
      <c r="C732" s="451">
        <f>C723+0.1</f>
        <v>76.199999999999989</v>
      </c>
      <c r="D732" s="451" t="s">
        <v>360</v>
      </c>
    </row>
    <row r="733" spans="1:30" x14ac:dyDescent="0.45">
      <c r="B733" s="637" t="str">
        <f t="shared" si="389"/>
        <v>Rent</v>
      </c>
      <c r="D733" s="583" t="str">
        <f>'12. Inputs-Props &amp; Debtors 2016'!C$77</f>
        <v>EC</v>
      </c>
      <c r="F733" s="614">
        <f>'11. Table - Expenditure Review'!I189</f>
        <v>661237</v>
      </c>
      <c r="G733" s="614">
        <f>'11. Table - Expenditure Review'!J189</f>
        <v>725043.85</v>
      </c>
      <c r="H733" s="614">
        <f>'11. Table - Expenditure Review'!K189</f>
        <v>788158.2</v>
      </c>
      <c r="I733" s="633">
        <f t="shared" ref="I733:AC733" si="437">IF(H$521&gt;1,(H733*I$521/H$521)*(1+I$23)*(1+I724),0)</f>
        <v>796860.78012499982</v>
      </c>
      <c r="J733" s="633">
        <f t="shared" si="437"/>
        <v>804136.46550874971</v>
      </c>
      <c r="K733" s="633">
        <f t="shared" si="437"/>
        <v>809801.97242483404</v>
      </c>
      <c r="L733" s="633">
        <f t="shared" si="437"/>
        <v>813658.17229352368</v>
      </c>
      <c r="M733" s="633">
        <f t="shared" si="437"/>
        <v>815488.9031811842</v>
      </c>
      <c r="N733" s="633">
        <f t="shared" si="437"/>
        <v>815059.69849529932</v>
      </c>
      <c r="O733" s="633">
        <f t="shared" si="437"/>
        <v>812116.42736184387</v>
      </c>
      <c r="P733" s="633">
        <f t="shared" si="437"/>
        <v>806383.8408157602</v>
      </c>
      <c r="Q733" s="633">
        <f t="shared" si="437"/>
        <v>797564.01755683776</v>
      </c>
      <c r="R733" s="633">
        <f t="shared" si="437"/>
        <v>785334.70262096624</v>
      </c>
      <c r="S733" s="633">
        <f t="shared" si="437"/>
        <v>769347.53188903932</v>
      </c>
      <c r="T733" s="633">
        <f t="shared" si="437"/>
        <v>749226.13490117225</v>
      </c>
      <c r="U733" s="633">
        <f t="shared" si="437"/>
        <v>724564.10796067526</v>
      </c>
      <c r="V733" s="633">
        <f t="shared" si="437"/>
        <v>694922.84899864765</v>
      </c>
      <c r="W733" s="633">
        <f t="shared" si="437"/>
        <v>659829.24512421584</v>
      </c>
      <c r="X733" s="633">
        <f t="shared" si="437"/>
        <v>618773.2032053757</v>
      </c>
      <c r="Y733" s="633">
        <f t="shared" si="437"/>
        <v>571205.01320896239</v>
      </c>
      <c r="Z733" s="633">
        <f t="shared" si="437"/>
        <v>516532.53337324737</v>
      </c>
      <c r="AA733" s="633">
        <f t="shared" si="437"/>
        <v>454118.18559064664</v>
      </c>
      <c r="AB733" s="633">
        <f t="shared" si="437"/>
        <v>0</v>
      </c>
      <c r="AC733" s="633">
        <f t="shared" si="437"/>
        <v>0</v>
      </c>
      <c r="AD733" s="633">
        <f>SUM(I733:AC733)</f>
        <v>13814923.78463598</v>
      </c>
    </row>
    <row r="734" spans="1:30" x14ac:dyDescent="0.45">
      <c r="B734" s="637" t="str">
        <f t="shared" si="389"/>
        <v>Rent</v>
      </c>
      <c r="D734" s="583" t="str">
        <f>'12. Inputs-Props &amp; Debtors 2016'!C$78</f>
        <v>FS</v>
      </c>
      <c r="F734" s="614">
        <f>'11. Table - Expenditure Review'!L189</f>
        <v>352659.73333333334</v>
      </c>
      <c r="G734" s="614">
        <f>'11. Table - Expenditure Review'!M189</f>
        <v>386690.05333333334</v>
      </c>
      <c r="H734" s="614">
        <f>'11. Table - Expenditure Review'!N189</f>
        <v>420351.04</v>
      </c>
      <c r="I734" s="633">
        <f t="shared" ref="I734:AC734" si="438">IF(H$521&gt;1,(H734*I$521/H$521)*(1+I$23)*(1+I725),0)</f>
        <v>424992.41606666666</v>
      </c>
      <c r="J734" s="633">
        <f t="shared" si="438"/>
        <v>428872.78160466661</v>
      </c>
      <c r="K734" s="633">
        <f t="shared" si="438"/>
        <v>431894.38529324491</v>
      </c>
      <c r="L734" s="633">
        <f t="shared" si="438"/>
        <v>433951.02522321278</v>
      </c>
      <c r="M734" s="633">
        <f t="shared" si="438"/>
        <v>434927.41502996499</v>
      </c>
      <c r="N734" s="633">
        <f t="shared" si="438"/>
        <v>434698.50586415973</v>
      </c>
      <c r="O734" s="633">
        <f t="shared" si="438"/>
        <v>433128.76125965029</v>
      </c>
      <c r="P734" s="633">
        <f t="shared" si="438"/>
        <v>430071.38176840567</v>
      </c>
      <c r="Q734" s="633">
        <f t="shared" si="438"/>
        <v>425367.4760303137</v>
      </c>
      <c r="R734" s="633">
        <f t="shared" si="438"/>
        <v>418845.17473118217</v>
      </c>
      <c r="S734" s="633">
        <f t="shared" si="438"/>
        <v>410318.68367415445</v>
      </c>
      <c r="T734" s="633">
        <f t="shared" si="438"/>
        <v>399587.27194729197</v>
      </c>
      <c r="U734" s="633">
        <f t="shared" si="438"/>
        <v>386434.19091236021</v>
      </c>
      <c r="V734" s="633">
        <f t="shared" si="438"/>
        <v>370625.51946594549</v>
      </c>
      <c r="W734" s="633">
        <f t="shared" si="438"/>
        <v>351908.93073291524</v>
      </c>
      <c r="X734" s="633">
        <f t="shared" si="438"/>
        <v>330012.37504286721</v>
      </c>
      <c r="Y734" s="633">
        <f t="shared" si="438"/>
        <v>304642.67371144675</v>
      </c>
      <c r="Z734" s="633">
        <f t="shared" si="438"/>
        <v>275484.01779906539</v>
      </c>
      <c r="AA734" s="633">
        <f t="shared" si="438"/>
        <v>242196.36564834497</v>
      </c>
      <c r="AB734" s="633">
        <f t="shared" si="438"/>
        <v>0</v>
      </c>
      <c r="AC734" s="633">
        <f t="shared" si="438"/>
        <v>0</v>
      </c>
      <c r="AD734" s="633">
        <f>SUM(I734:AC734)</f>
        <v>7367959.3518058602</v>
      </c>
    </row>
    <row r="735" spans="1:30" x14ac:dyDescent="0.45">
      <c r="B735" s="637" t="str">
        <f t="shared" si="389"/>
        <v>Rent</v>
      </c>
      <c r="D735" s="583" t="str">
        <f>'12. Inputs-Props &amp; Debtors 2016'!C$79</f>
        <v>Gau</v>
      </c>
      <c r="F735" s="614">
        <f>'11. Table - Expenditure Review'!O189</f>
        <v>12445949.755555555</v>
      </c>
      <c r="G735" s="614">
        <f>'11. Table - Expenditure Review'!P189</f>
        <v>13646936.465555556</v>
      </c>
      <c r="H735" s="614">
        <f>'11. Table - Expenditure Review'!Q189</f>
        <v>14834888.786666667</v>
      </c>
      <c r="I735" s="633">
        <f t="shared" ref="I735:AC735" si="439">IF(H$521&gt;1,(H735*I$521/H$521)*(1+I$23)*(1+I726),0)</f>
        <v>14998690.683686111</v>
      </c>
      <c r="J735" s="633">
        <f t="shared" si="439"/>
        <v>15135635.250798026</v>
      </c>
      <c r="K735" s="633">
        <f t="shared" si="439"/>
        <v>15242272.680974104</v>
      </c>
      <c r="L735" s="633">
        <f t="shared" si="439"/>
        <v>15314854.931835882</v>
      </c>
      <c r="M735" s="633">
        <f t="shared" si="439"/>
        <v>15349313.355432512</v>
      </c>
      <c r="N735" s="633">
        <f t="shared" si="439"/>
        <v>15341234.769455969</v>
      </c>
      <c r="O735" s="633">
        <f t="shared" si="439"/>
        <v>15285835.866121823</v>
      </c>
      <c r="P735" s="633">
        <f t="shared" si="439"/>
        <v>15177935.848243315</v>
      </c>
      <c r="Q735" s="633">
        <f t="shared" si="439"/>
        <v>15011927.174903153</v>
      </c>
      <c r="R735" s="633">
        <f t="shared" si="439"/>
        <v>14781744.291554637</v>
      </c>
      <c r="S735" s="633">
        <f t="shared" si="439"/>
        <v>14480830.211333703</v>
      </c>
      <c r="T735" s="633">
        <f t="shared" si="439"/>
        <v>14102100.805806512</v>
      </c>
      <c r="U735" s="633">
        <f t="shared" si="439"/>
        <v>13637906.654282046</v>
      </c>
      <c r="V735" s="633">
        <f t="shared" si="439"/>
        <v>13079992.291152325</v>
      </c>
      <c r="W735" s="633">
        <f t="shared" si="439"/>
        <v>12419452.680449132</v>
      </c>
      <c r="X735" s="633">
        <f t="shared" si="439"/>
        <v>11646686.735887853</v>
      </c>
      <c r="Y735" s="633">
        <f t="shared" si="439"/>
        <v>10751347.693066474</v>
      </c>
      <c r="Z735" s="633">
        <f t="shared" si="439"/>
        <v>9722290.128158683</v>
      </c>
      <c r="AA735" s="633">
        <f t="shared" si="439"/>
        <v>8547513.4043395072</v>
      </c>
      <c r="AB735" s="633">
        <f t="shared" si="439"/>
        <v>0</v>
      </c>
      <c r="AC735" s="633">
        <f t="shared" si="439"/>
        <v>0</v>
      </c>
      <c r="AD735" s="633">
        <f>SUM(I735:AC735)</f>
        <v>260027565.45748174</v>
      </c>
    </row>
    <row r="736" spans="1:30" x14ac:dyDescent="0.45">
      <c r="B736" s="637" t="str">
        <f t="shared" si="389"/>
        <v>Rent</v>
      </c>
      <c r="D736" s="583" t="str">
        <f>'12. Inputs-Props &amp; Debtors 2016'!C$80</f>
        <v>KZN</v>
      </c>
      <c r="F736" s="614">
        <f>'11. Table - Expenditure Review'!R189</f>
        <v>18830560.344444446</v>
      </c>
      <c r="G736" s="614">
        <f>'11. Table - Expenditure Review'!S189</f>
        <v>20647637.639444444</v>
      </c>
      <c r="H736" s="614">
        <f>'11. Table - Expenditure Review'!T189</f>
        <v>22444994.07333333</v>
      </c>
      <c r="I736" s="633">
        <f t="shared" ref="I736:AC736" si="440">IF(H$521&gt;1,(H736*I$521/H$521)*(1+I$23)*(1+I727),0)</f>
        <v>22692824.216226384</v>
      </c>
      <c r="J736" s="633">
        <f t="shared" si="440"/>
        <v>22900019.567765839</v>
      </c>
      <c r="K736" s="633">
        <f t="shared" si="440"/>
        <v>23061360.614720553</v>
      </c>
      <c r="L736" s="633">
        <f t="shared" si="440"/>
        <v>23171176.617647793</v>
      </c>
      <c r="M736" s="633">
        <f t="shared" si="440"/>
        <v>23223311.765037499</v>
      </c>
      <c r="N736" s="633">
        <f t="shared" si="440"/>
        <v>23211088.969371688</v>
      </c>
      <c r="O736" s="633">
        <f t="shared" si="440"/>
        <v>23127271.148093399</v>
      </c>
      <c r="P736" s="633">
        <f t="shared" si="440"/>
        <v>22964019.82234215</v>
      </c>
      <c r="Q736" s="633">
        <f t="shared" si="440"/>
        <v>22712850.85553528</v>
      </c>
      <c r="R736" s="633">
        <f t="shared" si="440"/>
        <v>22364587.142417073</v>
      </c>
      <c r="S736" s="633">
        <f t="shared" si="440"/>
        <v>21909308.047017869</v>
      </c>
      <c r="T736" s="633">
        <f t="shared" si="440"/>
        <v>21336295.375018936</v>
      </c>
      <c r="U736" s="633">
        <f t="shared" si="440"/>
        <v>20633975.652257893</v>
      </c>
      <c r="V736" s="633">
        <f t="shared" si="440"/>
        <v>19789858.466483705</v>
      </c>
      <c r="W736" s="633">
        <f t="shared" si="440"/>
        <v>18790470.613926277</v>
      </c>
      <c r="X736" s="633">
        <f t="shared" si="440"/>
        <v>17621285.775726419</v>
      </c>
      <c r="Y736" s="633">
        <f t="shared" si="440"/>
        <v>16266649.43171745</v>
      </c>
      <c r="Z736" s="633">
        <f t="shared" si="440"/>
        <v>14709698.700395923</v>
      </c>
      <c r="AA736" s="633">
        <f t="shared" si="440"/>
        <v>12932276.774098082</v>
      </c>
      <c r="AB736" s="633">
        <f t="shared" si="440"/>
        <v>0</v>
      </c>
      <c r="AC736" s="633">
        <f t="shared" si="440"/>
        <v>0</v>
      </c>
      <c r="AD736" s="633">
        <f>SUM(I736:AC736)</f>
        <v>393418329.55580032</v>
      </c>
    </row>
    <row r="737" spans="2:30" x14ac:dyDescent="0.45">
      <c r="B737" s="637" t="str">
        <f t="shared" si="389"/>
        <v>Rent</v>
      </c>
      <c r="D737" s="583" t="str">
        <f>'12. Inputs-Props &amp; Debtors 2016'!C$81</f>
        <v>WC</v>
      </c>
      <c r="F737" s="614">
        <f>'11. Table - Expenditure Review'!U189</f>
        <v>5620514.5</v>
      </c>
      <c r="G737" s="614">
        <f>'11. Table - Expenditure Review'!V189</f>
        <v>6162872.7249999996</v>
      </c>
      <c r="H737" s="614">
        <f>'11. Table - Expenditure Review'!W189</f>
        <v>6699344.6999999993</v>
      </c>
      <c r="I737" s="633">
        <f t="shared" ref="I737:AC737" si="441">IF(H$521&gt;1,(H737*I$521/H$521)*(1+I$23)*(1+I728),0)</f>
        <v>6773316.6310624992</v>
      </c>
      <c r="J737" s="633">
        <f t="shared" si="441"/>
        <v>6835159.9568243744</v>
      </c>
      <c r="K737" s="633">
        <f t="shared" si="441"/>
        <v>6883316.7656110916</v>
      </c>
      <c r="L737" s="633">
        <f t="shared" si="441"/>
        <v>6916094.4644949529</v>
      </c>
      <c r="M737" s="633">
        <f t="shared" si="441"/>
        <v>6931655.6770400656</v>
      </c>
      <c r="N737" s="633">
        <f t="shared" si="441"/>
        <v>6928007.437210043</v>
      </c>
      <c r="O737" s="633">
        <f t="shared" si="441"/>
        <v>6902989.6325756731</v>
      </c>
      <c r="P737" s="633">
        <f t="shared" si="441"/>
        <v>6854262.6469339617</v>
      </c>
      <c r="Q737" s="633">
        <f t="shared" si="441"/>
        <v>6779294.1492331214</v>
      </c>
      <c r="R737" s="633">
        <f t="shared" si="441"/>
        <v>6675344.9722782141</v>
      </c>
      <c r="S737" s="633">
        <f t="shared" si="441"/>
        <v>6539454.0210568355</v>
      </c>
      <c r="T737" s="633">
        <f t="shared" si="441"/>
        <v>6368422.1466599647</v>
      </c>
      <c r="U737" s="633">
        <f t="shared" si="441"/>
        <v>6158794.9176657405</v>
      </c>
      <c r="V737" s="633">
        <f t="shared" si="441"/>
        <v>5906844.2164885057</v>
      </c>
      <c r="W737" s="633">
        <f t="shared" si="441"/>
        <v>5608548.5835558353</v>
      </c>
      <c r="X737" s="633">
        <f t="shared" si="441"/>
        <v>5259572.227245694</v>
      </c>
      <c r="Y737" s="633">
        <f t="shared" si="441"/>
        <v>4855242.6122761806</v>
      </c>
      <c r="Z737" s="633">
        <f t="shared" si="441"/>
        <v>4390526.5336726028</v>
      </c>
      <c r="AA737" s="633">
        <f t="shared" si="441"/>
        <v>3860004.5775204962</v>
      </c>
      <c r="AB737" s="633">
        <f t="shared" si="441"/>
        <v>0</v>
      </c>
      <c r="AC737" s="633">
        <f t="shared" si="441"/>
        <v>0</v>
      </c>
      <c r="AD737" s="633">
        <f>SUM(I737:AC737)</f>
        <v>117426852.16940583</v>
      </c>
    </row>
    <row r="738" spans="2:30" ht="14.65" thickBot="1" x14ac:dyDescent="0.5">
      <c r="B738" s="637" t="str">
        <f t="shared" si="389"/>
        <v>Rent</v>
      </c>
      <c r="D738" s="596" t="s">
        <v>11</v>
      </c>
      <c r="F738" s="613">
        <f>SUM(F733:F737)</f>
        <v>37910921.333333336</v>
      </c>
      <c r="G738" s="613">
        <f>SUM(G733:G737)</f>
        <v>41569180.733333334</v>
      </c>
      <c r="H738" s="613">
        <f>SUM(H733:H737)</f>
        <v>45187736.799999997</v>
      </c>
      <c r="I738" s="634">
        <f>SUM(I733:I737)</f>
        <v>45686684.72716666</v>
      </c>
      <c r="J738" s="634">
        <f t="shared" ref="J738:AC738" si="442">SUM(J733:J737)</f>
        <v>46103824.022501662</v>
      </c>
      <c r="K738" s="634">
        <f t="shared" si="442"/>
        <v>46428646.419023827</v>
      </c>
      <c r="L738" s="634">
        <f t="shared" si="442"/>
        <v>46649735.211495362</v>
      </c>
      <c r="M738" s="634">
        <f t="shared" si="442"/>
        <v>46754697.115721226</v>
      </c>
      <c r="N738" s="634">
        <f t="shared" si="442"/>
        <v>46730089.380397163</v>
      </c>
      <c r="O738" s="634">
        <f t="shared" si="442"/>
        <v>46561341.835412391</v>
      </c>
      <c r="P738" s="634">
        <f t="shared" si="442"/>
        <v>46232673.540103585</v>
      </c>
      <c r="Q738" s="634">
        <f t="shared" si="442"/>
        <v>45727003.673258707</v>
      </c>
      <c r="R738" s="634">
        <f t="shared" si="442"/>
        <v>45025856.283602074</v>
      </c>
      <c r="S738" s="634">
        <f t="shared" si="442"/>
        <v>44109258.494971603</v>
      </c>
      <c r="T738" s="634">
        <f t="shared" si="442"/>
        <v>42955631.734333873</v>
      </c>
      <c r="U738" s="634">
        <f t="shared" si="442"/>
        <v>41541675.523078717</v>
      </c>
      <c r="V738" s="634">
        <f t="shared" si="442"/>
        <v>39842243.342589125</v>
      </c>
      <c r="W738" s="634">
        <f t="shared" si="442"/>
        <v>37830210.053788371</v>
      </c>
      <c r="X738" s="634">
        <f t="shared" si="442"/>
        <v>35476330.317108206</v>
      </c>
      <c r="Y738" s="634">
        <f t="shared" si="442"/>
        <v>32749087.423980512</v>
      </c>
      <c r="Z738" s="634">
        <f t="shared" si="442"/>
        <v>29614531.913399518</v>
      </c>
      <c r="AA738" s="634">
        <f t="shared" si="442"/>
        <v>26036109.307197079</v>
      </c>
      <c r="AB738" s="634">
        <f t="shared" si="442"/>
        <v>0</v>
      </c>
      <c r="AC738" s="634">
        <f t="shared" si="442"/>
        <v>0</v>
      </c>
      <c r="AD738" s="777">
        <f>SUM(AD733:AD737)</f>
        <v>792055630.31912971</v>
      </c>
    </row>
    <row r="739" spans="2:30" ht="14.65" thickTop="1" x14ac:dyDescent="0.45">
      <c r="B739" s="637" t="str">
        <f t="shared" si="389"/>
        <v>Rent</v>
      </c>
      <c r="F739" s="615">
        <f>'11. Table - Expenditure Review'!F189</f>
        <v>37910921.333333336</v>
      </c>
      <c r="G739" s="615">
        <f>'11. Table - Expenditure Review'!G189</f>
        <v>41569180.733333334</v>
      </c>
      <c r="H739" s="615">
        <f>'11. Table - Expenditure Review'!H189</f>
        <v>45187736.799999997</v>
      </c>
      <c r="I739" s="633">
        <f>IF(H$525&gt;1,H738*I$525/H$525,0)</f>
        <v>40686477.746666662</v>
      </c>
      <c r="J739" s="633">
        <f>IF(I$521&gt;1,(I739*J$521/I$521)*(1+J$23)*(1+J730),0)</f>
        <v>41057962.978266664</v>
      </c>
      <c r="K739" s="633">
        <f t="shared" ref="K739:AC739" si="443">IF(J$525&gt;1,J738*K$525/J$525,0)</f>
        <v>40792734.904711053</v>
      </c>
      <c r="L739" s="633">
        <f t="shared" si="443"/>
        <v>43558604.271677174</v>
      </c>
      <c r="M739" s="633">
        <f t="shared" si="443"/>
        <v>43576020.879775845</v>
      </c>
      <c r="N739" s="633">
        <f t="shared" si="443"/>
        <v>43456769.042015545</v>
      </c>
      <c r="O739" s="633">
        <f t="shared" si="443"/>
        <v>43183749.487861983</v>
      </c>
      <c r="P739" s="633">
        <f t="shared" si="443"/>
        <v>42737626.98991704</v>
      </c>
      <c r="Q739" s="633">
        <f t="shared" si="443"/>
        <v>42096258.567790285</v>
      </c>
      <c r="R739" s="633">
        <f t="shared" si="443"/>
        <v>41233828.529712416</v>
      </c>
      <c r="S739" s="633">
        <f t="shared" si="443"/>
        <v>40119470.786931843</v>
      </c>
      <c r="T739" s="633">
        <f t="shared" si="443"/>
        <v>38714944.414958835</v>
      </c>
      <c r="U739" s="633">
        <f t="shared" si="443"/>
        <v>36970445.068514235</v>
      </c>
      <c r="V739" s="633">
        <f t="shared" si="443"/>
        <v>34816447.250717834</v>
      </c>
      <c r="W739" s="633">
        <f t="shared" si="443"/>
        <v>32146220.269576184</v>
      </c>
      <c r="X739" s="633">
        <f t="shared" si="443"/>
        <v>28773401.290911071</v>
      </c>
      <c r="Y739" s="633">
        <f t="shared" si="443"/>
        <v>24309685.955455765</v>
      </c>
      <c r="Z739" s="633">
        <f t="shared" si="443"/>
        <v>17705807.428412229</v>
      </c>
      <c r="AA739" s="633">
        <f t="shared" si="443"/>
        <v>4453313.0696841376</v>
      </c>
      <c r="AB739" s="633">
        <f t="shared" si="443"/>
        <v>0</v>
      </c>
      <c r="AC739" s="633">
        <f t="shared" si="443"/>
        <v>0</v>
      </c>
      <c r="AD739" s="633">
        <f>SUM(I739:AC739)</f>
        <v>680389768.93355691</v>
      </c>
    </row>
    <row r="740" spans="2:30" x14ac:dyDescent="0.45">
      <c r="B740" s="637" t="str">
        <f>B739</f>
        <v>Rent</v>
      </c>
      <c r="H740" s="769"/>
    </row>
    <row r="741" spans="2:30" x14ac:dyDescent="0.45">
      <c r="B741" s="637" t="str">
        <f t="shared" si="389"/>
        <v>Rent</v>
      </c>
      <c r="C741" s="1150">
        <f>C721+1</f>
        <v>77</v>
      </c>
      <c r="D741" s="451" t="s">
        <v>1336</v>
      </c>
    </row>
    <row r="742" spans="2:30" x14ac:dyDescent="0.45">
      <c r="B742" s="637" t="str">
        <f t="shared" ref="B742:B749" si="444">B741</f>
        <v>Rent</v>
      </c>
      <c r="C742" s="1150"/>
      <c r="D742" s="583" t="str">
        <f>'12. Inputs-Props &amp; Debtors 2016'!C$77</f>
        <v>EC</v>
      </c>
      <c r="F742" s="612">
        <f>F650+F659+F668+F677+F686+F713+F733+IF('7. Scenario Detailed'!$E$12='7. Scenario Detailed'!$E$14,F704,0)</f>
        <v>10341549.390000001</v>
      </c>
      <c r="G742" s="612">
        <f>G650+G659+G668+G677+G686+G713+G733+IF('7. Scenario Detailed'!$E$12='7. Scenario Detailed'!$E$14,G704,0)</f>
        <v>11126424.74</v>
      </c>
      <c r="H742" s="612">
        <f>H650+H659+H668+H677+H686+H713+H733+IF('7. Scenario Detailed'!$E$12='7. Scenario Detailed'!$E$14,H704,0)</f>
        <v>11189539.09</v>
      </c>
      <c r="I742" s="633">
        <f>I650+I659+I668+I677+I686+I713+I733+IF('7. Scenario Detailed'!$E$12='7. Scenario Detailed'!$E$14,I704,0)</f>
        <v>9575626.2512849998</v>
      </c>
      <c r="J742" s="633">
        <f>J650+J659+J668+J677+J686+J713+J733+IF('7. Scenario Detailed'!$E$12='7. Scenario Detailed'!$E$14,J704,0)</f>
        <v>7750334.6445640996</v>
      </c>
      <c r="K742" s="633">
        <f>K650+K659+K668+K677+K686+K713+K733+IF('7. Scenario Detailed'!$E$12='7. Scenario Detailed'!$E$14,K704,0)</f>
        <v>5695294.6916937632</v>
      </c>
      <c r="L742" s="633">
        <f>L650+L659+L668+L677+L686+L713+L733+IF('7. Scenario Detailed'!$E$12='7. Scenario Detailed'!$E$14,L704,0)</f>
        <v>5681508.8345206473</v>
      </c>
      <c r="M742" s="633">
        <f>M650+M659+M668+M677+M686+M713+M733+IF('7. Scenario Detailed'!$E$12='7. Scenario Detailed'!$E$14,M704,0)</f>
        <v>5648978.2666161163</v>
      </c>
      <c r="N742" s="633">
        <f>N650+N659+N668+N677+N686+N713+N733+IF('7. Scenario Detailed'!$E$12='7. Scenario Detailed'!$E$14,N704,0)</f>
        <v>5595682.7720176624</v>
      </c>
      <c r="O742" s="633">
        <f>O650+O659+O668+O677+O686+O713+O733+IF('7. Scenario Detailed'!$E$12='7. Scenario Detailed'!$E$14,O704,0)</f>
        <v>5519436.6137568634</v>
      </c>
      <c r="P742" s="633">
        <f>P650+P659+P668+P677+P686+P713+P733+IF('7. Scenario Detailed'!$E$12='7. Scenario Detailed'!$E$14,P704,0)</f>
        <v>5417876.4377020234</v>
      </c>
      <c r="Q742" s="633">
        <f>Q650+Q659+Q668+Q677+Q686+Q713+Q733+IF('7. Scenario Detailed'!$E$12='7. Scenario Detailed'!$E$14,Q704,0)</f>
        <v>5288448.3465245375</v>
      </c>
      <c r="R742" s="633">
        <f>R650+R659+R668+R677+R686+R713+R733+IF('7. Scenario Detailed'!$E$12='7. Scenario Detailed'!$E$14,R704,0)</f>
        <v>5128394.0890934793</v>
      </c>
      <c r="S742" s="633">
        <f>S650+S659+S668+S677+S686+S713+S733+IF('7. Scenario Detailed'!$E$12='7. Scenario Detailed'!$E$14,S704,0)</f>
        <v>4934736.3070967672</v>
      </c>
      <c r="T742" s="633">
        <f>T650+T659+T668+T677+T686+T713+T733+IF('7. Scenario Detailed'!$E$12='7. Scenario Detailed'!$E$14,T704,0)</f>
        <v>4704262.7769609103</v>
      </c>
      <c r="U742" s="633">
        <f>U650+U659+U668+U677+U686+U713+U733+IF('7. Scenario Detailed'!$E$12='7. Scenario Detailed'!$E$14,U704,0)</f>
        <v>4433509.5811811397</v>
      </c>
      <c r="V742" s="633">
        <f>V650+V659+V668+V677+V686+V713+V733+IF('7. Scenario Detailed'!$E$12='7. Scenario Detailed'!$E$14,V704,0)</f>
        <v>4118743.1389652886</v>
      </c>
      <c r="W742" s="633">
        <f>W650+W659+W668+W677+W686+W713+W733+IF('7. Scenario Detailed'!$E$12='7. Scenario Detailed'!$E$14,W704,0)</f>
        <v>3755941.0216226205</v>
      </c>
      <c r="X742" s="633">
        <f>X650+X659+X668+X677+X686+X713+X733+IF('7. Scenario Detailed'!$E$12='7. Scenario Detailed'!$E$14,X704,0)</f>
        <v>3340771.4733768906</v>
      </c>
      <c r="Y742" s="633">
        <f>Y650+Y659+Y668+Y677+Y686+Y713+Y733+IF('7. Scenario Detailed'!$E$12='7. Scenario Detailed'!$E$14,Y704,0)</f>
        <v>2868571.5532337208</v>
      </c>
      <c r="Z742" s="633">
        <f>Z650+Z659+Z668+Z677+Z686+Z713+Z733+IF('7. Scenario Detailed'!$E$12='7. Scenario Detailed'!$E$14,Z704,0)</f>
        <v>2334323.8081678371</v>
      </c>
      <c r="AA742" s="633">
        <f>AA650+AA659+AA668+AA677+AA686+AA713+AA733+IF('7. Scenario Detailed'!$E$12='7. Scenario Detailed'!$E$14,AA704,0)</f>
        <v>1732631.3821961747</v>
      </c>
      <c r="AB742" s="633">
        <f>AB650+AB659+AB668+AB677+AB686+AB713+AB733+IF('7. Scenario Detailed'!$E$12='7. Scenario Detailed'!$E$14,AB704,0)</f>
        <v>0</v>
      </c>
      <c r="AC742" s="633">
        <f>AC650+AC659+AC668+AC677+AC686+AC713+AC733+IF('7. Scenario Detailed'!$E$12='7. Scenario Detailed'!$E$14,AC704,0)</f>
        <v>0</v>
      </c>
      <c r="AD742" s="633">
        <f>AD650+AD659+AD668+AD677+AD686+AD713+AD733+IF('7. Scenario Detailed'!$E$12='7. Scenario Detailed'!$E$14,AD704,0)</f>
        <v>93525071.990575537</v>
      </c>
    </row>
    <row r="743" spans="2:30" x14ac:dyDescent="0.45">
      <c r="B743" s="637" t="str">
        <f t="shared" si="444"/>
        <v>Rent</v>
      </c>
      <c r="C743" s="1150"/>
      <c r="D743" s="583" t="str">
        <f>'12. Inputs-Props &amp; Debtors 2016'!C$78</f>
        <v>FS</v>
      </c>
      <c r="F743" s="612">
        <f>F651+F660+F669+F678+F687+F714+F734+IF('7. Scenario Detailed'!$E$12='7. Scenario Detailed'!$E$14,F705,0)</f>
        <v>1053659.7333333334</v>
      </c>
      <c r="G743" s="612">
        <f>G651+G660+G669+G678+G687+G714+G734+IF('7. Scenario Detailed'!$E$12='7. Scenario Detailed'!$E$14,G705,0)</f>
        <v>1087690.0533333332</v>
      </c>
      <c r="H743" s="612">
        <f>H651+H660+H669+H678+H687+H714+H734+IF('7. Scenario Detailed'!$E$12='7. Scenario Detailed'!$E$14,H705,0)</f>
        <v>1121351.04</v>
      </c>
      <c r="I743" s="633">
        <f>I651+I660+I669+I678+I687+I714+I734+IF('7. Scenario Detailed'!$E$12='7. Scenario Detailed'!$E$14,I705,0)</f>
        <v>1133732.6243999999</v>
      </c>
      <c r="J743" s="633">
        <f>J651+J660+J669+J678+J687+J714+J734+IF('7. Scenario Detailed'!$E$12='7. Scenario Detailed'!$E$14,J705,0)</f>
        <v>1144084.0961879999</v>
      </c>
      <c r="K743" s="633">
        <f>K651+K660+K669+K678+K687+K714+K734+IF('7. Scenario Detailed'!$E$12='7. Scenario Detailed'!$E$14,K705,0)</f>
        <v>1152144.6886838698</v>
      </c>
      <c r="L743" s="633">
        <f>L651+L660+L669+L678+L687+L714+L734+IF('7. Scenario Detailed'!$E$12='7. Scenario Detailed'!$E$14,L705,0)</f>
        <v>1157631.0919633168</v>
      </c>
      <c r="M743" s="633">
        <f>M651+M660+M669+M678+M687+M714+M734+IF('7. Scenario Detailed'!$E$12='7. Scenario Detailed'!$E$14,M705,0)</f>
        <v>1160235.761920234</v>
      </c>
      <c r="N743" s="633">
        <f>N651+N660+N669+N678+N687+N714+N734+IF('7. Scenario Detailed'!$E$12='7. Scenario Detailed'!$E$14,N705,0)</f>
        <v>1159625.1115192231</v>
      </c>
      <c r="O743" s="633">
        <f>O651+O660+O669+O678+O687+O714+O734+IF('7. Scenario Detailed'!$E$12='7. Scenario Detailed'!$E$14,O705,0)</f>
        <v>1155437.5763942925</v>
      </c>
      <c r="P743" s="633">
        <f>P651+P660+P669+P678+P687+P714+P734+IF('7. Scenario Detailed'!$E$12='7. Scenario Detailed'!$E$14,P705,0)</f>
        <v>1147281.546443274</v>
      </c>
      <c r="Q743" s="633">
        <f>Q651+Q660+Q669+Q678+Q687+Q714+Q734+IF('7. Scenario Detailed'!$E$12='7. Scenario Detailed'!$E$14,Q705,0)</f>
        <v>1134733.1545290507</v>
      </c>
      <c r="R743" s="633">
        <f>R651+R660+R669+R678+R687+R714+R734+IF('7. Scenario Detailed'!$E$12='7. Scenario Detailed'!$E$14,R705,0)</f>
        <v>1117333.9128262717</v>
      </c>
      <c r="S743" s="633">
        <f>S651+S660+S669+S678+S687+S714+S734+IF('7. Scenario Detailed'!$E$12='7. Scenario Detailed'!$E$14,S705,0)</f>
        <v>1094588.186743737</v>
      </c>
      <c r="T743" s="633">
        <f>T651+T660+T669+T678+T687+T714+T734+IF('7. Scenario Detailed'!$E$12='7. Scenario Detailed'!$E$14,T705,0)</f>
        <v>1065960.4957058239</v>
      </c>
      <c r="U743" s="633">
        <f>U651+U660+U669+U678+U687+U714+U734+IF('7. Scenario Detailed'!$E$12='7. Scenario Detailed'!$E$14,U705,0)</f>
        <v>1030872.6293888403</v>
      </c>
      <c r="V743" s="633">
        <f>V651+V660+V669+V678+V687+V714+V734+IF('7. Scenario Detailed'!$E$12='7. Scenario Detailed'!$E$14,V705,0)</f>
        <v>988700.56727747875</v>
      </c>
      <c r="W743" s="633">
        <f>W651+W660+W669+W678+W687+W714+W734+IF('7. Scenario Detailed'!$E$12='7. Scenario Detailed'!$E$14,W705,0)</f>
        <v>938771.188629966</v>
      </c>
      <c r="X743" s="633">
        <f>X651+X660+X669+X678+X687+X714+X734+IF('7. Scenario Detailed'!$E$12='7. Scenario Detailed'!$E$14,X705,0)</f>
        <v>880358.7591152126</v>
      </c>
      <c r="Y743" s="633">
        <f>Y651+Y660+Y669+Y678+Y687+Y714+Y734+IF('7. Scenario Detailed'!$E$12='7. Scenario Detailed'!$E$14,Y705,0)</f>
        <v>812681.17950823065</v>
      </c>
      <c r="Z743" s="633">
        <f>Z651+Z660+Z669+Z678+Z687+Z714+Z734+IF('7. Scenario Detailed'!$E$12='7. Scenario Detailed'!$E$14,Z705,0)</f>
        <v>734895.98089815699</v>
      </c>
      <c r="AA743" s="633">
        <f>AA651+AA660+AA669+AA678+AA687+AA714+AA734+IF('7. Scenario Detailed'!$E$12='7. Scenario Detailed'!$E$14,AA705,0)</f>
        <v>646096.04987296299</v>
      </c>
      <c r="AB743" s="633">
        <f>AB651+AB660+AB669+AB678+AB687+AB714+AB734+IF('7. Scenario Detailed'!$E$12='7. Scenario Detailed'!$E$14,AB705,0)</f>
        <v>0</v>
      </c>
      <c r="AC743" s="633">
        <f>AC651+AC660+AC669+AC678+AC687+AC714+AC734+IF('7. Scenario Detailed'!$E$12='7. Scenario Detailed'!$E$14,AC705,0)</f>
        <v>0</v>
      </c>
      <c r="AD743" s="633">
        <f>AD651+AD660+AD669+AD678+AD687+AD714+AD734+IF('7. Scenario Detailed'!$E$12='7. Scenario Detailed'!$E$14,AD705,0)</f>
        <v>19655164.602007944</v>
      </c>
    </row>
    <row r="744" spans="2:30" x14ac:dyDescent="0.45">
      <c r="B744" s="637" t="str">
        <f t="shared" si="444"/>
        <v>Rent</v>
      </c>
      <c r="C744" s="1150"/>
      <c r="D744" s="583" t="str">
        <f>'12. Inputs-Props &amp; Debtors 2016'!C$79</f>
        <v>Gau</v>
      </c>
      <c r="F744" s="612">
        <f>F652+F661+F670+F679+F688+F715+F735+IF('7. Scenario Detailed'!$E$12='7. Scenario Detailed'!$E$14,F706,0)</f>
        <v>55425160.545555554</v>
      </c>
      <c r="G744" s="612">
        <f>G652+G661+G670+G679+G688+G715+G735+IF('7. Scenario Detailed'!$E$12='7. Scenario Detailed'!$E$14,G706,0)</f>
        <v>57214905.015555553</v>
      </c>
      <c r="H744" s="612">
        <f>H652+H661+H670+H679+H688+H715+H735+IF('7. Scenario Detailed'!$E$12='7. Scenario Detailed'!$E$14,H706,0)</f>
        <v>52758725.936666667</v>
      </c>
      <c r="I744" s="633">
        <f>I652+I661+I670+I679+I688+I715+I735+IF('7. Scenario Detailed'!$E$12='7. Scenario Detailed'!$E$14,I706,0)</f>
        <v>53000770.933355078</v>
      </c>
      <c r="J744" s="633">
        <f>J652+J661+J670+J679+J688+J715+J735+IF('7. Scenario Detailed'!$E$12='7. Scenario Detailed'!$E$14,J706,0)</f>
        <v>53109845.733720817</v>
      </c>
      <c r="K744" s="633">
        <f>K652+K661+K670+K679+K688+K715+K735+IF('7. Scenario Detailed'!$E$12='7. Scenario Detailed'!$E$14,K706,0)</f>
        <v>53070591.430053376</v>
      </c>
      <c r="L744" s="633">
        <f>L652+L661+L670+L679+L688+L715+L735+IF('7. Scenario Detailed'!$E$12='7. Scenario Detailed'!$E$14,L706,0)</f>
        <v>52755426.841756761</v>
      </c>
      <c r="M744" s="633">
        <f>M652+M661+M670+M679+M688+M715+M735+IF('7. Scenario Detailed'!$E$12='7. Scenario Detailed'!$E$14,M706,0)</f>
        <v>52245055.609671615</v>
      </c>
      <c r="N744" s="633">
        <f>N652+N661+N670+N679+N688+N715+N735+IF('7. Scenario Detailed'!$E$12='7. Scenario Detailed'!$E$14,N706,0)</f>
        <v>51518958.375860788</v>
      </c>
      <c r="O744" s="633">
        <f>O652+O661+O670+O679+O688+O715+O735+IF('7. Scenario Detailed'!$E$12='7. Scenario Detailed'!$E$14,O706,0)</f>
        <v>50554949.153111517</v>
      </c>
      <c r="P744" s="633">
        <f>P652+P661+P670+P679+P688+P715+P735+IF('7. Scenario Detailed'!$E$12='7. Scenario Detailed'!$E$14,P706,0)</f>
        <v>49329054.066772848</v>
      </c>
      <c r="Q744" s="633">
        <f>Q652+Q661+Q670+Q679+Q688+Q715+Q735+IF('7. Scenario Detailed'!$E$12='7. Scenario Detailed'!$E$14,Q706,0)</f>
        <v>47815381.799748756</v>
      </c>
      <c r="R744" s="633">
        <f>R652+R661+R670+R679+R688+R715+R735+IF('7. Scenario Detailed'!$E$12='7. Scenario Detailed'!$E$14,R706,0)</f>
        <v>45985985.194800034</v>
      </c>
      <c r="S744" s="633">
        <f>S652+S661+S670+S679+S688+S715+S735+IF('7. Scenario Detailed'!$E$12='7. Scenario Detailed'!$E$14,S706,0)</f>
        <v>43810713.433362707</v>
      </c>
      <c r="T744" s="633">
        <f>T652+T661+T670+T679+T688+T715+T735+IF('7. Scenario Detailed'!$E$12='7. Scenario Detailed'!$E$14,T706,0)</f>
        <v>41257054.172953002</v>
      </c>
      <c r="U744" s="633">
        <f>U652+U661+U670+U679+U688+U715+U735+IF('7. Scenario Detailed'!$E$12='7. Scenario Detailed'!$E$14,U706,0)</f>
        <v>38289964.98576232</v>
      </c>
      <c r="V744" s="633">
        <f>V652+V661+V670+V679+V688+V715+V735+IF('7. Scenario Detailed'!$E$12='7. Scenario Detailed'!$E$14,V706,0)</f>
        <v>34871693.399107471</v>
      </c>
      <c r="W744" s="633">
        <f>W652+W661+W670+W679+W688+W715+W735+IF('7. Scenario Detailed'!$E$12='7. Scenario Detailed'!$E$14,W706,0)</f>
        <v>30961584.793838661</v>
      </c>
      <c r="X744" s="633">
        <f>X652+X661+X670+X679+X688+X715+X735+IF('7. Scenario Detailed'!$E$12='7. Scenario Detailed'!$E$14,X706,0)</f>
        <v>26515877.369457982</v>
      </c>
      <c r="Y744" s="633">
        <f>Y652+Y661+Y670+Y679+Y688+Y715+Y735+IF('7. Scenario Detailed'!$E$12='7. Scenario Detailed'!$E$14,Y706,0)</f>
        <v>21487483.334394068</v>
      </c>
      <c r="Z744" s="633">
        <f>Z652+Z661+Z670+Z679+Z688+Z715+Z735+IF('7. Scenario Detailed'!$E$12='7. Scenario Detailed'!$E$14,Z706,0)</f>
        <v>15825755.426430516</v>
      </c>
      <c r="AA744" s="633">
        <f>AA652+AA661+AA670+AA679+AA688+AA715+AA735+IF('7. Scenario Detailed'!$E$12='7. Scenario Detailed'!$E$14,AA706,0)</f>
        <v>9476237.8115044273</v>
      </c>
      <c r="AB744" s="633">
        <f>AB652+AB661+AB670+AB679+AB688+AB715+AB735+IF('7. Scenario Detailed'!$E$12='7. Scenario Detailed'!$E$14,AB706,0)</f>
        <v>0</v>
      </c>
      <c r="AC744" s="633">
        <f>AC652+AC661+AC670+AC679+AC688+AC715+AC735+IF('7. Scenario Detailed'!$E$12='7. Scenario Detailed'!$E$14,AC706,0)</f>
        <v>0</v>
      </c>
      <c r="AD744" s="633">
        <f>AD652+AD661+AD670+AD679+AD688+AD715+AD735+IF('7. Scenario Detailed'!$E$12='7. Scenario Detailed'!$E$14,AD706,0)</f>
        <v>771882383.86566269</v>
      </c>
    </row>
    <row r="745" spans="2:30" x14ac:dyDescent="0.45">
      <c r="B745" s="637" t="str">
        <f t="shared" si="444"/>
        <v>Rent</v>
      </c>
      <c r="C745" s="1150"/>
      <c r="D745" s="583" t="str">
        <f>'12. Inputs-Props &amp; Debtors 2016'!C$80</f>
        <v>KZN</v>
      </c>
      <c r="F745" s="612">
        <f>F653+F662+F671+F680+F689+F716+F736+IF('7. Scenario Detailed'!$E$12='7. Scenario Detailed'!$E$14,F707,0)</f>
        <v>52850120.474444449</v>
      </c>
      <c r="G745" s="612">
        <f>G653+G662+G671+G680+G689+G716+G736+IF('7. Scenario Detailed'!$E$12='7. Scenario Detailed'!$E$14,G707,0)</f>
        <v>60252696.769444436</v>
      </c>
      <c r="H745" s="612">
        <f>H653+H662+H671+H680+H689+H716+H736+IF('7. Scenario Detailed'!$E$12='7. Scenario Detailed'!$E$14,H707,0)</f>
        <v>70945116.053333342</v>
      </c>
      <c r="I745" s="633">
        <f>I653+I662+I671+I680+I689+I716+I736+IF('7. Scenario Detailed'!$E$12='7. Scenario Detailed'!$E$14,I707,0)</f>
        <v>68749679.224143788</v>
      </c>
      <c r="J745" s="633">
        <f>J653+J662+J671+J680+J689+J716+J736+IF('7. Scenario Detailed'!$E$12='7. Scenario Detailed'!$E$14,J707,0)</f>
        <v>66098135.367682062</v>
      </c>
      <c r="K745" s="633">
        <f>K653+K662+K671+K680+K689+K716+K736+IF('7. Scenario Detailed'!$E$12='7. Scenario Detailed'!$E$14,K707,0)</f>
        <v>62946953.907356501</v>
      </c>
      <c r="L745" s="633">
        <f>L653+L662+L671+L680+L689+L716+L736+IF('7. Scenario Detailed'!$E$12='7. Scenario Detailed'!$E$14,L707,0)</f>
        <v>62624916.703797743</v>
      </c>
      <c r="M745" s="633">
        <f>M653+M662+M671+M680+M689+M716+M736+IF('7. Scenario Detailed'!$E$12='7. Scenario Detailed'!$E$14,M707,0)</f>
        <v>62077040.872277759</v>
      </c>
      <c r="N745" s="633">
        <f>N653+N662+N671+N680+N689+N716+N736+IF('7. Scenario Detailed'!$E$12='7. Scenario Detailed'!$E$14,N707,0)</f>
        <v>61279458.326261595</v>
      </c>
      <c r="O745" s="633">
        <f>O653+O662+O671+O680+O689+O716+O736+IF('7. Scenario Detailed'!$E$12='7. Scenario Detailed'!$E$14,O707,0)</f>
        <v>60206358.651545003</v>
      </c>
      <c r="P745" s="633">
        <f>P653+P662+P671+P680+P689+P716+P736+IF('7. Scenario Detailed'!$E$12='7. Scenario Detailed'!$E$14,P707,0)</f>
        <v>58829847.651172638</v>
      </c>
      <c r="Q745" s="633">
        <f>Q653+Q662+Q671+Q680+Q689+Q716+Q736+IF('7. Scenario Detailed'!$E$12='7. Scenario Detailed'!$E$14,Q707,0)</f>
        <v>57119796.205838397</v>
      </c>
      <c r="R745" s="633">
        <f>R653+R662+R671+R680+R689+R716+R736+IF('7. Scenario Detailed'!$E$12='7. Scenario Detailed'!$E$14,R707,0)</f>
        <v>55043678.812372595</v>
      </c>
      <c r="S745" s="633">
        <f>S653+S662+S671+S680+S689+S716+S736+IF('7. Scenario Detailed'!$E$12='7. Scenario Detailed'!$E$14,S707,0)</f>
        <v>52566401.122102901</v>
      </c>
      <c r="T745" s="633">
        <f>T653+T662+T671+T680+T689+T716+T736+IF('7. Scenario Detailed'!$E$12='7. Scenario Detailed'!$E$14,T707,0)</f>
        <v>49650115.757496104</v>
      </c>
      <c r="U745" s="633">
        <f>U653+U662+U671+U680+U689+U716+U736+IF('7. Scenario Detailed'!$E$12='7. Scenario Detailed'!$E$14,U707,0)</f>
        <v>46254025.639388204</v>
      </c>
      <c r="V745" s="633">
        <f>V653+V662+V671+V680+V689+V716+V736+IF('7. Scenario Detailed'!$E$12='7. Scenario Detailed'!$E$14,V707,0)</f>
        <v>42334174.008122005</v>
      </c>
      <c r="W745" s="633">
        <f>W653+W662+W671+W680+W689+W716+W736+IF('7. Scenario Detailed'!$E$12='7. Scenario Detailed'!$E$14,W707,0)</f>
        <v>37843220.269857377</v>
      </c>
      <c r="X745" s="633">
        <f>X653+X662+X671+X680+X689+X716+X736+IF('7. Scenario Detailed'!$E$12='7. Scenario Detailed'!$E$14,X707,0)</f>
        <v>32730200.744009078</v>
      </c>
      <c r="Y745" s="633">
        <f>Y653+Y662+Y671+Y680+Y689+Y716+Y736+IF('7. Scenario Detailed'!$E$12='7. Scenario Detailed'!$E$14,Y707,0)</f>
        <v>26940273.329001144</v>
      </c>
      <c r="Z745" s="633">
        <f>Z653+Z662+Z671+Z680+Z689+Z716+Z736+IF('7. Scenario Detailed'!$E$12='7. Scenario Detailed'!$E$14,Z707,0)</f>
        <v>20414445.04109171</v>
      </c>
      <c r="AA745" s="633">
        <f>AA653+AA662+AA671+AA680+AA689+AA716+AA736+IF('7. Scenario Detailed'!$E$12='7. Scenario Detailed'!$E$14,AA707,0)</f>
        <v>13089281.314692013</v>
      </c>
      <c r="AB745" s="633">
        <f>AB653+AB662+AB671+AB680+AB689+AB716+AB736+IF('7. Scenario Detailed'!$E$12='7. Scenario Detailed'!$E$14,AB707,0)</f>
        <v>0</v>
      </c>
      <c r="AC745" s="633">
        <f>AC653+AC662+AC671+AC680+AC689+AC716+AC736+IF('7. Scenario Detailed'!$E$12='7. Scenario Detailed'!$E$14,AC707,0)</f>
        <v>0</v>
      </c>
      <c r="AD745" s="633">
        <f>AD653+AD662+AD671+AD680+AD689+AD716+AD736+IF('7. Scenario Detailed'!$E$12='7. Scenario Detailed'!$E$14,AD707,0)</f>
        <v>936798002.94820869</v>
      </c>
    </row>
    <row r="746" spans="2:30" x14ac:dyDescent="0.45">
      <c r="B746" s="637" t="str">
        <f t="shared" si="444"/>
        <v>Rent</v>
      </c>
      <c r="C746" s="1150"/>
      <c r="D746" s="583" t="str">
        <f>'12. Inputs-Props &amp; Debtors 2016'!C$81</f>
        <v>WC</v>
      </c>
      <c r="F746" s="612">
        <f>F654+F663+F672+F681+F690+F717+F737+IF('7. Scenario Detailed'!$E$12='7. Scenario Detailed'!$E$14,F708,0)</f>
        <v>6816394.1699999999</v>
      </c>
      <c r="G746" s="612">
        <f>G654+G663+G672+G681+G690+G717+G737+IF('7. Scenario Detailed'!$E$12='7. Scenario Detailed'!$E$14,G708,0)</f>
        <v>6934326.7449999992</v>
      </c>
      <c r="H746" s="612">
        <f>H654+H663+H672+H681+H690+H717+H737+IF('7. Scenario Detailed'!$E$12='7. Scenario Detailed'!$E$14,H708,0)</f>
        <v>7200076.9899999993</v>
      </c>
      <c r="I746" s="633">
        <f>I654+I663+I672+I681+I690+I717+I737+IF('7. Scenario Detailed'!$E$12='7. Scenario Detailed'!$E$14,I708,0)</f>
        <v>7195934.6838224996</v>
      </c>
      <c r="J746" s="633">
        <f>J654+J663+J672+J681+J690+J717+J737+IF('7. Scenario Detailed'!$E$12='7. Scenario Detailed'!$E$14,J708,0)</f>
        <v>7169556.4910707241</v>
      </c>
      <c r="K746" s="633">
        <f>K654+K663+K672+K681+K690+K717+K737+IF('7. Scenario Detailed'!$E$12='7. Scenario Detailed'!$E$14,K708,0)</f>
        <v>7147715.8728195559</v>
      </c>
      <c r="L746" s="633">
        <f>L654+L663+L672+L681+L690+L717+L737+IF('7. Scenario Detailed'!$E$12='7. Scenario Detailed'!$E$14,L708,0)</f>
        <v>7178007.1440527802</v>
      </c>
      <c r="M746" s="633">
        <f>M654+M663+M672+M681+M690+M717+M737+IF('7. Scenario Detailed'!$E$12='7. Scenario Detailed'!$E$14,M708,0)</f>
        <v>7190008.6146063795</v>
      </c>
      <c r="N746" s="633">
        <f>N654+N663+N672+N681+N690+N717+N737+IF('7. Scenario Detailed'!$E$12='7. Scenario Detailed'!$E$14,N708,0)</f>
        <v>7181616.775310114</v>
      </c>
      <c r="O746" s="633">
        <f>O654+O663+O672+O681+O690+O717+O737+IF('7. Scenario Detailed'!$E$12='7. Scenario Detailed'!$E$14,O708,0)</f>
        <v>7150552.0576320766</v>
      </c>
      <c r="P746" s="633">
        <f>P654+P663+P672+P681+P690+P717+P737+IF('7. Scenario Detailed'!$E$12='7. Scenario Detailed'!$E$14,P708,0)</f>
        <v>7094345.8302641418</v>
      </c>
      <c r="Q746" s="633">
        <f>Q654+Q663+Q672+Q681+Q690+Q717+Q737+IF('7. Scenario Detailed'!$E$12='7. Scenario Detailed'!$E$14,Q708,0)</f>
        <v>7010326.4979113983</v>
      </c>
      <c r="R746" s="633">
        <f>R654+R663+R672+R681+R690+R717+R737+IF('7. Scenario Detailed'!$E$12='7. Scenario Detailed'!$E$14,R708,0)</f>
        <v>6895604.6428633044</v>
      </c>
      <c r="S746" s="633">
        <f>S654+S663+S672+S681+S690+S717+S737+IF('7. Scenario Detailed'!$E$12='7. Scenario Detailed'!$E$14,S708,0)</f>
        <v>6747057.1461037369</v>
      </c>
      <c r="T746" s="633">
        <f>T654+T663+T672+T681+T690+T717+T737+IF('7. Scenario Detailed'!$E$12='7. Scenario Detailed'!$E$14,T708,0)</f>
        <v>6561310.2206559563</v>
      </c>
      <c r="U746" s="633">
        <f>U654+U663+U672+U681+U690+U717+U737+IF('7. Scenario Detailed'!$E$12='7. Scenario Detailed'!$E$14,U708,0)</f>
        <v>6334721.2855419554</v>
      </c>
      <c r="V746" s="633">
        <f>V654+V663+V672+V681+V690+V717+V737+IF('7. Scenario Detailed'!$E$12='7. Scenario Detailed'!$E$14,V708,0)</f>
        <v>6063359.6041479316</v>
      </c>
      <c r="W746" s="633">
        <f>W654+W663+W672+W681+W690+W717+W737+IF('7. Scenario Detailed'!$E$12='7. Scenario Detailed'!$E$14,W708,0)</f>
        <v>5742985.6059117988</v>
      </c>
      <c r="X746" s="633">
        <f>X654+X663+X672+X681+X690+X717+X737+IF('7. Scenario Detailed'!$E$12='7. Scenario Detailed'!$E$14,X708,0)</f>
        <v>5369028.8050671443</v>
      </c>
      <c r="Y746" s="633">
        <f>Y654+Y663+Y672+Y681+Y690+Y717+Y737+IF('7. Scenario Detailed'!$E$12='7. Scenario Detailed'!$E$14,Y708,0)</f>
        <v>4936564.2246716945</v>
      </c>
      <c r="Z746" s="633">
        <f>Z654+Z663+Z672+Z681+Z690+Z717+Z737+IF('7. Scenario Detailed'!$E$12='7. Scenario Detailed'!$E$14,Z708,0)</f>
        <v>4440287.228297418</v>
      </c>
      <c r="AA746" s="633">
        <f>AA654+AA663+AA672+AA681+AA690+AA717+AA737+IF('7. Scenario Detailed'!$E$12='7. Scenario Detailed'!$E$14,AA708,0)</f>
        <v>3874486.6555423387</v>
      </c>
      <c r="AB746" s="633">
        <f>AB654+AB663+AB672+AB681+AB690+AB717+AB737+IF('7. Scenario Detailed'!$E$12='7. Scenario Detailed'!$E$14,AB708,0)</f>
        <v>0</v>
      </c>
      <c r="AC746" s="633">
        <f>AC654+AC663+AC672+AC681+AC690+AC717+AC737+IF('7. Scenario Detailed'!$E$12='7. Scenario Detailed'!$E$14,AC708,0)</f>
        <v>0</v>
      </c>
      <c r="AD746" s="633">
        <f>AD654+AD663+AD672+AD681+AD690+AD717+AD737+IF('7. Scenario Detailed'!$E$12='7. Scenario Detailed'!$E$14,AD708,0)</f>
        <v>121283469.38629293</v>
      </c>
    </row>
    <row r="747" spans="2:30" x14ac:dyDescent="0.45">
      <c r="B747" s="637" t="str">
        <f t="shared" si="444"/>
        <v>Rent</v>
      </c>
      <c r="C747" s="1150"/>
      <c r="D747" s="596" t="s">
        <v>11</v>
      </c>
      <c r="F747" s="613">
        <f>F655+F664+F673+F682+F691+F718+F738+IF('7. Scenario Detailed'!$E$12='7. Scenario Detailed'!$E$14,F709,0)</f>
        <v>126486884.31333333</v>
      </c>
      <c r="G747" s="613">
        <f>G655+G664+G673+G682+G691+G718+G738+IF('7. Scenario Detailed'!$E$12='7. Scenario Detailed'!$E$14,G709,0)</f>
        <v>136616043.32333332</v>
      </c>
      <c r="H747" s="613">
        <f>H655+H664+H673+H682+H691+H718+H738+IF('7. Scenario Detailed'!$E$12='7. Scenario Detailed'!$E$14,H709,0)</f>
        <v>143214809.11000001</v>
      </c>
      <c r="I747" s="613">
        <f>I655+I664+I673+I682+I691+I718+I738+IF('7. Scenario Detailed'!$E$12='7. Scenario Detailed'!$E$14,I709,0)</f>
        <v>139655743.71700636</v>
      </c>
      <c r="J747" s="613">
        <f>J655+J664+J673+J682+J691+J718+J738+IF('7. Scenario Detailed'!$E$12='7. Scenario Detailed'!$E$14,J709,0)</f>
        <v>135271956.33322573</v>
      </c>
      <c r="K747" s="613">
        <f>K655+K664+K673+K682+K691+K718+K738+IF('7. Scenario Detailed'!$E$12='7. Scenario Detailed'!$E$14,K709,0)</f>
        <v>130012700.59060706</v>
      </c>
      <c r="L747" s="613">
        <f>L655+L664+L673+L682+L691+L718+L738+IF('7. Scenario Detailed'!$E$12='7. Scenario Detailed'!$E$14,L709,0)</f>
        <v>129397490.61609125</v>
      </c>
      <c r="M747" s="613">
        <f>M655+M664+M673+M682+M691+M718+M738+IF('7. Scenario Detailed'!$E$12='7. Scenario Detailed'!$E$14,M709,0)</f>
        <v>128321319.12509212</v>
      </c>
      <c r="N747" s="613">
        <f>N655+N664+N673+N682+N691+N718+N738+IF('7. Scenario Detailed'!$E$12='7. Scenario Detailed'!$E$14,N709,0)</f>
        <v>126735341.36096939</v>
      </c>
      <c r="O747" s="613">
        <f>O655+O664+O673+O682+O691+O718+O738+IF('7. Scenario Detailed'!$E$12='7. Scenario Detailed'!$E$14,O709,0)</f>
        <v>124586734.05243975</v>
      </c>
      <c r="P747" s="613">
        <f>P655+P664+P673+P682+P691+P718+P738+IF('7. Scenario Detailed'!$E$12='7. Scenario Detailed'!$E$14,P709,0)</f>
        <v>121818405.53235492</v>
      </c>
      <c r="Q747" s="613">
        <f>Q655+Q664+Q673+Q682+Q691+Q718+Q738+IF('7. Scenario Detailed'!$E$12='7. Scenario Detailed'!$E$14,Q709,0)</f>
        <v>118368686.00455214</v>
      </c>
      <c r="R747" s="613">
        <f>R655+R664+R673+R682+R691+R718+R738+IF('7. Scenario Detailed'!$E$12='7. Scenario Detailed'!$E$14,R709,0)</f>
        <v>114170996.65195568</v>
      </c>
      <c r="S747" s="613">
        <f>S655+S664+S673+S682+S691+S718+S738+IF('7. Scenario Detailed'!$E$12='7. Scenario Detailed'!$E$14,S709,0)</f>
        <v>109153496.19540985</v>
      </c>
      <c r="T747" s="613">
        <f>T655+T664+T673+T682+T691+T718+T738+IF('7. Scenario Detailed'!$E$12='7. Scenario Detailed'!$E$14,T709,0)</f>
        <v>103238703.4237718</v>
      </c>
      <c r="U747" s="613">
        <f>U655+U664+U673+U682+U691+U718+U738+IF('7. Scenario Detailed'!$E$12='7. Scenario Detailed'!$E$14,U709,0)</f>
        <v>96343094.121262461</v>
      </c>
      <c r="V747" s="613">
        <f>V655+V664+V673+V682+V691+V718+V738+IF('7. Scenario Detailed'!$E$12='7. Scenario Detailed'!$E$14,V709,0)</f>
        <v>88376670.717620164</v>
      </c>
      <c r="W747" s="613">
        <f>W655+W664+W673+W682+W691+W718+W738+IF('7. Scenario Detailed'!$E$12='7. Scenario Detailed'!$E$14,W709,0)</f>
        <v>79242502.879860431</v>
      </c>
      <c r="X747" s="613">
        <f>X655+X664+X673+X682+X691+X718+X738+IF('7. Scenario Detailed'!$E$12='7. Scenario Detailed'!$E$14,X709,0)</f>
        <v>68836237.151026309</v>
      </c>
      <c r="Y747" s="613">
        <f>Y655+Y664+Y673+Y682+Y691+Y718+Y738+IF('7. Scenario Detailed'!$E$12='7. Scenario Detailed'!$E$14,Y709,0)</f>
        <v>57045573.620808855</v>
      </c>
      <c r="Z747" s="613">
        <f>Z655+Z664+Z673+Z682+Z691+Z718+Z738+IF('7. Scenario Detailed'!$E$12='7. Scenario Detailed'!$E$14,Z709,0)</f>
        <v>43749707.484885633</v>
      </c>
      <c r="AA747" s="613">
        <f>AA655+AA664+AA673+AA682+AA691+AA718+AA738+IF('7. Scenario Detailed'!$E$12='7. Scenario Detailed'!$E$14,AA709,0)</f>
        <v>28818733.213807922</v>
      </c>
      <c r="AB747" s="613">
        <f>AB655+AB664+AB673+AB682+AB691+AB718+AB738+IF('7. Scenario Detailed'!$E$12='7. Scenario Detailed'!$E$14,AB709,0)</f>
        <v>0</v>
      </c>
      <c r="AC747" s="613">
        <f>AC655+AC664+AC673+AC682+AC691+AC718+AC738+IF('7. Scenario Detailed'!$E$12='7. Scenario Detailed'!$E$14,AC709,0)</f>
        <v>0</v>
      </c>
      <c r="AD747" s="613">
        <f>AD655+AD664+AD673+AD682+AD691+AD718+AD738+IF('7. Scenario Detailed'!$E$12='7. Scenario Detailed'!$E$14,AD709,0)</f>
        <v>1943144092.792748</v>
      </c>
    </row>
    <row r="748" spans="2:30" x14ac:dyDescent="0.45">
      <c r="B748" s="637" t="str">
        <f t="shared" si="444"/>
        <v>Rent</v>
      </c>
      <c r="F748" s="615">
        <f>'11. Table - Expenditure Review'!F193</f>
        <v>126486884.31333335</v>
      </c>
      <c r="G748" s="615">
        <f>'11. Table - Expenditure Review'!G193</f>
        <v>136616043.32333332</v>
      </c>
      <c r="H748" s="615">
        <f>'11. Table - Expenditure Review'!H193</f>
        <v>143214809.11000001</v>
      </c>
    </row>
    <row r="749" spans="2:30" x14ac:dyDescent="0.45">
      <c r="B749" s="638" t="str">
        <f t="shared" si="444"/>
        <v>Rent</v>
      </c>
      <c r="F749" s="615">
        <f>SUM(F742:F746)</f>
        <v>126486884.31333335</v>
      </c>
      <c r="G749" s="615">
        <f>SUM(G742:G746)</f>
        <v>136616043.32333332</v>
      </c>
      <c r="H749" s="615">
        <f>SUM(H742:H746)</f>
        <v>143214809.11000001</v>
      </c>
      <c r="I749" s="634">
        <f>IF(H$525&gt;1,H747*I$525/H$525,0)</f>
        <v>128948837.81493412</v>
      </c>
      <c r="J749" s="634">
        <f t="shared" ref="J749:AC749" si="445">IF(I$525&gt;1,I749*J$525/I$525,0)</f>
        <v>114682866.51986822</v>
      </c>
      <c r="K749" s="634">
        <f t="shared" si="445"/>
        <v>101471577.92755041</v>
      </c>
      <c r="L749" s="634">
        <f t="shared" si="445"/>
        <v>95198991.326996133</v>
      </c>
      <c r="M749" s="634">
        <f t="shared" si="445"/>
        <v>88926404.726441875</v>
      </c>
      <c r="N749" s="634">
        <f t="shared" si="445"/>
        <v>82653818.125887617</v>
      </c>
      <c r="O749" s="634">
        <f t="shared" si="445"/>
        <v>76381231.525333345</v>
      </c>
      <c r="P749" s="634">
        <f t="shared" si="445"/>
        <v>70108644.924779087</v>
      </c>
      <c r="Q749" s="634">
        <f t="shared" si="445"/>
        <v>63836058.32422483</v>
      </c>
      <c r="R749" s="634">
        <f t="shared" si="445"/>
        <v>57563471.723670565</v>
      </c>
      <c r="S749" s="634">
        <f t="shared" si="445"/>
        <v>51290885.1231163</v>
      </c>
      <c r="T749" s="634">
        <f t="shared" si="445"/>
        <v>45018298.522562034</v>
      </c>
      <c r="U749" s="634">
        <f t="shared" si="445"/>
        <v>38745711.922007769</v>
      </c>
      <c r="V749" s="634">
        <f t="shared" si="445"/>
        <v>32473125.321453504</v>
      </c>
      <c r="W749" s="634">
        <f t="shared" si="445"/>
        <v>26200538.720899235</v>
      </c>
      <c r="X749" s="634">
        <f t="shared" si="445"/>
        <v>19927952.12034497</v>
      </c>
      <c r="Y749" s="634">
        <f t="shared" si="445"/>
        <v>13655365.519790705</v>
      </c>
      <c r="Z749" s="634">
        <f t="shared" si="445"/>
        <v>7382778.9192364383</v>
      </c>
      <c r="AA749" s="634">
        <f t="shared" si="445"/>
        <v>1110192.3186821712</v>
      </c>
      <c r="AB749" s="634">
        <f t="shared" si="445"/>
        <v>0</v>
      </c>
      <c r="AC749" s="634">
        <f t="shared" si="445"/>
        <v>0</v>
      </c>
      <c r="AD749" s="634">
        <f>SUM(I749:AC749)</f>
        <v>1115576751.4277792</v>
      </c>
    </row>
    <row r="752" spans="2:30" x14ac:dyDescent="0.45">
      <c r="B752" s="830" t="s">
        <v>1422</v>
      </c>
      <c r="D752" s="451" t="s">
        <v>1424</v>
      </c>
    </row>
    <row r="753" spans="2:30" x14ac:dyDescent="0.45">
      <c r="B753" s="831" t="str">
        <f t="shared" ref="B753:B759" si="446">B752</f>
        <v>Comb.</v>
      </c>
      <c r="C753" s="451">
        <f>C741+1</f>
        <v>78</v>
      </c>
      <c r="D753" s="451" t="s">
        <v>1423</v>
      </c>
    </row>
    <row r="754" spans="2:30" x14ac:dyDescent="0.45">
      <c r="B754" s="831" t="str">
        <f t="shared" si="446"/>
        <v>Comb.</v>
      </c>
      <c r="D754" s="583" t="str">
        <f>'12. Inputs-Props &amp; Debtors 2016'!C$77</f>
        <v>EC</v>
      </c>
      <c r="F754" s="612">
        <f t="shared" ref="F754:AD754" si="447">(F432+F574)-(F508+F742)</f>
        <v>-9354796.4700000007</v>
      </c>
      <c r="G754" s="612">
        <f t="shared" si="447"/>
        <v>-10229237.26</v>
      </c>
      <c r="H754" s="612">
        <f t="shared" si="447"/>
        <v>-10415188.16</v>
      </c>
      <c r="I754" s="612">
        <f t="shared" si="447"/>
        <v>-9050671.484040793</v>
      </c>
      <c r="J754" s="612">
        <f t="shared" si="447"/>
        <v>-7276268.3573198924</v>
      </c>
      <c r="K754" s="612">
        <f t="shared" si="447"/>
        <v>-5272498.0344495559</v>
      </c>
      <c r="L754" s="612">
        <f t="shared" si="447"/>
        <v>-5562124.3240768462</v>
      </c>
      <c r="M754" s="612">
        <f t="shared" si="447"/>
        <v>-5535382.1975866212</v>
      </c>
      <c r="N754" s="612">
        <f t="shared" si="447"/>
        <v>-5487924.873524704</v>
      </c>
      <c r="O754" s="612">
        <f t="shared" si="447"/>
        <v>-5417569.3500243956</v>
      </c>
      <c r="P754" s="612">
        <f t="shared" si="447"/>
        <v>-5321955.1584863178</v>
      </c>
      <c r="Q754" s="612">
        <f t="shared" si="447"/>
        <v>-5198531.4458184605</v>
      </c>
      <c r="R754" s="612">
        <f t="shared" si="447"/>
        <v>-5044543.1725595053</v>
      </c>
      <c r="S754" s="612">
        <f t="shared" si="447"/>
        <v>-4857016.3687088052</v>
      </c>
      <c r="T754" s="612">
        <f t="shared" si="447"/>
        <v>-4632742.3853614368</v>
      </c>
      <c r="U754" s="612">
        <f t="shared" si="447"/>
        <v>-4368261.0762879653</v>
      </c>
      <c r="V754" s="612">
        <f t="shared" si="447"/>
        <v>-4059842.8393917042</v>
      </c>
      <c r="W754" s="612">
        <f t="shared" si="447"/>
        <v>-3703469.4435056476</v>
      </c>
      <c r="X754" s="612">
        <f t="shared" si="447"/>
        <v>-3294813.561241088</v>
      </c>
      <c r="Y754" s="612">
        <f t="shared" si="447"/>
        <v>-2829216.9235524968</v>
      </c>
      <c r="Z754" s="612">
        <f t="shared" si="447"/>
        <v>-2301667.0063206377</v>
      </c>
      <c r="AA754" s="612">
        <f t="shared" si="447"/>
        <v>-1706772.1535583164</v>
      </c>
      <c r="AB754" s="612">
        <f t="shared" si="447"/>
        <v>28144.297004007109</v>
      </c>
      <c r="AC754" s="612">
        <f t="shared" si="447"/>
        <v>0</v>
      </c>
      <c r="AD754" s="612">
        <f t="shared" si="447"/>
        <v>-90893125.85881117</v>
      </c>
    </row>
    <row r="755" spans="2:30" x14ac:dyDescent="0.45">
      <c r="B755" s="831" t="str">
        <f t="shared" si="446"/>
        <v>Comb.</v>
      </c>
      <c r="D755" s="583" t="str">
        <f>'12. Inputs-Props &amp; Debtors 2016'!C$78</f>
        <v>FS</v>
      </c>
      <c r="F755" s="612">
        <f t="shared" ref="F755:AD755" si="448">(F433+F575)-(F509+F743)</f>
        <v>-1045602.6333333334</v>
      </c>
      <c r="G755" s="612">
        <f t="shared" si="448"/>
        <v>-1083676.8533333333</v>
      </c>
      <c r="H755" s="612">
        <f t="shared" si="448"/>
        <v>-1121225.8400000001</v>
      </c>
      <c r="I755" s="612">
        <f t="shared" si="448"/>
        <v>-1137125.8709217389</v>
      </c>
      <c r="J755" s="612">
        <f t="shared" si="448"/>
        <v>-1148247.342709739</v>
      </c>
      <c r="K755" s="612">
        <f t="shared" si="448"/>
        <v>-1157120.2852056089</v>
      </c>
      <c r="L755" s="612">
        <f t="shared" si="448"/>
        <v>-1163463.7177350558</v>
      </c>
      <c r="M755" s="612">
        <f t="shared" si="448"/>
        <v>-1166972.553550723</v>
      </c>
      <c r="N755" s="612">
        <f t="shared" si="448"/>
        <v>-1167315.7981306934</v>
      </c>
      <c r="O755" s="612">
        <f t="shared" si="448"/>
        <v>-1164134.622210698</v>
      </c>
      <c r="P755" s="612">
        <f t="shared" si="448"/>
        <v>-1157040.3012208862</v>
      </c>
      <c r="Q755" s="612">
        <f t="shared" si="448"/>
        <v>-1145612.012260736</v>
      </c>
      <c r="R755" s="612">
        <f t="shared" si="448"/>
        <v>-1129394.4791745041</v>
      </c>
      <c r="S755" s="612">
        <f t="shared" si="448"/>
        <v>-1107895.4556824262</v>
      </c>
      <c r="T755" s="612">
        <f t="shared" si="448"/>
        <v>-1080583.0358774455</v>
      </c>
      <c r="U755" s="612">
        <f t="shared" si="448"/>
        <v>-1046882.7807112056</v>
      </c>
      <c r="V755" s="612">
        <f t="shared" si="448"/>
        <v>-1006174.6483638785</v>
      </c>
      <c r="W755" s="612">
        <f t="shared" si="448"/>
        <v>-957789.71561742201</v>
      </c>
      <c r="X755" s="612">
        <f t="shared" si="448"/>
        <v>-901006.67652828305</v>
      </c>
      <c r="Y755" s="612">
        <f t="shared" si="448"/>
        <v>-835048.10382032429</v>
      </c>
      <c r="Z755" s="612">
        <f t="shared" si="448"/>
        <v>-759076.45748872019</v>
      </c>
      <c r="AA755" s="612">
        <f t="shared" si="448"/>
        <v>-672189.82411731151</v>
      </c>
      <c r="AB755" s="612">
        <f t="shared" si="448"/>
        <v>-140561.51634545988</v>
      </c>
      <c r="AC755" s="612">
        <f t="shared" si="448"/>
        <v>0</v>
      </c>
      <c r="AD755" s="612">
        <f t="shared" si="448"/>
        <v>-20043635.197672863</v>
      </c>
    </row>
    <row r="756" spans="2:30" x14ac:dyDescent="0.45">
      <c r="B756" s="831" t="str">
        <f t="shared" si="446"/>
        <v>Comb.</v>
      </c>
      <c r="D756" s="583" t="str">
        <f>'12. Inputs-Props &amp; Debtors 2016'!C$79</f>
        <v>Gau</v>
      </c>
      <c r="F756" s="612">
        <f t="shared" ref="F756:AD756" si="449">(F434+F576)-(F510+F744)</f>
        <v>-55014202.235555552</v>
      </c>
      <c r="G756" s="612">
        <f t="shared" si="449"/>
        <v>-57063143.525555551</v>
      </c>
      <c r="H756" s="612">
        <f t="shared" si="449"/>
        <v>-51881797.88666667</v>
      </c>
      <c r="I756" s="612">
        <f t="shared" si="449"/>
        <v>-53129566.887620203</v>
      </c>
      <c r="J756" s="612">
        <f t="shared" si="449"/>
        <v>-53274822.587779328</v>
      </c>
      <c r="K756" s="612">
        <f t="shared" si="449"/>
        <v>-53273549.058905281</v>
      </c>
      <c r="L756" s="612">
        <f t="shared" si="449"/>
        <v>-53012444.989874825</v>
      </c>
      <c r="M756" s="612">
        <f t="shared" si="449"/>
        <v>-52545927.668875955</v>
      </c>
      <c r="N756" s="612">
        <f t="shared" si="449"/>
        <v>-51865897.292090692</v>
      </c>
      <c r="O756" s="612">
        <f t="shared" si="449"/>
        <v>-50950289.584332943</v>
      </c>
      <c r="P756" s="612">
        <f t="shared" si="449"/>
        <v>-49775259.077139869</v>
      </c>
      <c r="Q756" s="612">
        <f t="shared" si="449"/>
        <v>-48315049.921943925</v>
      </c>
      <c r="R756" s="612">
        <f t="shared" si="449"/>
        <v>-46541857.880803443</v>
      </c>
      <c r="S756" s="612">
        <f t="shared" si="449"/>
        <v>-44425682.915013365</v>
      </c>
      <c r="T756" s="612">
        <f t="shared" si="449"/>
        <v>-41934171.754841045</v>
      </c>
      <c r="U756" s="612">
        <f t="shared" si="449"/>
        <v>-39032449.794230357</v>
      </c>
      <c r="V756" s="612">
        <f t="shared" si="449"/>
        <v>-35682941.612446934</v>
      </c>
      <c r="W756" s="612">
        <f t="shared" si="449"/>
        <v>-31845179.380147036</v>
      </c>
      <c r="X756" s="612">
        <f t="shared" si="449"/>
        <v>-27475598.3600781</v>
      </c>
      <c r="Y756" s="612">
        <f t="shared" si="449"/>
        <v>-22527318.662392616</v>
      </c>
      <c r="Z756" s="612">
        <f t="shared" si="449"/>
        <v>-16949912.36119286</v>
      </c>
      <c r="AA756" s="612">
        <f t="shared" si="449"/>
        <v>-10689155.022232119</v>
      </c>
      <c r="AB756" s="612">
        <f t="shared" si="449"/>
        <v>-219666.00286486489</v>
      </c>
      <c r="AC756" s="612">
        <f t="shared" si="449"/>
        <v>0</v>
      </c>
      <c r="AD756" s="612">
        <f t="shared" si="449"/>
        <v>-783466740.81480563</v>
      </c>
    </row>
    <row r="757" spans="2:30" x14ac:dyDescent="0.45">
      <c r="B757" s="831" t="str">
        <f t="shared" si="446"/>
        <v>Comb.</v>
      </c>
      <c r="D757" s="583" t="str">
        <f>'12. Inputs-Props &amp; Debtors 2016'!C$80</f>
        <v>KZN</v>
      </c>
      <c r="F757" s="612">
        <f t="shared" ref="F757:AD757" si="450">(F435+F577)-(F511+F745)</f>
        <v>-50871121.044444449</v>
      </c>
      <c r="G757" s="612">
        <f t="shared" si="450"/>
        <v>-57558593.629444435</v>
      </c>
      <c r="H757" s="612">
        <f t="shared" si="450"/>
        <v>-68664631.99333334</v>
      </c>
      <c r="I757" s="612">
        <f t="shared" si="450"/>
        <v>-68333830.554473817</v>
      </c>
      <c r="J757" s="612">
        <f t="shared" si="450"/>
        <v>-65887506.471090525</v>
      </c>
      <c r="K757" s="612">
        <f t="shared" si="450"/>
        <v>-62946965.58384338</v>
      </c>
      <c r="L757" s="612">
        <f t="shared" si="450"/>
        <v>-62298903.164927401</v>
      </c>
      <c r="M757" s="612">
        <f t="shared" si="450"/>
        <v>-61848324.272219233</v>
      </c>
      <c r="N757" s="612">
        <f t="shared" si="450"/>
        <v>-61150823.495859824</v>
      </c>
      <c r="O757" s="612">
        <f t="shared" si="450"/>
        <v>-60180743.58734142</v>
      </c>
      <c r="P757" s="612">
        <f t="shared" si="450"/>
        <v>-58910351.939518437</v>
      </c>
      <c r="Q757" s="612">
        <f t="shared" si="450"/>
        <v>-57309689.910334095</v>
      </c>
      <c r="R757" s="612">
        <f t="shared" si="450"/>
        <v>-55346411.850116737</v>
      </c>
      <c r="S757" s="612">
        <f t="shared" si="450"/>
        <v>-52985613.155634455</v>
      </c>
      <c r="T757" s="612">
        <f t="shared" si="450"/>
        <v>-50189646.630793676</v>
      </c>
      <c r="U757" s="612">
        <f t="shared" si="450"/>
        <v>-46917926.387849219</v>
      </c>
      <c r="V757" s="612">
        <f t="shared" si="450"/>
        <v>-43126718.474090755</v>
      </c>
      <c r="W757" s="612">
        <f t="shared" si="450"/>
        <v>-38768917.357007094</v>
      </c>
      <c r="X757" s="612">
        <f t="shared" si="450"/>
        <v>-33793807.345715009</v>
      </c>
      <c r="Y757" s="612">
        <f t="shared" si="450"/>
        <v>-28146807.967774194</v>
      </c>
      <c r="Z757" s="612">
        <f t="shared" si="450"/>
        <v>-21769202.25818086</v>
      </c>
      <c r="AA757" s="612">
        <f t="shared" si="450"/>
        <v>-14597846.851114951</v>
      </c>
      <c r="AB757" s="612">
        <f t="shared" si="450"/>
        <v>-43469.278956009039</v>
      </c>
      <c r="AC757" s="612">
        <f t="shared" si="450"/>
        <v>0</v>
      </c>
      <c r="AD757" s="612">
        <f t="shared" si="450"/>
        <v>-944553506.53684115</v>
      </c>
    </row>
    <row r="758" spans="2:30" x14ac:dyDescent="0.45">
      <c r="B758" s="831" t="str">
        <f t="shared" si="446"/>
        <v>Comb.</v>
      </c>
      <c r="D758" s="583" t="str">
        <f>'12. Inputs-Props &amp; Debtors 2016'!C$81</f>
        <v>WC</v>
      </c>
      <c r="F758" s="612">
        <f t="shared" ref="F758:AD758" si="451">(F436+F578)-(F512+F746)</f>
        <v>3646579.8900000006</v>
      </c>
      <c r="G758" s="612">
        <f t="shared" si="451"/>
        <v>5914523.3750000019</v>
      </c>
      <c r="H758" s="612">
        <f t="shared" si="451"/>
        <v>3793660.5200000023</v>
      </c>
      <c r="I758" s="612">
        <f t="shared" si="451"/>
        <v>-296981.87305132486</v>
      </c>
      <c r="J758" s="612">
        <f t="shared" si="451"/>
        <v>-1185226.4662995497</v>
      </c>
      <c r="K758" s="612">
        <f t="shared" si="451"/>
        <v>-2701993.0889131185</v>
      </c>
      <c r="L758" s="612">
        <f t="shared" si="451"/>
        <v>-4919996.0517974235</v>
      </c>
      <c r="M758" s="612">
        <f t="shared" si="451"/>
        <v>-5058942.7246914273</v>
      </c>
      <c r="N758" s="612">
        <f t="shared" si="451"/>
        <v>-5178018.2435189942</v>
      </c>
      <c r="O758" s="612">
        <f t="shared" si="451"/>
        <v>-5274971.7583163055</v>
      </c>
      <c r="P758" s="612">
        <f t="shared" si="451"/>
        <v>-5347364.9358645715</v>
      </c>
      <c r="Q758" s="612">
        <f t="shared" si="451"/>
        <v>-5392558.1453531226</v>
      </c>
      <c r="R758" s="612">
        <f t="shared" si="451"/>
        <v>-5407695.6916023027</v>
      </c>
      <c r="S758" s="612">
        <f t="shared" si="451"/>
        <v>-5389690.0328660645</v>
      </c>
      <c r="T758" s="612">
        <f t="shared" si="451"/>
        <v>-5335204.9161876012</v>
      </c>
      <c r="U758" s="612">
        <f t="shared" si="451"/>
        <v>-5240637.3589799376</v>
      </c>
      <c r="V758" s="612">
        <f t="shared" si="451"/>
        <v>-5102098.4009318044</v>
      </c>
      <c r="W758" s="612">
        <f t="shared" si="451"/>
        <v>-4915392.5454802923</v>
      </c>
      <c r="X758" s="612">
        <f t="shared" si="451"/>
        <v>-4675995.8049281193</v>
      </c>
      <c r="Y758" s="612">
        <f t="shared" si="451"/>
        <v>-4379032.257795942</v>
      </c>
      <c r="Z758" s="612">
        <f t="shared" si="451"/>
        <v>-4019249.0211691251</v>
      </c>
      <c r="AA758" s="612">
        <f t="shared" si="451"/>
        <v>-3590989.5346023208</v>
      </c>
      <c r="AB758" s="612">
        <f t="shared" si="451"/>
        <v>82879.677155486657</v>
      </c>
      <c r="AC758" s="612">
        <f t="shared" si="451"/>
        <v>0</v>
      </c>
      <c r="AD758" s="612">
        <f t="shared" si="451"/>
        <v>-83329159.175193861</v>
      </c>
    </row>
    <row r="759" spans="2:30" x14ac:dyDescent="0.45">
      <c r="B759" s="832" t="str">
        <f t="shared" si="446"/>
        <v>Comb.</v>
      </c>
      <c r="D759" s="596" t="s">
        <v>11</v>
      </c>
      <c r="F759" s="613">
        <f t="shared" ref="F759:AD759" si="452">(F437+F579)-(F513+F747)</f>
        <v>-112639142.49333334</v>
      </c>
      <c r="G759" s="613">
        <f t="shared" si="452"/>
        <v>-120020127.89333332</v>
      </c>
      <c r="H759" s="613">
        <f t="shared" si="452"/>
        <v>-128289183.36000001</v>
      </c>
      <c r="I759" s="613">
        <f t="shared" si="452"/>
        <v>-131948176.67010787</v>
      </c>
      <c r="J759" s="613">
        <f t="shared" si="452"/>
        <v>-128772071.22519906</v>
      </c>
      <c r="K759" s="613">
        <f t="shared" si="452"/>
        <v>-125352126.05131693</v>
      </c>
      <c r="L759" s="613">
        <f t="shared" si="452"/>
        <v>-126956932.24841155</v>
      </c>
      <c r="M759" s="613">
        <f t="shared" si="452"/>
        <v>-126155549.41692396</v>
      </c>
      <c r="N759" s="613">
        <f t="shared" si="452"/>
        <v>-124849979.70312493</v>
      </c>
      <c r="O759" s="613">
        <f t="shared" si="452"/>
        <v>-122987708.90222576</v>
      </c>
      <c r="P759" s="613">
        <f t="shared" si="452"/>
        <v>-120511971.41223007</v>
      </c>
      <c r="Q759" s="613">
        <f t="shared" si="452"/>
        <v>-117361441.43571034</v>
      </c>
      <c r="R759" s="613">
        <f t="shared" si="452"/>
        <v>-113469903.07425649</v>
      </c>
      <c r="S759" s="613">
        <f t="shared" si="452"/>
        <v>-108765897.92790511</v>
      </c>
      <c r="T759" s="613">
        <f t="shared" si="452"/>
        <v>-103172348.7230612</v>
      </c>
      <c r="U759" s="613">
        <f t="shared" si="452"/>
        <v>-96606157.398058683</v>
      </c>
      <c r="V759" s="613">
        <f t="shared" si="452"/>
        <v>-88977775.975225061</v>
      </c>
      <c r="W759" s="613">
        <f t="shared" si="452"/>
        <v>-80190748.441757485</v>
      </c>
      <c r="X759" s="613">
        <f t="shared" si="452"/>
        <v>-70141221.748490617</v>
      </c>
      <c r="Y759" s="613">
        <f t="shared" si="452"/>
        <v>-58717423.915335566</v>
      </c>
      <c r="Z759" s="613">
        <f t="shared" si="452"/>
        <v>-45799107.104352199</v>
      </c>
      <c r="AA759" s="613">
        <f t="shared" si="452"/>
        <v>-31256953.38562502</v>
      </c>
      <c r="AB759" s="613">
        <f t="shared" si="452"/>
        <v>-292672.82400684012</v>
      </c>
      <c r="AC759" s="613">
        <f t="shared" si="452"/>
        <v>0</v>
      </c>
      <c r="AD759" s="613">
        <f t="shared" si="452"/>
        <v>-1922286167.5833249</v>
      </c>
    </row>
    <row r="762" spans="2:30" x14ac:dyDescent="0.45">
      <c r="B762" s="774" t="s">
        <v>1038</v>
      </c>
      <c r="C762" s="451">
        <f>C753+1</f>
        <v>79</v>
      </c>
      <c r="D762" s="451" t="s">
        <v>1313</v>
      </c>
    </row>
    <row r="763" spans="2:30" x14ac:dyDescent="0.45">
      <c r="B763" s="775" t="str">
        <f t="shared" ref="B763:B768" si="453">B762</f>
        <v>HSDG</v>
      </c>
      <c r="D763" s="583" t="str">
        <f>'12. Inputs-Props &amp; Debtors 2016'!C$77</f>
        <v>EC</v>
      </c>
      <c r="F763" s="614">
        <f>'11. Table - Expenditure Review'!I205</f>
        <v>2523803000</v>
      </c>
      <c r="G763" s="614">
        <f>'11. Table - Expenditure Review'!J205</f>
        <v>2392718000</v>
      </c>
      <c r="H763" s="614">
        <f>'11. Table - Expenditure Review'!K205</f>
        <v>2462372000</v>
      </c>
      <c r="I763" s="612">
        <f t="shared" ref="I763:AC763" si="454">H763</f>
        <v>2462372000</v>
      </c>
      <c r="J763" s="612">
        <f t="shared" si="454"/>
        <v>2462372000</v>
      </c>
      <c r="K763" s="612">
        <f t="shared" si="454"/>
        <v>2462372000</v>
      </c>
      <c r="L763" s="612">
        <f t="shared" si="454"/>
        <v>2462372000</v>
      </c>
      <c r="M763" s="612">
        <f t="shared" si="454"/>
        <v>2462372000</v>
      </c>
      <c r="N763" s="612">
        <f t="shared" si="454"/>
        <v>2462372000</v>
      </c>
      <c r="O763" s="612">
        <f t="shared" si="454"/>
        <v>2462372000</v>
      </c>
      <c r="P763" s="612">
        <f t="shared" si="454"/>
        <v>2462372000</v>
      </c>
      <c r="Q763" s="612">
        <f t="shared" si="454"/>
        <v>2462372000</v>
      </c>
      <c r="R763" s="612">
        <f t="shared" si="454"/>
        <v>2462372000</v>
      </c>
      <c r="S763" s="612">
        <f t="shared" si="454"/>
        <v>2462372000</v>
      </c>
      <c r="T763" s="612">
        <f t="shared" si="454"/>
        <v>2462372000</v>
      </c>
      <c r="U763" s="612">
        <f t="shared" si="454"/>
        <v>2462372000</v>
      </c>
      <c r="V763" s="612">
        <f t="shared" si="454"/>
        <v>2462372000</v>
      </c>
      <c r="W763" s="612">
        <f t="shared" si="454"/>
        <v>2462372000</v>
      </c>
      <c r="X763" s="612">
        <f t="shared" si="454"/>
        <v>2462372000</v>
      </c>
      <c r="Y763" s="612">
        <f t="shared" si="454"/>
        <v>2462372000</v>
      </c>
      <c r="Z763" s="612">
        <f t="shared" si="454"/>
        <v>2462372000</v>
      </c>
      <c r="AA763" s="612">
        <f t="shared" si="454"/>
        <v>2462372000</v>
      </c>
      <c r="AB763" s="612">
        <f t="shared" si="454"/>
        <v>2462372000</v>
      </c>
      <c r="AC763" s="612">
        <f t="shared" si="454"/>
        <v>2462372000</v>
      </c>
      <c r="AD763" s="612">
        <f>SUM(F763:AC763)</f>
        <v>59088705000</v>
      </c>
    </row>
    <row r="764" spans="2:30" x14ac:dyDescent="0.45">
      <c r="B764" s="775" t="str">
        <f t="shared" si="453"/>
        <v>HSDG</v>
      </c>
      <c r="D764" s="583" t="str">
        <f>'12. Inputs-Props &amp; Debtors 2016'!C$78</f>
        <v>FS</v>
      </c>
      <c r="F764" s="614">
        <f>'11. Table - Expenditure Review'!L205</f>
        <v>1350936000</v>
      </c>
      <c r="G764" s="614">
        <f>'11. Table - Expenditure Review'!M205</f>
        <v>1061756000</v>
      </c>
      <c r="H764" s="614">
        <f>'11. Table - Expenditure Review'!N205</f>
        <v>1057284000</v>
      </c>
      <c r="I764" s="612">
        <f t="shared" ref="I764:AC764" si="455">H764</f>
        <v>1057284000</v>
      </c>
      <c r="J764" s="612">
        <f t="shared" si="455"/>
        <v>1057284000</v>
      </c>
      <c r="K764" s="612">
        <f t="shared" si="455"/>
        <v>1057284000</v>
      </c>
      <c r="L764" s="612">
        <f t="shared" si="455"/>
        <v>1057284000</v>
      </c>
      <c r="M764" s="612">
        <f t="shared" si="455"/>
        <v>1057284000</v>
      </c>
      <c r="N764" s="612">
        <f t="shared" si="455"/>
        <v>1057284000</v>
      </c>
      <c r="O764" s="612">
        <f t="shared" si="455"/>
        <v>1057284000</v>
      </c>
      <c r="P764" s="612">
        <f t="shared" si="455"/>
        <v>1057284000</v>
      </c>
      <c r="Q764" s="612">
        <f t="shared" si="455"/>
        <v>1057284000</v>
      </c>
      <c r="R764" s="612">
        <f t="shared" si="455"/>
        <v>1057284000</v>
      </c>
      <c r="S764" s="612">
        <f t="shared" si="455"/>
        <v>1057284000</v>
      </c>
      <c r="T764" s="612">
        <f t="shared" si="455"/>
        <v>1057284000</v>
      </c>
      <c r="U764" s="612">
        <f t="shared" si="455"/>
        <v>1057284000</v>
      </c>
      <c r="V764" s="612">
        <f t="shared" si="455"/>
        <v>1057284000</v>
      </c>
      <c r="W764" s="612">
        <f t="shared" si="455"/>
        <v>1057284000</v>
      </c>
      <c r="X764" s="612">
        <f t="shared" si="455"/>
        <v>1057284000</v>
      </c>
      <c r="Y764" s="612">
        <f t="shared" si="455"/>
        <v>1057284000</v>
      </c>
      <c r="Z764" s="612">
        <f t="shared" si="455"/>
        <v>1057284000</v>
      </c>
      <c r="AA764" s="612">
        <f t="shared" si="455"/>
        <v>1057284000</v>
      </c>
      <c r="AB764" s="612">
        <f t="shared" si="455"/>
        <v>1057284000</v>
      </c>
      <c r="AC764" s="612">
        <f t="shared" si="455"/>
        <v>1057284000</v>
      </c>
      <c r="AD764" s="612">
        <f>SUM(F764:AC764)</f>
        <v>25672940000</v>
      </c>
    </row>
    <row r="765" spans="2:30" x14ac:dyDescent="0.45">
      <c r="B765" s="775" t="str">
        <f t="shared" si="453"/>
        <v>HSDG</v>
      </c>
      <c r="D765" s="583" t="str">
        <f>'12. Inputs-Props &amp; Debtors 2016'!C$79</f>
        <v>Gau</v>
      </c>
      <c r="F765" s="614">
        <f>'11. Table - Expenditure Review'!O205</f>
        <v>4108399000</v>
      </c>
      <c r="G765" s="614">
        <f>'11. Table - Expenditure Review'!P205</f>
        <v>4417641000</v>
      </c>
      <c r="H765" s="614">
        <f>'11. Table - Expenditure Review'!Q205</f>
        <v>4071467000</v>
      </c>
      <c r="I765" s="612">
        <f t="shared" ref="I765:AC765" si="456">H765</f>
        <v>4071467000</v>
      </c>
      <c r="J765" s="612">
        <f t="shared" si="456"/>
        <v>4071467000</v>
      </c>
      <c r="K765" s="612">
        <f t="shared" si="456"/>
        <v>4071467000</v>
      </c>
      <c r="L765" s="612">
        <f t="shared" si="456"/>
        <v>4071467000</v>
      </c>
      <c r="M765" s="612">
        <f t="shared" si="456"/>
        <v>4071467000</v>
      </c>
      <c r="N765" s="612">
        <f t="shared" si="456"/>
        <v>4071467000</v>
      </c>
      <c r="O765" s="612">
        <f t="shared" si="456"/>
        <v>4071467000</v>
      </c>
      <c r="P765" s="612">
        <f t="shared" si="456"/>
        <v>4071467000</v>
      </c>
      <c r="Q765" s="612">
        <f t="shared" si="456"/>
        <v>4071467000</v>
      </c>
      <c r="R765" s="612">
        <f t="shared" si="456"/>
        <v>4071467000</v>
      </c>
      <c r="S765" s="612">
        <f t="shared" si="456"/>
        <v>4071467000</v>
      </c>
      <c r="T765" s="612">
        <f t="shared" si="456"/>
        <v>4071467000</v>
      </c>
      <c r="U765" s="612">
        <f t="shared" si="456"/>
        <v>4071467000</v>
      </c>
      <c r="V765" s="612">
        <f t="shared" si="456"/>
        <v>4071467000</v>
      </c>
      <c r="W765" s="612">
        <f t="shared" si="456"/>
        <v>4071467000</v>
      </c>
      <c r="X765" s="612">
        <f t="shared" si="456"/>
        <v>4071467000</v>
      </c>
      <c r="Y765" s="612">
        <f t="shared" si="456"/>
        <v>4071467000</v>
      </c>
      <c r="Z765" s="612">
        <f t="shared" si="456"/>
        <v>4071467000</v>
      </c>
      <c r="AA765" s="612">
        <f t="shared" si="456"/>
        <v>4071467000</v>
      </c>
      <c r="AB765" s="612">
        <f t="shared" si="456"/>
        <v>4071467000</v>
      </c>
      <c r="AC765" s="612">
        <f t="shared" si="456"/>
        <v>4071467000</v>
      </c>
      <c r="AD765" s="612">
        <f>SUM(F765:AC765)</f>
        <v>98098314000</v>
      </c>
    </row>
    <row r="766" spans="2:30" x14ac:dyDescent="0.45">
      <c r="B766" s="775" t="str">
        <f t="shared" si="453"/>
        <v>HSDG</v>
      </c>
      <c r="D766" s="583" t="str">
        <f>'12. Inputs-Props &amp; Debtors 2016'!C$80</f>
        <v>KZN</v>
      </c>
      <c r="F766" s="614">
        <f>'11. Table - Expenditure Review'!R205</f>
        <v>3332584000</v>
      </c>
      <c r="G766" s="614">
        <f>'11. Table - Expenditure Review'!S205</f>
        <v>3509045000</v>
      </c>
      <c r="H766" s="614">
        <f>'11. Table - Expenditure Review'!T205</f>
        <v>3543852000</v>
      </c>
      <c r="I766" s="612">
        <f t="shared" ref="I766:AC766" si="457">H766</f>
        <v>3543852000</v>
      </c>
      <c r="J766" s="612">
        <f t="shared" si="457"/>
        <v>3543852000</v>
      </c>
      <c r="K766" s="612">
        <f t="shared" si="457"/>
        <v>3543852000</v>
      </c>
      <c r="L766" s="612">
        <f t="shared" si="457"/>
        <v>3543852000</v>
      </c>
      <c r="M766" s="612">
        <f t="shared" si="457"/>
        <v>3543852000</v>
      </c>
      <c r="N766" s="612">
        <f t="shared" si="457"/>
        <v>3543852000</v>
      </c>
      <c r="O766" s="612">
        <f t="shared" si="457"/>
        <v>3543852000</v>
      </c>
      <c r="P766" s="612">
        <f t="shared" si="457"/>
        <v>3543852000</v>
      </c>
      <c r="Q766" s="612">
        <f t="shared" si="457"/>
        <v>3543852000</v>
      </c>
      <c r="R766" s="612">
        <f t="shared" si="457"/>
        <v>3543852000</v>
      </c>
      <c r="S766" s="612">
        <f t="shared" si="457"/>
        <v>3543852000</v>
      </c>
      <c r="T766" s="612">
        <f t="shared" si="457"/>
        <v>3543852000</v>
      </c>
      <c r="U766" s="612">
        <f t="shared" si="457"/>
        <v>3543852000</v>
      </c>
      <c r="V766" s="612">
        <f t="shared" si="457"/>
        <v>3543852000</v>
      </c>
      <c r="W766" s="612">
        <f t="shared" si="457"/>
        <v>3543852000</v>
      </c>
      <c r="X766" s="612">
        <f t="shared" si="457"/>
        <v>3543852000</v>
      </c>
      <c r="Y766" s="612">
        <f t="shared" si="457"/>
        <v>3543852000</v>
      </c>
      <c r="Z766" s="612">
        <f t="shared" si="457"/>
        <v>3543852000</v>
      </c>
      <c r="AA766" s="612">
        <f t="shared" si="457"/>
        <v>3543852000</v>
      </c>
      <c r="AB766" s="612">
        <f t="shared" si="457"/>
        <v>3543852000</v>
      </c>
      <c r="AC766" s="612">
        <f t="shared" si="457"/>
        <v>3543852000</v>
      </c>
      <c r="AD766" s="612">
        <f>SUM(F766:AC766)</f>
        <v>84806373000</v>
      </c>
    </row>
    <row r="767" spans="2:30" x14ac:dyDescent="0.45">
      <c r="B767" s="775" t="str">
        <f t="shared" si="453"/>
        <v>HSDG</v>
      </c>
      <c r="D767" s="583" t="str">
        <f>'12. Inputs-Props &amp; Debtors 2016'!C$81</f>
        <v>WC</v>
      </c>
      <c r="F767" s="614">
        <f>'11. Table - Expenditure Review'!U205</f>
        <v>1959237000</v>
      </c>
      <c r="G767" s="614">
        <f>'11. Table - Expenditure Review'!V205</f>
        <v>1934936000</v>
      </c>
      <c r="H767" s="614">
        <f>'11. Table - Expenditure Review'!W205</f>
        <v>1975122000</v>
      </c>
      <c r="I767" s="612">
        <f t="shared" ref="I767:AC767" si="458">H767</f>
        <v>1975122000</v>
      </c>
      <c r="J767" s="612">
        <f t="shared" si="458"/>
        <v>1975122000</v>
      </c>
      <c r="K767" s="612">
        <f t="shared" si="458"/>
        <v>1975122000</v>
      </c>
      <c r="L767" s="612">
        <f t="shared" si="458"/>
        <v>1975122000</v>
      </c>
      <c r="M767" s="612">
        <f t="shared" si="458"/>
        <v>1975122000</v>
      </c>
      <c r="N767" s="612">
        <f t="shared" si="458"/>
        <v>1975122000</v>
      </c>
      <c r="O767" s="612">
        <f t="shared" si="458"/>
        <v>1975122000</v>
      </c>
      <c r="P767" s="612">
        <f t="shared" si="458"/>
        <v>1975122000</v>
      </c>
      <c r="Q767" s="612">
        <f t="shared" si="458"/>
        <v>1975122000</v>
      </c>
      <c r="R767" s="612">
        <f t="shared" si="458"/>
        <v>1975122000</v>
      </c>
      <c r="S767" s="612">
        <f t="shared" si="458"/>
        <v>1975122000</v>
      </c>
      <c r="T767" s="612">
        <f t="shared" si="458"/>
        <v>1975122000</v>
      </c>
      <c r="U767" s="612">
        <f t="shared" si="458"/>
        <v>1975122000</v>
      </c>
      <c r="V767" s="612">
        <f t="shared" si="458"/>
        <v>1975122000</v>
      </c>
      <c r="W767" s="612">
        <f t="shared" si="458"/>
        <v>1975122000</v>
      </c>
      <c r="X767" s="612">
        <f t="shared" si="458"/>
        <v>1975122000</v>
      </c>
      <c r="Y767" s="612">
        <f t="shared" si="458"/>
        <v>1975122000</v>
      </c>
      <c r="Z767" s="612">
        <f t="shared" si="458"/>
        <v>1975122000</v>
      </c>
      <c r="AA767" s="612">
        <f t="shared" si="458"/>
        <v>1975122000</v>
      </c>
      <c r="AB767" s="612">
        <f t="shared" si="458"/>
        <v>1975122000</v>
      </c>
      <c r="AC767" s="612">
        <f t="shared" si="458"/>
        <v>1975122000</v>
      </c>
      <c r="AD767" s="612">
        <f>SUM(F767:AC767)</f>
        <v>47346857000</v>
      </c>
    </row>
    <row r="768" spans="2:30" x14ac:dyDescent="0.45">
      <c r="B768" s="776" t="str">
        <f t="shared" si="453"/>
        <v>HSDG</v>
      </c>
      <c r="D768" s="596" t="s">
        <v>11</v>
      </c>
      <c r="F768" s="613">
        <f>SUM(F763:F767)</f>
        <v>13274959000</v>
      </c>
      <c r="G768" s="613">
        <f>SUM(G763:G767)</f>
        <v>13316096000</v>
      </c>
      <c r="H768" s="613">
        <f>SUM(H763:H767)</f>
        <v>13110097000</v>
      </c>
      <c r="I768" s="613">
        <f>SUM(I763:I767)</f>
        <v>13110097000</v>
      </c>
      <c r="J768" s="613">
        <f t="shared" ref="J768:AD768" si="459">SUM(J763:J767)</f>
        <v>13110097000</v>
      </c>
      <c r="K768" s="613">
        <f t="shared" si="459"/>
        <v>13110097000</v>
      </c>
      <c r="L768" s="613">
        <f t="shared" si="459"/>
        <v>13110097000</v>
      </c>
      <c r="M768" s="613">
        <f t="shared" si="459"/>
        <v>13110097000</v>
      </c>
      <c r="N768" s="613">
        <f t="shared" si="459"/>
        <v>13110097000</v>
      </c>
      <c r="O768" s="613">
        <f t="shared" si="459"/>
        <v>13110097000</v>
      </c>
      <c r="P768" s="613">
        <f t="shared" si="459"/>
        <v>13110097000</v>
      </c>
      <c r="Q768" s="613">
        <f t="shared" si="459"/>
        <v>13110097000</v>
      </c>
      <c r="R768" s="613">
        <f t="shared" ref="R768:AB768" si="460">SUM(R763:R767)</f>
        <v>13110097000</v>
      </c>
      <c r="S768" s="613">
        <f t="shared" si="460"/>
        <v>13110097000</v>
      </c>
      <c r="T768" s="613">
        <f t="shared" si="460"/>
        <v>13110097000</v>
      </c>
      <c r="U768" s="613">
        <f t="shared" si="460"/>
        <v>13110097000</v>
      </c>
      <c r="V768" s="613">
        <f t="shared" si="460"/>
        <v>13110097000</v>
      </c>
      <c r="W768" s="613">
        <f t="shared" si="460"/>
        <v>13110097000</v>
      </c>
      <c r="X768" s="613">
        <f t="shared" si="460"/>
        <v>13110097000</v>
      </c>
      <c r="Y768" s="613">
        <f t="shared" si="460"/>
        <v>13110097000</v>
      </c>
      <c r="Z768" s="613">
        <f t="shared" si="460"/>
        <v>13110097000</v>
      </c>
      <c r="AA768" s="613">
        <f t="shared" si="460"/>
        <v>13110097000</v>
      </c>
      <c r="AB768" s="613">
        <f t="shared" si="460"/>
        <v>13110097000</v>
      </c>
      <c r="AC768" s="613">
        <f t="shared" si="459"/>
        <v>13110097000</v>
      </c>
      <c r="AD768" s="613">
        <f t="shared" si="459"/>
        <v>315013189000</v>
      </c>
    </row>
    <row r="771" spans="2:30" x14ac:dyDescent="0.45">
      <c r="B771" s="944" t="s">
        <v>400</v>
      </c>
      <c r="D771" s="591" t="str">
        <f>'11. Table - Expenditure Review'!E209</f>
        <v>Ratios</v>
      </c>
      <c r="F771" s="786">
        <f>'11. Table - Expenditure Review'!F209</f>
        <v>0</v>
      </c>
      <c r="G771" s="786">
        <f>'11. Table - Expenditure Review'!G209</f>
        <v>0</v>
      </c>
      <c r="H771" s="786">
        <f>'11. Table - Expenditure Review'!H209</f>
        <v>0</v>
      </c>
    </row>
    <row r="772" spans="2:30" x14ac:dyDescent="0.45">
      <c r="B772" s="945" t="str">
        <f t="shared" ref="B772:B904" si="461">B771</f>
        <v>Ratios</v>
      </c>
      <c r="C772" s="451" t="str">
        <f>'11. Table - Expenditure Review'!C210</f>
        <v>E1.43</v>
      </c>
      <c r="D772" s="583" t="str">
        <f>'11. Table - Expenditure Review'!E210</f>
        <v>Sales &amp; Loans Collections/Sales &amp; Loans Raised</v>
      </c>
      <c r="F772" s="786">
        <f>'11. Table - Expenditure Review'!F$210</f>
        <v>0.12911491713184367</v>
      </c>
      <c r="G772" s="786">
        <f>'11. Table - Expenditure Review'!G$210</f>
        <v>0.2262622956784065</v>
      </c>
      <c r="H772" s="786">
        <f>'11. Table - Expenditure Review'!H$210</f>
        <v>0.24001823843768713</v>
      </c>
    </row>
    <row r="773" spans="2:30" x14ac:dyDescent="0.45">
      <c r="B773" s="945" t="str">
        <f t="shared" si="461"/>
        <v>Ratios</v>
      </c>
      <c r="D773" s="583" t="str">
        <f>'12. Inputs-Props &amp; Debtors 2016'!C$77</f>
        <v>EC</v>
      </c>
      <c r="F773" s="786">
        <f>'11. Table - Expenditure Review'!I$210</f>
        <v>8.2142341369943306E-2</v>
      </c>
      <c r="G773" s="786">
        <f>'11. Table - Expenditure Review'!J$210</f>
        <v>0.53381492294990063</v>
      </c>
      <c r="H773" s="786">
        <f>'11. Table - Expenditure Review'!K$210</f>
        <v>0.39757553272276625</v>
      </c>
      <c r="I773" s="770">
        <f t="shared" ref="I773:AD773" si="462">IF(I423&lt;&gt;0,I432/I423,0)</f>
        <v>0.34269458893714638</v>
      </c>
      <c r="J773" s="770">
        <f t="shared" si="462"/>
        <v>0.34269458893714638</v>
      </c>
      <c r="K773" s="770">
        <f t="shared" si="462"/>
        <v>0.34269458893714638</v>
      </c>
      <c r="L773" s="770">
        <f t="shared" si="462"/>
        <v>0.34269458893714638</v>
      </c>
      <c r="M773" s="770">
        <f t="shared" si="462"/>
        <v>0.34269458893714638</v>
      </c>
      <c r="N773" s="770">
        <f t="shared" si="462"/>
        <v>0.34269458893714638</v>
      </c>
      <c r="O773" s="770">
        <f t="shared" si="462"/>
        <v>0.34269458893714638</v>
      </c>
      <c r="P773" s="770">
        <f t="shared" si="462"/>
        <v>0.34269458893714638</v>
      </c>
      <c r="Q773" s="770">
        <f t="shared" si="462"/>
        <v>0.34269458893714638</v>
      </c>
      <c r="R773" s="770">
        <f t="shared" si="462"/>
        <v>0.34269458893714638</v>
      </c>
      <c r="S773" s="770">
        <f t="shared" si="462"/>
        <v>0.34269458893714638</v>
      </c>
      <c r="T773" s="770">
        <f t="shared" si="462"/>
        <v>0.34269458893714638</v>
      </c>
      <c r="U773" s="770">
        <f t="shared" si="462"/>
        <v>0.34269458893714638</v>
      </c>
      <c r="V773" s="770">
        <f t="shared" si="462"/>
        <v>0.34269458893714638</v>
      </c>
      <c r="W773" s="770">
        <f t="shared" si="462"/>
        <v>0.34269458893714638</v>
      </c>
      <c r="X773" s="770">
        <f t="shared" si="462"/>
        <v>0.34269458893714638</v>
      </c>
      <c r="Y773" s="770">
        <f t="shared" si="462"/>
        <v>0.34269458893714638</v>
      </c>
      <c r="Z773" s="770">
        <f t="shared" si="462"/>
        <v>0.34269458893714638</v>
      </c>
      <c r="AA773" s="770">
        <f t="shared" si="462"/>
        <v>0.34269458893714638</v>
      </c>
      <c r="AB773" s="770">
        <f t="shared" si="462"/>
        <v>0.34269458893714638</v>
      </c>
      <c r="AC773" s="770">
        <f t="shared" si="462"/>
        <v>0</v>
      </c>
      <c r="AD773" s="770">
        <f t="shared" si="462"/>
        <v>0.34269458893714655</v>
      </c>
    </row>
    <row r="774" spans="2:30" x14ac:dyDescent="0.45">
      <c r="B774" s="945" t="str">
        <f t="shared" si="461"/>
        <v>Ratios</v>
      </c>
      <c r="D774" s="583" t="str">
        <f>'12. Inputs-Props &amp; Debtors 2016'!C$78</f>
        <v>FS</v>
      </c>
      <c r="F774" s="786">
        <f>'11. Table - Expenditure Review'!L$210</f>
        <v>0</v>
      </c>
      <c r="G774" s="786">
        <f>'11. Table - Expenditure Review'!M$210</f>
        <v>0</v>
      </c>
      <c r="H774" s="786">
        <f>'11. Table - Expenditure Review'!N$210</f>
        <v>0</v>
      </c>
      <c r="I774" s="770">
        <f t="shared" ref="I774:AD774" si="463">IF(I424&lt;&gt;0,I433/I424,0)</f>
        <v>0.15120772946859903</v>
      </c>
      <c r="J774" s="770">
        <f t="shared" si="463"/>
        <v>0.15120772946859903</v>
      </c>
      <c r="K774" s="770">
        <f t="shared" si="463"/>
        <v>0.15120772946859903</v>
      </c>
      <c r="L774" s="770">
        <f t="shared" si="463"/>
        <v>0.15120772946859903</v>
      </c>
      <c r="M774" s="770">
        <f t="shared" si="463"/>
        <v>0.15120772946859903</v>
      </c>
      <c r="N774" s="770">
        <f t="shared" si="463"/>
        <v>0.15120772946859903</v>
      </c>
      <c r="O774" s="770">
        <f t="shared" si="463"/>
        <v>0.15120772946859903</v>
      </c>
      <c r="P774" s="770">
        <f t="shared" si="463"/>
        <v>0.15120772946859903</v>
      </c>
      <c r="Q774" s="770">
        <f t="shared" si="463"/>
        <v>0.15120772946859903</v>
      </c>
      <c r="R774" s="770">
        <f t="shared" si="463"/>
        <v>0.15120772946859903</v>
      </c>
      <c r="S774" s="770">
        <f t="shared" si="463"/>
        <v>0.15120772946859903</v>
      </c>
      <c r="T774" s="770">
        <f t="shared" si="463"/>
        <v>0.15120772946859903</v>
      </c>
      <c r="U774" s="770">
        <f t="shared" si="463"/>
        <v>0.15120772946859903</v>
      </c>
      <c r="V774" s="770">
        <f t="shared" si="463"/>
        <v>0.15120772946859903</v>
      </c>
      <c r="W774" s="770">
        <f t="shared" si="463"/>
        <v>0.15120772946859903</v>
      </c>
      <c r="X774" s="770">
        <f t="shared" si="463"/>
        <v>0.15120772946859903</v>
      </c>
      <c r="Y774" s="770">
        <f t="shared" si="463"/>
        <v>0.15120772946859903</v>
      </c>
      <c r="Z774" s="770">
        <f t="shared" si="463"/>
        <v>0.15120772946859903</v>
      </c>
      <c r="AA774" s="770">
        <f t="shared" si="463"/>
        <v>0.15120772946859903</v>
      </c>
      <c r="AB774" s="770">
        <f t="shared" si="463"/>
        <v>0.15120772946859903</v>
      </c>
      <c r="AC774" s="770">
        <f t="shared" si="463"/>
        <v>0</v>
      </c>
      <c r="AD774" s="770">
        <f t="shared" si="463"/>
        <v>0.15120772946859901</v>
      </c>
    </row>
    <row r="775" spans="2:30" x14ac:dyDescent="0.45">
      <c r="B775" s="945" t="str">
        <f t="shared" si="461"/>
        <v>Ratios</v>
      </c>
      <c r="D775" s="583" t="str">
        <f>'12. Inputs-Props &amp; Debtors 2016'!C$79</f>
        <v>Gau</v>
      </c>
      <c r="F775" s="786">
        <f>'11. Table - Expenditure Review'!O$210</f>
        <v>1.4473657586976172E-2</v>
      </c>
      <c r="G775" s="786">
        <f>'11. Table - Expenditure Review'!P$210</f>
        <v>5.4457768087850366E-3</v>
      </c>
      <c r="H775" s="786">
        <f>'11. Table - Expenditure Review'!Q$210</f>
        <v>8.6890375017410773E-2</v>
      </c>
      <c r="I775" s="770">
        <f t="shared" ref="I775:AD775" si="464">IF(I425&lt;&gt;0,I434/I425,0)</f>
        <v>3.0922742629526503E-2</v>
      </c>
      <c r="J775" s="770">
        <f t="shared" si="464"/>
        <v>3.0922742629526503E-2</v>
      </c>
      <c r="K775" s="770">
        <f t="shared" si="464"/>
        <v>3.0922742629526503E-2</v>
      </c>
      <c r="L775" s="770">
        <f t="shared" si="464"/>
        <v>3.0922742629526503E-2</v>
      </c>
      <c r="M775" s="770">
        <f t="shared" si="464"/>
        <v>3.0922742629526503E-2</v>
      </c>
      <c r="N775" s="770">
        <f t="shared" si="464"/>
        <v>3.0922742629526503E-2</v>
      </c>
      <c r="O775" s="770">
        <f t="shared" si="464"/>
        <v>3.0922742629526503E-2</v>
      </c>
      <c r="P775" s="770">
        <f t="shared" si="464"/>
        <v>3.0922742629526503E-2</v>
      </c>
      <c r="Q775" s="770">
        <f t="shared" si="464"/>
        <v>3.0922742629526503E-2</v>
      </c>
      <c r="R775" s="770">
        <f t="shared" si="464"/>
        <v>3.0922742629526503E-2</v>
      </c>
      <c r="S775" s="770">
        <f t="shared" si="464"/>
        <v>3.0922742629526503E-2</v>
      </c>
      <c r="T775" s="770">
        <f t="shared" si="464"/>
        <v>3.0922742629526503E-2</v>
      </c>
      <c r="U775" s="770">
        <f t="shared" si="464"/>
        <v>3.0922742629526503E-2</v>
      </c>
      <c r="V775" s="770">
        <f t="shared" si="464"/>
        <v>3.0922742629526503E-2</v>
      </c>
      <c r="W775" s="770">
        <f t="shared" si="464"/>
        <v>3.0922742629526503E-2</v>
      </c>
      <c r="X775" s="770">
        <f t="shared" si="464"/>
        <v>3.0922742629526503E-2</v>
      </c>
      <c r="Y775" s="770">
        <f t="shared" si="464"/>
        <v>3.0922742629526503E-2</v>
      </c>
      <c r="Z775" s="770">
        <f t="shared" si="464"/>
        <v>3.0922742629526503E-2</v>
      </c>
      <c r="AA775" s="770">
        <f t="shared" si="464"/>
        <v>3.0922742629526503E-2</v>
      </c>
      <c r="AB775" s="770">
        <f t="shared" si="464"/>
        <v>3.0922742629526507E-2</v>
      </c>
      <c r="AC775" s="770">
        <f t="shared" si="464"/>
        <v>0</v>
      </c>
      <c r="AD775" s="770">
        <f t="shared" si="464"/>
        <v>3.0922742629526517E-2</v>
      </c>
    </row>
    <row r="776" spans="2:30" x14ac:dyDescent="0.45">
      <c r="B776" s="945" t="str">
        <f t="shared" si="461"/>
        <v>Ratios</v>
      </c>
      <c r="D776" s="583" t="str">
        <f>'12. Inputs-Props &amp; Debtors 2016'!C$80</f>
        <v>KZN</v>
      </c>
      <c r="F776" s="786">
        <f>'11. Table - Expenditure Review'!R$210</f>
        <v>3.5148162681969602E-2</v>
      </c>
      <c r="G776" s="786">
        <f>'11. Table - Expenditure Review'!S$210</f>
        <v>7.2026885887480532E-2</v>
      </c>
      <c r="H776" s="786">
        <f>'11. Table - Expenditure Review'!T$210</f>
        <v>5.9197853837512041E-2</v>
      </c>
      <c r="I776" s="770">
        <f t="shared" ref="I776:AD776" si="465">IF(I426&lt;&gt;0,I435/I426,0)</f>
        <v>5.3213104553193342E-2</v>
      </c>
      <c r="J776" s="770">
        <f t="shared" si="465"/>
        <v>5.3213104553193342E-2</v>
      </c>
      <c r="K776" s="770">
        <f t="shared" si="465"/>
        <v>5.3213104553193342E-2</v>
      </c>
      <c r="L776" s="770">
        <f t="shared" si="465"/>
        <v>5.3213104553193342E-2</v>
      </c>
      <c r="M776" s="770">
        <f t="shared" si="465"/>
        <v>5.3213104553193342E-2</v>
      </c>
      <c r="N776" s="770">
        <f t="shared" si="465"/>
        <v>5.3213104553193342E-2</v>
      </c>
      <c r="O776" s="770">
        <f t="shared" si="465"/>
        <v>5.3213104553193342E-2</v>
      </c>
      <c r="P776" s="770">
        <f t="shared" si="465"/>
        <v>5.3213104553193342E-2</v>
      </c>
      <c r="Q776" s="770">
        <f t="shared" si="465"/>
        <v>5.3213104553193342E-2</v>
      </c>
      <c r="R776" s="770">
        <f t="shared" si="465"/>
        <v>5.3213104553193342E-2</v>
      </c>
      <c r="S776" s="770">
        <f t="shared" si="465"/>
        <v>5.3213104553193342E-2</v>
      </c>
      <c r="T776" s="770">
        <f t="shared" si="465"/>
        <v>5.3213104553193342E-2</v>
      </c>
      <c r="U776" s="770">
        <f t="shared" si="465"/>
        <v>5.3213104553193342E-2</v>
      </c>
      <c r="V776" s="770">
        <f t="shared" si="465"/>
        <v>5.3213104553193342E-2</v>
      </c>
      <c r="W776" s="770">
        <f t="shared" si="465"/>
        <v>5.3213104553193342E-2</v>
      </c>
      <c r="X776" s="770">
        <f t="shared" si="465"/>
        <v>5.3213104553193342E-2</v>
      </c>
      <c r="Y776" s="770">
        <f t="shared" si="465"/>
        <v>5.3213104553193342E-2</v>
      </c>
      <c r="Z776" s="770">
        <f t="shared" si="465"/>
        <v>5.3213104553193342E-2</v>
      </c>
      <c r="AA776" s="770">
        <f t="shared" si="465"/>
        <v>5.3213104553193342E-2</v>
      </c>
      <c r="AB776" s="770">
        <f t="shared" si="465"/>
        <v>5.3213104553193342E-2</v>
      </c>
      <c r="AC776" s="770">
        <f t="shared" si="465"/>
        <v>0</v>
      </c>
      <c r="AD776" s="770">
        <f t="shared" si="465"/>
        <v>5.3213104553193322E-2</v>
      </c>
    </row>
    <row r="777" spans="2:30" x14ac:dyDescent="0.45">
      <c r="B777" s="945" t="str">
        <f t="shared" si="461"/>
        <v>Ratios</v>
      </c>
      <c r="D777" s="583" t="str">
        <f>'12. Inputs-Props &amp; Debtors 2016'!C$81</f>
        <v>WC</v>
      </c>
      <c r="F777" s="786">
        <f>'11. Table - Expenditure Review'!U$210</f>
        <v>0.35548862450798441</v>
      </c>
      <c r="G777" s="786">
        <f>'11. Table - Expenditure Review'!V$210</f>
        <v>0.71374387922892613</v>
      </c>
      <c r="H777" s="786">
        <f>'11. Table - Expenditure Review'!W$210</f>
        <v>0.89195679373474301</v>
      </c>
      <c r="I777" s="770">
        <f t="shared" ref="I777:AD777" si="466">IF(I427&lt;&gt;0,I436/I427,0)</f>
        <v>0.57241715694381878</v>
      </c>
      <c r="J777" s="770">
        <f t="shared" si="466"/>
        <v>0.57241715694381878</v>
      </c>
      <c r="K777" s="770">
        <f t="shared" si="466"/>
        <v>0.57241715694381878</v>
      </c>
      <c r="L777" s="770">
        <f t="shared" si="466"/>
        <v>0.57241715694381878</v>
      </c>
      <c r="M777" s="770">
        <f t="shared" si="466"/>
        <v>0.57241715694381878</v>
      </c>
      <c r="N777" s="770">
        <f t="shared" si="466"/>
        <v>0.57241715694381878</v>
      </c>
      <c r="O777" s="770">
        <f t="shared" si="466"/>
        <v>0.57241715694381878</v>
      </c>
      <c r="P777" s="770">
        <f t="shared" si="466"/>
        <v>0.57241715694381878</v>
      </c>
      <c r="Q777" s="770">
        <f t="shared" si="466"/>
        <v>0.57241715694381878</v>
      </c>
      <c r="R777" s="770">
        <f t="shared" si="466"/>
        <v>0.57241715694381878</v>
      </c>
      <c r="S777" s="770">
        <f t="shared" si="466"/>
        <v>0.57241715694381878</v>
      </c>
      <c r="T777" s="770">
        <f t="shared" si="466"/>
        <v>0.57241715694381878</v>
      </c>
      <c r="U777" s="770">
        <f t="shared" si="466"/>
        <v>0.57241715694381878</v>
      </c>
      <c r="V777" s="770">
        <f t="shared" si="466"/>
        <v>0.57241715694381878</v>
      </c>
      <c r="W777" s="770">
        <f t="shared" si="466"/>
        <v>0.57241715694381878</v>
      </c>
      <c r="X777" s="770">
        <f t="shared" si="466"/>
        <v>0.57241715694381878</v>
      </c>
      <c r="Y777" s="770">
        <f t="shared" si="466"/>
        <v>0.57241715694381878</v>
      </c>
      <c r="Z777" s="770">
        <f t="shared" si="466"/>
        <v>0.57241715694381878</v>
      </c>
      <c r="AA777" s="770">
        <f t="shared" si="466"/>
        <v>0.57241715694381878</v>
      </c>
      <c r="AB777" s="770">
        <f t="shared" si="466"/>
        <v>0.57241715694381878</v>
      </c>
      <c r="AC777" s="770">
        <f t="shared" si="466"/>
        <v>0</v>
      </c>
      <c r="AD777" s="770">
        <f t="shared" si="466"/>
        <v>0.57241715694381867</v>
      </c>
    </row>
    <row r="778" spans="2:30" x14ac:dyDescent="0.45">
      <c r="B778" s="945" t="str">
        <f t="shared" si="461"/>
        <v>Ratios</v>
      </c>
      <c r="D778" s="596" t="s">
        <v>11</v>
      </c>
      <c r="F778" s="787">
        <f>'11. Table - Expenditure Review'!F$210</f>
        <v>0.12911491713184367</v>
      </c>
      <c r="G778" s="787">
        <f>'11. Table - Expenditure Review'!G$210</f>
        <v>0.2262622956784065</v>
      </c>
      <c r="H778" s="787">
        <f>'11. Table - Expenditure Review'!H$210</f>
        <v>0.24001823843768713</v>
      </c>
      <c r="I778" s="758">
        <f t="shared" ref="I778:AD778" si="467">IF(I428&lt;&gt;0,I437/I428,0)</f>
        <v>0.14589278010946469</v>
      </c>
      <c r="J778" s="758">
        <f t="shared" si="467"/>
        <v>0.14589278010946469</v>
      </c>
      <c r="K778" s="758">
        <f t="shared" si="467"/>
        <v>0.12668732159277471</v>
      </c>
      <c r="L778" s="758">
        <f t="shared" si="467"/>
        <v>6.5747878122074388E-2</v>
      </c>
      <c r="M778" s="758">
        <f t="shared" si="467"/>
        <v>6.5747878122074388E-2</v>
      </c>
      <c r="N778" s="758">
        <f t="shared" si="467"/>
        <v>6.5747878122074388E-2</v>
      </c>
      <c r="O778" s="758">
        <f t="shared" si="467"/>
        <v>6.5747878122074388E-2</v>
      </c>
      <c r="P778" s="758">
        <f t="shared" si="467"/>
        <v>6.5747878122074388E-2</v>
      </c>
      <c r="Q778" s="758">
        <f t="shared" si="467"/>
        <v>6.5747878122074388E-2</v>
      </c>
      <c r="R778" s="758">
        <f t="shared" si="467"/>
        <v>6.5747878122074388E-2</v>
      </c>
      <c r="S778" s="758">
        <f t="shared" si="467"/>
        <v>6.5747878122074388E-2</v>
      </c>
      <c r="T778" s="758">
        <f t="shared" si="467"/>
        <v>6.5747878122074388E-2</v>
      </c>
      <c r="U778" s="758">
        <f t="shared" si="467"/>
        <v>6.5747878122074388E-2</v>
      </c>
      <c r="V778" s="758">
        <f t="shared" si="467"/>
        <v>6.5747878122074388E-2</v>
      </c>
      <c r="W778" s="758">
        <f t="shared" si="467"/>
        <v>6.5747878122074388E-2</v>
      </c>
      <c r="X778" s="758">
        <f t="shared" si="467"/>
        <v>6.5747878122074388E-2</v>
      </c>
      <c r="Y778" s="758">
        <f t="shared" si="467"/>
        <v>6.5747878122074388E-2</v>
      </c>
      <c r="Z778" s="758">
        <f t="shared" si="467"/>
        <v>6.5747878122074388E-2</v>
      </c>
      <c r="AA778" s="758">
        <f t="shared" si="467"/>
        <v>6.5747878122074388E-2</v>
      </c>
      <c r="AB778" s="758">
        <f t="shared" si="467"/>
        <v>0.13248519490854305</v>
      </c>
      <c r="AC778" s="758">
        <f t="shared" si="467"/>
        <v>0</v>
      </c>
      <c r="AD778" s="758">
        <f t="shared" si="467"/>
        <v>8.4691837142117934E-2</v>
      </c>
    </row>
    <row r="779" spans="2:30" x14ac:dyDescent="0.45">
      <c r="B779" s="945" t="str">
        <f t="shared" si="461"/>
        <v>Ratios</v>
      </c>
      <c r="F779" s="639"/>
      <c r="G779" s="639"/>
      <c r="H779" s="639"/>
    </row>
    <row r="780" spans="2:30" x14ac:dyDescent="0.45">
      <c r="B780" s="945" t="str">
        <f t="shared" si="461"/>
        <v>Ratios</v>
      </c>
      <c r="F780" s="639"/>
      <c r="G780" s="639"/>
      <c r="H780" s="639"/>
    </row>
    <row r="781" spans="2:30" x14ac:dyDescent="0.45">
      <c r="B781" s="945" t="str">
        <f t="shared" si="461"/>
        <v>Ratios</v>
      </c>
      <c r="C781" s="451" t="str">
        <f>'11. Table - Expenditure Review'!C211</f>
        <v>E1.44</v>
      </c>
      <c r="D781" s="583" t="str">
        <f>'11. Table - Expenditure Review'!E211</f>
        <v>Rental Collections/Rentals Raised</v>
      </c>
      <c r="F781" s="786">
        <f>'11. Table - Expenditure Review'!F211</f>
        <v>0.43074995700024832</v>
      </c>
      <c r="G781" s="786">
        <f>'11. Table - Expenditure Review'!G211</f>
        <v>0.4175691893204192</v>
      </c>
      <c r="H781" s="786">
        <f>'11. Table - Expenditure Review'!H211</f>
        <v>0.4799755579961148</v>
      </c>
      <c r="I781" s="770">
        <f t="shared" ref="I781:AD781" si="468">IF(I538&lt;&gt;0,I574/I538,0)</f>
        <v>0.64104385848248757</v>
      </c>
      <c r="J781" s="770">
        <f t="shared" si="468"/>
        <v>0.64104385848248757</v>
      </c>
      <c r="K781" s="770">
        <f t="shared" si="468"/>
        <v>0.64104385848248757</v>
      </c>
      <c r="L781" s="770">
        <f t="shared" si="468"/>
        <v>0.64104385848248757</v>
      </c>
      <c r="M781" s="770">
        <f t="shared" si="468"/>
        <v>0.64104385848248768</v>
      </c>
      <c r="N781" s="770">
        <f t="shared" si="468"/>
        <v>0.64104385848248757</v>
      </c>
      <c r="O781" s="770">
        <f t="shared" si="468"/>
        <v>0.64104385848248768</v>
      </c>
      <c r="P781" s="770">
        <f t="shared" si="468"/>
        <v>0.64104385848248757</v>
      </c>
      <c r="Q781" s="770">
        <f t="shared" si="468"/>
        <v>0.64104385848248757</v>
      </c>
      <c r="R781" s="770">
        <f t="shared" si="468"/>
        <v>0.64104385848248757</v>
      </c>
      <c r="S781" s="770">
        <f t="shared" si="468"/>
        <v>0.64104385848248757</v>
      </c>
      <c r="T781" s="770">
        <f t="shared" si="468"/>
        <v>0.64104385848248757</v>
      </c>
      <c r="U781" s="770">
        <f t="shared" si="468"/>
        <v>0.64104385848248757</v>
      </c>
      <c r="V781" s="770">
        <f t="shared" si="468"/>
        <v>0.64104385848248757</v>
      </c>
      <c r="W781" s="770">
        <f t="shared" si="468"/>
        <v>0.64104385848248757</v>
      </c>
      <c r="X781" s="770">
        <f t="shared" si="468"/>
        <v>0.64104385848248757</v>
      </c>
      <c r="Y781" s="770">
        <f t="shared" si="468"/>
        <v>0.64104385848248768</v>
      </c>
      <c r="Z781" s="770">
        <f t="shared" si="468"/>
        <v>0.64104385848248757</v>
      </c>
      <c r="AA781" s="770">
        <f t="shared" si="468"/>
        <v>0.64104385848248768</v>
      </c>
      <c r="AB781" s="770">
        <f t="shared" si="468"/>
        <v>0</v>
      </c>
      <c r="AC781" s="770">
        <f t="shared" si="468"/>
        <v>0</v>
      </c>
      <c r="AD781" s="770">
        <f t="shared" si="468"/>
        <v>0.64104385848248757</v>
      </c>
    </row>
    <row r="782" spans="2:30" x14ac:dyDescent="0.45">
      <c r="B782" s="945" t="str">
        <f t="shared" si="461"/>
        <v>Ratios</v>
      </c>
      <c r="D782" s="583" t="str">
        <f>'12. Inputs-Props &amp; Debtors 2016'!C$77</f>
        <v>EC</v>
      </c>
      <c r="F782" s="786">
        <f>'11. Table - Expenditure Review'!I$211</f>
        <v>0.58054868799097703</v>
      </c>
      <c r="G782" s="786">
        <f>'11. Table - Expenditure Review'!J$211</f>
        <v>0.44324765713763226</v>
      </c>
      <c r="H782" s="786">
        <f>'11. Table - Expenditure Review'!K$211</f>
        <v>0.64104385848248757</v>
      </c>
      <c r="I782" s="770">
        <f t="shared" ref="I782:AD782" si="469">IF(I539&lt;&gt;0,I575/I539,0)</f>
        <v>0</v>
      </c>
      <c r="J782" s="770">
        <f t="shared" si="469"/>
        <v>0</v>
      </c>
      <c r="K782" s="770">
        <f t="shared" si="469"/>
        <v>0</v>
      </c>
      <c r="L782" s="770">
        <f t="shared" si="469"/>
        <v>0</v>
      </c>
      <c r="M782" s="770">
        <f t="shared" si="469"/>
        <v>0</v>
      </c>
      <c r="N782" s="770">
        <f t="shared" si="469"/>
        <v>0</v>
      </c>
      <c r="O782" s="770">
        <f t="shared" si="469"/>
        <v>0</v>
      </c>
      <c r="P782" s="770">
        <f t="shared" si="469"/>
        <v>0</v>
      </c>
      <c r="Q782" s="770">
        <f t="shared" si="469"/>
        <v>0</v>
      </c>
      <c r="R782" s="770">
        <f t="shared" si="469"/>
        <v>0</v>
      </c>
      <c r="S782" s="770">
        <f t="shared" si="469"/>
        <v>0</v>
      </c>
      <c r="T782" s="770">
        <f t="shared" si="469"/>
        <v>0</v>
      </c>
      <c r="U782" s="770">
        <f t="shared" si="469"/>
        <v>0</v>
      </c>
      <c r="V782" s="770">
        <f t="shared" si="469"/>
        <v>0</v>
      </c>
      <c r="W782" s="770">
        <f t="shared" si="469"/>
        <v>0</v>
      </c>
      <c r="X782" s="770">
        <f t="shared" si="469"/>
        <v>0</v>
      </c>
      <c r="Y782" s="770">
        <f t="shared" si="469"/>
        <v>0</v>
      </c>
      <c r="Z782" s="770">
        <f t="shared" si="469"/>
        <v>0</v>
      </c>
      <c r="AA782" s="770">
        <f t="shared" si="469"/>
        <v>0</v>
      </c>
      <c r="AB782" s="770">
        <f t="shared" si="469"/>
        <v>0</v>
      </c>
      <c r="AC782" s="770">
        <f t="shared" si="469"/>
        <v>0</v>
      </c>
      <c r="AD782" s="770">
        <f t="shared" si="469"/>
        <v>0</v>
      </c>
    </row>
    <row r="783" spans="2:30" x14ac:dyDescent="0.45">
      <c r="B783" s="945" t="str">
        <f t="shared" si="461"/>
        <v>Ratios</v>
      </c>
      <c r="D783" s="583" t="str">
        <f>'12. Inputs-Props &amp; Debtors 2016'!C$78</f>
        <v>FS</v>
      </c>
      <c r="F783" s="786">
        <f>'11. Table - Expenditure Review'!L$211</f>
        <v>4.2266858310417869E-2</v>
      </c>
      <c r="G783" s="786">
        <f>'11. Table - Expenditure Review'!M$211</f>
        <v>2.984770471210263E-2</v>
      </c>
      <c r="H783" s="786">
        <f>'11. Table - Expenditure Review'!N$211</f>
        <v>0</v>
      </c>
      <c r="I783" s="770">
        <f t="shared" ref="I783:AD783" si="470">IF(I540&lt;&gt;0,I576/I540,0)</f>
        <v>3.7905623003453709E-2</v>
      </c>
      <c r="J783" s="770">
        <f t="shared" si="470"/>
        <v>3.7905623003453709E-2</v>
      </c>
      <c r="K783" s="770">
        <f t="shared" si="470"/>
        <v>3.7905623003453709E-2</v>
      </c>
      <c r="L783" s="770">
        <f t="shared" si="470"/>
        <v>3.7905623003453709E-2</v>
      </c>
      <c r="M783" s="770">
        <f t="shared" si="470"/>
        <v>3.7905623003453709E-2</v>
      </c>
      <c r="N783" s="770">
        <f t="shared" si="470"/>
        <v>3.7905623003453709E-2</v>
      </c>
      <c r="O783" s="770">
        <f t="shared" si="470"/>
        <v>3.7905623003453709E-2</v>
      </c>
      <c r="P783" s="770">
        <f t="shared" si="470"/>
        <v>3.7905623003453709E-2</v>
      </c>
      <c r="Q783" s="770">
        <f t="shared" si="470"/>
        <v>3.7905623003453709E-2</v>
      </c>
      <c r="R783" s="770">
        <f t="shared" si="470"/>
        <v>3.7905623003453709E-2</v>
      </c>
      <c r="S783" s="770">
        <f t="shared" si="470"/>
        <v>3.7905623003453709E-2</v>
      </c>
      <c r="T783" s="770">
        <f t="shared" si="470"/>
        <v>3.7905623003453709E-2</v>
      </c>
      <c r="U783" s="770">
        <f t="shared" si="470"/>
        <v>3.7905623003453709E-2</v>
      </c>
      <c r="V783" s="770">
        <f t="shared" si="470"/>
        <v>3.7905623003453709E-2</v>
      </c>
      <c r="W783" s="770">
        <f t="shared" si="470"/>
        <v>3.7905623003453709E-2</v>
      </c>
      <c r="X783" s="770">
        <f t="shared" si="470"/>
        <v>3.7905623003453709E-2</v>
      </c>
      <c r="Y783" s="770">
        <f t="shared" si="470"/>
        <v>3.7905623003453709E-2</v>
      </c>
      <c r="Z783" s="770">
        <f t="shared" si="470"/>
        <v>3.7905623003453702E-2</v>
      </c>
      <c r="AA783" s="770">
        <f t="shared" si="470"/>
        <v>3.7905623003453709E-2</v>
      </c>
      <c r="AB783" s="770">
        <f t="shared" si="470"/>
        <v>0</v>
      </c>
      <c r="AC783" s="770">
        <f t="shared" si="470"/>
        <v>0</v>
      </c>
      <c r="AD783" s="770">
        <f t="shared" si="470"/>
        <v>3.7905623003453695E-2</v>
      </c>
    </row>
    <row r="784" spans="2:30" x14ac:dyDescent="0.45">
      <c r="B784" s="945" t="str">
        <f t="shared" si="461"/>
        <v>Ratios</v>
      </c>
      <c r="D784" s="583" t="str">
        <f>'12. Inputs-Props &amp; Debtors 2016'!C$79</f>
        <v>Gau</v>
      </c>
      <c r="F784" s="786">
        <f>'11. Table - Expenditure Review'!O$211</f>
        <v>0.12024850296859706</v>
      </c>
      <c r="G784" s="786">
        <f>'11. Table - Expenditure Review'!P$211</f>
        <v>4.127869112613522E-2</v>
      </c>
      <c r="H784" s="786">
        <f>'11. Table - Expenditure Review'!Q$211</f>
        <v>3.7905623003453709E-2</v>
      </c>
      <c r="I784" s="770">
        <f t="shared" ref="I784:AD784" si="471">IF(I541&lt;&gt;0,I577/I541,0)</f>
        <v>0.2765409995924219</v>
      </c>
      <c r="J784" s="770">
        <f t="shared" si="471"/>
        <v>0.2765409995924219</v>
      </c>
      <c r="K784" s="770">
        <f t="shared" si="471"/>
        <v>0.2765409995924219</v>
      </c>
      <c r="L784" s="770">
        <f t="shared" si="471"/>
        <v>0.2765409995924219</v>
      </c>
      <c r="M784" s="770">
        <f t="shared" si="471"/>
        <v>0.2765409995924219</v>
      </c>
      <c r="N784" s="770">
        <f t="shared" si="471"/>
        <v>0.2765409995924219</v>
      </c>
      <c r="O784" s="770">
        <f t="shared" si="471"/>
        <v>0.2765409995924219</v>
      </c>
      <c r="P784" s="770">
        <f t="shared" si="471"/>
        <v>0.2765409995924219</v>
      </c>
      <c r="Q784" s="770">
        <f t="shared" si="471"/>
        <v>0.2765409995924219</v>
      </c>
      <c r="R784" s="770">
        <f t="shared" si="471"/>
        <v>0.2765409995924219</v>
      </c>
      <c r="S784" s="770">
        <f t="shared" si="471"/>
        <v>0.2765409995924219</v>
      </c>
      <c r="T784" s="770">
        <f t="shared" si="471"/>
        <v>0.2765409995924219</v>
      </c>
      <c r="U784" s="770">
        <f t="shared" si="471"/>
        <v>0.2765409995924219</v>
      </c>
      <c r="V784" s="770">
        <f t="shared" si="471"/>
        <v>0.2765409995924219</v>
      </c>
      <c r="W784" s="770">
        <f t="shared" si="471"/>
        <v>0.2765409995924219</v>
      </c>
      <c r="X784" s="770">
        <f t="shared" si="471"/>
        <v>0.2765409995924219</v>
      </c>
      <c r="Y784" s="770">
        <f t="shared" si="471"/>
        <v>0.2765409995924219</v>
      </c>
      <c r="Z784" s="770">
        <f t="shared" si="471"/>
        <v>0.2765409995924219</v>
      </c>
      <c r="AA784" s="770">
        <f t="shared" si="471"/>
        <v>0.2765409995924219</v>
      </c>
      <c r="AB784" s="770">
        <f t="shared" si="471"/>
        <v>0</v>
      </c>
      <c r="AC784" s="770">
        <f t="shared" si="471"/>
        <v>0</v>
      </c>
      <c r="AD784" s="770">
        <f t="shared" si="471"/>
        <v>0.27654099959242195</v>
      </c>
    </row>
    <row r="785" spans="2:30" x14ac:dyDescent="0.45">
      <c r="B785" s="945" t="str">
        <f t="shared" si="461"/>
        <v>Ratios</v>
      </c>
      <c r="D785" s="583" t="str">
        <f>'12. Inputs-Props &amp; Debtors 2016'!C$80</f>
        <v>KZN</v>
      </c>
      <c r="F785" s="786">
        <f>'11. Table - Expenditure Review'!R$211</f>
        <v>0.2139386935825236</v>
      </c>
      <c r="G785" s="786">
        <f>'11. Table - Expenditure Review'!S$211</f>
        <v>0.23776450641986749</v>
      </c>
      <c r="H785" s="786">
        <f>'11. Table - Expenditure Review'!T$211</f>
        <v>0.2765409995924219</v>
      </c>
      <c r="I785" s="770">
        <f t="shared" ref="I785:AD785" si="472">IF(I542&lt;&gt;0,I578/I542,0)</f>
        <v>0.76546080658513083</v>
      </c>
      <c r="J785" s="770">
        <f t="shared" si="472"/>
        <v>0.76546080658513083</v>
      </c>
      <c r="K785" s="770">
        <f t="shared" si="472"/>
        <v>0.76546080658513083</v>
      </c>
      <c r="L785" s="770">
        <f t="shared" si="472"/>
        <v>0.76546080658513083</v>
      </c>
      <c r="M785" s="770">
        <f t="shared" si="472"/>
        <v>0.76546080658513083</v>
      </c>
      <c r="N785" s="770">
        <f t="shared" si="472"/>
        <v>0.76546080658513083</v>
      </c>
      <c r="O785" s="770">
        <f t="shared" si="472"/>
        <v>0.76546080658513083</v>
      </c>
      <c r="P785" s="770">
        <f t="shared" si="472"/>
        <v>0.76546080658513072</v>
      </c>
      <c r="Q785" s="770">
        <f t="shared" si="472"/>
        <v>0.76546080658513083</v>
      </c>
      <c r="R785" s="770">
        <f t="shared" si="472"/>
        <v>0.76546080658513083</v>
      </c>
      <c r="S785" s="770">
        <f t="shared" si="472"/>
        <v>0.76546080658513083</v>
      </c>
      <c r="T785" s="770">
        <f t="shared" si="472"/>
        <v>0.76546080658513083</v>
      </c>
      <c r="U785" s="770">
        <f t="shared" si="472"/>
        <v>0.76546080658513083</v>
      </c>
      <c r="V785" s="770">
        <f t="shared" si="472"/>
        <v>0.76546080658513083</v>
      </c>
      <c r="W785" s="770">
        <f t="shared" si="472"/>
        <v>0.76546080658513083</v>
      </c>
      <c r="X785" s="770">
        <f t="shared" si="472"/>
        <v>0.76546080658513083</v>
      </c>
      <c r="Y785" s="770">
        <f t="shared" si="472"/>
        <v>0.76546080658513083</v>
      </c>
      <c r="Z785" s="770">
        <f t="shared" si="472"/>
        <v>0.76546080658513083</v>
      </c>
      <c r="AA785" s="770">
        <f t="shared" si="472"/>
        <v>0.76546080658513083</v>
      </c>
      <c r="AB785" s="770">
        <f t="shared" si="472"/>
        <v>0</v>
      </c>
      <c r="AC785" s="770">
        <f t="shared" si="472"/>
        <v>0</v>
      </c>
      <c r="AD785" s="770">
        <f t="shared" si="472"/>
        <v>0.76546080658513094</v>
      </c>
    </row>
    <row r="786" spans="2:30" x14ac:dyDescent="0.45">
      <c r="B786" s="945" t="str">
        <f t="shared" si="461"/>
        <v>Ratios</v>
      </c>
      <c r="D786" s="583" t="str">
        <f>'12. Inputs-Props &amp; Debtors 2016'!C$81</f>
        <v>WC</v>
      </c>
      <c r="F786" s="787">
        <f>'11. Table - Expenditure Review'!U$211</f>
        <v>0.69096967354330041</v>
      </c>
      <c r="G786" s="787">
        <f>'11. Table - Expenditure Review'!V$211</f>
        <v>0.69845383818231777</v>
      </c>
      <c r="H786" s="787">
        <f>'11. Table - Expenditure Review'!W$211</f>
        <v>0.76546080658513083</v>
      </c>
      <c r="I786" s="758">
        <f t="shared" ref="I786:AD786" si="473">IF(I543&lt;&gt;0,I579/I543,0)</f>
        <v>0.45924066965734001</v>
      </c>
      <c r="J786" s="758">
        <f t="shared" si="473"/>
        <v>0.43027023088641919</v>
      </c>
      <c r="K786" s="758">
        <f t="shared" si="473"/>
        <v>0.40193032417923641</v>
      </c>
      <c r="L786" s="758">
        <f t="shared" si="473"/>
        <v>0.40200271560394374</v>
      </c>
      <c r="M786" s="758">
        <f t="shared" si="473"/>
        <v>0.40208524472447471</v>
      </c>
      <c r="N786" s="758">
        <f t="shared" si="473"/>
        <v>0.40218020140141142</v>
      </c>
      <c r="O786" s="758">
        <f t="shared" si="473"/>
        <v>0.40229062127909859</v>
      </c>
      <c r="P786" s="758">
        <f t="shared" si="473"/>
        <v>0.40242061631570591</v>
      </c>
      <c r="Q786" s="758">
        <f t="shared" si="473"/>
        <v>0.40257589819903378</v>
      </c>
      <c r="R786" s="758">
        <f t="shared" si="473"/>
        <v>0.4027646401181767</v>
      </c>
      <c r="S786" s="758">
        <f t="shared" si="473"/>
        <v>0.40299896288428361</v>
      </c>
      <c r="T786" s="758">
        <f t="shared" si="473"/>
        <v>0.40329764560146902</v>
      </c>
      <c r="U786" s="758">
        <f t="shared" si="473"/>
        <v>0.40369142547750952</v>
      </c>
      <c r="V786" s="758">
        <f t="shared" si="473"/>
        <v>0.40423431828483092</v>
      </c>
      <c r="W786" s="758">
        <f t="shared" si="473"/>
        <v>0.40503080257458618</v>
      </c>
      <c r="X786" s="758">
        <f t="shared" si="473"/>
        <v>0.40631270636913475</v>
      </c>
      <c r="Y786" s="758">
        <f t="shared" si="473"/>
        <v>0.40871828245838759</v>
      </c>
      <c r="Z786" s="758">
        <f t="shared" si="473"/>
        <v>0.41487778252245144</v>
      </c>
      <c r="AA786" s="758">
        <f t="shared" si="473"/>
        <v>0.46477863356926424</v>
      </c>
      <c r="AB786" s="758">
        <f t="shared" si="473"/>
        <v>0</v>
      </c>
      <c r="AC786" s="758">
        <f t="shared" si="473"/>
        <v>0</v>
      </c>
      <c r="AD786" s="758">
        <f t="shared" si="473"/>
        <v>0.41305642923034375</v>
      </c>
    </row>
    <row r="787" spans="2:30" x14ac:dyDescent="0.45">
      <c r="B787" s="945" t="str">
        <f t="shared" si="461"/>
        <v>Ratios</v>
      </c>
      <c r="D787" s="596" t="s">
        <v>11</v>
      </c>
      <c r="F787" s="639"/>
      <c r="G787" s="639"/>
      <c r="H787" s="639"/>
    </row>
    <row r="788" spans="2:30" x14ac:dyDescent="0.45">
      <c r="B788" s="945" t="str">
        <f t="shared" si="461"/>
        <v>Ratios</v>
      </c>
      <c r="F788" s="639"/>
      <c r="G788" s="639"/>
      <c r="H788" s="639"/>
    </row>
    <row r="789" spans="2:30" x14ac:dyDescent="0.45">
      <c r="B789" s="945" t="str">
        <f t="shared" si="461"/>
        <v>Ratios</v>
      </c>
      <c r="F789" s="639"/>
      <c r="G789" s="639"/>
      <c r="H789" s="639"/>
    </row>
    <row r="790" spans="2:30" x14ac:dyDescent="0.45">
      <c r="B790" s="945" t="str">
        <f t="shared" si="461"/>
        <v>Ratios</v>
      </c>
      <c r="C790" s="451" t="str">
        <f>'11. Table - Expenditure Review'!C212</f>
        <v>E1.45</v>
      </c>
      <c r="D790" s="583" t="str">
        <f>'11. Table - Expenditure Review'!E212</f>
        <v>No. of Sales Accounts Where Any Collections Were Made/Sales Accounts Raised</v>
      </c>
      <c r="F790" s="786">
        <f>'11. Table - Expenditure Review'!F212</f>
        <v>3.7890504175688212E-2</v>
      </c>
      <c r="G790" s="786">
        <f>'11. Table - Expenditure Review'!G212</f>
        <v>3.5734020998342234E-2</v>
      </c>
      <c r="H790" s="786">
        <f>'11. Table - Expenditure Review'!H212</f>
        <v>3.8430744595676539E-2</v>
      </c>
      <c r="I790" s="647"/>
      <c r="J790" s="647"/>
      <c r="K790" s="647"/>
      <c r="L790" s="647"/>
      <c r="M790" s="647"/>
      <c r="N790" s="647"/>
      <c r="O790" s="647"/>
      <c r="P790" s="647"/>
      <c r="Q790" s="647"/>
      <c r="R790" s="647"/>
      <c r="S790" s="647"/>
      <c r="T790" s="647"/>
      <c r="U790" s="647"/>
      <c r="V790" s="647"/>
      <c r="W790" s="647"/>
      <c r="X790" s="647"/>
      <c r="Y790" s="647"/>
      <c r="Z790" s="647"/>
      <c r="AA790" s="647"/>
      <c r="AB790" s="647"/>
      <c r="AC790" s="647"/>
      <c r="AD790" s="647"/>
    </row>
    <row r="791" spans="2:30" x14ac:dyDescent="0.45">
      <c r="B791" s="945" t="str">
        <f t="shared" si="461"/>
        <v>Ratios</v>
      </c>
      <c r="D791" s="583" t="str">
        <f>'12. Inputs-Props &amp; Debtors 2016'!C$77</f>
        <v>EC</v>
      </c>
      <c r="F791" s="786">
        <f>'11. Table - Expenditure Review'!I$212</f>
        <v>0.14444444444444443</v>
      </c>
      <c r="G791" s="786">
        <f>'11. Table - Expenditure Review'!J$212</f>
        <v>0.14772727272727273</v>
      </c>
      <c r="H791" s="786">
        <f>'11. Table - Expenditure Review'!K$212</f>
        <v>0.12048192771084337</v>
      </c>
      <c r="I791" s="647"/>
      <c r="J791" s="647"/>
      <c r="K791" s="647"/>
      <c r="L791" s="647"/>
      <c r="M791" s="647"/>
      <c r="N791" s="647"/>
      <c r="O791" s="647"/>
      <c r="P791" s="647"/>
      <c r="Q791" s="647"/>
      <c r="R791" s="647"/>
      <c r="S791" s="647"/>
      <c r="T791" s="647"/>
      <c r="U791" s="647"/>
      <c r="V791" s="647"/>
      <c r="W791" s="647"/>
      <c r="X791" s="647"/>
      <c r="Y791" s="647"/>
      <c r="Z791" s="647"/>
      <c r="AA791" s="647"/>
      <c r="AB791" s="647"/>
      <c r="AC791" s="647"/>
      <c r="AD791" s="647"/>
    </row>
    <row r="792" spans="2:30" x14ac:dyDescent="0.45">
      <c r="B792" s="945" t="str">
        <f t="shared" si="461"/>
        <v>Ratios</v>
      </c>
      <c r="D792" s="583" t="str">
        <f>'12. Inputs-Props &amp; Debtors 2016'!C$78</f>
        <v>FS</v>
      </c>
      <c r="F792" s="786">
        <f>'11. Table - Expenditure Review'!L$212</f>
        <v>0</v>
      </c>
      <c r="G792" s="786">
        <f>'11. Table - Expenditure Review'!M$212</f>
        <v>0</v>
      </c>
      <c r="H792" s="786">
        <f>'11. Table - Expenditure Review'!N$212</f>
        <v>6.2086092715231786E-2</v>
      </c>
      <c r="I792" s="647"/>
      <c r="J792" s="647"/>
      <c r="K792" s="647"/>
      <c r="L792" s="647"/>
      <c r="M792" s="647"/>
      <c r="N792" s="647"/>
      <c r="O792" s="647"/>
      <c r="P792" s="647"/>
      <c r="Q792" s="647"/>
      <c r="R792" s="647"/>
      <c r="S792" s="647"/>
      <c r="T792" s="647"/>
      <c r="U792" s="647"/>
      <c r="V792" s="647"/>
      <c r="W792" s="647"/>
      <c r="X792" s="647"/>
      <c r="Y792" s="647"/>
      <c r="Z792" s="647"/>
      <c r="AA792" s="647"/>
      <c r="AB792" s="647"/>
      <c r="AC792" s="647"/>
      <c r="AD792" s="647"/>
    </row>
    <row r="793" spans="2:30" x14ac:dyDescent="0.45">
      <c r="B793" s="945" t="str">
        <f t="shared" si="461"/>
        <v>Ratios</v>
      </c>
      <c r="D793" s="583" t="str">
        <f>'12. Inputs-Props &amp; Debtors 2016'!C$79</f>
        <v>Gau</v>
      </c>
      <c r="F793" s="786">
        <f>'11. Table - Expenditure Review'!O$212</f>
        <v>1.2510425354462052E-2</v>
      </c>
      <c r="G793" s="786">
        <f>'11. Table - Expenditure Review'!P$212</f>
        <v>1.5290519877675841E-2</v>
      </c>
      <c r="H793" s="786">
        <f>'11. Table - Expenditure Review'!Q$212</f>
        <v>5.7553956834532375E-3</v>
      </c>
      <c r="I793" s="647"/>
      <c r="J793" s="647"/>
      <c r="K793" s="647"/>
      <c r="L793" s="647"/>
      <c r="M793" s="647"/>
      <c r="N793" s="647"/>
      <c r="O793" s="647"/>
      <c r="P793" s="647"/>
      <c r="Q793" s="647"/>
      <c r="R793" s="647"/>
      <c r="S793" s="647"/>
      <c r="T793" s="647"/>
      <c r="U793" s="647"/>
      <c r="V793" s="647"/>
      <c r="W793" s="647"/>
      <c r="X793" s="647"/>
      <c r="Y793" s="647"/>
      <c r="Z793" s="647"/>
      <c r="AA793" s="647"/>
      <c r="AB793" s="647"/>
      <c r="AC793" s="647"/>
      <c r="AD793" s="647"/>
    </row>
    <row r="794" spans="2:30" x14ac:dyDescent="0.45">
      <c r="B794" s="945" t="str">
        <f t="shared" si="461"/>
        <v>Ratios</v>
      </c>
      <c r="D794" s="583" t="str">
        <f>'12. Inputs-Props &amp; Debtors 2016'!C$80</f>
        <v>KZN</v>
      </c>
      <c r="F794" s="786">
        <f>'11. Table - Expenditure Review'!R$212</f>
        <v>2.1969295923769189E-2</v>
      </c>
      <c r="G794" s="786">
        <f>'11. Table - Expenditure Review'!S$212</f>
        <v>2.4288107202680067E-2</v>
      </c>
      <c r="H794" s="786">
        <f>'11. Table - Expenditure Review'!T$212</f>
        <v>6.2086092715231786E-2</v>
      </c>
      <c r="I794" s="647"/>
      <c r="J794" s="647"/>
      <c r="K794" s="647"/>
      <c r="L794" s="647"/>
      <c r="M794" s="647"/>
      <c r="N794" s="647"/>
      <c r="O794" s="647"/>
      <c r="P794" s="647"/>
      <c r="Q794" s="647"/>
      <c r="R794" s="647"/>
      <c r="S794" s="647"/>
      <c r="T794" s="647"/>
      <c r="U794" s="647"/>
      <c r="V794" s="647"/>
      <c r="W794" s="647"/>
      <c r="X794" s="647"/>
      <c r="Y794" s="647"/>
      <c r="Z794" s="647"/>
      <c r="AA794" s="647"/>
      <c r="AB794" s="647"/>
      <c r="AC794" s="647"/>
      <c r="AD794" s="647"/>
    </row>
    <row r="795" spans="2:30" x14ac:dyDescent="0.45">
      <c r="B795" s="945" t="str">
        <f t="shared" si="461"/>
        <v>Ratios</v>
      </c>
      <c r="D795" s="583" t="str">
        <f>'12. Inputs-Props &amp; Debtors 2016'!C$81</f>
        <v>WC</v>
      </c>
      <c r="F795" s="786">
        <f>'11. Table - Expenditure Review'!U$212</f>
        <v>6.3957863054928524E-2</v>
      </c>
      <c r="G795" s="786">
        <f>'11. Table - Expenditure Review'!V$212</f>
        <v>5.6846267918932276E-2</v>
      </c>
      <c r="H795" s="786">
        <f>'11. Table - Expenditure Review'!W$212</f>
        <v>6.2086092715231786E-2</v>
      </c>
      <c r="I795" s="647"/>
      <c r="J795" s="647"/>
      <c r="K795" s="647"/>
      <c r="L795" s="647"/>
      <c r="M795" s="647"/>
      <c r="N795" s="647"/>
      <c r="O795" s="647"/>
      <c r="P795" s="647"/>
      <c r="Q795" s="647"/>
      <c r="R795" s="647"/>
      <c r="S795" s="647"/>
      <c r="T795" s="647"/>
      <c r="U795" s="647"/>
      <c r="V795" s="647"/>
      <c r="W795" s="647"/>
      <c r="X795" s="647"/>
      <c r="Y795" s="647"/>
      <c r="Z795" s="647"/>
      <c r="AA795" s="647"/>
      <c r="AB795" s="647"/>
      <c r="AC795" s="647"/>
      <c r="AD795" s="647"/>
    </row>
    <row r="796" spans="2:30" x14ac:dyDescent="0.45">
      <c r="B796" s="945" t="str">
        <f t="shared" si="461"/>
        <v>Ratios</v>
      </c>
      <c r="D796" s="596" t="s">
        <v>11</v>
      </c>
    </row>
    <row r="797" spans="2:30" x14ac:dyDescent="0.45">
      <c r="B797" s="945" t="str">
        <f t="shared" si="461"/>
        <v>Ratios</v>
      </c>
      <c r="F797" s="639"/>
      <c r="G797" s="639"/>
      <c r="H797" s="639"/>
    </row>
    <row r="798" spans="2:30" x14ac:dyDescent="0.45">
      <c r="B798" s="945" t="str">
        <f t="shared" si="461"/>
        <v>Ratios</v>
      </c>
      <c r="F798" s="639"/>
      <c r="G798" s="639"/>
      <c r="H798" s="639"/>
    </row>
    <row r="799" spans="2:30" x14ac:dyDescent="0.45">
      <c r="B799" s="945" t="str">
        <f t="shared" si="461"/>
        <v>Ratios</v>
      </c>
      <c r="C799" s="451" t="str">
        <f>'11. Table - Expenditure Review'!C213</f>
        <v>E1.46</v>
      </c>
      <c r="D799" s="583" t="str">
        <f>'11. Table - Expenditure Review'!E213</f>
        <v>No. of Rental Accounts Where Any Collections Were Made/Rental Accounts Raised</v>
      </c>
      <c r="F799" s="786">
        <f>'11. Table - Expenditure Review'!F213</f>
        <v>0.30743887636552802</v>
      </c>
      <c r="G799" s="786">
        <f>'11. Table - Expenditure Review'!G213</f>
        <v>0.28598200899550225</v>
      </c>
      <c r="H799" s="786">
        <f>'11. Table - Expenditure Review'!H213</f>
        <v>0.3328814872192099</v>
      </c>
      <c r="I799" s="647"/>
      <c r="J799" s="647"/>
      <c r="K799" s="647"/>
      <c r="L799" s="647"/>
      <c r="M799" s="647"/>
      <c r="N799" s="647"/>
      <c r="O799" s="647"/>
      <c r="P799" s="647"/>
      <c r="Q799" s="647"/>
      <c r="R799" s="647"/>
      <c r="S799" s="647"/>
      <c r="T799" s="647"/>
      <c r="U799" s="647"/>
      <c r="V799" s="647"/>
      <c r="W799" s="647"/>
      <c r="X799" s="647"/>
      <c r="Y799" s="647"/>
      <c r="Z799" s="647"/>
      <c r="AA799" s="647"/>
      <c r="AB799" s="647"/>
      <c r="AC799" s="647"/>
      <c r="AD799" s="647"/>
    </row>
    <row r="800" spans="2:30" x14ac:dyDescent="0.45">
      <c r="B800" s="945" t="str">
        <f t="shared" si="461"/>
        <v>Ratios</v>
      </c>
      <c r="D800" s="583" t="str">
        <f>'12. Inputs-Props &amp; Debtors 2016'!C$77</f>
        <v>EC</v>
      </c>
      <c r="F800" s="786">
        <f>'11. Table - Expenditure Review'!I$213</f>
        <v>0.73734939759036144</v>
      </c>
      <c r="G800" s="786">
        <f>'11. Table - Expenditure Review'!J$213</f>
        <v>0.4375</v>
      </c>
      <c r="H800" s="786">
        <f>'11. Table - Expenditure Review'!K$213</f>
        <v>0.54736842105263162</v>
      </c>
      <c r="I800" s="647"/>
      <c r="J800" s="647"/>
      <c r="K800" s="647"/>
      <c r="L800" s="647"/>
      <c r="M800" s="647"/>
      <c r="N800" s="647"/>
      <c r="O800" s="647"/>
      <c r="P800" s="647"/>
      <c r="Q800" s="647"/>
      <c r="R800" s="647"/>
      <c r="S800" s="647"/>
      <c r="T800" s="647"/>
      <c r="U800" s="647"/>
      <c r="V800" s="647"/>
      <c r="W800" s="647"/>
      <c r="X800" s="647"/>
      <c r="Y800" s="647"/>
      <c r="Z800" s="647"/>
      <c r="AA800" s="647"/>
      <c r="AB800" s="647"/>
      <c r="AC800" s="647"/>
      <c r="AD800" s="647"/>
    </row>
    <row r="801" spans="2:30" x14ac:dyDescent="0.45">
      <c r="B801" s="945" t="str">
        <f t="shared" si="461"/>
        <v>Ratios</v>
      </c>
      <c r="D801" s="583" t="str">
        <f>'12. Inputs-Props &amp; Debtors 2016'!C$78</f>
        <v>FS</v>
      </c>
      <c r="F801" s="786">
        <f>'11. Table - Expenditure Review'!L$213</f>
        <v>0.82199546485260766</v>
      </c>
      <c r="G801" s="786">
        <f>'11. Table - Expenditure Review'!M$213</f>
        <v>0.83685446009389675</v>
      </c>
      <c r="H801" s="786">
        <f>'11. Table - Expenditure Review'!N$213</f>
        <v>0.83985765124555156</v>
      </c>
      <c r="I801" s="647"/>
      <c r="J801" s="647"/>
      <c r="K801" s="647"/>
      <c r="L801" s="647"/>
      <c r="M801" s="647"/>
      <c r="N801" s="647"/>
      <c r="O801" s="647"/>
      <c r="P801" s="647"/>
      <c r="Q801" s="647"/>
      <c r="R801" s="647"/>
      <c r="S801" s="647"/>
      <c r="T801" s="647"/>
      <c r="U801" s="647"/>
      <c r="V801" s="647"/>
      <c r="W801" s="647"/>
      <c r="X801" s="647"/>
      <c r="Y801" s="647"/>
      <c r="Z801" s="647"/>
      <c r="AA801" s="647"/>
      <c r="AB801" s="647"/>
      <c r="AC801" s="647"/>
      <c r="AD801" s="647"/>
    </row>
    <row r="802" spans="2:30" x14ac:dyDescent="0.45">
      <c r="B802" s="945" t="str">
        <f t="shared" si="461"/>
        <v>Ratios</v>
      </c>
      <c r="D802" s="583" t="str">
        <f>'12. Inputs-Props &amp; Debtors 2016'!C$79</f>
        <v>Gau</v>
      </c>
      <c r="F802" s="786">
        <f>'11. Table - Expenditure Review'!O$213</f>
        <v>6.9871159563924673E-2</v>
      </c>
      <c r="G802" s="786">
        <f>'11. Table - Expenditure Review'!P$213</f>
        <v>3.8461538461538464E-2</v>
      </c>
      <c r="H802" s="786">
        <f>'11. Table - Expenditure Review'!Q$213</f>
        <v>4.2381974248927042E-2</v>
      </c>
      <c r="I802" s="647"/>
      <c r="J802" s="647"/>
      <c r="K802" s="647"/>
      <c r="L802" s="647"/>
      <c r="M802" s="647"/>
      <c r="N802" s="647"/>
      <c r="O802" s="647"/>
      <c r="P802" s="647"/>
      <c r="Q802" s="647"/>
      <c r="R802" s="647"/>
      <c r="S802" s="647"/>
      <c r="T802" s="647"/>
      <c r="U802" s="647"/>
      <c r="V802" s="647"/>
      <c r="W802" s="647"/>
      <c r="X802" s="647"/>
      <c r="Y802" s="647"/>
      <c r="Z802" s="647"/>
      <c r="AA802" s="647"/>
      <c r="AB802" s="647"/>
      <c r="AC802" s="647"/>
      <c r="AD802" s="647"/>
    </row>
    <row r="803" spans="2:30" x14ac:dyDescent="0.45">
      <c r="B803" s="945" t="str">
        <f t="shared" si="461"/>
        <v>Ratios</v>
      </c>
      <c r="D803" s="583" t="str">
        <f>'12. Inputs-Props &amp; Debtors 2016'!C$80</f>
        <v>KZN</v>
      </c>
      <c r="F803" s="786">
        <f>'11. Table - Expenditure Review'!R$213</f>
        <v>0.82199546485260766</v>
      </c>
      <c r="G803" s="786">
        <f>'11. Table - Expenditure Review'!S$213</f>
        <v>0.83685446009389675</v>
      </c>
      <c r="H803" s="786">
        <f>'11. Table - Expenditure Review'!T$213</f>
        <v>0.83985765124555156</v>
      </c>
      <c r="I803" s="647"/>
      <c r="J803" s="647"/>
      <c r="K803" s="647"/>
      <c r="L803" s="647"/>
      <c r="M803" s="647"/>
      <c r="N803" s="647"/>
      <c r="O803" s="647"/>
      <c r="P803" s="647"/>
      <c r="Q803" s="647"/>
      <c r="R803" s="647"/>
      <c r="S803" s="647"/>
      <c r="T803" s="647"/>
      <c r="U803" s="647"/>
      <c r="V803" s="647"/>
      <c r="W803" s="647"/>
      <c r="X803" s="647"/>
      <c r="Y803" s="647"/>
      <c r="Z803" s="647"/>
      <c r="AA803" s="647"/>
      <c r="AB803" s="647"/>
      <c r="AC803" s="647"/>
      <c r="AD803" s="647"/>
    </row>
    <row r="804" spans="2:30" x14ac:dyDescent="0.45">
      <c r="B804" s="945" t="str">
        <f t="shared" si="461"/>
        <v>Ratios</v>
      </c>
      <c r="D804" s="583" t="str">
        <f>'12. Inputs-Props &amp; Debtors 2016'!C$81</f>
        <v>WC</v>
      </c>
      <c r="F804" s="787">
        <f>'11. Table - Expenditure Review'!U$213</f>
        <v>0.82199546485260766</v>
      </c>
      <c r="G804" s="787">
        <f>'11. Table - Expenditure Review'!V$213</f>
        <v>0.83685446009389675</v>
      </c>
      <c r="H804" s="787">
        <f>'11. Table - Expenditure Review'!W$213</f>
        <v>0.83985765124555156</v>
      </c>
      <c r="I804" s="647"/>
      <c r="J804" s="647"/>
      <c r="K804" s="647"/>
      <c r="L804" s="647"/>
      <c r="M804" s="647"/>
      <c r="N804" s="647"/>
      <c r="O804" s="647"/>
      <c r="P804" s="647"/>
      <c r="Q804" s="647"/>
      <c r="R804" s="647"/>
      <c r="S804" s="647"/>
      <c r="T804" s="647"/>
      <c r="U804" s="647"/>
      <c r="V804" s="647"/>
      <c r="W804" s="647"/>
      <c r="X804" s="647"/>
      <c r="Y804" s="647"/>
      <c r="Z804" s="647"/>
      <c r="AA804" s="647"/>
      <c r="AB804" s="647"/>
      <c r="AC804" s="647"/>
      <c r="AD804" s="647"/>
    </row>
    <row r="805" spans="2:30" x14ac:dyDescent="0.45">
      <c r="B805" s="945" t="str">
        <f t="shared" si="461"/>
        <v>Ratios</v>
      </c>
      <c r="D805" s="596" t="s">
        <v>11</v>
      </c>
      <c r="F805" s="639"/>
      <c r="G805" s="639"/>
      <c r="H805" s="639"/>
    </row>
    <row r="806" spans="2:30" x14ac:dyDescent="0.45">
      <c r="B806" s="945" t="str">
        <f t="shared" si="461"/>
        <v>Ratios</v>
      </c>
      <c r="F806" s="639"/>
      <c r="G806" s="639"/>
      <c r="H806" s="639"/>
    </row>
    <row r="807" spans="2:30" x14ac:dyDescent="0.45">
      <c r="B807" s="945" t="str">
        <f t="shared" si="461"/>
        <v>Ratios</v>
      </c>
      <c r="F807" s="639"/>
      <c r="G807" s="639"/>
      <c r="H807" s="639"/>
    </row>
    <row r="808" spans="2:30" x14ac:dyDescent="0.45">
      <c r="B808" s="945" t="str">
        <f t="shared" si="461"/>
        <v>Ratios</v>
      </c>
      <c r="C808" s="451" t="str">
        <f>'11. Table - Expenditure Review'!C214</f>
        <v>E1.47</v>
      </c>
      <c r="D808" s="583" t="str">
        <f>'11. Table - Expenditure Review'!E214</f>
        <v>% Increase/(Decrease) in Rental Debtors</v>
      </c>
    </row>
    <row r="809" spans="2:30" x14ac:dyDescent="0.45">
      <c r="B809" s="945" t="str">
        <f t="shared" si="461"/>
        <v>Ratios</v>
      </c>
      <c r="D809" s="583" t="str">
        <f>'12. Inputs-Props &amp; Debtors 2016'!C$77</f>
        <v>EC</v>
      </c>
      <c r="F809" s="786">
        <f>'11. Table - Expenditure Review'!I$214</f>
        <v>0</v>
      </c>
      <c r="G809" s="786">
        <f>'11. Table - Expenditure Review'!J$214</f>
        <v>0.73369537590465173</v>
      </c>
      <c r="H809" s="786">
        <f>'11. Table - Expenditure Review'!K$214</f>
        <v>0.61576389611397953</v>
      </c>
      <c r="I809" s="770">
        <f t="shared" ref="I809:AC809" si="474">IF(H628&lt;&gt;0,(I628-H628)/H628,0)</f>
        <v>-0.10329620215190582</v>
      </c>
      <c r="J809" s="770">
        <f t="shared" si="474"/>
        <v>-0.16911727310609961</v>
      </c>
      <c r="K809" s="770">
        <f t="shared" si="474"/>
        <v>-0.26843630733443763</v>
      </c>
      <c r="L809" s="770">
        <f t="shared" si="474"/>
        <v>2.3297790927733261E-2</v>
      </c>
      <c r="M809" s="770">
        <f t="shared" si="474"/>
        <v>1.3135103717106954E-2</v>
      </c>
      <c r="N809" s="770">
        <f t="shared" si="474"/>
        <v>3.4574320111648463E-3</v>
      </c>
      <c r="O809" s="770">
        <f t="shared" si="474"/>
        <v>-1.2917905045902154E-3</v>
      </c>
      <c r="P809" s="770">
        <f t="shared" si="474"/>
        <v>-1.078033617413047E-2</v>
      </c>
      <c r="Q809" s="770">
        <f t="shared" si="474"/>
        <v>-2.04880793454407E-2</v>
      </c>
      <c r="R809" s="770">
        <f t="shared" si="474"/>
        <v>-3.0707477609466714E-2</v>
      </c>
      <c r="S809" s="770">
        <f t="shared" si="474"/>
        <v>-4.1781333862399024E-2</v>
      </c>
      <c r="T809" s="770">
        <f t="shared" si="474"/>
        <v>-5.4144601702093675E-2</v>
      </c>
      <c r="U809" s="770">
        <f t="shared" si="474"/>
        <v>-6.8388965894342901E-2</v>
      </c>
      <c r="V809" s="770">
        <f t="shared" si="474"/>
        <v>-8.5372403750614251E-2</v>
      </c>
      <c r="W809" s="770">
        <f t="shared" si="474"/>
        <v>-0.1064208559572232</v>
      </c>
      <c r="X809" s="770">
        <f t="shared" si="474"/>
        <v>-0.13373247292889703</v>
      </c>
      <c r="Y809" s="770">
        <f t="shared" si="474"/>
        <v>-0.17127490957620492</v>
      </c>
      <c r="Z809" s="770">
        <f t="shared" si="474"/>
        <v>-0.22706205443107105</v>
      </c>
      <c r="AA809" s="770">
        <f t="shared" si="474"/>
        <v>-0.32014386251808469</v>
      </c>
      <c r="AB809" s="770">
        <f t="shared" si="474"/>
        <v>-1</v>
      </c>
      <c r="AC809" s="770">
        <f t="shared" si="474"/>
        <v>0</v>
      </c>
    </row>
    <row r="810" spans="2:30" x14ac:dyDescent="0.45">
      <c r="B810" s="945" t="str">
        <f t="shared" si="461"/>
        <v>Ratios</v>
      </c>
      <c r="D810" s="583" t="str">
        <f>'12. Inputs-Props &amp; Debtors 2016'!C$78</f>
        <v>FS</v>
      </c>
      <c r="F810" s="786">
        <f>'11. Table - Expenditure Review'!L$214</f>
        <v>0</v>
      </c>
      <c r="G810" s="786">
        <f>'11. Table - Expenditure Review'!M$214</f>
        <v>0</v>
      </c>
      <c r="H810" s="786">
        <f>'11. Table - Expenditure Review'!N$214</f>
        <v>0</v>
      </c>
      <c r="I810" s="770">
        <f t="shared" ref="I810:AC810" si="475">IF(H629&lt;&gt;0,(I629-H629)/H629,0)</f>
        <v>4.0356586278488482E-2</v>
      </c>
      <c r="J810" s="770">
        <f t="shared" si="475"/>
        <v>3.1935328654472746E-2</v>
      </c>
      <c r="K810" s="770">
        <f t="shared" si="475"/>
        <v>2.430341039040898E-2</v>
      </c>
      <c r="L810" s="770">
        <f t="shared" si="475"/>
        <v>1.3997793994827456E-2</v>
      </c>
      <c r="M810" s="770">
        <f t="shared" si="475"/>
        <v>7.4081134214868194E-3</v>
      </c>
      <c r="N810" s="770">
        <f t="shared" si="475"/>
        <v>1.0042268174407531E-3</v>
      </c>
      <c r="O810" s="770">
        <f t="shared" si="475"/>
        <v>-2.1683007309334129E-3</v>
      </c>
      <c r="P810" s="770">
        <f t="shared" si="475"/>
        <v>-8.5298361580926074E-3</v>
      </c>
      <c r="Q810" s="770">
        <f t="shared" si="475"/>
        <v>-1.5014733053617765E-2</v>
      </c>
      <c r="R810" s="770">
        <f t="shared" si="475"/>
        <v>-2.1752859265281105E-2</v>
      </c>
      <c r="S810" s="770">
        <f t="shared" si="475"/>
        <v>-2.8890558978307734E-2</v>
      </c>
      <c r="T810" s="770">
        <f t="shared" si="475"/>
        <v>-3.6602002051647965E-2</v>
      </c>
      <c r="U810" s="770">
        <f t="shared" si="475"/>
        <v>-4.5104878262109301E-2</v>
      </c>
      <c r="V810" s="770">
        <f t="shared" si="475"/>
        <v>-5.4683648271236736E-2</v>
      </c>
      <c r="W810" s="770">
        <f t="shared" si="475"/>
        <v>-6.5726008027244862E-2</v>
      </c>
      <c r="X810" s="770">
        <f t="shared" si="475"/>
        <v>-7.8783191305851735E-2</v>
      </c>
      <c r="Y810" s="770">
        <f t="shared" si="475"/>
        <v>-9.4675391142140061E-2</v>
      </c>
      <c r="Z810" s="770">
        <f t="shared" si="475"/>
        <v>-0.11468813398722913</v>
      </c>
      <c r="AA810" s="770">
        <f t="shared" si="475"/>
        <v>-0.14096737057339886</v>
      </c>
      <c r="AB810" s="770">
        <f t="shared" si="475"/>
        <v>-1</v>
      </c>
      <c r="AC810" s="770">
        <f t="shared" si="475"/>
        <v>0</v>
      </c>
    </row>
    <row r="811" spans="2:30" x14ac:dyDescent="0.45">
      <c r="B811" s="945" t="str">
        <f t="shared" si="461"/>
        <v>Ratios</v>
      </c>
      <c r="D811" s="583" t="str">
        <f>'12. Inputs-Props &amp; Debtors 2016'!C$79</f>
        <v>Gau</v>
      </c>
      <c r="F811" s="786">
        <f>'11. Table - Expenditure Review'!O$214</f>
        <v>0</v>
      </c>
      <c r="G811" s="786">
        <f>'11. Table - Expenditure Review'!P$214</f>
        <v>0</v>
      </c>
      <c r="H811" s="786">
        <f>'11. Table - Expenditure Review'!Q$214</f>
        <v>0</v>
      </c>
      <c r="I811" s="770">
        <f t="shared" ref="I811:AC811" si="476">IF(H630&lt;&gt;0,(I630-H630)/H630,0)</f>
        <v>1.735618501641569E-3</v>
      </c>
      <c r="J811" s="770">
        <f t="shared" si="476"/>
        <v>-3.7427589600896424E-3</v>
      </c>
      <c r="K811" s="770">
        <f t="shared" si="476"/>
        <v>-9.2527601203527005E-3</v>
      </c>
      <c r="L811" s="770">
        <f t="shared" si="476"/>
        <v>-2.0700831020147432E-2</v>
      </c>
      <c r="M811" s="770">
        <f t="shared" si="476"/>
        <v>-2.706950805773552E-2</v>
      </c>
      <c r="N811" s="770">
        <f t="shared" si="476"/>
        <v>-3.3918766692516637E-2</v>
      </c>
      <c r="O811" s="770">
        <f t="shared" si="476"/>
        <v>-3.8264715183827402E-2</v>
      </c>
      <c r="P811" s="770">
        <f t="shared" si="476"/>
        <v>-4.6348367713457531E-2</v>
      </c>
      <c r="Q811" s="770">
        <f t="shared" si="476"/>
        <v>-5.5481031149274405E-2</v>
      </c>
      <c r="R811" s="770">
        <f t="shared" si="476"/>
        <v>-6.6024211591824727E-2</v>
      </c>
      <c r="S811" s="770">
        <f t="shared" si="476"/>
        <v>-7.8490725287417684E-2</v>
      </c>
      <c r="T811" s="770">
        <f t="shared" si="476"/>
        <v>-9.3639734730845026E-2</v>
      </c>
      <c r="U811" s="770">
        <f t="shared" si="476"/>
        <v>-0.11265188983289105</v>
      </c>
      <c r="V811" s="770">
        <f t="shared" si="476"/>
        <v>-0.13747676346449125</v>
      </c>
      <c r="W811" s="770">
        <f t="shared" si="476"/>
        <v>-0.17158968773732206</v>
      </c>
      <c r="X811" s="770">
        <f t="shared" si="476"/>
        <v>-0.22185904484289884</v>
      </c>
      <c r="Y811" s="770">
        <f t="shared" si="476"/>
        <v>-0.30404107231520222</v>
      </c>
      <c r="Z811" s="770">
        <f t="shared" si="476"/>
        <v>-0.46406177191204745</v>
      </c>
      <c r="AA811" s="770">
        <f t="shared" si="476"/>
        <v>-0.91663015735454523</v>
      </c>
      <c r="AB811" s="770">
        <f t="shared" si="476"/>
        <v>-1</v>
      </c>
      <c r="AC811" s="770">
        <f t="shared" si="476"/>
        <v>0</v>
      </c>
    </row>
    <row r="812" spans="2:30" x14ac:dyDescent="0.45">
      <c r="B812" s="945" t="str">
        <f t="shared" si="461"/>
        <v>Ratios</v>
      </c>
      <c r="D812" s="583" t="str">
        <f>'12. Inputs-Props &amp; Debtors 2016'!C$80</f>
        <v>KZN</v>
      </c>
      <c r="F812" s="786">
        <f>'11. Table - Expenditure Review'!R$214</f>
        <v>0</v>
      </c>
      <c r="G812" s="786">
        <f>'11. Table - Expenditure Review'!S$214</f>
        <v>0</v>
      </c>
      <c r="H812" s="786">
        <f>'11. Table - Expenditure Review'!T$214</f>
        <v>0</v>
      </c>
      <c r="I812" s="770">
        <f t="shared" ref="I812:AC812" si="477">IF(H631&lt;&gt;0,(I631-H631)/H631,0)</f>
        <v>-4.927811973665603E-2</v>
      </c>
      <c r="J812" s="770">
        <f t="shared" si="477"/>
        <v>-6.3645336449326628E-2</v>
      </c>
      <c r="K812" s="770">
        <f t="shared" si="477"/>
        <v>-8.0587363826538624E-2</v>
      </c>
      <c r="L812" s="770">
        <f t="shared" si="477"/>
        <v>-2.0292234604112735E-2</v>
      </c>
      <c r="M812" s="770">
        <f t="shared" si="477"/>
        <v>-2.6840153816481596E-2</v>
      </c>
      <c r="N812" s="770">
        <f t="shared" si="477"/>
        <v>-3.3877034150049792E-2</v>
      </c>
      <c r="O812" s="770">
        <f t="shared" si="477"/>
        <v>-3.8323634067148921E-2</v>
      </c>
      <c r="P812" s="770">
        <f t="shared" si="477"/>
        <v>-4.6627996516286865E-2</v>
      </c>
      <c r="Q812" s="770">
        <f t="shared" si="477"/>
        <v>-5.6017093895381211E-2</v>
      </c>
      <c r="R812" s="770">
        <f t="shared" si="477"/>
        <v>-6.687164079613514E-2</v>
      </c>
      <c r="S812" s="770">
        <f t="shared" si="477"/>
        <v>-7.973400923130726E-2</v>
      </c>
      <c r="T812" s="770">
        <f t="shared" si="477"/>
        <v>-9.5411646516616003E-2</v>
      </c>
      <c r="U812" s="770">
        <f t="shared" si="477"/>
        <v>-0.11516944847343646</v>
      </c>
      <c r="V812" s="770">
        <f t="shared" si="477"/>
        <v>-0.1411159309149935</v>
      </c>
      <c r="W812" s="770">
        <f t="shared" si="477"/>
        <v>-0.17705762154297075</v>
      </c>
      <c r="X812" s="770">
        <f t="shared" si="477"/>
        <v>-0.23065254585666492</v>
      </c>
      <c r="Y812" s="770">
        <f t="shared" si="477"/>
        <v>-0.31995060753831805</v>
      </c>
      <c r="Z812" s="770">
        <f t="shared" si="477"/>
        <v>-0.50010835454074321</v>
      </c>
      <c r="AA812" s="770">
        <f t="shared" si="477"/>
        <v>-0.96957289861705098</v>
      </c>
      <c r="AB812" s="770">
        <f t="shared" si="477"/>
        <v>-1</v>
      </c>
      <c r="AC812" s="770">
        <f t="shared" si="477"/>
        <v>0</v>
      </c>
    </row>
    <row r="813" spans="2:30" x14ac:dyDescent="0.45">
      <c r="B813" s="945" t="str">
        <f t="shared" si="461"/>
        <v>Ratios</v>
      </c>
      <c r="D813" s="583" t="str">
        <f>'12. Inputs-Props &amp; Debtors 2016'!C$81</f>
        <v>WC</v>
      </c>
      <c r="F813" s="786">
        <f>'11. Table - Expenditure Review'!U$214</f>
        <v>0</v>
      </c>
      <c r="G813" s="786">
        <f>'11. Table - Expenditure Review'!V$214</f>
        <v>0</v>
      </c>
      <c r="H813" s="786">
        <f>'11. Table - Expenditure Review'!W$214</f>
        <v>0</v>
      </c>
      <c r="I813" s="770">
        <f t="shared" ref="I813:AC813" si="478">IF(H632&lt;&gt;0,(I632-H632)/H632,0)</f>
        <v>-0.11403989438880921</v>
      </c>
      <c r="J813" s="770">
        <f t="shared" si="478"/>
        <v>-0.17723139698946427</v>
      </c>
      <c r="K813" s="770">
        <f t="shared" si="478"/>
        <v>-0.18426014714558497</v>
      </c>
      <c r="L813" s="770">
        <f t="shared" si="478"/>
        <v>1.0289513097093824E-2</v>
      </c>
      <c r="M813" s="770">
        <f t="shared" si="478"/>
        <v>3.6485481783935533E-4</v>
      </c>
      <c r="N813" s="770">
        <f t="shared" si="478"/>
        <v>-9.4515592322915922E-3</v>
      </c>
      <c r="O813" s="770">
        <f t="shared" si="478"/>
        <v>-1.4496716294848203E-2</v>
      </c>
      <c r="P813" s="770">
        <f t="shared" si="478"/>
        <v>-2.4765682787800829E-2</v>
      </c>
      <c r="Q813" s="770">
        <f t="shared" si="478"/>
        <v>-3.5705678639354761E-2</v>
      </c>
      <c r="R813" s="770">
        <f t="shared" si="478"/>
        <v>-4.7720658443766335E-2</v>
      </c>
      <c r="S813" s="770">
        <f t="shared" si="478"/>
        <v>-6.1340757550340776E-2</v>
      </c>
      <c r="T813" s="770">
        <f t="shared" si="478"/>
        <v>-7.7311844310578623E-2</v>
      </c>
      <c r="U813" s="770">
        <f t="shared" si="478"/>
        <v>-9.6754632416957767E-2</v>
      </c>
      <c r="V813" s="770">
        <f t="shared" si="478"/>
        <v>-0.12147250511373447</v>
      </c>
      <c r="W813" s="770">
        <f t="shared" si="478"/>
        <v>-0.15460657829404054</v>
      </c>
      <c r="X813" s="770">
        <f t="shared" si="478"/>
        <v>-0.20220745755141017</v>
      </c>
      <c r="Y813" s="770">
        <f t="shared" si="478"/>
        <v>-0.27768333963722008</v>
      </c>
      <c r="Z813" s="770">
        <f t="shared" si="478"/>
        <v>-0.41797178406871455</v>
      </c>
      <c r="AA813" s="770">
        <f t="shared" si="478"/>
        <v>-0.77575141633178668</v>
      </c>
      <c r="AB813" s="770">
        <f t="shared" si="478"/>
        <v>-1</v>
      </c>
      <c r="AC813" s="770">
        <f t="shared" si="478"/>
        <v>0</v>
      </c>
    </row>
    <row r="814" spans="2:30" x14ac:dyDescent="0.45">
      <c r="B814" s="945" t="str">
        <f t="shared" si="461"/>
        <v>Ratios</v>
      </c>
      <c r="D814" s="596" t="s">
        <v>11</v>
      </c>
      <c r="F814" s="787">
        <f>'11. Table - Expenditure Review'!F214</f>
        <v>0</v>
      </c>
      <c r="G814" s="787">
        <f>'11. Table - Expenditure Review'!G214</f>
        <v>0.73369537590465173</v>
      </c>
      <c r="H814" s="787">
        <f>'11. Table - Expenditure Review'!H214</f>
        <v>58.305580012254282</v>
      </c>
      <c r="I814" s="758">
        <f t="shared" ref="I814:AC814" si="479">IF(H633&lt;&gt;0,(I633-H633)/H633,0)</f>
        <v>-3.9712784477637722E-2</v>
      </c>
      <c r="J814" s="758">
        <f t="shared" si="479"/>
        <v>-5.55907062786615E-2</v>
      </c>
      <c r="K814" s="758">
        <f t="shared" si="479"/>
        <v>-6.4770376845633235E-2</v>
      </c>
      <c r="L814" s="758">
        <f t="shared" si="479"/>
        <v>-1.6743146545110332E-2</v>
      </c>
      <c r="M814" s="758">
        <f t="shared" si="479"/>
        <v>-2.3447163100326945E-2</v>
      </c>
      <c r="N814" s="758">
        <f t="shared" si="479"/>
        <v>-3.0583161494471319E-2</v>
      </c>
      <c r="O814" s="758">
        <f t="shared" si="479"/>
        <v>-3.4938196448336331E-2</v>
      </c>
      <c r="P814" s="758">
        <f t="shared" si="479"/>
        <v>-4.3228932181698911E-2</v>
      </c>
      <c r="Q814" s="758">
        <f t="shared" si="479"/>
        <v>-5.2525415706360233E-2</v>
      </c>
      <c r="R814" s="758">
        <f t="shared" si="479"/>
        <v>-6.3187684408954059E-2</v>
      </c>
      <c r="S814" s="758">
        <f t="shared" si="479"/>
        <v>-7.5722837593909131E-2</v>
      </c>
      <c r="T814" s="758">
        <f t="shared" si="479"/>
        <v>-9.0877504649307647E-2</v>
      </c>
      <c r="U814" s="758">
        <f t="shared" si="479"/>
        <v>-0.10980749184321957</v>
      </c>
      <c r="V814" s="758">
        <f t="shared" si="479"/>
        <v>-0.13441272605253357</v>
      </c>
      <c r="W814" s="758">
        <f t="shared" si="479"/>
        <v>-0.16806269393781095</v>
      </c>
      <c r="X814" s="758">
        <f t="shared" si="479"/>
        <v>-0.21737260653509177</v>
      </c>
      <c r="Y814" s="758">
        <f t="shared" si="479"/>
        <v>-0.29737211143686632</v>
      </c>
      <c r="Z814" s="758">
        <f t="shared" si="479"/>
        <v>-0.45115910960180838</v>
      </c>
      <c r="AA814" s="758">
        <f t="shared" si="479"/>
        <v>-0.83629964096135678</v>
      </c>
      <c r="AB814" s="758">
        <f t="shared" si="479"/>
        <v>-1</v>
      </c>
      <c r="AC814" s="758">
        <f t="shared" si="479"/>
        <v>0</v>
      </c>
    </row>
    <row r="815" spans="2:30" x14ac:dyDescent="0.45">
      <c r="B815" s="945" t="str">
        <f t="shared" si="461"/>
        <v>Ratios</v>
      </c>
      <c r="F815" s="639"/>
      <c r="G815" s="639"/>
      <c r="H815" s="639"/>
    </row>
    <row r="816" spans="2:30" x14ac:dyDescent="0.45">
      <c r="B816" s="945" t="str">
        <f t="shared" si="461"/>
        <v>Ratios</v>
      </c>
      <c r="F816" s="639"/>
      <c r="G816" s="639"/>
      <c r="H816" s="639"/>
    </row>
    <row r="817" spans="2:30" x14ac:dyDescent="0.45">
      <c r="B817" s="945" t="str">
        <f t="shared" si="461"/>
        <v>Ratios</v>
      </c>
      <c r="C817" s="451" t="str">
        <f>'11. Table - Expenditure Review'!C215</f>
        <v>E1.48</v>
      </c>
      <c r="D817" s="583" t="str">
        <f>'11. Table - Expenditure Review'!E215</f>
        <v>Eviction rate</v>
      </c>
    </row>
    <row r="818" spans="2:30" x14ac:dyDescent="0.45">
      <c r="B818" s="945" t="str">
        <f t="shared" si="461"/>
        <v>Ratios</v>
      </c>
      <c r="D818" s="583" t="str">
        <f>'12. Inputs-Props &amp; Debtors 2016'!C$77</f>
        <v>EC</v>
      </c>
      <c r="F818" s="786">
        <f>'11. Table - Expenditure Review'!I$215</f>
        <v>0</v>
      </c>
      <c r="G818" s="786">
        <f>'11. Table - Expenditure Review'!J$215</f>
        <v>0</v>
      </c>
      <c r="H818" s="786">
        <f>'11. Table - Expenditure Review'!K$215</f>
        <v>0</v>
      </c>
      <c r="I818" s="647"/>
      <c r="J818" s="647"/>
      <c r="K818" s="647"/>
      <c r="L818" s="647"/>
      <c r="M818" s="647"/>
      <c r="N818" s="647"/>
      <c r="O818" s="647"/>
      <c r="P818" s="647"/>
      <c r="Q818" s="647"/>
      <c r="R818" s="647"/>
      <c r="S818" s="647"/>
      <c r="T818" s="647"/>
      <c r="U818" s="647"/>
      <c r="V818" s="647"/>
      <c r="W818" s="647"/>
      <c r="X818" s="647"/>
      <c r="Y818" s="647"/>
      <c r="Z818" s="647"/>
      <c r="AA818" s="647"/>
      <c r="AB818" s="647"/>
      <c r="AC818" s="647"/>
      <c r="AD818" s="647"/>
    </row>
    <row r="819" spans="2:30" x14ac:dyDescent="0.45">
      <c r="B819" s="945" t="str">
        <f t="shared" si="461"/>
        <v>Ratios</v>
      </c>
      <c r="D819" s="583" t="str">
        <f>'12. Inputs-Props &amp; Debtors 2016'!C$78</f>
        <v>FS</v>
      </c>
      <c r="F819" s="786">
        <f>'11. Table - Expenditure Review'!L$215</f>
        <v>0</v>
      </c>
      <c r="G819" s="786">
        <f>'11. Table - Expenditure Review'!M$215</f>
        <v>0</v>
      </c>
      <c r="H819" s="786">
        <f>'11. Table - Expenditure Review'!N$215</f>
        <v>0</v>
      </c>
      <c r="I819" s="647"/>
      <c r="J819" s="647"/>
      <c r="K819" s="647"/>
      <c r="L819" s="647"/>
      <c r="M819" s="647"/>
      <c r="N819" s="647"/>
      <c r="O819" s="647"/>
      <c r="P819" s="647"/>
      <c r="Q819" s="647"/>
      <c r="R819" s="647"/>
      <c r="S819" s="647"/>
      <c r="T819" s="647"/>
      <c r="U819" s="647"/>
      <c r="V819" s="647"/>
      <c r="W819" s="647"/>
      <c r="X819" s="647"/>
      <c r="Y819" s="647"/>
      <c r="Z819" s="647"/>
      <c r="AA819" s="647"/>
      <c r="AB819" s="647"/>
      <c r="AC819" s="647"/>
      <c r="AD819" s="647"/>
    </row>
    <row r="820" spans="2:30" x14ac:dyDescent="0.45">
      <c r="B820" s="945" t="str">
        <f t="shared" si="461"/>
        <v>Ratios</v>
      </c>
      <c r="D820" s="583" t="str">
        <f>'12. Inputs-Props &amp; Debtors 2016'!C$79</f>
        <v>Gau</v>
      </c>
      <c r="F820" s="786">
        <f>'11. Table - Expenditure Review'!O$215</f>
        <v>0</v>
      </c>
      <c r="G820" s="786">
        <f>'11. Table - Expenditure Review'!P$215</f>
        <v>0</v>
      </c>
      <c r="H820" s="786">
        <f>'11. Table - Expenditure Review'!Q$215</f>
        <v>0</v>
      </c>
      <c r="I820" s="647"/>
      <c r="J820" s="647"/>
      <c r="K820" s="647"/>
      <c r="L820" s="647"/>
      <c r="M820" s="647"/>
      <c r="N820" s="647"/>
      <c r="O820" s="647"/>
      <c r="P820" s="647"/>
      <c r="Q820" s="647"/>
      <c r="R820" s="647"/>
      <c r="S820" s="647"/>
      <c r="T820" s="647"/>
      <c r="U820" s="647"/>
      <c r="V820" s="647"/>
      <c r="W820" s="647"/>
      <c r="X820" s="647"/>
      <c r="Y820" s="647"/>
      <c r="Z820" s="647"/>
      <c r="AA820" s="647"/>
      <c r="AB820" s="647"/>
      <c r="AC820" s="647"/>
      <c r="AD820" s="647"/>
    </row>
    <row r="821" spans="2:30" x14ac:dyDescent="0.45">
      <c r="B821" s="945" t="str">
        <f t="shared" si="461"/>
        <v>Ratios</v>
      </c>
      <c r="D821" s="583" t="str">
        <f>'12. Inputs-Props &amp; Debtors 2016'!C$80</f>
        <v>KZN</v>
      </c>
      <c r="F821" s="786">
        <f>'11. Table - Expenditure Review'!R$215</f>
        <v>0</v>
      </c>
      <c r="G821" s="786">
        <f>'11. Table - Expenditure Review'!S$215</f>
        <v>0</v>
      </c>
      <c r="H821" s="786">
        <f>'11. Table - Expenditure Review'!T$215</f>
        <v>0</v>
      </c>
      <c r="I821" s="647"/>
      <c r="J821" s="647"/>
      <c r="K821" s="647"/>
      <c r="L821" s="647"/>
      <c r="M821" s="647"/>
      <c r="N821" s="647"/>
      <c r="O821" s="647"/>
      <c r="P821" s="647"/>
      <c r="Q821" s="647"/>
      <c r="R821" s="647"/>
      <c r="S821" s="647"/>
      <c r="T821" s="647"/>
      <c r="U821" s="647"/>
      <c r="V821" s="647"/>
      <c r="W821" s="647"/>
      <c r="X821" s="647"/>
      <c r="Y821" s="647"/>
      <c r="Z821" s="647"/>
      <c r="AA821" s="647"/>
      <c r="AB821" s="647"/>
      <c r="AC821" s="647"/>
      <c r="AD821" s="647"/>
    </row>
    <row r="822" spans="2:30" x14ac:dyDescent="0.45">
      <c r="B822" s="945" t="str">
        <f t="shared" si="461"/>
        <v>Ratios</v>
      </c>
      <c r="D822" s="583" t="str">
        <f>'12. Inputs-Props &amp; Debtors 2016'!C$81</f>
        <v>WC</v>
      </c>
      <c r="F822" s="786">
        <f>'11. Table - Expenditure Review'!U$215</f>
        <v>0</v>
      </c>
      <c r="G822" s="786">
        <f>'11. Table - Expenditure Review'!V$215</f>
        <v>0</v>
      </c>
      <c r="H822" s="786">
        <f>'11. Table - Expenditure Review'!W$215</f>
        <v>0</v>
      </c>
      <c r="I822" s="647"/>
      <c r="J822" s="647"/>
      <c r="K822" s="647"/>
      <c r="L822" s="647"/>
      <c r="M822" s="647"/>
      <c r="N822" s="647"/>
      <c r="O822" s="647"/>
      <c r="P822" s="647"/>
      <c r="Q822" s="647"/>
      <c r="R822" s="647"/>
      <c r="S822" s="647"/>
      <c r="T822" s="647"/>
      <c r="U822" s="647"/>
      <c r="V822" s="647"/>
      <c r="W822" s="647"/>
      <c r="X822" s="647"/>
      <c r="Y822" s="647"/>
      <c r="Z822" s="647"/>
      <c r="AA822" s="647"/>
      <c r="AB822" s="647"/>
      <c r="AC822" s="647"/>
      <c r="AD822" s="647"/>
    </row>
    <row r="823" spans="2:30" x14ac:dyDescent="0.45">
      <c r="B823" s="945" t="str">
        <f t="shared" si="461"/>
        <v>Ratios</v>
      </c>
      <c r="D823" s="596" t="s">
        <v>11</v>
      </c>
      <c r="F823" s="787">
        <f>'11. Table - Expenditure Review'!F215</f>
        <v>0</v>
      </c>
      <c r="G823" s="787">
        <f>'11. Table - Expenditure Review'!G215</f>
        <v>0</v>
      </c>
      <c r="H823" s="787">
        <f>'11. Table - Expenditure Review'!H215</f>
        <v>0</v>
      </c>
      <c r="I823" s="647"/>
      <c r="J823" s="647"/>
      <c r="K823" s="647"/>
      <c r="L823" s="647"/>
      <c r="M823" s="647"/>
      <c r="N823" s="647"/>
      <c r="O823" s="647"/>
      <c r="P823" s="647"/>
      <c r="Q823" s="647"/>
      <c r="R823" s="647"/>
      <c r="S823" s="647"/>
      <c r="T823" s="647"/>
      <c r="U823" s="647"/>
      <c r="V823" s="647"/>
      <c r="W823" s="647"/>
      <c r="X823" s="647"/>
      <c r="Y823" s="647"/>
      <c r="Z823" s="647"/>
      <c r="AA823" s="647"/>
      <c r="AB823" s="647"/>
      <c r="AC823" s="647"/>
      <c r="AD823" s="647"/>
    </row>
    <row r="824" spans="2:30" x14ac:dyDescent="0.45">
      <c r="B824" s="945" t="str">
        <f t="shared" si="461"/>
        <v>Ratios</v>
      </c>
      <c r="F824" s="639"/>
      <c r="G824" s="639"/>
      <c r="H824" s="639"/>
    </row>
    <row r="825" spans="2:30" x14ac:dyDescent="0.45">
      <c r="B825" s="945" t="str">
        <f t="shared" si="461"/>
        <v>Ratios</v>
      </c>
      <c r="F825" s="639"/>
      <c r="G825" s="639"/>
      <c r="H825" s="639"/>
    </row>
    <row r="826" spans="2:30" x14ac:dyDescent="0.45">
      <c r="B826" s="945" t="str">
        <f t="shared" si="461"/>
        <v>Ratios</v>
      </c>
      <c r="C826" s="451" t="str">
        <f>'11. Table - Expenditure Review'!C216</f>
        <v>E1.49</v>
      </c>
      <c r="D826" s="583" t="str">
        <f>'11. Table - Expenditure Review'!E216</f>
        <v>Cost to Income Ratio</v>
      </c>
    </row>
    <row r="827" spans="2:30" x14ac:dyDescent="0.45">
      <c r="B827" s="945" t="str">
        <f t="shared" si="461"/>
        <v>Ratios</v>
      </c>
      <c r="D827" s="583" t="str">
        <f>'12. Inputs-Props &amp; Debtors 2016'!C$77</f>
        <v>EC</v>
      </c>
      <c r="F827" s="786">
        <f>'11. Table - Expenditure Review'!I$216</f>
        <v>1.5829116337490683</v>
      </c>
      <c r="G827" s="786">
        <f>'11. Table - Expenditure Review'!J$216</f>
        <v>5.1965915863976644</v>
      </c>
      <c r="H827" s="786">
        <f>'11. Table - Expenditure Review'!K$216</f>
        <v>10.286667956766635</v>
      </c>
      <c r="I827" s="770">
        <f t="shared" ref="I827:AC827" si="480">IF((I143+I432+I574)&lt;&gt;0,(I742+I508)/(I143+I432+I574),0)</f>
        <v>11.263088438660686</v>
      </c>
      <c r="J827" s="770">
        <f t="shared" si="480"/>
        <v>9.6442440936028859</v>
      </c>
      <c r="K827" s="770">
        <f t="shared" si="480"/>
        <v>7.5448358091664041</v>
      </c>
      <c r="L827" s="770">
        <f t="shared" si="480"/>
        <v>35.790510213089838</v>
      </c>
      <c r="M827" s="770">
        <f t="shared" si="480"/>
        <v>36.718359571401713</v>
      </c>
      <c r="N827" s="770">
        <f t="shared" si="480"/>
        <v>37.568238474826551</v>
      </c>
      <c r="O827" s="770">
        <f t="shared" si="480"/>
        <v>38.317141106494326</v>
      </c>
      <c r="P827" s="770">
        <f t="shared" si="480"/>
        <v>38.937572831648751</v>
      </c>
      <c r="Q827" s="770">
        <f t="shared" si="480"/>
        <v>39.396641015161634</v>
      </c>
      <c r="R827" s="770">
        <f t="shared" si="480"/>
        <v>39.654933915141306</v>
      </c>
      <c r="S827" s="770">
        <f t="shared" si="480"/>
        <v>39.665129227915372</v>
      </c>
      <c r="T827" s="770">
        <f t="shared" si="480"/>
        <v>39.370254824858449</v>
      </c>
      <c r="U827" s="770">
        <f t="shared" si="480"/>
        <v>38.701497924107429</v>
      </c>
      <c r="V827" s="770">
        <f t="shared" si="480"/>
        <v>37.575422165767918</v>
      </c>
      <c r="W827" s="770">
        <f t="shared" si="480"/>
        <v>35.890399956017916</v>
      </c>
      <c r="X827" s="770">
        <f t="shared" si="480"/>
        <v>33.521992570432936</v>
      </c>
      <c r="Y827" s="770">
        <f t="shared" si="480"/>
        <v>30.316901238411198</v>
      </c>
      <c r="Z827" s="770">
        <f t="shared" si="480"/>
        <v>26.084950272502276</v>
      </c>
      <c r="AA827" s="770">
        <f t="shared" si="480"/>
        <v>20.588318198973219</v>
      </c>
      <c r="AB827" s="770">
        <f t="shared" si="480"/>
        <v>4.8810127331565343E-3</v>
      </c>
      <c r="AC827" s="770">
        <f t="shared" si="480"/>
        <v>0</v>
      </c>
    </row>
    <row r="828" spans="2:30" x14ac:dyDescent="0.45">
      <c r="B828" s="945" t="str">
        <f t="shared" si="461"/>
        <v>Ratios</v>
      </c>
      <c r="D828" s="583" t="str">
        <f>'12. Inputs-Props &amp; Debtors 2016'!C$78</f>
        <v>FS</v>
      </c>
      <c r="F828" s="786">
        <f>'11. Table - Expenditure Review'!L$216</f>
        <v>6.1530126699170209</v>
      </c>
      <c r="G828" s="786">
        <f>'11. Table - Expenditure Review'!M$216</f>
        <v>7.8233522643358695</v>
      </c>
      <c r="H828" s="786">
        <f>'11. Table - Expenditure Review'!N$216</f>
        <v>8970.8083200000001</v>
      </c>
      <c r="I828" s="770">
        <f t="shared" ref="I828:AC828" ca="1" si="481">IF((I144+I433+I575)&lt;&gt;0,(I743+I509)/(I144+I433+I575),0)</f>
        <v>22.938250043514532</v>
      </c>
      <c r="J828" s="770">
        <f t="shared" ca="1" si="481"/>
        <v>23.16052054040696</v>
      </c>
      <c r="K828" s="770">
        <f t="shared" ca="1" si="481"/>
        <v>23.33785258557592</v>
      </c>
      <c r="L828" s="770">
        <f t="shared" ca="1" si="481"/>
        <v>23.464630581078737</v>
      </c>
      <c r="M828" s="770">
        <f t="shared" ca="1" si="481"/>
        <v>23.534757152015491</v>
      </c>
      <c r="N828" s="770">
        <f t="shared" ca="1" si="481"/>
        <v>23.541617138247524</v>
      </c>
      <c r="O828" s="770">
        <f t="shared" ca="1" si="481"/>
        <v>23.478039082580239</v>
      </c>
      <c r="P828" s="770">
        <f t="shared" ca="1" si="481"/>
        <v>23.336254048946358</v>
      </c>
      <c r="Q828" s="770">
        <f t="shared" ca="1" si="481"/>
        <v>23.107851593387945</v>
      </c>
      <c r="R828" s="770">
        <f t="shared" ca="1" si="481"/>
        <v>22.783732699220039</v>
      </c>
      <c r="S828" s="770">
        <f t="shared" ca="1" si="481"/>
        <v>22.354059475623664</v>
      </c>
      <c r="T828" s="770">
        <f t="shared" ca="1" si="481"/>
        <v>21.808201406016554</v>
      </c>
      <c r="U828" s="770">
        <f t="shared" ca="1" si="481"/>
        <v>21.134677918838893</v>
      </c>
      <c r="V828" s="770">
        <f t="shared" ca="1" si="481"/>
        <v>20.321097038818497</v>
      </c>
      <c r="W828" s="770">
        <f t="shared" ca="1" si="481"/>
        <v>19.354089861291364</v>
      </c>
      <c r="X828" s="770">
        <f t="shared" ca="1" si="481"/>
        <v>18.219240575693824</v>
      </c>
      <c r="Y828" s="770">
        <f t="shared" ca="1" si="481"/>
        <v>16.901011746850148</v>
      </c>
      <c r="Z828" s="770">
        <f t="shared" ca="1" si="481"/>
        <v>15.38266454409219</v>
      </c>
      <c r="AA828" s="770">
        <f t="shared" ca="1" si="481"/>
        <v>13.646173588496639</v>
      </c>
      <c r="AB828" s="770">
        <f t="shared" ca="1" si="481"/>
        <v>9.8332722985107784E-2</v>
      </c>
      <c r="AC828" s="770">
        <f t="shared" si="481"/>
        <v>0</v>
      </c>
    </row>
    <row r="829" spans="2:30" x14ac:dyDescent="0.45">
      <c r="B829" s="945" t="str">
        <f t="shared" si="461"/>
        <v>Ratios</v>
      </c>
      <c r="D829" s="583" t="str">
        <f>'12. Inputs-Props &amp; Debtors 2016'!C$79</f>
        <v>Gau</v>
      </c>
      <c r="F829" s="786">
        <f>'11. Table - Expenditure Review'!O$216</f>
        <v>27.965580545306178</v>
      </c>
      <c r="G829" s="786">
        <f>'11. Table - Expenditure Review'!P$216</f>
        <v>20.064060344894862</v>
      </c>
      <c r="H829" s="786">
        <f>'11. Table - Expenditure Review'!Q$216</f>
        <v>22.177921983057889</v>
      </c>
      <c r="I829" s="770">
        <f t="shared" ref="I829:AC829" ca="1" si="482">IF((I145+I434+I576)&lt;&gt;0,(I744+I510)/(I145+I434+I576),0)</f>
        <v>26.977047869722533</v>
      </c>
      <c r="J829" s="770">
        <f t="shared" ca="1" si="482"/>
        <v>27.095554567993272</v>
      </c>
      <c r="K829" s="770">
        <f t="shared" ca="1" si="482"/>
        <v>27.140463063991611</v>
      </c>
      <c r="L829" s="770">
        <f t="shared" ca="1" si="482"/>
        <v>25.88161659753003</v>
      </c>
      <c r="M829" s="770">
        <f t="shared" ca="1" si="482"/>
        <v>25.699122364244751</v>
      </c>
      <c r="N829" s="770">
        <f t="shared" ca="1" si="482"/>
        <v>25.412307687399071</v>
      </c>
      <c r="O829" s="770">
        <f t="shared" ca="1" si="482"/>
        <v>25.009888711893723</v>
      </c>
      <c r="P829" s="770">
        <f t="shared" ca="1" si="482"/>
        <v>24.4796340208472</v>
      </c>
      <c r="Q829" s="770">
        <f t="shared" ca="1" si="482"/>
        <v>23.808293202779176</v>
      </c>
      <c r="R829" s="770">
        <f t="shared" ca="1" si="482"/>
        <v>22.981520345986912</v>
      </c>
      <c r="S829" s="770">
        <f t="shared" ca="1" si="482"/>
        <v>21.983792113188112</v>
      </c>
      <c r="T829" s="770">
        <f t="shared" ca="1" si="482"/>
        <v>20.798320026379329</v>
      </c>
      <c r="U829" s="770">
        <f t="shared" ca="1" si="482"/>
        <v>19.406956567221201</v>
      </c>
      <c r="V829" s="770">
        <f t="shared" ca="1" si="482"/>
        <v>17.790094672013101</v>
      </c>
      <c r="W829" s="770">
        <f t="shared" ca="1" si="482"/>
        <v>15.926560172356513</v>
      </c>
      <c r="X829" s="770">
        <f t="shared" ca="1" si="482"/>
        <v>13.793496702817084</v>
      </c>
      <c r="Y829" s="770">
        <f t="shared" ca="1" si="482"/>
        <v>11.366242565163752</v>
      </c>
      <c r="Z829" s="770">
        <f t="shared" ca="1" si="482"/>
        <v>8.618199004962884</v>
      </c>
      <c r="AA829" s="770">
        <f t="shared" ca="1" si="482"/>
        <v>5.520689320304033</v>
      </c>
      <c r="AB829" s="770">
        <f t="shared" si="482"/>
        <v>8.8560159426519605E-4</v>
      </c>
      <c r="AC829" s="770">
        <f t="shared" si="482"/>
        <v>0</v>
      </c>
    </row>
    <row r="830" spans="2:30" x14ac:dyDescent="0.45">
      <c r="B830" s="945" t="str">
        <f t="shared" si="461"/>
        <v>Ratios</v>
      </c>
      <c r="D830" s="583" t="str">
        <f>'12. Inputs-Props &amp; Debtors 2016'!C$80</f>
        <v>KZN</v>
      </c>
      <c r="F830" s="786">
        <f>'11. Table - Expenditure Review'!R$216</f>
        <v>4.3859747647309115</v>
      </c>
      <c r="G830" s="786">
        <f>'11. Table - Expenditure Review'!S$216</f>
        <v>3.7877355450022678</v>
      </c>
      <c r="H830" s="786">
        <f>'11. Table - Expenditure Review'!T$216</f>
        <v>6.4840547126770431</v>
      </c>
      <c r="I830" s="770">
        <f t="shared" ref="I830:AC830" ca="1" si="483">IF((I146+I435+I577)&lt;&gt;0,(I745+I511)/(I146+I435+I577),0)</f>
        <v>9.7235019094507003</v>
      </c>
      <c r="J830" s="770">
        <f t="shared" ca="1" si="483"/>
        <v>9.5114347644563004</v>
      </c>
      <c r="K830" s="770">
        <f t="shared" ca="1" si="483"/>
        <v>9.222756189851637</v>
      </c>
      <c r="L830" s="770">
        <f t="shared" ca="1" si="483"/>
        <v>18.39423814446177</v>
      </c>
      <c r="M830" s="770">
        <f t="shared" ca="1" si="483"/>
        <v>18.500195295979033</v>
      </c>
      <c r="N830" s="770">
        <f t="shared" ca="1" si="483"/>
        <v>18.535634464175672</v>
      </c>
      <c r="O830" s="770">
        <f t="shared" ca="1" si="483"/>
        <v>18.489836837539492</v>
      </c>
      <c r="P830" s="770">
        <f t="shared" ca="1" si="483"/>
        <v>18.350836331334804</v>
      </c>
      <c r="Q830" s="770">
        <f t="shared" ca="1" si="483"/>
        <v>18.105282473852974</v>
      </c>
      <c r="R830" s="770">
        <f t="shared" ca="1" si="483"/>
        <v>17.738287956914977</v>
      </c>
      <c r="S830" s="770">
        <f t="shared" ca="1" si="483"/>
        <v>17.233259032796642</v>
      </c>
      <c r="T830" s="770">
        <f t="shared" ca="1" si="483"/>
        <v>16.571706705460421</v>
      </c>
      <c r="U830" s="770">
        <f t="shared" ca="1" si="483"/>
        <v>15.733036396373009</v>
      </c>
      <c r="V830" s="770">
        <f t="shared" ca="1" si="483"/>
        <v>14.694313459005274</v>
      </c>
      <c r="W830" s="770">
        <f t="shared" ca="1" si="483"/>
        <v>13.43000156517023</v>
      </c>
      <c r="X830" s="770">
        <f t="shared" ca="1" si="483"/>
        <v>11.911670583374573</v>
      </c>
      <c r="Y830" s="770">
        <f t="shared" ca="1" si="483"/>
        <v>10.107670105743511</v>
      </c>
      <c r="Z830" s="770">
        <f t="shared" ca="1" si="483"/>
        <v>7.9827642456507917</v>
      </c>
      <c r="AA830" s="770">
        <f t="shared" ca="1" si="483"/>
        <v>5.4977227108685822</v>
      </c>
      <c r="AB830" s="770">
        <f t="shared" ca="1" si="483"/>
        <v>1.8990878961984406E-4</v>
      </c>
      <c r="AC830" s="770">
        <f t="shared" si="483"/>
        <v>0</v>
      </c>
    </row>
    <row r="831" spans="2:30" x14ac:dyDescent="0.45">
      <c r="B831" s="945" t="str">
        <f t="shared" si="461"/>
        <v>Ratios</v>
      </c>
      <c r="D831" s="583" t="str">
        <f>'12. Inputs-Props &amp; Debtors 2016'!C$81</f>
        <v>WC</v>
      </c>
      <c r="F831" s="786">
        <f>'11. Table - Expenditure Review'!U$216</f>
        <v>0.61708094423988302</v>
      </c>
      <c r="G831" s="786">
        <f>'11. Table - Expenditure Review'!V$216</f>
        <v>0.52103972271287047</v>
      </c>
      <c r="H831" s="786">
        <f>'11. Table - Expenditure Review'!W$216</f>
        <v>0.63914181482022636</v>
      </c>
      <c r="I831" s="770">
        <f t="shared" ref="I831:AC831" ca="1" si="484">IF((I147+I436+I578)&lt;&gt;0,(I746+I512)/(I147+I436+I578),0)</f>
        <v>0.76677844229905745</v>
      </c>
      <c r="J831" s="770">
        <f t="shared" ca="1" si="484"/>
        <v>0.83616145151901755</v>
      </c>
      <c r="K831" s="770">
        <f t="shared" ca="1" si="484"/>
        <v>1.0789850778829309</v>
      </c>
      <c r="L831" s="770">
        <f t="shared" ca="1" si="484"/>
        <v>2.6098351652526679</v>
      </c>
      <c r="M831" s="770">
        <f t="shared" ca="1" si="484"/>
        <v>2.7313680810443932</v>
      </c>
      <c r="N831" s="770">
        <f t="shared" ca="1" si="484"/>
        <v>2.8562621942106148</v>
      </c>
      <c r="O831" s="770">
        <f t="shared" ca="1" si="484"/>
        <v>2.9840846918389952</v>
      </c>
      <c r="P831" s="770">
        <f t="shared" ca="1" si="484"/>
        <v>3.1142362203453677</v>
      </c>
      <c r="Q831" s="770">
        <f t="shared" ca="1" si="484"/>
        <v>3.2459008163710665</v>
      </c>
      <c r="R831" s="770">
        <f t="shared" ca="1" si="484"/>
        <v>3.3779786785764681</v>
      </c>
      <c r="S831" s="770">
        <f t="shared" ca="1" si="484"/>
        <v>3.5089946749925391</v>
      </c>
      <c r="T831" s="770">
        <f t="shared" ca="1" si="484"/>
        <v>3.6369719213615959</v>
      </c>
      <c r="U831" s="770">
        <f t="shared" ca="1" si="484"/>
        <v>3.7592540681597644</v>
      </c>
      <c r="V831" s="770">
        <f t="shared" ca="1" si="484"/>
        <v>3.872250568066486</v>
      </c>
      <c r="W831" s="770">
        <f t="shared" ca="1" si="484"/>
        <v>3.9710633355284215</v>
      </c>
      <c r="X831" s="770">
        <f t="shared" ca="1" si="484"/>
        <v>4.0489254349666339</v>
      </c>
      <c r="Y831" s="770">
        <f t="shared" ca="1" si="484"/>
        <v>4.0963318927332928</v>
      </c>
      <c r="Z831" s="770">
        <f t="shared" ca="1" si="484"/>
        <v>4.0996466085725398</v>
      </c>
      <c r="AA831" s="770">
        <f t="shared" ca="1" si="484"/>
        <v>4.0387768911882791</v>
      </c>
      <c r="AB831" s="770">
        <f t="shared" ca="1" si="484"/>
        <v>1.7943937569594155E-3</v>
      </c>
      <c r="AC831" s="770">
        <f t="shared" si="484"/>
        <v>0</v>
      </c>
    </row>
    <row r="832" spans="2:30" x14ac:dyDescent="0.45">
      <c r="B832" s="945" t="str">
        <f t="shared" si="461"/>
        <v>Ratios</v>
      </c>
      <c r="D832" s="596" t="s">
        <v>11</v>
      </c>
      <c r="F832" s="787">
        <f>'11. Table - Expenditure Review'!F216</f>
        <v>3.9797793944828515</v>
      </c>
      <c r="G832" s="787">
        <f>'11. Table - Expenditure Review'!G216</f>
        <v>3.9774448403588876</v>
      </c>
      <c r="H832" s="787">
        <f>'11. Table - Expenditure Review'!H216</f>
        <v>5.5783167506580043</v>
      </c>
      <c r="I832" s="758">
        <f t="shared" ref="I832:AC832" si="485">IF((-I190+I437+I579)&lt;&gt;0,(I747+I513)/(-I190+I437+I579),0)</f>
        <v>12.671079931042106</v>
      </c>
      <c r="J832" s="758">
        <f t="shared" si="485"/>
        <v>13.507273116795963</v>
      </c>
      <c r="K832" s="758">
        <f t="shared" si="485"/>
        <v>15.977837533118961</v>
      </c>
      <c r="L832" s="758">
        <f t="shared" si="485"/>
        <v>30.537175879738236</v>
      </c>
      <c r="M832" s="758">
        <f t="shared" si="485"/>
        <v>31.578787537400064</v>
      </c>
      <c r="N832" s="758">
        <f t="shared" si="485"/>
        <v>32.583822867731854</v>
      </c>
      <c r="O832" s="758">
        <f t="shared" si="485"/>
        <v>33.533380100091833</v>
      </c>
      <c r="P832" s="758">
        <f t="shared" si="485"/>
        <v>34.403761511004006</v>
      </c>
      <c r="Q832" s="758">
        <f t="shared" si="485"/>
        <v>35.165178524142178</v>
      </c>
      <c r="R832" s="758">
        <f t="shared" si="485"/>
        <v>35.780039264048</v>
      </c>
      <c r="S832" s="758">
        <f t="shared" si="485"/>
        <v>36.200654829392356</v>
      </c>
      <c r="T832" s="758">
        <f t="shared" si="485"/>
        <v>36.366123014428666</v>
      </c>
      <c r="U832" s="758">
        <f t="shared" si="485"/>
        <v>36.19802677949022</v>
      </c>
      <c r="V832" s="758">
        <f t="shared" si="485"/>
        <v>35.594389996269669</v>
      </c>
      <c r="W832" s="758">
        <f t="shared" si="485"/>
        <v>34.421012103663806</v>
      </c>
      <c r="X832" s="758">
        <f t="shared" si="485"/>
        <v>32.498758542525906</v>
      </c>
      <c r="Y832" s="758">
        <f t="shared" si="485"/>
        <v>29.584427062221131</v>
      </c>
      <c r="Z832" s="758">
        <f t="shared" si="485"/>
        <v>25.341063223634034</v>
      </c>
      <c r="AA832" s="758">
        <f t="shared" si="485"/>
        <v>19.29026369974644</v>
      </c>
      <c r="AB832" s="758">
        <f t="shared" si="485"/>
        <v>4.7817416226606062E-2</v>
      </c>
      <c r="AC832" s="758">
        <f t="shared" si="485"/>
        <v>0</v>
      </c>
    </row>
    <row r="833" spans="2:29" x14ac:dyDescent="0.45">
      <c r="B833" s="945" t="str">
        <f t="shared" si="461"/>
        <v>Ratios</v>
      </c>
      <c r="F833" s="639"/>
      <c r="G833" s="639"/>
      <c r="H833" s="639"/>
    </row>
    <row r="834" spans="2:29" x14ac:dyDescent="0.45">
      <c r="B834" s="945" t="str">
        <f t="shared" si="461"/>
        <v>Ratios</v>
      </c>
      <c r="F834" s="639"/>
      <c r="G834" s="639"/>
      <c r="H834" s="639"/>
    </row>
    <row r="835" spans="2:29" x14ac:dyDescent="0.45">
      <c r="B835" s="945" t="str">
        <f t="shared" si="461"/>
        <v>Ratios</v>
      </c>
      <c r="C835" s="451" t="str">
        <f>'11. Table - Expenditure Review'!C217</f>
        <v>E1.50</v>
      </c>
      <c r="D835" s="583" t="str">
        <f>'11. Table - Expenditure Review'!E217</f>
        <v>Maintenance as % of Expenses</v>
      </c>
    </row>
    <row r="836" spans="2:29" x14ac:dyDescent="0.45">
      <c r="B836" s="945" t="str">
        <f t="shared" si="461"/>
        <v>Ratios</v>
      </c>
      <c r="D836" s="583" t="str">
        <f>'12. Inputs-Props &amp; Debtors 2016'!C$77</f>
        <v>EC</v>
      </c>
      <c r="F836" s="786">
        <f>'11. Table - Expenditure Review'!I$217</f>
        <v>0</v>
      </c>
      <c r="G836" s="786">
        <f>'11. Table - Expenditure Review'!J$217</f>
        <v>0</v>
      </c>
      <c r="H836" s="786">
        <f>'11. Table - Expenditure Review'!K$217</f>
        <v>0</v>
      </c>
      <c r="I836" s="770">
        <f t="shared" ref="I836:AC836" si="486">IF(I742&lt;&gt;0,I668/I742,0)</f>
        <v>0</v>
      </c>
      <c r="J836" s="770">
        <f t="shared" si="486"/>
        <v>0</v>
      </c>
      <c r="K836" s="770">
        <f t="shared" si="486"/>
        <v>0</v>
      </c>
      <c r="L836" s="770">
        <f t="shared" si="486"/>
        <v>0</v>
      </c>
      <c r="M836" s="770">
        <f t="shared" si="486"/>
        <v>0</v>
      </c>
      <c r="N836" s="770">
        <f t="shared" si="486"/>
        <v>0</v>
      </c>
      <c r="O836" s="770">
        <f t="shared" si="486"/>
        <v>0</v>
      </c>
      <c r="P836" s="770">
        <f t="shared" si="486"/>
        <v>0</v>
      </c>
      <c r="Q836" s="770">
        <f t="shared" si="486"/>
        <v>0</v>
      </c>
      <c r="R836" s="770">
        <f t="shared" si="486"/>
        <v>0</v>
      </c>
      <c r="S836" s="770">
        <f t="shared" si="486"/>
        <v>0</v>
      </c>
      <c r="T836" s="770">
        <f t="shared" si="486"/>
        <v>0</v>
      </c>
      <c r="U836" s="770">
        <f t="shared" si="486"/>
        <v>0</v>
      </c>
      <c r="V836" s="770">
        <f t="shared" si="486"/>
        <v>0</v>
      </c>
      <c r="W836" s="770">
        <f t="shared" si="486"/>
        <v>0</v>
      </c>
      <c r="X836" s="770">
        <f t="shared" si="486"/>
        <v>0</v>
      </c>
      <c r="Y836" s="770">
        <f t="shared" si="486"/>
        <v>0</v>
      </c>
      <c r="Z836" s="770">
        <f t="shared" si="486"/>
        <v>0</v>
      </c>
      <c r="AA836" s="770">
        <f t="shared" si="486"/>
        <v>0</v>
      </c>
      <c r="AB836" s="770">
        <f t="shared" si="486"/>
        <v>0</v>
      </c>
      <c r="AC836" s="770">
        <f t="shared" si="486"/>
        <v>0</v>
      </c>
    </row>
    <row r="837" spans="2:29" x14ac:dyDescent="0.45">
      <c r="B837" s="945" t="str">
        <f t="shared" si="461"/>
        <v>Ratios</v>
      </c>
      <c r="D837" s="583" t="str">
        <f>'12. Inputs-Props &amp; Debtors 2016'!C$78</f>
        <v>FS</v>
      </c>
      <c r="F837" s="786">
        <f>'11. Table - Expenditure Review'!L$217</f>
        <v>0</v>
      </c>
      <c r="G837" s="786">
        <f>'11. Table - Expenditure Review'!M$217</f>
        <v>0</v>
      </c>
      <c r="H837" s="786">
        <f>'11. Table - Expenditure Review'!N$217</f>
        <v>0</v>
      </c>
      <c r="I837" s="770">
        <f t="shared" ref="I837:AC837" si="487">IF(I743&lt;&gt;0,I669/I743,0)</f>
        <v>0</v>
      </c>
      <c r="J837" s="770">
        <f t="shared" si="487"/>
        <v>0</v>
      </c>
      <c r="K837" s="770">
        <f t="shared" si="487"/>
        <v>0</v>
      </c>
      <c r="L837" s="770">
        <f t="shared" si="487"/>
        <v>0</v>
      </c>
      <c r="M837" s="770">
        <f t="shared" si="487"/>
        <v>0</v>
      </c>
      <c r="N837" s="770">
        <f t="shared" si="487"/>
        <v>0</v>
      </c>
      <c r="O837" s="770">
        <f t="shared" si="487"/>
        <v>0</v>
      </c>
      <c r="P837" s="770">
        <f t="shared" si="487"/>
        <v>0</v>
      </c>
      <c r="Q837" s="770">
        <f t="shared" si="487"/>
        <v>0</v>
      </c>
      <c r="R837" s="770">
        <f t="shared" si="487"/>
        <v>0</v>
      </c>
      <c r="S837" s="770">
        <f t="shared" si="487"/>
        <v>0</v>
      </c>
      <c r="T837" s="770">
        <f t="shared" si="487"/>
        <v>0</v>
      </c>
      <c r="U837" s="770">
        <f t="shared" si="487"/>
        <v>0</v>
      </c>
      <c r="V837" s="770">
        <f t="shared" si="487"/>
        <v>0</v>
      </c>
      <c r="W837" s="770">
        <f t="shared" si="487"/>
        <v>0</v>
      </c>
      <c r="X837" s="770">
        <f t="shared" si="487"/>
        <v>0</v>
      </c>
      <c r="Y837" s="770">
        <f t="shared" si="487"/>
        <v>0</v>
      </c>
      <c r="Z837" s="770">
        <f t="shared" si="487"/>
        <v>0</v>
      </c>
      <c r="AA837" s="770">
        <f t="shared" si="487"/>
        <v>0</v>
      </c>
      <c r="AB837" s="770">
        <f t="shared" si="487"/>
        <v>0</v>
      </c>
      <c r="AC837" s="770">
        <f t="shared" si="487"/>
        <v>0</v>
      </c>
    </row>
    <row r="838" spans="2:29" x14ac:dyDescent="0.45">
      <c r="B838" s="945" t="str">
        <f t="shared" si="461"/>
        <v>Ratios</v>
      </c>
      <c r="D838" s="583" t="str">
        <f>'12. Inputs-Props &amp; Debtors 2016'!C$79</f>
        <v>Gau</v>
      </c>
      <c r="F838" s="786">
        <f>'11. Table - Expenditure Review'!O$217</f>
        <v>0.53741164043210865</v>
      </c>
      <c r="G838" s="786">
        <f>'11. Table - Expenditure Review'!P$217</f>
        <v>0.37691642525906238</v>
      </c>
      <c r="H838" s="786">
        <f>'11. Table - Expenditure Review'!Q$217</f>
        <v>0.51294643719195587</v>
      </c>
      <c r="I838" s="770">
        <f t="shared" ref="I838:AC838" si="488">IF(I744&lt;&gt;0,I670/I744,0)</f>
        <v>0.51165736263542327</v>
      </c>
      <c r="J838" s="770">
        <f t="shared" si="488"/>
        <v>0.510232075992755</v>
      </c>
      <c r="K838" s="770">
        <f t="shared" si="488"/>
        <v>0.50864778339309613</v>
      </c>
      <c r="L838" s="770">
        <f t="shared" si="488"/>
        <v>0.50644160529731974</v>
      </c>
      <c r="M838" s="770">
        <f t="shared" si="488"/>
        <v>0.50394727352126334</v>
      </c>
      <c r="N838" s="770">
        <f t="shared" si="488"/>
        <v>0.50110438908362176</v>
      </c>
      <c r="O838" s="770">
        <f t="shared" si="488"/>
        <v>0.49783440496638365</v>
      </c>
      <c r="P838" s="770">
        <f t="shared" si="488"/>
        <v>0.49403325635988482</v>
      </c>
      <c r="Q838" s="770">
        <f t="shared" si="488"/>
        <v>0.48956008209111285</v>
      </c>
      <c r="R838" s="770">
        <f t="shared" si="488"/>
        <v>0.48421938398047298</v>
      </c>
      <c r="S838" s="770">
        <f t="shared" si="488"/>
        <v>0.4777316915686256</v>
      </c>
      <c r="T838" s="770">
        <f t="shared" si="488"/>
        <v>0.46968305253699871</v>
      </c>
      <c r="U838" s="770">
        <f t="shared" si="488"/>
        <v>0.4594330794290381</v>
      </c>
      <c r="V838" s="770">
        <f t="shared" si="488"/>
        <v>0.44593559537755384</v>
      </c>
      <c r="W838" s="770">
        <f t="shared" si="488"/>
        <v>0.42735671539846248</v>
      </c>
      <c r="X838" s="770">
        <f t="shared" si="488"/>
        <v>0.40016156379466539</v>
      </c>
      <c r="Y838" s="770">
        <f t="shared" si="488"/>
        <v>0.35654674897249794</v>
      </c>
      <c r="Z838" s="770">
        <f t="shared" si="488"/>
        <v>0.27521118090967839</v>
      </c>
      <c r="AA838" s="770">
        <f t="shared" si="488"/>
        <v>6.9936670360268322E-2</v>
      </c>
      <c r="AB838" s="770">
        <f t="shared" si="488"/>
        <v>0</v>
      </c>
      <c r="AC838" s="770">
        <f t="shared" si="488"/>
        <v>0</v>
      </c>
    </row>
    <row r="839" spans="2:29" x14ac:dyDescent="0.45">
      <c r="B839" s="945" t="str">
        <f t="shared" si="461"/>
        <v>Ratios</v>
      </c>
      <c r="D839" s="583" t="str">
        <f>'12. Inputs-Props &amp; Debtors 2016'!C$80</f>
        <v>KZN</v>
      </c>
      <c r="F839" s="786">
        <f>'11. Table - Expenditure Review'!R$217</f>
        <v>0.40601093351103773</v>
      </c>
      <c r="G839" s="786">
        <f>'11. Table - Expenditure Review'!S$217</f>
        <v>0.36961297624928435</v>
      </c>
      <c r="H839" s="786">
        <f>'11. Table - Expenditure Review'!T$217</f>
        <v>0.42371686963485639</v>
      </c>
      <c r="I839" s="770">
        <f t="shared" ref="I839:AC839" si="489">IF(I745&lt;&gt;0,I671/I745,0)</f>
        <v>0.41522073263510373</v>
      </c>
      <c r="J839" s="770">
        <f t="shared" si="489"/>
        <v>0.40507088036192956</v>
      </c>
      <c r="K839" s="770">
        <f t="shared" si="489"/>
        <v>0.39273243057749435</v>
      </c>
      <c r="L839" s="770">
        <f t="shared" si="489"/>
        <v>0.3904778880163835</v>
      </c>
      <c r="M839" s="770">
        <f t="shared" si="489"/>
        <v>0.38793336097923775</v>
      </c>
      <c r="N839" s="770">
        <f t="shared" si="489"/>
        <v>0.38503905639398311</v>
      </c>
      <c r="O839" s="770">
        <f t="shared" si="489"/>
        <v>0.38171752931781988</v>
      </c>
      <c r="P839" s="770">
        <f t="shared" si="489"/>
        <v>0.37786664998415276</v>
      </c>
      <c r="Q839" s="770">
        <f t="shared" si="489"/>
        <v>0.3733489171781636</v>
      </c>
      <c r="R839" s="770">
        <f t="shared" si="489"/>
        <v>0.36797469356663171</v>
      </c>
      <c r="S839" s="770">
        <f t="shared" si="489"/>
        <v>0.36147490759083217</v>
      </c>
      <c r="T839" s="770">
        <f t="shared" si="489"/>
        <v>0.35345459745257929</v>
      </c>
      <c r="U839" s="770">
        <f t="shared" si="489"/>
        <v>0.34330953348812188</v>
      </c>
      <c r="V839" s="770">
        <f t="shared" si="489"/>
        <v>0.33006645711422505</v>
      </c>
      <c r="W839" s="770">
        <f t="shared" si="489"/>
        <v>0.31205058650229373</v>
      </c>
      <c r="X839" s="770">
        <f t="shared" si="489"/>
        <v>0.28611461054036286</v>
      </c>
      <c r="Y839" s="770">
        <f t="shared" si="489"/>
        <v>0.24556435436398644</v>
      </c>
      <c r="Z839" s="770">
        <f t="shared" si="489"/>
        <v>0.17320251258177369</v>
      </c>
      <c r="AA839" s="770">
        <f t="shared" si="489"/>
        <v>7.4345012446579897E-3</v>
      </c>
      <c r="AB839" s="770">
        <f t="shared" si="489"/>
        <v>0</v>
      </c>
      <c r="AC839" s="770">
        <f t="shared" si="489"/>
        <v>0</v>
      </c>
    </row>
    <row r="840" spans="2:29" x14ac:dyDescent="0.45">
      <c r="B840" s="945" t="str">
        <f t="shared" si="461"/>
        <v>Ratios</v>
      </c>
      <c r="D840" s="583" t="str">
        <f>'12. Inputs-Props &amp; Debtors 2016'!C$81</f>
        <v>WC</v>
      </c>
      <c r="F840" s="786">
        <f>'11. Table - Expenditure Review'!U$217</f>
        <v>0.12611252644152768</v>
      </c>
      <c r="G840" s="786">
        <f>'11. Table - Expenditure Review'!V$217</f>
        <v>9.0960069116270068E-2</v>
      </c>
      <c r="H840" s="786">
        <f>'11. Table - Expenditure Review'!W$217</f>
        <v>4.1777325494959751E-2</v>
      </c>
      <c r="I840" s="770">
        <f t="shared" ref="I840:AC840" si="490">IF(I746&lt;&gt;0,I672/I746,0)</f>
        <v>3.5280360008095688E-2</v>
      </c>
      <c r="J840" s="770">
        <f t="shared" si="490"/>
        <v>2.8018291722449365E-2</v>
      </c>
      <c r="K840" s="770">
        <f t="shared" si="490"/>
        <v>2.2221065516655845E-2</v>
      </c>
      <c r="L840" s="770">
        <f t="shared" si="490"/>
        <v>2.1919205767954343E-2</v>
      </c>
      <c r="M840" s="770">
        <f t="shared" si="490"/>
        <v>2.1585204592418566E-2</v>
      </c>
      <c r="N840" s="770">
        <f t="shared" si="490"/>
        <v>2.1213639784200503E-2</v>
      </c>
      <c r="O840" s="770">
        <f t="shared" si="490"/>
        <v>2.0797796845320567E-2</v>
      </c>
      <c r="P840" s="770">
        <f t="shared" si="490"/>
        <v>2.032925959768592E-2</v>
      </c>
      <c r="Q840" s="770">
        <f t="shared" si="490"/>
        <v>1.9797334638624636E-2</v>
      </c>
      <c r="R840" s="770">
        <f t="shared" si="490"/>
        <v>1.9188225255055268E-2</v>
      </c>
      <c r="S840" s="770">
        <f t="shared" si="490"/>
        <v>1.848381760163146E-2</v>
      </c>
      <c r="T840" s="770">
        <f t="shared" si="490"/>
        <v>1.7659848802417069E-2</v>
      </c>
      <c r="U840" s="770">
        <f t="shared" si="490"/>
        <v>1.6683055747589663E-2</v>
      </c>
      <c r="V840" s="770">
        <f t="shared" si="490"/>
        <v>1.5506575261425678E-2</v>
      </c>
      <c r="W840" s="770">
        <f t="shared" si="490"/>
        <v>1.4062202029570186E-2</v>
      </c>
      <c r="X840" s="770">
        <f t="shared" si="490"/>
        <v>1.2246678246435822E-2</v>
      </c>
      <c r="Y840" s="770">
        <f t="shared" si="490"/>
        <v>9.8958559671108847E-3</v>
      </c>
      <c r="Z840" s="770">
        <f t="shared" si="490"/>
        <v>6.7320533056891728E-3</v>
      </c>
      <c r="AA840" s="770">
        <f t="shared" si="490"/>
        <v>2.2453750346583469E-3</v>
      </c>
      <c r="AB840" s="770">
        <f t="shared" si="490"/>
        <v>0</v>
      </c>
      <c r="AC840" s="770">
        <f t="shared" si="490"/>
        <v>0</v>
      </c>
    </row>
    <row r="841" spans="2:29" x14ac:dyDescent="0.45">
      <c r="B841" s="945" t="str">
        <f t="shared" si="461"/>
        <v>Ratios</v>
      </c>
      <c r="D841" s="596" t="s">
        <v>11</v>
      </c>
      <c r="F841" s="787">
        <f>'11. Table - Expenditure Review'!F217</f>
        <v>0.41192797318755381</v>
      </c>
      <c r="G841" s="787">
        <f>'11. Table - Expenditure Review'!G217</f>
        <v>0.32548273107837405</v>
      </c>
      <c r="H841" s="787">
        <f>'11. Table - Expenditure Review'!H217</f>
        <v>0.40096302405356743</v>
      </c>
      <c r="I841" s="758">
        <f t="shared" ref="I841:AC841" si="491">IF(I747&lt;&gt;0,I673/I747,0)</f>
        <v>0.40040173448815081</v>
      </c>
      <c r="J841" s="758">
        <f t="shared" si="491"/>
        <v>0.39974032252571212</v>
      </c>
      <c r="K841" s="758">
        <f t="shared" si="491"/>
        <v>0.39899470226214973</v>
      </c>
      <c r="L841" s="758">
        <f t="shared" si="491"/>
        <v>0.39667326036071404</v>
      </c>
      <c r="M841" s="758">
        <f t="shared" si="491"/>
        <v>0.39405538055888695</v>
      </c>
      <c r="N841" s="758">
        <f t="shared" si="491"/>
        <v>0.39108040955687323</v>
      </c>
      <c r="O841" s="758">
        <f t="shared" si="491"/>
        <v>0.38766993612765033</v>
      </c>
      <c r="P841" s="758">
        <f t="shared" si="491"/>
        <v>0.38372077896251267</v>
      </c>
      <c r="Q841" s="758">
        <f t="shared" si="491"/>
        <v>0.37909436689927883</v>
      </c>
      <c r="R841" s="758">
        <f t="shared" si="491"/>
        <v>0.37360014305306105</v>
      </c>
      <c r="S841" s="758">
        <f t="shared" si="491"/>
        <v>0.36696866335156603</v>
      </c>
      <c r="T841" s="758">
        <f t="shared" si="491"/>
        <v>0.35880606147839039</v>
      </c>
      <c r="U841" s="758">
        <f t="shared" si="491"/>
        <v>0.3485128571326081</v>
      </c>
      <c r="V841" s="758">
        <f t="shared" si="491"/>
        <v>0.33512964325330957</v>
      </c>
      <c r="W841" s="758">
        <f t="shared" si="491"/>
        <v>0.31701925573073025</v>
      </c>
      <c r="X841" s="758">
        <f t="shared" si="491"/>
        <v>0.29113991685268398</v>
      </c>
      <c r="Y841" s="758">
        <f t="shared" si="491"/>
        <v>0.25112754193111475</v>
      </c>
      <c r="Z841" s="758">
        <f t="shared" si="491"/>
        <v>0.18105607373090038</v>
      </c>
      <c r="AA841" s="758">
        <f t="shared" si="491"/>
        <v>2.667530415752602E-2</v>
      </c>
      <c r="AB841" s="758">
        <f t="shared" si="491"/>
        <v>0</v>
      </c>
      <c r="AC841" s="758">
        <f t="shared" si="491"/>
        <v>0</v>
      </c>
    </row>
    <row r="842" spans="2:29" x14ac:dyDescent="0.45">
      <c r="B842" s="945" t="str">
        <f t="shared" si="461"/>
        <v>Ratios</v>
      </c>
      <c r="F842" s="639"/>
      <c r="G842" s="639"/>
      <c r="H842" s="639"/>
    </row>
    <row r="843" spans="2:29" x14ac:dyDescent="0.45">
      <c r="B843" s="945" t="str">
        <f t="shared" si="461"/>
        <v>Ratios</v>
      </c>
      <c r="F843" s="639"/>
      <c r="G843" s="639"/>
      <c r="H843" s="639"/>
    </row>
    <row r="844" spans="2:29" x14ac:dyDescent="0.45">
      <c r="B844" s="945" t="str">
        <f t="shared" si="461"/>
        <v>Ratios</v>
      </c>
      <c r="C844" s="451" t="str">
        <f>'11. Table - Expenditure Review'!C218</f>
        <v>E1.51</v>
      </c>
      <c r="D844" s="583" t="str">
        <f>'11. Table - Expenditure Review'!E218</f>
        <v>Maintenance Cost per Unit</v>
      </c>
    </row>
    <row r="845" spans="2:29" x14ac:dyDescent="0.45">
      <c r="B845" s="945" t="str">
        <f t="shared" si="461"/>
        <v>Ratios</v>
      </c>
      <c r="D845" s="583" t="str">
        <f>'12. Inputs-Props &amp; Debtors 2016'!C$77</f>
        <v>EC</v>
      </c>
      <c r="F845" s="614">
        <f>'11. Table - Expenditure Review'!I$218</f>
        <v>0</v>
      </c>
      <c r="G845" s="614">
        <f>'11. Table - Expenditure Review'!J$218</f>
        <v>0</v>
      </c>
      <c r="H845" s="614">
        <f>'11. Table - Expenditure Review'!K$218</f>
        <v>0</v>
      </c>
      <c r="I845" s="633">
        <f t="shared" ref="I845:AC845" si="492">IF(I520&lt;&gt;0,I668/I520,0)</f>
        <v>0</v>
      </c>
      <c r="J845" s="633">
        <f t="shared" si="492"/>
        <v>0</v>
      </c>
      <c r="K845" s="633">
        <f t="shared" si="492"/>
        <v>0</v>
      </c>
      <c r="L845" s="633">
        <f t="shared" si="492"/>
        <v>0</v>
      </c>
      <c r="M845" s="633">
        <f t="shared" si="492"/>
        <v>0</v>
      </c>
      <c r="N845" s="633">
        <f t="shared" si="492"/>
        <v>0</v>
      </c>
      <c r="O845" s="633">
        <f t="shared" si="492"/>
        <v>0</v>
      </c>
      <c r="P845" s="633">
        <f t="shared" si="492"/>
        <v>0</v>
      </c>
      <c r="Q845" s="633">
        <f t="shared" si="492"/>
        <v>0</v>
      </c>
      <c r="R845" s="633">
        <f t="shared" si="492"/>
        <v>0</v>
      </c>
      <c r="S845" s="633">
        <f t="shared" si="492"/>
        <v>0</v>
      </c>
      <c r="T845" s="633">
        <f t="shared" si="492"/>
        <v>0</v>
      </c>
      <c r="U845" s="633">
        <f t="shared" si="492"/>
        <v>0</v>
      </c>
      <c r="V845" s="633">
        <f t="shared" si="492"/>
        <v>0</v>
      </c>
      <c r="W845" s="633">
        <f t="shared" si="492"/>
        <v>0</v>
      </c>
      <c r="X845" s="633">
        <f t="shared" si="492"/>
        <v>0</v>
      </c>
      <c r="Y845" s="633">
        <f t="shared" si="492"/>
        <v>0</v>
      </c>
      <c r="Z845" s="633">
        <f t="shared" si="492"/>
        <v>0</v>
      </c>
      <c r="AA845" s="633">
        <f t="shared" si="492"/>
        <v>0</v>
      </c>
      <c r="AB845" s="633">
        <f t="shared" si="492"/>
        <v>0</v>
      </c>
      <c r="AC845" s="633">
        <f t="shared" si="492"/>
        <v>0</v>
      </c>
    </row>
    <row r="846" spans="2:29" x14ac:dyDescent="0.45">
      <c r="B846" s="945" t="str">
        <f t="shared" si="461"/>
        <v>Ratios</v>
      </c>
      <c r="D846" s="583" t="str">
        <f>'12. Inputs-Props &amp; Debtors 2016'!C$78</f>
        <v>FS</v>
      </c>
      <c r="F846" s="614">
        <f>'11. Table - Expenditure Review'!L$218</f>
        <v>0</v>
      </c>
      <c r="G846" s="614">
        <f>'11. Table - Expenditure Review'!M$218</f>
        <v>0</v>
      </c>
      <c r="H846" s="614">
        <f>'11. Table - Expenditure Review'!N$218</f>
        <v>0</v>
      </c>
      <c r="I846" s="633">
        <f t="shared" ref="I846:AC846" si="493">IF(I521&lt;&gt;0,I669/I521,0)</f>
        <v>0</v>
      </c>
      <c r="J846" s="633">
        <f t="shared" si="493"/>
        <v>0</v>
      </c>
      <c r="K846" s="633">
        <f t="shared" si="493"/>
        <v>0</v>
      </c>
      <c r="L846" s="633">
        <f t="shared" si="493"/>
        <v>0</v>
      </c>
      <c r="M846" s="633">
        <f t="shared" si="493"/>
        <v>0</v>
      </c>
      <c r="N846" s="633">
        <f t="shared" si="493"/>
        <v>0</v>
      </c>
      <c r="O846" s="633">
        <f t="shared" si="493"/>
        <v>0</v>
      </c>
      <c r="P846" s="633">
        <f t="shared" si="493"/>
        <v>0</v>
      </c>
      <c r="Q846" s="633">
        <f t="shared" si="493"/>
        <v>0</v>
      </c>
      <c r="R846" s="633">
        <f t="shared" si="493"/>
        <v>0</v>
      </c>
      <c r="S846" s="633">
        <f t="shared" si="493"/>
        <v>0</v>
      </c>
      <c r="T846" s="633">
        <f t="shared" si="493"/>
        <v>0</v>
      </c>
      <c r="U846" s="633">
        <f t="shared" si="493"/>
        <v>0</v>
      </c>
      <c r="V846" s="633">
        <f t="shared" si="493"/>
        <v>0</v>
      </c>
      <c r="W846" s="633">
        <f t="shared" si="493"/>
        <v>0</v>
      </c>
      <c r="X846" s="633">
        <f t="shared" si="493"/>
        <v>0</v>
      </c>
      <c r="Y846" s="633">
        <f t="shared" si="493"/>
        <v>0</v>
      </c>
      <c r="Z846" s="633">
        <f t="shared" si="493"/>
        <v>0</v>
      </c>
      <c r="AA846" s="633">
        <f t="shared" si="493"/>
        <v>0</v>
      </c>
      <c r="AB846" s="633">
        <f t="shared" si="493"/>
        <v>0</v>
      </c>
      <c r="AC846" s="633">
        <f t="shared" si="493"/>
        <v>0</v>
      </c>
    </row>
    <row r="847" spans="2:29" x14ac:dyDescent="0.45">
      <c r="B847" s="945" t="str">
        <f t="shared" si="461"/>
        <v>Ratios</v>
      </c>
      <c r="D847" s="583" t="str">
        <f>'12. Inputs-Props &amp; Debtors 2016'!C$79</f>
        <v>Gau</v>
      </c>
      <c r="F847" s="614">
        <f>'11. Table - Expenditure Review'!O$218</f>
        <v>0</v>
      </c>
      <c r="G847" s="614">
        <f>'11. Table - Expenditure Review'!P$218</f>
        <v>0</v>
      </c>
      <c r="H847" s="614">
        <f>'11. Table - Expenditure Review'!Q$218</f>
        <v>15975.443034238489</v>
      </c>
      <c r="I847" s="633">
        <f t="shared" ref="I847:AC847" si="494">IF(I522&lt;&gt;0,I670/I522,0)</f>
        <v>16854.092401121605</v>
      </c>
      <c r="J847" s="633">
        <f t="shared" si="494"/>
        <v>17781.067483183291</v>
      </c>
      <c r="K847" s="633">
        <f t="shared" si="494"/>
        <v>18759.026194758368</v>
      </c>
      <c r="L847" s="633">
        <f t="shared" si="494"/>
        <v>19790.772635470075</v>
      </c>
      <c r="M847" s="633">
        <f t="shared" si="494"/>
        <v>20879.265130420928</v>
      </c>
      <c r="N847" s="633">
        <f t="shared" si="494"/>
        <v>22027.624712594079</v>
      </c>
      <c r="O847" s="633">
        <f t="shared" si="494"/>
        <v>23239.144071786752</v>
      </c>
      <c r="P847" s="633">
        <f t="shared" si="494"/>
        <v>24517.296995735021</v>
      </c>
      <c r="Q847" s="633">
        <f t="shared" si="494"/>
        <v>25865.748330500446</v>
      </c>
      <c r="R847" s="633">
        <f t="shared" si="494"/>
        <v>27288.364488677969</v>
      </c>
      <c r="S847" s="633">
        <f t="shared" si="494"/>
        <v>28789.224535555262</v>
      </c>
      <c r="T847" s="633">
        <f t="shared" si="494"/>
        <v>30372.631885010796</v>
      </c>
      <c r="U847" s="633">
        <f t="shared" si="494"/>
        <v>32043.12663868639</v>
      </c>
      <c r="V847" s="633">
        <f t="shared" si="494"/>
        <v>33805.498603814143</v>
      </c>
      <c r="W847" s="633">
        <f t="shared" si="494"/>
        <v>35664.80102702391</v>
      </c>
      <c r="X847" s="633">
        <f t="shared" si="494"/>
        <v>37626.365083510231</v>
      </c>
      <c r="Y847" s="633">
        <f t="shared" si="494"/>
        <v>39695.815163103289</v>
      </c>
      <c r="Z847" s="633">
        <f t="shared" si="494"/>
        <v>41879.084997073973</v>
      </c>
      <c r="AA847" s="633">
        <f t="shared" si="494"/>
        <v>44182.434671913041</v>
      </c>
      <c r="AB847" s="633">
        <f t="shared" si="494"/>
        <v>0</v>
      </c>
      <c r="AC847" s="633">
        <f t="shared" si="494"/>
        <v>0</v>
      </c>
    </row>
    <row r="848" spans="2:29" x14ac:dyDescent="0.45">
      <c r="B848" s="945" t="str">
        <f t="shared" si="461"/>
        <v>Ratios</v>
      </c>
      <c r="D848" s="583" t="str">
        <f>'12. Inputs-Props &amp; Debtors 2016'!C$80</f>
        <v>KZN</v>
      </c>
      <c r="F848" s="614">
        <f>'11. Table - Expenditure Review'!R$218</f>
        <v>0</v>
      </c>
      <c r="G848" s="614">
        <f>'11. Table - Expenditure Review'!S$218</f>
        <v>0</v>
      </c>
      <c r="H848" s="614">
        <f>'11. Table - Expenditure Review'!T$218</f>
        <v>11728.693909481077</v>
      </c>
      <c r="I848" s="633">
        <f t="shared" ref="I848:AC848" si="495">IF(I523&lt;&gt;0,I671/I523,0)</f>
        <v>12373.772074502538</v>
      </c>
      <c r="J848" s="633">
        <f t="shared" si="495"/>
        <v>13054.329538600179</v>
      </c>
      <c r="K848" s="633">
        <f t="shared" si="495"/>
        <v>13772.317663223188</v>
      </c>
      <c r="L848" s="633">
        <f t="shared" si="495"/>
        <v>14529.795134700464</v>
      </c>
      <c r="M848" s="633">
        <f t="shared" si="495"/>
        <v>15328.93386710899</v>
      </c>
      <c r="N848" s="633">
        <f t="shared" si="495"/>
        <v>16172.025229799985</v>
      </c>
      <c r="O848" s="633">
        <f t="shared" si="495"/>
        <v>17061.486617438983</v>
      </c>
      <c r="P848" s="633">
        <f t="shared" si="495"/>
        <v>17999.868381398122</v>
      </c>
      <c r="Q848" s="633">
        <f t="shared" si="495"/>
        <v>18989.861142375015</v>
      </c>
      <c r="R848" s="633">
        <f t="shared" si="495"/>
        <v>20034.303505205644</v>
      </c>
      <c r="S848" s="633">
        <f t="shared" si="495"/>
        <v>21136.190197991949</v>
      </c>
      <c r="T848" s="633">
        <f t="shared" si="495"/>
        <v>22298.680658881512</v>
      </c>
      <c r="U848" s="633">
        <f t="shared" si="495"/>
        <v>23525.108095119991</v>
      </c>
      <c r="V848" s="633">
        <f t="shared" si="495"/>
        <v>24818.989040351586</v>
      </c>
      <c r="W848" s="633">
        <f t="shared" si="495"/>
        <v>26184.033437570921</v>
      </c>
      <c r="X848" s="633">
        <f t="shared" si="495"/>
        <v>27624.155276637321</v>
      </c>
      <c r="Y848" s="633">
        <f t="shared" si="495"/>
        <v>29143.483816852375</v>
      </c>
      <c r="Z848" s="633">
        <f t="shared" si="495"/>
        <v>30746.375426779254</v>
      </c>
      <c r="AA848" s="633">
        <f t="shared" si="495"/>
        <v>32437.426075252111</v>
      </c>
      <c r="AB848" s="633">
        <f t="shared" si="495"/>
        <v>0</v>
      </c>
      <c r="AC848" s="633">
        <f t="shared" si="495"/>
        <v>0</v>
      </c>
    </row>
    <row r="849" spans="2:30" x14ac:dyDescent="0.45">
      <c r="B849" s="945" t="str">
        <f t="shared" si="461"/>
        <v>Ratios</v>
      </c>
      <c r="D849" s="583" t="str">
        <f>'12. Inputs-Props &amp; Debtors 2016'!C$81</f>
        <v>WC</v>
      </c>
      <c r="F849" s="614">
        <f>'11. Table - Expenditure Review'!U$218</f>
        <v>0</v>
      </c>
      <c r="G849" s="614">
        <f>'11. Table - Expenditure Review'!V$218</f>
        <v>0</v>
      </c>
      <c r="H849" s="614">
        <f>'11. Table - Expenditure Review'!W$218</f>
        <v>393.2025620915033</v>
      </c>
      <c r="I849" s="633">
        <f t="shared" ref="I849:AC849" si="496">IF(I524&lt;&gt;0,I672/I524,0)</f>
        <v>414.82870300653599</v>
      </c>
      <c r="J849" s="633">
        <f t="shared" si="496"/>
        <v>437.64428167189538</v>
      </c>
      <c r="K849" s="633">
        <f t="shared" si="496"/>
        <v>461.71471716384963</v>
      </c>
      <c r="L849" s="633">
        <f t="shared" si="496"/>
        <v>487.10902660786127</v>
      </c>
      <c r="M849" s="633">
        <f t="shared" si="496"/>
        <v>513.90002307129362</v>
      </c>
      <c r="N849" s="633">
        <f t="shared" si="496"/>
        <v>542.16452434021471</v>
      </c>
      <c r="O849" s="633">
        <f t="shared" si="496"/>
        <v>571.98357317892646</v>
      </c>
      <c r="P849" s="633">
        <f t="shared" si="496"/>
        <v>603.44266970376736</v>
      </c>
      <c r="Q849" s="633">
        <f t="shared" si="496"/>
        <v>636.63201653747456</v>
      </c>
      <c r="R849" s="633">
        <f t="shared" si="496"/>
        <v>671.64677744703567</v>
      </c>
      <c r="S849" s="633">
        <f t="shared" si="496"/>
        <v>708.58735020662255</v>
      </c>
      <c r="T849" s="633">
        <f t="shared" si="496"/>
        <v>747.55965446798677</v>
      </c>
      <c r="U849" s="633">
        <f t="shared" si="496"/>
        <v>788.6754354637261</v>
      </c>
      <c r="V849" s="633">
        <f t="shared" si="496"/>
        <v>832.05258441423098</v>
      </c>
      <c r="W849" s="633">
        <f t="shared" si="496"/>
        <v>877.81547655701365</v>
      </c>
      <c r="X849" s="633">
        <f t="shared" si="496"/>
        <v>926.09532776764945</v>
      </c>
      <c r="Y849" s="633">
        <f t="shared" si="496"/>
        <v>977.03057079487019</v>
      </c>
      <c r="Z849" s="633">
        <f t="shared" si="496"/>
        <v>1030.7672521885879</v>
      </c>
      <c r="AA849" s="633">
        <f t="shared" si="496"/>
        <v>1087.4594510589602</v>
      </c>
      <c r="AB849" s="633">
        <f t="shared" si="496"/>
        <v>0</v>
      </c>
      <c r="AC849" s="633">
        <f t="shared" si="496"/>
        <v>0</v>
      </c>
    </row>
    <row r="850" spans="2:30" x14ac:dyDescent="0.45">
      <c r="B850" s="945" t="str">
        <f t="shared" si="461"/>
        <v>Ratios</v>
      </c>
      <c r="D850" s="596" t="s">
        <v>11</v>
      </c>
      <c r="F850" s="621">
        <f>'11. Table - Expenditure Review'!F218</f>
        <v>221716.96123404257</v>
      </c>
      <c r="G850" s="621">
        <f>'11. Table - Expenditure Review'!G218</f>
        <v>342047.40684615384</v>
      </c>
      <c r="H850" s="621">
        <f>'11. Table - Expenditure Review'!H218</f>
        <v>11128.651734496125</v>
      </c>
      <c r="I850" s="634">
        <f t="shared" ref="I850:AC850" si="497">IF(I525&lt;&gt;0,I673/I525,0)</f>
        <v>12035.816189307363</v>
      </c>
      <c r="J850" s="634">
        <f t="shared" si="497"/>
        <v>13086.557466923452</v>
      </c>
      <c r="K850" s="634">
        <f t="shared" si="497"/>
        <v>14188.834453623436</v>
      </c>
      <c r="L850" s="634">
        <f t="shared" si="497"/>
        <v>14964.58439801161</v>
      </c>
      <c r="M850" s="634">
        <f t="shared" si="497"/>
        <v>15782.055630978948</v>
      </c>
      <c r="N850" s="634">
        <f t="shared" si="497"/>
        <v>16643.287174203506</v>
      </c>
      <c r="O850" s="634">
        <f t="shared" si="497"/>
        <v>17550.338383888764</v>
      </c>
      <c r="P850" s="634">
        <f t="shared" si="497"/>
        <v>18505.246818229018</v>
      </c>
      <c r="Q850" s="634">
        <f t="shared" si="497"/>
        <v>19509.957426780529</v>
      </c>
      <c r="R850" s="634">
        <f t="shared" si="497"/>
        <v>20566.200907271548</v>
      </c>
      <c r="S850" s="634">
        <f t="shared" si="497"/>
        <v>21675.277380400326</v>
      </c>
      <c r="T850" s="634">
        <f t="shared" si="497"/>
        <v>22837.652631084573</v>
      </c>
      <c r="U850" s="634">
        <f t="shared" si="497"/>
        <v>24052.154009453407</v>
      </c>
      <c r="V850" s="634">
        <f t="shared" si="497"/>
        <v>25314.224042317313</v>
      </c>
      <c r="W850" s="634">
        <f t="shared" si="497"/>
        <v>26611.651785183898</v>
      </c>
      <c r="X850" s="634">
        <f t="shared" si="497"/>
        <v>27912.22334345604</v>
      </c>
      <c r="Y850" s="634">
        <f t="shared" si="497"/>
        <v>29117.306263097904</v>
      </c>
      <c r="Z850" s="634">
        <f t="shared" si="497"/>
        <v>29778.760391311193</v>
      </c>
      <c r="AA850" s="634">
        <f t="shared" si="497"/>
        <v>19218.711847823091</v>
      </c>
      <c r="AB850" s="634">
        <f t="shared" si="497"/>
        <v>0</v>
      </c>
      <c r="AC850" s="634">
        <f t="shared" si="497"/>
        <v>0</v>
      </c>
    </row>
    <row r="851" spans="2:30" x14ac:dyDescent="0.45">
      <c r="B851" s="945" t="str">
        <f t="shared" si="461"/>
        <v>Ratios</v>
      </c>
      <c r="F851" s="639"/>
      <c r="G851" s="639"/>
      <c r="H851" s="639"/>
    </row>
    <row r="852" spans="2:30" x14ac:dyDescent="0.45">
      <c r="B852" s="945" t="str">
        <f t="shared" si="461"/>
        <v>Ratios</v>
      </c>
      <c r="F852" s="639"/>
      <c r="G852" s="639"/>
      <c r="H852" s="639"/>
    </row>
    <row r="853" spans="2:30" x14ac:dyDescent="0.45">
      <c r="B853" s="945" t="str">
        <f t="shared" si="461"/>
        <v>Ratios</v>
      </c>
      <c r="C853" s="451" t="str">
        <f>'11. Table - Expenditure Review'!C219</f>
        <v>E1.52</v>
      </c>
      <c r="D853" s="583" t="str">
        <f>'11. Table - Expenditure Review'!E219</f>
        <v>Net Deficit as % of HSDG Grant -  NDoHS Calc  (excl staff costs)</v>
      </c>
    </row>
    <row r="854" spans="2:30" x14ac:dyDescent="0.45">
      <c r="B854" s="945" t="str">
        <f t="shared" si="461"/>
        <v>Ratios</v>
      </c>
      <c r="D854" s="583" t="str">
        <f>'12. Inputs-Props &amp; Debtors 2016'!C$77</f>
        <v>EC</v>
      </c>
      <c r="F854" s="786">
        <f>'11. Table - Expenditure Review'!I$219</f>
        <v>3.4563440450780035E-3</v>
      </c>
      <c r="G854" s="786">
        <f>'11. Table - Expenditure Review'!J$219</f>
        <v>3.9721327001343244E-3</v>
      </c>
      <c r="H854" s="786">
        <f>'11. Table - Expenditure Review'!K$219</f>
        <v>0</v>
      </c>
    </row>
    <row r="855" spans="2:30" x14ac:dyDescent="0.45">
      <c r="B855" s="945" t="str">
        <f t="shared" si="461"/>
        <v>Ratios</v>
      </c>
      <c r="D855" s="583" t="str">
        <f>'12. Inputs-Props &amp; Debtors 2016'!C$78</f>
        <v>FS</v>
      </c>
      <c r="F855" s="786">
        <f>'11. Table - Expenditure Review'!L$219</f>
        <v>5.0872661621275913E-4</v>
      </c>
      <c r="G855" s="786">
        <f>'11. Table - Expenditure Review'!M$219</f>
        <v>-3.7967291920177517E-6</v>
      </c>
      <c r="H855" s="786">
        <f>'11. Table - Expenditure Review'!N$219</f>
        <v>0</v>
      </c>
    </row>
    <row r="856" spans="2:30" x14ac:dyDescent="0.45">
      <c r="B856" s="945" t="str">
        <f t="shared" si="461"/>
        <v>Ratios</v>
      </c>
      <c r="D856" s="583" t="str">
        <f>'12. Inputs-Props &amp; Debtors 2016'!C$79</f>
        <v>Gau</v>
      </c>
      <c r="F856" s="786">
        <f>'11. Table - Expenditure Review'!O$219</f>
        <v>1.0349453760455107E-2</v>
      </c>
      <c r="G856" s="786">
        <f>'11. Table - Expenditure Review'!P$219</f>
        <v>9.8155461387650095E-3</v>
      </c>
      <c r="H856" s="786">
        <f>'11. Table - Expenditure Review'!Q$219</f>
        <v>0</v>
      </c>
    </row>
    <row r="857" spans="2:30" x14ac:dyDescent="0.45">
      <c r="B857" s="945" t="str">
        <f t="shared" si="461"/>
        <v>Ratios</v>
      </c>
      <c r="D857" s="583" t="str">
        <f>'12. Inputs-Props &amp; Debtors 2016'!C$80</f>
        <v>KZN</v>
      </c>
      <c r="F857" s="786">
        <f>'11. Table - Expenditure Review'!R$219</f>
        <v>9.6244102864323916E-3</v>
      </c>
      <c r="G857" s="786">
        <f>'11. Table - Expenditure Review'!S$219</f>
        <v>1.0521306118901294E-2</v>
      </c>
      <c r="H857" s="786">
        <f>'11. Table - Expenditure Review'!T$219</f>
        <v>0</v>
      </c>
    </row>
    <row r="858" spans="2:30" x14ac:dyDescent="0.45">
      <c r="B858" s="945" t="str">
        <f t="shared" si="461"/>
        <v>Ratios</v>
      </c>
      <c r="D858" s="583" t="str">
        <f>'12. Inputs-Props &amp; Debtors 2016'!C$81</f>
        <v>WC</v>
      </c>
      <c r="F858" s="786">
        <f>'11. Table - Expenditure Review'!U$219</f>
        <v>-4.7403497637090357E-3</v>
      </c>
      <c r="G858" s="786">
        <f>'11. Table - Expenditure Review'!V$219</f>
        <v>-6.2941309428322179E-3</v>
      </c>
      <c r="H858" s="786">
        <f>'11. Table - Expenditure Review'!W$219</f>
        <v>0</v>
      </c>
    </row>
    <row r="859" spans="2:30" x14ac:dyDescent="0.45">
      <c r="B859" s="945" t="str">
        <f t="shared" si="461"/>
        <v>Ratios</v>
      </c>
      <c r="D859" s="596" t="s">
        <v>11</v>
      </c>
      <c r="F859" s="788">
        <f>'11. Table - Expenditure Review'!F219</f>
        <v>5.6283986361087817E-3</v>
      </c>
      <c r="G859" s="788">
        <f>'11. Table - Expenditure Review'!G219</f>
        <v>5.8277379008081645E-3</v>
      </c>
      <c r="H859" s="788">
        <f>'11. Table - Expenditure Review'!H219</f>
        <v>8.965710025639017E-3</v>
      </c>
    </row>
    <row r="860" spans="2:30" x14ac:dyDescent="0.45">
      <c r="B860" s="945" t="str">
        <f t="shared" si="461"/>
        <v>Ratios</v>
      </c>
      <c r="F860" s="640"/>
      <c r="G860" s="640"/>
      <c r="H860" s="640"/>
    </row>
    <row r="861" spans="2:30" x14ac:dyDescent="0.45">
      <c r="B861" s="945" t="str">
        <f t="shared" si="461"/>
        <v>Ratios</v>
      </c>
      <c r="F861" s="640"/>
      <c r="G861" s="640"/>
      <c r="H861" s="640"/>
    </row>
    <row r="862" spans="2:30" x14ac:dyDescent="0.45">
      <c r="B862" s="945" t="str">
        <f t="shared" si="461"/>
        <v>Ratios</v>
      </c>
      <c r="C862" s="451" t="str">
        <f>'11. Table - Expenditure Review'!C220</f>
        <v>E1.53</v>
      </c>
      <c r="D862" s="583" t="str">
        <f>'11. Table - Expenditure Review'!E220</f>
        <v>Net Deficit (Surplus) as % of HSDG Grant - Calculated Above</v>
      </c>
    </row>
    <row r="863" spans="2:30" x14ac:dyDescent="0.45">
      <c r="B863" s="945" t="str">
        <f t="shared" si="461"/>
        <v>Ratios</v>
      </c>
      <c r="D863" s="583" t="str">
        <f>'12. Inputs-Props &amp; Debtors 2016'!C$77</f>
        <v>EC</v>
      </c>
      <c r="F863" s="834">
        <f>'11. Table - Expenditure Review'!I$220</f>
        <v>1.5089547282414676E-3</v>
      </c>
      <c r="G863" s="834">
        <f>'11. Table - Expenditure Review'!J$220</f>
        <v>3.7552792514621448E-3</v>
      </c>
      <c r="H863" s="834">
        <f>'11. Table - Expenditure Review'!K$220</f>
        <v>4.1024540930452427E-3</v>
      </c>
      <c r="I863" s="789">
        <f t="shared" ref="I863:AD863" si="498">IF(I763&lt;&gt;0,-I754/I763,0)</f>
        <v>3.6755906435099136E-3</v>
      </c>
      <c r="J863" s="789">
        <f t="shared" si="498"/>
        <v>2.9549833889111364E-3</v>
      </c>
      <c r="K863" s="789">
        <f t="shared" si="498"/>
        <v>2.141227253416444E-3</v>
      </c>
      <c r="L863" s="789">
        <f t="shared" si="498"/>
        <v>2.2588481042169284E-3</v>
      </c>
      <c r="M863" s="789">
        <f t="shared" si="498"/>
        <v>2.2479877929031931E-3</v>
      </c>
      <c r="N863" s="789">
        <f t="shared" si="498"/>
        <v>2.2287147813265843E-3</v>
      </c>
      <c r="O863" s="789">
        <f t="shared" si="498"/>
        <v>2.2001425251848201E-3</v>
      </c>
      <c r="P863" s="789">
        <f t="shared" si="498"/>
        <v>2.1613124087206635E-3</v>
      </c>
      <c r="Q863" s="789">
        <f t="shared" si="498"/>
        <v>2.1111884986583914E-3</v>
      </c>
      <c r="R863" s="789">
        <f t="shared" si="498"/>
        <v>2.048651939089425E-3</v>
      </c>
      <c r="S863" s="789">
        <f t="shared" si="498"/>
        <v>1.9724949636808755E-3</v>
      </c>
      <c r="T863" s="789">
        <f t="shared" si="498"/>
        <v>1.8814145000679982E-3</v>
      </c>
      <c r="U863" s="789">
        <f t="shared" si="498"/>
        <v>1.7740053396838355E-3</v>
      </c>
      <c r="V863" s="789">
        <f t="shared" si="498"/>
        <v>1.648752844570887E-3</v>
      </c>
      <c r="W863" s="789">
        <f t="shared" si="498"/>
        <v>1.5040251609040583E-3</v>
      </c>
      <c r="X863" s="789">
        <f t="shared" si="498"/>
        <v>1.3380649070250507E-3</v>
      </c>
      <c r="Y863" s="789">
        <f t="shared" si="498"/>
        <v>1.1489803017385256E-3</v>
      </c>
      <c r="Z863" s="789">
        <f t="shared" si="498"/>
        <v>9.3473569644255121E-4</v>
      </c>
      <c r="AA863" s="789">
        <f t="shared" si="498"/>
        <v>6.9314147235199084E-4</v>
      </c>
      <c r="AB863" s="789">
        <f t="shared" si="498"/>
        <v>-1.1429750258696537E-5</v>
      </c>
      <c r="AC863" s="789">
        <f t="shared" si="498"/>
        <v>0</v>
      </c>
      <c r="AD863" s="789">
        <f t="shared" si="498"/>
        <v>1.5382487373654774E-3</v>
      </c>
    </row>
    <row r="864" spans="2:30" x14ac:dyDescent="0.45">
      <c r="B864" s="945" t="str">
        <f t="shared" si="461"/>
        <v>Ratios</v>
      </c>
      <c r="D864" s="583" t="str">
        <f>'12. Inputs-Props &amp; Debtors 2016'!C$78</f>
        <v>FS</v>
      </c>
      <c r="F864" s="834">
        <f>'11. Table - Expenditure Review'!L$220</f>
        <v>6.5318922090560423E-4</v>
      </c>
      <c r="G864" s="834">
        <f>'11. Table - Expenditure Review'!M$220</f>
        <v>8.9348103833021271E-4</v>
      </c>
      <c r="H864" s="834">
        <f>'11. Table - Expenditure Review'!N$220</f>
        <v>1.0604776389314507E-3</v>
      </c>
      <c r="I864" s="789">
        <f t="shared" ref="I864:AD864" si="499">IF(I764&lt;&gt;0,-I755/I764,0)</f>
        <v>1.0755160117071089E-3</v>
      </c>
      <c r="J864" s="789">
        <f t="shared" si="499"/>
        <v>1.0860349184417233E-3</v>
      </c>
      <c r="K864" s="789">
        <f t="shared" si="499"/>
        <v>1.0944271219517263E-3</v>
      </c>
      <c r="L864" s="789">
        <f t="shared" si="499"/>
        <v>1.1004268651895383E-3</v>
      </c>
      <c r="M864" s="789">
        <f t="shared" si="499"/>
        <v>1.1037455911096007E-3</v>
      </c>
      <c r="N864" s="789">
        <f t="shared" si="499"/>
        <v>1.1040702385836667E-3</v>
      </c>
      <c r="O864" s="789">
        <f t="shared" si="499"/>
        <v>1.1010614198367686E-3</v>
      </c>
      <c r="P864" s="789">
        <f t="shared" si="499"/>
        <v>1.0943514715259913E-3</v>
      </c>
      <c r="Q864" s="789">
        <f t="shared" si="499"/>
        <v>1.0835423710760174E-3</v>
      </c>
      <c r="R864" s="789">
        <f t="shared" si="499"/>
        <v>1.068203509345175E-3</v>
      </c>
      <c r="S864" s="789">
        <f t="shared" si="499"/>
        <v>1.0478693101214302E-3</v>
      </c>
      <c r="T864" s="789">
        <f t="shared" si="499"/>
        <v>1.0220366863372995E-3</v>
      </c>
      <c r="U864" s="789">
        <f t="shared" si="499"/>
        <v>9.9016232224379214E-4</v>
      </c>
      <c r="V864" s="789">
        <f t="shared" si="499"/>
        <v>9.5165977009382388E-4</v>
      </c>
      <c r="W864" s="789">
        <f t="shared" si="499"/>
        <v>9.0589634915256645E-4</v>
      </c>
      <c r="X864" s="789">
        <f t="shared" si="499"/>
        <v>8.5218983407323197E-4</v>
      </c>
      <c r="Y864" s="789">
        <f t="shared" si="499"/>
        <v>7.898049188489794E-4</v>
      </c>
      <c r="Z864" s="789">
        <f t="shared" si="499"/>
        <v>7.1794944167198236E-4</v>
      </c>
      <c r="AA864" s="789">
        <f t="shared" si="499"/>
        <v>6.3577035509599267E-4</v>
      </c>
      <c r="AB864" s="789">
        <f t="shared" si="499"/>
        <v>1.3294584647593257E-4</v>
      </c>
      <c r="AC864" s="789">
        <f t="shared" si="499"/>
        <v>0</v>
      </c>
      <c r="AD864" s="789">
        <f t="shared" si="499"/>
        <v>7.8073002927100921E-4</v>
      </c>
    </row>
    <row r="865" spans="2:30" x14ac:dyDescent="0.45">
      <c r="B865" s="945" t="str">
        <f t="shared" si="461"/>
        <v>Ratios</v>
      </c>
      <c r="D865" s="583" t="str">
        <f>'12. Inputs-Props &amp; Debtors 2016'!C$79</f>
        <v>Gau</v>
      </c>
      <c r="F865" s="834">
        <f>'11. Table - Expenditure Review'!O$220</f>
        <v>1.3008292095182467E-2</v>
      </c>
      <c r="G865" s="834">
        <f>'11. Table - Expenditure Review'!P$220</f>
        <v>1.2305955491982159E-2</v>
      </c>
      <c r="H865" s="834">
        <f>'11. Table - Expenditure Review'!Q$220</f>
        <v>1.2373879227479104E-2</v>
      </c>
      <c r="I865" s="789">
        <f t="shared" ref="I865:AD865" si="500">IF(I765&lt;&gt;0,-I756/I765,0)</f>
        <v>1.3049244139181333E-2</v>
      </c>
      <c r="J865" s="789">
        <f t="shared" si="500"/>
        <v>1.3084920641080801E-2</v>
      </c>
      <c r="K865" s="789">
        <f t="shared" si="500"/>
        <v>1.3084607847467579E-2</v>
      </c>
      <c r="L865" s="789">
        <f t="shared" si="500"/>
        <v>1.3020477628794443E-2</v>
      </c>
      <c r="M865" s="789">
        <f t="shared" si="500"/>
        <v>1.2905895508639995E-2</v>
      </c>
      <c r="N865" s="789">
        <f t="shared" si="500"/>
        <v>1.273887208028229E-2</v>
      </c>
      <c r="O865" s="789">
        <f t="shared" si="500"/>
        <v>1.2513988099211646E-2</v>
      </c>
      <c r="P865" s="789">
        <f t="shared" si="500"/>
        <v>1.2225386838979628E-2</v>
      </c>
      <c r="Q865" s="789">
        <f t="shared" si="500"/>
        <v>1.186674236140043E-2</v>
      </c>
      <c r="R865" s="789">
        <f t="shared" si="500"/>
        <v>1.1431225619857276E-2</v>
      </c>
      <c r="S865" s="789">
        <f t="shared" si="500"/>
        <v>1.0911468253338014E-2</v>
      </c>
      <c r="T865" s="789">
        <f t="shared" si="500"/>
        <v>1.0299523919717645E-2</v>
      </c>
      <c r="U865" s="789">
        <f t="shared" si="500"/>
        <v>9.5868270071279849E-3</v>
      </c>
      <c r="V865" s="789">
        <f t="shared" si="500"/>
        <v>8.7641485519708087E-3</v>
      </c>
      <c r="W865" s="789">
        <f t="shared" si="500"/>
        <v>7.821549181203492E-3</v>
      </c>
      <c r="X865" s="789">
        <f t="shared" si="500"/>
        <v>6.7483288849149708E-3</v>
      </c>
      <c r="Y865" s="789">
        <f t="shared" si="500"/>
        <v>5.5329734128736928E-3</v>
      </c>
      <c r="Z865" s="789">
        <f t="shared" si="500"/>
        <v>4.1630970756223393E-3</v>
      </c>
      <c r="AA865" s="789">
        <f t="shared" si="500"/>
        <v>2.6253817167699307E-3</v>
      </c>
      <c r="AB865" s="789">
        <f t="shared" si="500"/>
        <v>5.3952544098936548E-5</v>
      </c>
      <c r="AC865" s="789">
        <f t="shared" si="500"/>
        <v>0</v>
      </c>
      <c r="AD865" s="789">
        <f t="shared" si="500"/>
        <v>7.9865464437523931E-3</v>
      </c>
    </row>
    <row r="866" spans="2:30" x14ac:dyDescent="0.45">
      <c r="B866" s="945" t="str">
        <f t="shared" si="461"/>
        <v>Ratios</v>
      </c>
      <c r="D866" s="583" t="str">
        <f>'12. Inputs-Props &amp; Debtors 2016'!C$80</f>
        <v>KZN</v>
      </c>
      <c r="F866" s="834">
        <f>'11. Table - Expenditure Review'!R$220</f>
        <v>1.224284821461198E-2</v>
      </c>
      <c r="G866" s="834">
        <f>'11. Table - Expenditure Review'!S$220</f>
        <v>1.2637450722189209E-2</v>
      </c>
      <c r="H866" s="834">
        <f>'11. Table - Expenditure Review'!T$220</f>
        <v>1.6931757323198977E-2</v>
      </c>
      <c r="I866" s="789">
        <f t="shared" ref="I866:AD866" si="501">IF(I766&lt;&gt;0,-I757/I766,0)</f>
        <v>1.9282360142148663E-2</v>
      </c>
      <c r="J866" s="789">
        <f t="shared" si="501"/>
        <v>1.8592059282128749E-2</v>
      </c>
      <c r="K866" s="789">
        <f t="shared" si="501"/>
        <v>1.7762300904169637E-2</v>
      </c>
      <c r="L866" s="789">
        <f t="shared" si="501"/>
        <v>1.7579431411054242E-2</v>
      </c>
      <c r="M866" s="789">
        <f t="shared" si="501"/>
        <v>1.7452287587692499E-2</v>
      </c>
      <c r="N866" s="789">
        <f t="shared" si="501"/>
        <v>1.7255467636870789E-2</v>
      </c>
      <c r="O866" s="789">
        <f t="shared" si="501"/>
        <v>1.698173162630421E-2</v>
      </c>
      <c r="P866" s="789">
        <f t="shared" si="501"/>
        <v>1.6623254001442059E-2</v>
      </c>
      <c r="Q866" s="789">
        <f t="shared" si="501"/>
        <v>1.6171581067813807E-2</v>
      </c>
      <c r="R866" s="789">
        <f t="shared" si="501"/>
        <v>1.5617585567940405E-2</v>
      </c>
      <c r="S866" s="789">
        <f t="shared" si="501"/>
        <v>1.4951418161829121E-2</v>
      </c>
      <c r="T866" s="789">
        <f t="shared" si="501"/>
        <v>1.4162455607850913E-2</v>
      </c>
      <c r="U866" s="789">
        <f t="shared" si="501"/>
        <v>1.3239245427813922E-2</v>
      </c>
      <c r="V866" s="789">
        <f t="shared" si="501"/>
        <v>1.2169446826247472E-2</v>
      </c>
      <c r="W866" s="789">
        <f t="shared" si="501"/>
        <v>1.0939767619247953E-2</v>
      </c>
      <c r="X866" s="789">
        <f t="shared" si="501"/>
        <v>9.5358969126574725E-3</v>
      </c>
      <c r="Y866" s="789">
        <f t="shared" si="501"/>
        <v>7.9424332527922147E-3</v>
      </c>
      <c r="Z866" s="789">
        <f t="shared" si="501"/>
        <v>6.1428079553493943E-3</v>
      </c>
      <c r="AA866" s="789">
        <f t="shared" si="501"/>
        <v>4.1192032994365876E-3</v>
      </c>
      <c r="AB866" s="789">
        <f t="shared" si="501"/>
        <v>1.2266110141170973E-5</v>
      </c>
      <c r="AC866" s="789">
        <f t="shared" si="501"/>
        <v>0</v>
      </c>
      <c r="AD866" s="789">
        <f t="shared" si="501"/>
        <v>1.1137765631562161E-2</v>
      </c>
    </row>
    <row r="867" spans="2:30" x14ac:dyDescent="0.45">
      <c r="B867" s="945" t="str">
        <f t="shared" si="461"/>
        <v>Ratios</v>
      </c>
      <c r="D867" s="583" t="str">
        <f>'12. Inputs-Props &amp; Debtors 2016'!C$81</f>
        <v>WC</v>
      </c>
      <c r="F867" s="834">
        <f>'11. Table - Expenditure Review'!U$220</f>
        <v>-2.158900199414364E-3</v>
      </c>
      <c r="G867" s="834">
        <f>'11. Table - Expenditure Review'!V$220</f>
        <v>-3.2943243730025186E-3</v>
      </c>
      <c r="H867" s="834">
        <f>'11. Table - Expenditure Review'!W$220</f>
        <v>-2.0581761582322512E-3</v>
      </c>
      <c r="I867" s="789">
        <f t="shared" ref="I867:AD867" si="502">IF(I767&lt;&gt;0,-I758/I767,0)</f>
        <v>1.5036128049372385E-4</v>
      </c>
      <c r="J867" s="789">
        <f t="shared" si="502"/>
        <v>6.0007759839622544E-4</v>
      </c>
      <c r="K867" s="789">
        <f t="shared" si="502"/>
        <v>1.3680132614153043E-3</v>
      </c>
      <c r="L867" s="789">
        <f t="shared" si="502"/>
        <v>2.4909833680134309E-3</v>
      </c>
      <c r="M867" s="789">
        <f t="shared" si="502"/>
        <v>2.561331768210484E-3</v>
      </c>
      <c r="N867" s="789">
        <f t="shared" si="502"/>
        <v>2.6216194460488992E-3</v>
      </c>
      <c r="O867" s="789">
        <f t="shared" si="502"/>
        <v>2.6707068010564943E-3</v>
      </c>
      <c r="P867" s="789">
        <f t="shared" si="502"/>
        <v>2.7073593103942801E-3</v>
      </c>
      <c r="Q867" s="789">
        <f t="shared" si="502"/>
        <v>2.7302405346875396E-3</v>
      </c>
      <c r="R867" s="789">
        <f t="shared" si="502"/>
        <v>2.7379046416384925E-3</v>
      </c>
      <c r="S867" s="789">
        <f t="shared" si="502"/>
        <v>2.728788415533858E-3</v>
      </c>
      <c r="T867" s="789">
        <f t="shared" si="502"/>
        <v>2.7012027187118572E-3</v>
      </c>
      <c r="U867" s="789">
        <f t="shared" si="502"/>
        <v>2.6533233688754102E-3</v>
      </c>
      <c r="V867" s="789">
        <f t="shared" si="502"/>
        <v>2.583181393823675E-3</v>
      </c>
      <c r="W867" s="789">
        <f t="shared" si="502"/>
        <v>2.4886526227140865E-3</v>
      </c>
      <c r="X867" s="789">
        <f t="shared" si="502"/>
        <v>2.3674465703526766E-3</v>
      </c>
      <c r="Y867" s="789">
        <f t="shared" si="502"/>
        <v>2.2170945682322115E-3</v>
      </c>
      <c r="Z867" s="789">
        <f t="shared" si="502"/>
        <v>2.0349370930854527E-3</v>
      </c>
      <c r="AA867" s="789">
        <f t="shared" si="502"/>
        <v>1.818110240583782E-3</v>
      </c>
      <c r="AB867" s="789">
        <f t="shared" si="502"/>
        <v>-4.1961801425677327E-5</v>
      </c>
      <c r="AC867" s="789">
        <f t="shared" si="502"/>
        <v>0</v>
      </c>
      <c r="AD867" s="789">
        <f t="shared" si="502"/>
        <v>1.7599723499110798E-3</v>
      </c>
    </row>
    <row r="868" spans="2:30" x14ac:dyDescent="0.45">
      <c r="B868" s="945" t="str">
        <f t="shared" si="461"/>
        <v>Ratios</v>
      </c>
      <c r="D868" s="596" t="s">
        <v>11</v>
      </c>
      <c r="F868" s="788">
        <f>'11. Table - Expenditure Review'!F220</f>
        <v>7.1340708821272698E-3</v>
      </c>
      <c r="G868" s="788">
        <f>'11. Table - Expenditure Review'!G220</f>
        <v>7.6800552566858417E-3</v>
      </c>
      <c r="H868" s="788">
        <f>'11. Table - Expenditure Review'!H220</f>
        <v>8.965710025639017E-3</v>
      </c>
      <c r="I868" s="835">
        <f t="shared" ref="I868:AD868" si="503">IF(I768&lt;&gt;0,-I759/I768,0)</f>
        <v>1.0064622456272281E-2</v>
      </c>
      <c r="J868" s="835">
        <f t="shared" si="503"/>
        <v>9.822358387218573E-3</v>
      </c>
      <c r="K868" s="835">
        <f t="shared" si="503"/>
        <v>9.5614949341196274E-3</v>
      </c>
      <c r="L868" s="835">
        <f t="shared" si="503"/>
        <v>9.6839048748770928E-3</v>
      </c>
      <c r="M868" s="835">
        <f t="shared" si="503"/>
        <v>9.622777727496902E-3</v>
      </c>
      <c r="N868" s="835">
        <f t="shared" si="503"/>
        <v>9.5231926737937116E-3</v>
      </c>
      <c r="O868" s="835">
        <f t="shared" si="503"/>
        <v>9.3811440832379626E-3</v>
      </c>
      <c r="P868" s="835">
        <f t="shared" si="503"/>
        <v>9.1923020411084737E-3</v>
      </c>
      <c r="Q868" s="835">
        <f t="shared" si="503"/>
        <v>8.9519887942637148E-3</v>
      </c>
      <c r="R868" s="835">
        <f t="shared" si="503"/>
        <v>8.6551535869075942E-3</v>
      </c>
      <c r="S868" s="835">
        <f t="shared" si="503"/>
        <v>8.296345780500718E-3</v>
      </c>
      <c r="T868" s="835">
        <f t="shared" si="503"/>
        <v>7.8696861451948985E-3</v>
      </c>
      <c r="U868" s="835">
        <f t="shared" si="503"/>
        <v>7.3688362029707853E-3</v>
      </c>
      <c r="V868" s="835">
        <f t="shared" si="503"/>
        <v>6.7869654950093094E-3</v>
      </c>
      <c r="W868" s="835">
        <f t="shared" si="503"/>
        <v>6.1167166376997432E-3</v>
      </c>
      <c r="X868" s="835">
        <f t="shared" si="503"/>
        <v>5.3501680230505248E-3</v>
      </c>
      <c r="Y868" s="835">
        <f t="shared" si="503"/>
        <v>4.4787940100927985E-3</v>
      </c>
      <c r="Z868" s="835">
        <f t="shared" si="503"/>
        <v>3.4934224441170955E-3</v>
      </c>
      <c r="AA868" s="835">
        <f t="shared" si="503"/>
        <v>2.3841893302257808E-3</v>
      </c>
      <c r="AB868" s="835">
        <f t="shared" si="503"/>
        <v>2.232423024839863E-5</v>
      </c>
      <c r="AC868" s="835">
        <f t="shared" si="503"/>
        <v>0</v>
      </c>
      <c r="AD868" s="835">
        <f t="shared" si="503"/>
        <v>6.1022402702742866E-3</v>
      </c>
    </row>
    <row r="869" spans="2:30" x14ac:dyDescent="0.45">
      <c r="B869" s="945" t="str">
        <f t="shared" si="461"/>
        <v>Ratios</v>
      </c>
      <c r="F869" s="640"/>
      <c r="G869" s="640"/>
      <c r="H869" s="640"/>
    </row>
    <row r="870" spans="2:30" x14ac:dyDescent="0.45">
      <c r="B870" s="945" t="str">
        <f t="shared" si="461"/>
        <v>Ratios</v>
      </c>
      <c r="F870" s="640"/>
      <c r="G870" s="640"/>
      <c r="H870" s="640"/>
    </row>
    <row r="871" spans="2:30" x14ac:dyDescent="0.45">
      <c r="B871" s="945" t="str">
        <f t="shared" si="461"/>
        <v>Ratios</v>
      </c>
      <c r="C871" s="451" t="str">
        <f>'11. Table - Expenditure Review'!C221</f>
        <v>E1.54</v>
      </c>
      <c r="D871" s="583" t="str">
        <f>'11. Table - Expenditure Review'!E221</f>
        <v>EEDBS as % of HSDG</v>
      </c>
      <c r="F871" s="834">
        <f>'11. Table - Expenditure Review'!F221</f>
        <v>1.3501498573366593E-3</v>
      </c>
      <c r="G871" s="834">
        <f>'11. Table - Expenditure Review'!G221</f>
        <v>1.3220500212674947E-3</v>
      </c>
      <c r="H871" s="834">
        <f>'11. Table - Expenditure Review'!H221</f>
        <v>8.1753659030898095E-4</v>
      </c>
    </row>
    <row r="872" spans="2:30" x14ac:dyDescent="0.45">
      <c r="B872" s="945" t="str">
        <f t="shared" si="461"/>
        <v>Ratios</v>
      </c>
      <c r="D872" s="583" t="str">
        <f>'12. Inputs-Props &amp; Debtors 2016'!C$77</f>
        <v>EC</v>
      </c>
      <c r="F872" s="834">
        <f>'11. Table - Expenditure Review'!I$221</f>
        <v>2.2093895601201837E-3</v>
      </c>
      <c r="G872" s="834">
        <f>'11. Table - Expenditure Review'!J$221</f>
        <v>5.1987446911838338E-4</v>
      </c>
      <c r="H872" s="834">
        <f>'11. Table - Expenditure Review'!K$221</f>
        <v>1.2728377353218767E-4</v>
      </c>
      <c r="I872" s="789">
        <f t="shared" ref="I872:AD872" si="504">IF(I763&lt;&gt;0,I143/I763,0)</f>
        <v>8.5450080071950579E-5</v>
      </c>
      <c r="J872" s="789">
        <f t="shared" si="504"/>
        <v>8.5450080071950579E-5</v>
      </c>
      <c r="K872" s="789">
        <f t="shared" si="504"/>
        <v>8.5450080071950579E-5</v>
      </c>
      <c r="L872" s="789">
        <f t="shared" si="504"/>
        <v>9.4944533413278436E-6</v>
      </c>
      <c r="M872" s="789">
        <f t="shared" si="504"/>
        <v>9.4944533413278436E-6</v>
      </c>
      <c r="N872" s="789">
        <f t="shared" si="504"/>
        <v>9.4944533413278436E-6</v>
      </c>
      <c r="O872" s="789">
        <f t="shared" si="504"/>
        <v>9.4944533413278436E-6</v>
      </c>
      <c r="P872" s="789">
        <f t="shared" si="504"/>
        <v>9.4944533413278436E-6</v>
      </c>
      <c r="Q872" s="789">
        <f t="shared" si="504"/>
        <v>9.4944533413278436E-6</v>
      </c>
      <c r="R872" s="789">
        <f t="shared" si="504"/>
        <v>9.4944533413278436E-6</v>
      </c>
      <c r="S872" s="789">
        <f t="shared" si="504"/>
        <v>9.4944533413278436E-6</v>
      </c>
      <c r="T872" s="789">
        <f t="shared" si="504"/>
        <v>9.4944533413278436E-6</v>
      </c>
      <c r="U872" s="789">
        <f t="shared" si="504"/>
        <v>9.4944533413278436E-6</v>
      </c>
      <c r="V872" s="789">
        <f t="shared" si="504"/>
        <v>9.4944533413278436E-6</v>
      </c>
      <c r="W872" s="789">
        <f t="shared" si="504"/>
        <v>9.4944533413278436E-6</v>
      </c>
      <c r="X872" s="789">
        <f t="shared" si="504"/>
        <v>9.4944533413278436E-6</v>
      </c>
      <c r="Y872" s="789">
        <f t="shared" si="504"/>
        <v>9.4944533413278436E-6</v>
      </c>
      <c r="Z872" s="789">
        <f t="shared" si="504"/>
        <v>9.4944533413278436E-6</v>
      </c>
      <c r="AA872" s="789">
        <f t="shared" si="504"/>
        <v>9.4944533413278436E-6</v>
      </c>
      <c r="AB872" s="789">
        <f t="shared" si="504"/>
        <v>6.4001665926913618E-3</v>
      </c>
      <c r="AC872" s="789">
        <f t="shared" si="504"/>
        <v>0</v>
      </c>
      <c r="AD872" s="789">
        <f t="shared" si="504"/>
        <v>2.8372398217031962E-4</v>
      </c>
    </row>
    <row r="873" spans="2:30" x14ac:dyDescent="0.45">
      <c r="B873" s="945" t="str">
        <f t="shared" si="461"/>
        <v>Ratios</v>
      </c>
      <c r="D873" s="583" t="str">
        <f>'12. Inputs-Props &amp; Debtors 2016'!C$78</f>
        <v>FS</v>
      </c>
      <c r="F873" s="834">
        <f>'11. Table - Expenditure Review'!L$221</f>
        <v>1.165858338218835E-4</v>
      </c>
      <c r="G873" s="834">
        <f>'11. Table - Expenditure Review'!M$221</f>
        <v>1.2714785694641707E-4</v>
      </c>
      <c r="H873" s="834">
        <f>'11. Table - Expenditure Review'!N$221</f>
        <v>0</v>
      </c>
      <c r="I873" s="789">
        <f t="shared" ref="I873:AD873" ca="1" si="505">IF(I764&lt;&gt;0,I144/I764,0)</f>
        <v>3.7292723620143686E-5</v>
      </c>
      <c r="J873" s="789">
        <f t="shared" ca="1" si="505"/>
        <v>3.7292723620143686E-5</v>
      </c>
      <c r="K873" s="789">
        <f t="shared" ca="1" si="505"/>
        <v>3.7292723620143686E-5</v>
      </c>
      <c r="L873" s="789">
        <f t="shared" ca="1" si="505"/>
        <v>3.7292723620143686E-5</v>
      </c>
      <c r="M873" s="789">
        <f t="shared" ca="1" si="505"/>
        <v>3.7292723620143686E-5</v>
      </c>
      <c r="N873" s="789">
        <f t="shared" ca="1" si="505"/>
        <v>3.7292723620143686E-5</v>
      </c>
      <c r="O873" s="789">
        <f t="shared" ca="1" si="505"/>
        <v>3.7292723620143686E-5</v>
      </c>
      <c r="P873" s="789">
        <f t="shared" ca="1" si="505"/>
        <v>3.7292723620143686E-5</v>
      </c>
      <c r="Q873" s="789">
        <f t="shared" ca="1" si="505"/>
        <v>3.7292723620143686E-5</v>
      </c>
      <c r="R873" s="789">
        <f t="shared" ca="1" si="505"/>
        <v>3.7292723620143686E-5</v>
      </c>
      <c r="S873" s="789">
        <f t="shared" ca="1" si="505"/>
        <v>3.7292723620143686E-5</v>
      </c>
      <c r="T873" s="789">
        <f t="shared" ca="1" si="505"/>
        <v>3.7292723620143686E-5</v>
      </c>
      <c r="U873" s="789">
        <f t="shared" ca="1" si="505"/>
        <v>3.7292723620143686E-5</v>
      </c>
      <c r="V873" s="789">
        <f t="shared" ca="1" si="505"/>
        <v>3.7292723620143686E-5</v>
      </c>
      <c r="W873" s="789">
        <f t="shared" ca="1" si="505"/>
        <v>3.7292723620143686E-5</v>
      </c>
      <c r="X873" s="789">
        <f t="shared" ca="1" si="505"/>
        <v>3.7292723620143686E-5</v>
      </c>
      <c r="Y873" s="789">
        <f t="shared" ca="1" si="505"/>
        <v>3.7292723620143686E-5</v>
      </c>
      <c r="Z873" s="789">
        <f t="shared" ca="1" si="505"/>
        <v>3.7292723620143686E-5</v>
      </c>
      <c r="AA873" s="789">
        <f t="shared" ca="1" si="505"/>
        <v>3.7292723620143686E-5</v>
      </c>
      <c r="AB873" s="789">
        <f t="shared" ca="1" si="505"/>
        <v>1.8119483979706491E-3</v>
      </c>
      <c r="AC873" s="789">
        <f t="shared" si="505"/>
        <v>0</v>
      </c>
      <c r="AD873" s="789">
        <f t="shared" ca="1" si="505"/>
        <v>1.0380170911473325E-4</v>
      </c>
    </row>
    <row r="874" spans="2:30" x14ac:dyDescent="0.45">
      <c r="B874" s="945" t="str">
        <f t="shared" si="461"/>
        <v>Ratios</v>
      </c>
      <c r="D874" s="583" t="str">
        <f>'12. Inputs-Props &amp; Debtors 2016'!C$79</f>
        <v>Gau</v>
      </c>
      <c r="F874" s="834">
        <f>'11. Table - Expenditure Review'!O$221</f>
        <v>3.7055334693636134E-4</v>
      </c>
      <c r="G874" s="834">
        <f>'11. Table - Expenditure Review'!P$221</f>
        <v>5.987815669041464E-4</v>
      </c>
      <c r="H874" s="834">
        <f>'11. Table - Expenditure Review'!Q$221</f>
        <v>3.6242882479460109E-4</v>
      </c>
      <c r="I874" s="789">
        <f t="shared" ref="I874:AD874" ca="1" si="506">IF(I765&lt;&gt;0,I145/I765,0)</f>
        <v>3.7345590027117897E-4</v>
      </c>
      <c r="J874" s="789">
        <f t="shared" ca="1" si="506"/>
        <v>3.7345590027117897E-4</v>
      </c>
      <c r="K874" s="789">
        <f t="shared" ca="1" si="506"/>
        <v>3.7345590027117897E-4</v>
      </c>
      <c r="L874" s="789">
        <f t="shared" ca="1" si="506"/>
        <v>3.9103029557805791E-4</v>
      </c>
      <c r="M874" s="789">
        <f t="shared" ca="1" si="506"/>
        <v>3.9103029557805791E-4</v>
      </c>
      <c r="N874" s="789">
        <f t="shared" ca="1" si="506"/>
        <v>3.9103029557805791E-4</v>
      </c>
      <c r="O874" s="789">
        <f t="shared" ca="1" si="506"/>
        <v>3.9103029557805791E-4</v>
      </c>
      <c r="P874" s="789">
        <f t="shared" ca="1" si="506"/>
        <v>3.9103029557805791E-4</v>
      </c>
      <c r="Q874" s="789">
        <f t="shared" ca="1" si="506"/>
        <v>3.9103029557805791E-4</v>
      </c>
      <c r="R874" s="789">
        <f t="shared" ca="1" si="506"/>
        <v>3.9103029557805791E-4</v>
      </c>
      <c r="S874" s="789">
        <f t="shared" ca="1" si="506"/>
        <v>3.9103029557805791E-4</v>
      </c>
      <c r="T874" s="789">
        <f t="shared" ca="1" si="506"/>
        <v>3.9103029557805791E-4</v>
      </c>
      <c r="U874" s="789">
        <f t="shared" ca="1" si="506"/>
        <v>3.9103029557805791E-4</v>
      </c>
      <c r="V874" s="789">
        <f t="shared" ca="1" si="506"/>
        <v>3.9103029557805791E-4</v>
      </c>
      <c r="W874" s="789">
        <f t="shared" ca="1" si="506"/>
        <v>3.9103029557805791E-4</v>
      </c>
      <c r="X874" s="789">
        <f t="shared" ca="1" si="506"/>
        <v>3.9103029557805791E-4</v>
      </c>
      <c r="Y874" s="789">
        <f t="shared" ca="1" si="506"/>
        <v>3.9103029557805791E-4</v>
      </c>
      <c r="Z874" s="789">
        <f t="shared" ca="1" si="506"/>
        <v>3.9103029557805791E-4</v>
      </c>
      <c r="AA874" s="789">
        <f t="shared" ca="1" si="506"/>
        <v>3.9103029557805791E-4</v>
      </c>
      <c r="AB874" s="789">
        <f t="shared" si="506"/>
        <v>8.0519865115517494E-2</v>
      </c>
      <c r="AC874" s="789">
        <f t="shared" si="506"/>
        <v>0</v>
      </c>
      <c r="AD874" s="789">
        <f t="shared" ca="1" si="506"/>
        <v>3.648060504843639E-3</v>
      </c>
    </row>
    <row r="875" spans="2:30" x14ac:dyDescent="0.45">
      <c r="B875" s="945" t="str">
        <f t="shared" si="461"/>
        <v>Ratios</v>
      </c>
      <c r="D875" s="583" t="str">
        <f>'12. Inputs-Props &amp; Debtors 2016'!C$80</f>
        <v>KZN</v>
      </c>
      <c r="F875" s="834">
        <f>'11. Table - Expenditure Review'!R$221</f>
        <v>3.032000393688501E-3</v>
      </c>
      <c r="G875" s="834">
        <f>'11. Table - Expenditure Review'!S$221</f>
        <v>3.7679741924084758E-3</v>
      </c>
      <c r="H875" s="834">
        <f>'11. Table - Expenditure Review'!T$221</f>
        <v>2.443947715649525E-3</v>
      </c>
      <c r="I875" s="789">
        <f t="shared" ref="I875:AD875" ca="1" si="507">IF(I766&lt;&gt;0,I146/I766,0)</f>
        <v>1.4241317075318043E-3</v>
      </c>
      <c r="J875" s="789">
        <f t="shared" ca="1" si="507"/>
        <v>1.4241317075318043E-3</v>
      </c>
      <c r="K875" s="789">
        <f t="shared" ca="1" si="507"/>
        <v>1.4241317075318043E-3</v>
      </c>
      <c r="L875" s="789">
        <f t="shared" ca="1" si="507"/>
        <v>6.230576220451644E-4</v>
      </c>
      <c r="M875" s="789">
        <f t="shared" ca="1" si="507"/>
        <v>6.230576220451644E-4</v>
      </c>
      <c r="N875" s="789">
        <f t="shared" ca="1" si="507"/>
        <v>6.230576220451644E-4</v>
      </c>
      <c r="O875" s="789">
        <f t="shared" ca="1" si="507"/>
        <v>6.230576220451644E-4</v>
      </c>
      <c r="P875" s="789">
        <f t="shared" ca="1" si="507"/>
        <v>6.230576220451644E-4</v>
      </c>
      <c r="Q875" s="789">
        <f t="shared" ca="1" si="507"/>
        <v>6.230576220451644E-4</v>
      </c>
      <c r="R875" s="789">
        <f t="shared" ca="1" si="507"/>
        <v>6.230576220451644E-4</v>
      </c>
      <c r="S875" s="789">
        <f t="shared" ca="1" si="507"/>
        <v>6.230576220451644E-4</v>
      </c>
      <c r="T875" s="789">
        <f t="shared" ca="1" si="507"/>
        <v>6.230576220451644E-4</v>
      </c>
      <c r="U875" s="789">
        <f t="shared" ca="1" si="507"/>
        <v>6.230576220451644E-4</v>
      </c>
      <c r="V875" s="789">
        <f t="shared" ca="1" si="507"/>
        <v>6.230576220451644E-4</v>
      </c>
      <c r="W875" s="789">
        <f t="shared" ca="1" si="507"/>
        <v>6.230576220451644E-4</v>
      </c>
      <c r="X875" s="789">
        <f t="shared" ca="1" si="507"/>
        <v>6.230576220451644E-4</v>
      </c>
      <c r="Y875" s="789">
        <f t="shared" ca="1" si="507"/>
        <v>6.230576220451644E-4</v>
      </c>
      <c r="Z875" s="789">
        <f t="shared" ca="1" si="507"/>
        <v>6.230576220451644E-4</v>
      </c>
      <c r="AA875" s="789">
        <f t="shared" ca="1" si="507"/>
        <v>6.230576220451644E-4</v>
      </c>
      <c r="AB875" s="789">
        <f t="shared" ca="1" si="507"/>
        <v>8.629281542033776E-2</v>
      </c>
      <c r="AC875" s="789">
        <f t="shared" si="507"/>
        <v>0</v>
      </c>
      <c r="AD875" s="789">
        <f t="shared" ca="1" si="507"/>
        <v>4.2010768048410087E-3</v>
      </c>
    </row>
    <row r="876" spans="2:30" x14ac:dyDescent="0.45">
      <c r="B876" s="945" t="str">
        <f t="shared" si="461"/>
        <v>Ratios</v>
      </c>
      <c r="D876" s="583" t="str">
        <f>'12. Inputs-Props &amp; Debtors 2016'!C$81</f>
        <v>WC</v>
      </c>
      <c r="F876" s="834">
        <f>'11. Table - Expenditure Review'!U$221</f>
        <v>2.8727662860593178E-4</v>
      </c>
      <c r="G876" s="834">
        <f>'11. Table - Expenditure Review'!V$221</f>
        <v>1.8524592027850017E-4</v>
      </c>
      <c r="H876" s="834">
        <f>'11. Table - Expenditure Review'!W$221</f>
        <v>1.356665562937378E-4</v>
      </c>
      <c r="I876" s="789">
        <f t="shared" ref="I876:AD876" ca="1" si="508">IF(I767&lt;&gt;0,I147/I767,0)</f>
        <v>1.4234227595844836E-3</v>
      </c>
      <c r="J876" s="789">
        <f t="shared" ca="1" si="508"/>
        <v>1.4234227595844836E-3</v>
      </c>
      <c r="K876" s="789">
        <f t="shared" ca="1" si="508"/>
        <v>1.0698929238706903E-3</v>
      </c>
      <c r="L876" s="789">
        <f t="shared" ca="1" si="508"/>
        <v>1.9537175131551732E-4</v>
      </c>
      <c r="M876" s="789">
        <f t="shared" ca="1" si="508"/>
        <v>1.9537175131551732E-4</v>
      </c>
      <c r="N876" s="789">
        <f t="shared" ca="1" si="508"/>
        <v>1.9537175131551732E-4</v>
      </c>
      <c r="O876" s="789">
        <f t="shared" ca="1" si="508"/>
        <v>1.9537175131551732E-4</v>
      </c>
      <c r="P876" s="789">
        <f t="shared" ca="1" si="508"/>
        <v>1.9537175131551732E-4</v>
      </c>
      <c r="Q876" s="789">
        <f t="shared" ca="1" si="508"/>
        <v>1.9537175131551732E-4</v>
      </c>
      <c r="R876" s="789">
        <f t="shared" ca="1" si="508"/>
        <v>1.9537175131551732E-4</v>
      </c>
      <c r="S876" s="789">
        <f t="shared" ca="1" si="508"/>
        <v>1.9537175131551732E-4</v>
      </c>
      <c r="T876" s="789">
        <f t="shared" ca="1" si="508"/>
        <v>1.9537175131551732E-4</v>
      </c>
      <c r="U876" s="789">
        <f t="shared" ca="1" si="508"/>
        <v>1.9537175131551732E-4</v>
      </c>
      <c r="V876" s="789">
        <f t="shared" ca="1" si="508"/>
        <v>1.9537175131551732E-4</v>
      </c>
      <c r="W876" s="789">
        <f t="shared" ca="1" si="508"/>
        <v>1.9537175131551732E-4</v>
      </c>
      <c r="X876" s="789">
        <f t="shared" ca="1" si="508"/>
        <v>1.9537175131551732E-4</v>
      </c>
      <c r="Y876" s="789">
        <f t="shared" ca="1" si="508"/>
        <v>1.9537175131551732E-4</v>
      </c>
      <c r="Z876" s="789">
        <f t="shared" ca="1" si="508"/>
        <v>1.9537175131551732E-4</v>
      </c>
      <c r="AA876" s="789">
        <f t="shared" ca="1" si="508"/>
        <v>1.9537175131551732E-4</v>
      </c>
      <c r="AB876" s="789">
        <f t="shared" ca="1" si="508"/>
        <v>4.3578784209431377E-2</v>
      </c>
      <c r="AC876" s="789">
        <f t="shared" si="508"/>
        <v>0</v>
      </c>
      <c r="AD876" s="789">
        <f t="shared" ca="1" si="508"/>
        <v>2.111725819511585E-3</v>
      </c>
    </row>
    <row r="877" spans="2:30" x14ac:dyDescent="0.45">
      <c r="B877" s="945" t="str">
        <f t="shared" si="461"/>
        <v>Ratios</v>
      </c>
      <c r="D877" s="596" t="s">
        <v>11</v>
      </c>
      <c r="F877" s="788">
        <f>'11. Table - Expenditure Review'!F221</f>
        <v>1.3501498573366593E-3</v>
      </c>
      <c r="G877" s="788">
        <f>'11. Table - Expenditure Review'!G221</f>
        <v>1.3220500212674947E-3</v>
      </c>
      <c r="H877" s="788">
        <f>'11. Table - Expenditure Review'!H221</f>
        <v>8.1753659030898095E-4</v>
      </c>
      <c r="I877" s="835">
        <f t="shared" ref="I877:AD877" si="509">IF(I768&lt;&gt;0,-I190/I768,0)</f>
        <v>0</v>
      </c>
      <c r="J877" s="835">
        <f t="shared" si="509"/>
        <v>0</v>
      </c>
      <c r="K877" s="835">
        <f t="shared" si="509"/>
        <v>0</v>
      </c>
      <c r="L877" s="835">
        <f t="shared" si="509"/>
        <v>0</v>
      </c>
      <c r="M877" s="835">
        <f t="shared" si="509"/>
        <v>0</v>
      </c>
      <c r="N877" s="835">
        <f t="shared" si="509"/>
        <v>0</v>
      </c>
      <c r="O877" s="835">
        <f t="shared" si="509"/>
        <v>0</v>
      </c>
      <c r="P877" s="835">
        <f t="shared" si="509"/>
        <v>0</v>
      </c>
      <c r="Q877" s="835">
        <f t="shared" si="509"/>
        <v>0</v>
      </c>
      <c r="R877" s="835">
        <f t="shared" si="509"/>
        <v>0</v>
      </c>
      <c r="S877" s="835">
        <f t="shared" si="509"/>
        <v>0</v>
      </c>
      <c r="T877" s="835">
        <f t="shared" si="509"/>
        <v>0</v>
      </c>
      <c r="U877" s="835">
        <f t="shared" si="509"/>
        <v>0</v>
      </c>
      <c r="V877" s="835">
        <f t="shared" si="509"/>
        <v>0</v>
      </c>
      <c r="W877" s="835">
        <f t="shared" si="509"/>
        <v>0</v>
      </c>
      <c r="X877" s="835">
        <f t="shared" si="509"/>
        <v>0</v>
      </c>
      <c r="Y877" s="835">
        <f t="shared" si="509"/>
        <v>0</v>
      </c>
      <c r="Z877" s="835">
        <f t="shared" si="509"/>
        <v>0</v>
      </c>
      <c r="AA877" s="835">
        <f t="shared" si="509"/>
        <v>0</v>
      </c>
      <c r="AB877" s="835">
        <f t="shared" si="509"/>
        <v>1.198529138346774E-3</v>
      </c>
      <c r="AC877" s="835">
        <f t="shared" si="509"/>
        <v>0</v>
      </c>
      <c r="AD877" s="835">
        <f t="shared" si="509"/>
        <v>4.9879921888136008E-5</v>
      </c>
    </row>
    <row r="878" spans="2:30" x14ac:dyDescent="0.45">
      <c r="B878" s="945" t="str">
        <f t="shared" si="461"/>
        <v>Ratios</v>
      </c>
      <c r="F878" s="640"/>
      <c r="G878" s="640"/>
      <c r="H878" s="640"/>
    </row>
    <row r="879" spans="2:30" x14ac:dyDescent="0.45">
      <c r="B879" s="945" t="str">
        <f t="shared" si="461"/>
        <v>Ratios</v>
      </c>
      <c r="F879" s="640"/>
      <c r="G879" s="640"/>
      <c r="H879" s="640"/>
    </row>
    <row r="880" spans="2:30" x14ac:dyDescent="0.45">
      <c r="B880" s="945" t="str">
        <f t="shared" si="461"/>
        <v>Ratios</v>
      </c>
      <c r="C880" s="451" t="str">
        <f>'11. Table - Expenditure Review'!C222</f>
        <v>E1.55</v>
      </c>
      <c r="D880" s="583" t="str">
        <f>'11. Table - Expenditure Review'!E222</f>
        <v>Debtors Balance as % of Rental Raised</v>
      </c>
      <c r="F880" s="640">
        <f>'11. Table - Expenditure Review'!F222</f>
        <v>0</v>
      </c>
      <c r="G880" s="640">
        <f>'11. Table - Expenditure Review'!G222</f>
        <v>0</v>
      </c>
      <c r="H880" s="640">
        <f>'11. Table - Expenditure Review'!H222</f>
        <v>8.2115620410245764</v>
      </c>
    </row>
    <row r="881" spans="2:30" x14ac:dyDescent="0.45">
      <c r="B881" s="945" t="str">
        <f t="shared" si="461"/>
        <v>Ratios</v>
      </c>
      <c r="D881" s="583" t="str">
        <f>'12. Inputs-Props &amp; Debtors 2016'!C$77</f>
        <v>EC</v>
      </c>
      <c r="F881" s="639">
        <f>'11. Table - Expenditure Review'!I$222</f>
        <v>0</v>
      </c>
      <c r="G881" s="639">
        <f>'11. Table - Expenditure Review'!J$222</f>
        <v>0</v>
      </c>
      <c r="H881" s="639">
        <f>'11. Table - Expenditure Review'!K$222</f>
        <v>2.969529822694787</v>
      </c>
      <c r="I881" s="833">
        <f t="shared" ref="I881:AD881" si="510">IF(I538&lt;&gt;0,I628/I538,0)</f>
        <v>3.3284870141839504</v>
      </c>
      <c r="J881" s="833">
        <f t="shared" si="510"/>
        <v>3.6874431557014629</v>
      </c>
      <c r="K881" s="833">
        <f t="shared" si="510"/>
        <v>4.0463992972189748</v>
      </c>
      <c r="L881" s="833">
        <f t="shared" si="510"/>
        <v>4.3842403715883975</v>
      </c>
      <c r="M881" s="833">
        <f t="shared" si="510"/>
        <v>4.7194420625643101</v>
      </c>
      <c r="N881" s="833">
        <f t="shared" si="510"/>
        <v>5.0514764934680079</v>
      </c>
      <c r="O881" s="833">
        <f t="shared" si="510"/>
        <v>5.405304690106699</v>
      </c>
      <c r="P881" s="833">
        <f t="shared" si="510"/>
        <v>5.7583439721486478</v>
      </c>
      <c r="Q881" s="833">
        <f t="shared" si="510"/>
        <v>6.1103971109446702</v>
      </c>
      <c r="R881" s="833">
        <f t="shared" si="510"/>
        <v>6.4611951583367855</v>
      </c>
      <c r="S881" s="833">
        <f t="shared" si="510"/>
        <v>6.8103615869038201</v>
      </c>
      <c r="T881" s="833">
        <f t="shared" si="510"/>
        <v>7.1573525237040831</v>
      </c>
      <c r="U881" s="833">
        <f t="shared" si="510"/>
        <v>7.5013521593250321</v>
      </c>
      <c r="V881" s="833">
        <f t="shared" si="510"/>
        <v>7.841078507546964</v>
      </c>
      <c r="W881" s="833">
        <f t="shared" si="510"/>
        <v>8.1743949246703664</v>
      </c>
      <c r="X881" s="833">
        <f t="shared" si="510"/>
        <v>8.4974554520361281</v>
      </c>
      <c r="Y881" s="833">
        <f t="shared" si="510"/>
        <v>8.8025681723260139</v>
      </c>
      <c r="Z881" s="833">
        <f t="shared" si="510"/>
        <v>9.071785278464148</v>
      </c>
      <c r="AA881" s="833">
        <f t="shared" si="510"/>
        <v>9.2512633492229064</v>
      </c>
      <c r="AB881" s="833">
        <f t="shared" si="510"/>
        <v>0</v>
      </c>
      <c r="AC881" s="833">
        <f t="shared" si="510"/>
        <v>0</v>
      </c>
      <c r="AD881" s="833">
        <f t="shared" si="510"/>
        <v>0</v>
      </c>
    </row>
    <row r="882" spans="2:30" x14ac:dyDescent="0.45">
      <c r="B882" s="945" t="str">
        <f t="shared" si="461"/>
        <v>Ratios</v>
      </c>
      <c r="D882" s="583" t="str">
        <f>'12. Inputs-Props &amp; Debtors 2016'!C$78</f>
        <v>FS</v>
      </c>
      <c r="F882" s="639">
        <f>'11. Table - Expenditure Review'!L$222</f>
        <v>0</v>
      </c>
      <c r="G882" s="639">
        <f>'11. Table - Expenditure Review'!M$222</f>
        <v>0</v>
      </c>
      <c r="H882" s="639">
        <f>'11. Table - Expenditure Review'!N$222</f>
        <v>11.683678699918449</v>
      </c>
      <c r="I882" s="833">
        <f t="shared" ref="I882:AD882" si="511">IF(I539&lt;&gt;0,I629/I539,0)</f>
        <v>12.683678699918447</v>
      </c>
      <c r="J882" s="833">
        <f t="shared" si="511"/>
        <v>13.683678699918447</v>
      </c>
      <c r="K882" s="833">
        <f t="shared" si="511"/>
        <v>14.683678699918447</v>
      </c>
      <c r="L882" s="833">
        <f t="shared" si="511"/>
        <v>15.633678699918452</v>
      </c>
      <c r="M882" s="833">
        <f t="shared" si="511"/>
        <v>16.578415542023716</v>
      </c>
      <c r="N882" s="833">
        <f t="shared" si="511"/>
        <v>17.517012033251788</v>
      </c>
      <c r="O882" s="833">
        <f t="shared" si="511"/>
        <v>18.507208111683159</v>
      </c>
      <c r="P882" s="833">
        <f t="shared" si="511"/>
        <v>19.496178699918453</v>
      </c>
      <c r="Q882" s="833">
        <f t="shared" si="511"/>
        <v>20.483678699918453</v>
      </c>
      <c r="R882" s="833">
        <f t="shared" si="511"/>
        <v>21.469392985632741</v>
      </c>
      <c r="S882" s="833">
        <f t="shared" si="511"/>
        <v>22.452909469149223</v>
      </c>
      <c r="T882" s="833">
        <f t="shared" si="511"/>
        <v>23.433678699918453</v>
      </c>
      <c r="U882" s="833">
        <f t="shared" si="511"/>
        <v>24.410951427191179</v>
      </c>
      <c r="V882" s="833">
        <f t="shared" si="511"/>
        <v>25.383678699918459</v>
      </c>
      <c r="W882" s="833">
        <f t="shared" si="511"/>
        <v>26.350345366585127</v>
      </c>
      <c r="X882" s="833">
        <f t="shared" si="511"/>
        <v>27.30867869991846</v>
      </c>
      <c r="Y882" s="833">
        <f t="shared" si="511"/>
        <v>28.255107271347029</v>
      </c>
      <c r="Z882" s="833">
        <f t="shared" si="511"/>
        <v>29.18367869991846</v>
      </c>
      <c r="AA882" s="833">
        <f t="shared" si="511"/>
        <v>30.083678699918455</v>
      </c>
      <c r="AB882" s="833">
        <f t="shared" si="511"/>
        <v>0</v>
      </c>
      <c r="AC882" s="833">
        <f t="shared" si="511"/>
        <v>0</v>
      </c>
      <c r="AD882" s="833">
        <f t="shared" si="511"/>
        <v>0</v>
      </c>
    </row>
    <row r="883" spans="2:30" x14ac:dyDescent="0.45">
      <c r="B883" s="945" t="str">
        <f t="shared" si="461"/>
        <v>Ratios</v>
      </c>
      <c r="D883" s="583" t="str">
        <f>'12. Inputs-Props &amp; Debtors 2016'!C$79</f>
        <v>Gau</v>
      </c>
      <c r="F883" s="639">
        <f>'11. Table - Expenditure Review'!O$222</f>
        <v>0</v>
      </c>
      <c r="G883" s="639">
        <f>'11. Table - Expenditure Review'!P$222</f>
        <v>0</v>
      </c>
      <c r="H883" s="639">
        <f>'11. Table - Expenditure Review'!Q$222</f>
        <v>17.602995541499762</v>
      </c>
      <c r="I883" s="833">
        <f t="shared" ref="I883:AD883" si="512">IF(I540&lt;&gt;0,I630/I540,0)</f>
        <v>18.565089918496309</v>
      </c>
      <c r="J883" s="833">
        <f t="shared" si="512"/>
        <v>19.527184295492855</v>
      </c>
      <c r="K883" s="833">
        <f t="shared" si="512"/>
        <v>20.489278672489398</v>
      </c>
      <c r="L883" s="833">
        <f t="shared" si="512"/>
        <v>21.387946086854321</v>
      </c>
      <c r="M883" s="833">
        <f t="shared" si="512"/>
        <v>22.277660289999236</v>
      </c>
      <c r="N883" s="833">
        <f t="shared" si="512"/>
        <v>23.156381599845865</v>
      </c>
      <c r="O883" s="833">
        <f t="shared" si="512"/>
        <v>24.100463937947346</v>
      </c>
      <c r="P883" s="833">
        <f t="shared" si="512"/>
        <v>25.041320780150116</v>
      </c>
      <c r="Q883" s="833">
        <f t="shared" si="512"/>
        <v>25.97800051606195</v>
      </c>
      <c r="R883" s="833">
        <f t="shared" si="512"/>
        <v>26.909136371933258</v>
      </c>
      <c r="S883" s="833">
        <f t="shared" si="512"/>
        <v>27.832692287281461</v>
      </c>
      <c r="T883" s="833">
        <f t="shared" si="512"/>
        <v>28.74549609264</v>
      </c>
      <c r="U883" s="833">
        <f t="shared" si="512"/>
        <v>29.642318619762545</v>
      </c>
      <c r="V883" s="833">
        <f t="shared" si="512"/>
        <v>30.513883778890364</v>
      </c>
      <c r="W883" s="833">
        <f t="shared" si="512"/>
        <v>31.342014434566337</v>
      </c>
      <c r="X883" s="833">
        <f t="shared" si="512"/>
        <v>32.085586429266911</v>
      </c>
      <c r="Y883" s="833">
        <f t="shared" si="512"/>
        <v>32.627619646513168</v>
      </c>
      <c r="Z883" s="833">
        <f t="shared" si="512"/>
        <v>32.450702032648344</v>
      </c>
      <c r="AA883" s="833">
        <f t="shared" si="512"/>
        <v>18.757508793895255</v>
      </c>
      <c r="AB883" s="833">
        <f t="shared" si="512"/>
        <v>0</v>
      </c>
      <c r="AC883" s="833">
        <f t="shared" si="512"/>
        <v>0</v>
      </c>
      <c r="AD883" s="833">
        <f t="shared" si="512"/>
        <v>0</v>
      </c>
    </row>
    <row r="884" spans="2:30" x14ac:dyDescent="0.45">
      <c r="B884" s="945" t="str">
        <f t="shared" si="461"/>
        <v>Ratios</v>
      </c>
      <c r="D884" s="583" t="str">
        <f>'12. Inputs-Props &amp; Debtors 2016'!C$80</f>
        <v>KZN</v>
      </c>
      <c r="F884" s="639">
        <f>'11. Table - Expenditure Review'!R$222</f>
        <v>0</v>
      </c>
      <c r="G884" s="639">
        <f>'11. Table - Expenditure Review'!S$222</f>
        <v>0</v>
      </c>
      <c r="H884" s="639">
        <f>'11. Table - Expenditure Review'!T$222</f>
        <v>12.868293053481981</v>
      </c>
      <c r="I884" s="833">
        <f t="shared" ref="I884:AD884" si="513">IF(I541&lt;&gt;0,I631/I541,0)</f>
        <v>13.591752053889559</v>
      </c>
      <c r="J884" s="833">
        <f t="shared" si="513"/>
        <v>14.315211054297139</v>
      </c>
      <c r="K884" s="833">
        <f t="shared" si="513"/>
        <v>15.038670054704717</v>
      </c>
      <c r="L884" s="833">
        <f t="shared" si="513"/>
        <v>15.713984427634191</v>
      </c>
      <c r="M884" s="833">
        <f t="shared" si="513"/>
        <v>16.382434130573152</v>
      </c>
      <c r="N884" s="833">
        <f t="shared" si="513"/>
        <v>17.042438266251679</v>
      </c>
      <c r="O884" s="833">
        <f t="shared" si="513"/>
        <v>17.752044123048503</v>
      </c>
      <c r="P884" s="833">
        <f t="shared" si="513"/>
        <v>18.459137344890824</v>
      </c>
      <c r="Q884" s="833">
        <f t="shared" si="513"/>
        <v>19.16296615498015</v>
      </c>
      <c r="R884" s="833">
        <f t="shared" si="513"/>
        <v>19.862445644959397</v>
      </c>
      <c r="S884" s="833">
        <f t="shared" si="513"/>
        <v>20.555950262484867</v>
      </c>
      <c r="T884" s="833">
        <f t="shared" si="513"/>
        <v>21.24092910902483</v>
      </c>
      <c r="U884" s="833">
        <f t="shared" si="513"/>
        <v>21.913138245244276</v>
      </c>
      <c r="V884" s="833">
        <f t="shared" si="513"/>
        <v>22.564956671733455</v>
      </c>
      <c r="W884" s="833">
        <f t="shared" si="513"/>
        <v>23.181193083682231</v>
      </c>
      <c r="X884" s="833">
        <f t="shared" si="513"/>
        <v>23.726580351634635</v>
      </c>
      <c r="Y884" s="833">
        <f t="shared" si="513"/>
        <v>24.096249258045361</v>
      </c>
      <c r="Z884" s="833">
        <f t="shared" si="513"/>
        <v>23.776796590062233</v>
      </c>
      <c r="AA884" s="833">
        <f t="shared" si="513"/>
        <v>27.732595015623826</v>
      </c>
      <c r="AB884" s="833">
        <f t="shared" si="513"/>
        <v>0</v>
      </c>
      <c r="AC884" s="833">
        <f t="shared" si="513"/>
        <v>0</v>
      </c>
      <c r="AD884" s="833">
        <f t="shared" si="513"/>
        <v>0</v>
      </c>
    </row>
    <row r="885" spans="2:30" x14ac:dyDescent="0.45">
      <c r="B885" s="945" t="str">
        <f t="shared" si="461"/>
        <v>Ratios</v>
      </c>
      <c r="D885" s="583" t="str">
        <f>'12. Inputs-Props &amp; Debtors 2016'!C$81</f>
        <v>WC</v>
      </c>
      <c r="F885" s="639">
        <f>'11. Table - Expenditure Review'!U$222</f>
        <v>0</v>
      </c>
      <c r="G885" s="639">
        <f>'11. Table - Expenditure Review'!V$222</f>
        <v>0</v>
      </c>
      <c r="H885" s="639">
        <f>'11. Table - Expenditure Review'!W$222</f>
        <v>2.182772501241184</v>
      </c>
      <c r="I885" s="833">
        <f t="shared" ref="I885:AD885" si="514">IF(I542&lt;&gt;0,I632/I542,0)</f>
        <v>2.4173116946560533</v>
      </c>
      <c r="J885" s="833">
        <f t="shared" si="514"/>
        <v>2.6518508880709222</v>
      </c>
      <c r="K885" s="833">
        <f t="shared" si="514"/>
        <v>2.8863900814857915</v>
      </c>
      <c r="L885" s="833">
        <f t="shared" si="514"/>
        <v>3.1056805966910246</v>
      </c>
      <c r="M885" s="833">
        <f t="shared" si="514"/>
        <v>3.3228504347942565</v>
      </c>
      <c r="N885" s="833">
        <f t="shared" si="514"/>
        <v>3.5374241414985956</v>
      </c>
      <c r="O885" s="833">
        <f t="shared" si="514"/>
        <v>3.7677162044332038</v>
      </c>
      <c r="P885" s="833">
        <f t="shared" si="514"/>
        <v>3.9972619097101929</v>
      </c>
      <c r="Q885" s="833">
        <f t="shared" si="514"/>
        <v>4.2258455668138284</v>
      </c>
      <c r="R885" s="833">
        <f t="shared" si="514"/>
        <v>4.4531595156683688</v>
      </c>
      <c r="S885" s="833">
        <f t="shared" si="514"/>
        <v>4.6787492584346486</v>
      </c>
      <c r="T885" s="833">
        <f t="shared" si="514"/>
        <v>4.9019139887671175</v>
      </c>
      <c r="U885" s="833">
        <f t="shared" si="514"/>
        <v>5.1215135888797301</v>
      </c>
      <c r="V885" s="833">
        <f t="shared" si="514"/>
        <v>5.3355604198003528</v>
      </c>
      <c r="W885" s="833">
        <f t="shared" si="514"/>
        <v>5.5402520417562107</v>
      </c>
      <c r="X885" s="833">
        <f t="shared" si="514"/>
        <v>5.7272873538349067</v>
      </c>
      <c r="Y885" s="833">
        <f t="shared" si="514"/>
        <v>5.8744194055912189</v>
      </c>
      <c r="Z885" s="833">
        <f t="shared" si="514"/>
        <v>5.8949618039109994</v>
      </c>
      <c r="AA885" s="833">
        <f t="shared" si="514"/>
        <v>4.7920210279815585</v>
      </c>
      <c r="AB885" s="833">
        <f t="shared" si="514"/>
        <v>0</v>
      </c>
      <c r="AC885" s="833">
        <f t="shared" si="514"/>
        <v>0</v>
      </c>
      <c r="AD885" s="833">
        <f t="shared" si="514"/>
        <v>0</v>
      </c>
    </row>
    <row r="886" spans="2:30" x14ac:dyDescent="0.45">
      <c r="B886" s="945" t="str">
        <f t="shared" si="461"/>
        <v>Ratios</v>
      </c>
      <c r="D886" s="596" t="s">
        <v>11</v>
      </c>
      <c r="F886" s="836">
        <f>'11. Table - Expenditure Review'!F222</f>
        <v>0</v>
      </c>
      <c r="G886" s="836">
        <f>'11. Table - Expenditure Review'!G222</f>
        <v>0</v>
      </c>
      <c r="H886" s="836">
        <f>'11. Table - Expenditure Review'!H222</f>
        <v>8.2115620410245764</v>
      </c>
      <c r="I886" s="608">
        <f t="shared" ref="I886:AD886" si="515">IF(I543&lt;&gt;0,I633/I543,0)</f>
        <v>9.1919797607862677</v>
      </c>
      <c r="J886" s="608">
        <f t="shared" si="515"/>
        <v>10.404963265226364</v>
      </c>
      <c r="K886" s="608">
        <f t="shared" si="515"/>
        <v>11.661599752615009</v>
      </c>
      <c r="L886" s="608">
        <f t="shared" si="515"/>
        <v>12.216683135215577</v>
      </c>
      <c r="M886" s="608">
        <f t="shared" si="515"/>
        <v>12.765591796348271</v>
      </c>
      <c r="N886" s="608">
        <f t="shared" si="515"/>
        <v>13.306931015600957</v>
      </c>
      <c r="O886" s="608">
        <f t="shared" si="515"/>
        <v>13.88763816829611</v>
      </c>
      <c r="P886" s="608">
        <f t="shared" si="515"/>
        <v>14.465071188143938</v>
      </c>
      <c r="Q886" s="608">
        <f t="shared" si="515"/>
        <v>15.03827474064536</v>
      </c>
      <c r="R886" s="608">
        <f t="shared" si="515"/>
        <v>15.605881781630229</v>
      </c>
      <c r="S886" s="608">
        <f t="shared" si="515"/>
        <v>16.165864989323964</v>
      </c>
      <c r="T886" s="608">
        <f t="shared" si="515"/>
        <v>16.71508337867121</v>
      </c>
      <c r="U886" s="608">
        <f t="shared" si="515"/>
        <v>17.248395857227848</v>
      </c>
      <c r="V886" s="608">
        <f t="shared" si="515"/>
        <v>17.756767769617898</v>
      </c>
      <c r="W886" s="608">
        <f t="shared" si="515"/>
        <v>18.222724077320965</v>
      </c>
      <c r="X886" s="608">
        <f t="shared" si="515"/>
        <v>18.607489322828037</v>
      </c>
      <c r="Y886" s="608">
        <f t="shared" si="515"/>
        <v>18.80430961295864</v>
      </c>
      <c r="Z886" s="608">
        <f t="shared" si="515"/>
        <v>18.373250158026952</v>
      </c>
      <c r="AA886" s="608">
        <f t="shared" si="515"/>
        <v>13.687242877526941</v>
      </c>
      <c r="AB886" s="608">
        <f t="shared" si="515"/>
        <v>0</v>
      </c>
      <c r="AC886" s="608">
        <f t="shared" si="515"/>
        <v>0</v>
      </c>
      <c r="AD886" s="608">
        <f t="shared" si="515"/>
        <v>0</v>
      </c>
    </row>
    <row r="887" spans="2:30" x14ac:dyDescent="0.45">
      <c r="B887" s="945" t="str">
        <f t="shared" si="461"/>
        <v>Ratios</v>
      </c>
      <c r="F887" s="640"/>
      <c r="G887" s="640"/>
      <c r="H887" s="640"/>
    </row>
    <row r="888" spans="2:30" x14ac:dyDescent="0.45">
      <c r="B888" s="945" t="str">
        <f t="shared" si="461"/>
        <v>Ratios</v>
      </c>
      <c r="F888" s="640"/>
      <c r="G888" s="640"/>
      <c r="H888" s="640"/>
    </row>
    <row r="889" spans="2:30" x14ac:dyDescent="0.45">
      <c r="B889" s="945" t="str">
        <f t="shared" si="461"/>
        <v>Ratios</v>
      </c>
      <c r="C889" s="451" t="str">
        <f>'11. Table - Expenditure Review'!C223</f>
        <v>E1.56</v>
      </c>
      <c r="D889" s="583" t="str">
        <f>'11. Table - Expenditure Review'!E223</f>
        <v>Average Expenditure per unit per month</v>
      </c>
      <c r="F889" s="837">
        <f>'11. Table - Expenditure Review'!F223</f>
        <v>0</v>
      </c>
      <c r="G889" s="837">
        <f>'11. Table - Expenditure Review'!G223</f>
        <v>0</v>
      </c>
      <c r="H889" s="837">
        <f>'11. Table - Expenditure Review'!H223</f>
        <v>2312.9006639211889</v>
      </c>
    </row>
    <row r="890" spans="2:30" x14ac:dyDescent="0.45">
      <c r="B890" s="945" t="str">
        <f t="shared" si="461"/>
        <v>Ratios</v>
      </c>
      <c r="D890" s="583" t="str">
        <f>'12. Inputs-Props &amp; Debtors 2016'!C$77</f>
        <v>EC</v>
      </c>
      <c r="F890" s="837">
        <f>'11. Table - Expenditure Review'!I$223</f>
        <v>0</v>
      </c>
      <c r="G890" s="837">
        <f>'11. Table - Expenditure Review'!J$223</f>
        <v>0</v>
      </c>
      <c r="H890" s="837">
        <f>'11. Table - Expenditure Review'!K$223</f>
        <v>10360.684342592593</v>
      </c>
      <c r="I890" s="837">
        <f t="shared" ref="I890:AC890" si="516">IF(H520&lt;&gt;0,I742/H520,0)</f>
        <v>106395.84723649999</v>
      </c>
      <c r="J890" s="837">
        <f t="shared" si="516"/>
        <v>107643.53673005693</v>
      </c>
      <c r="K890" s="837">
        <f t="shared" si="516"/>
        <v>105468.42021655117</v>
      </c>
      <c r="L890" s="837">
        <f t="shared" si="516"/>
        <v>157819.68984779576</v>
      </c>
      <c r="M890" s="837">
        <f t="shared" si="516"/>
        <v>166146.41960635636</v>
      </c>
      <c r="N890" s="837">
        <f t="shared" si="516"/>
        <v>174865.08662555195</v>
      </c>
      <c r="O890" s="837">
        <f t="shared" si="516"/>
        <v>183981.22045856211</v>
      </c>
      <c r="P890" s="837">
        <f t="shared" si="516"/>
        <v>193495.58706078655</v>
      </c>
      <c r="Q890" s="837">
        <f t="shared" si="516"/>
        <v>203401.85948171298</v>
      </c>
      <c r="R890" s="837">
        <f t="shared" si="516"/>
        <v>213683.08704556164</v>
      </c>
      <c r="S890" s="837">
        <f t="shared" si="516"/>
        <v>224306.19577712577</v>
      </c>
      <c r="T890" s="837">
        <f t="shared" si="516"/>
        <v>235213.13884804552</v>
      </c>
      <c r="U890" s="837">
        <f t="shared" si="516"/>
        <v>246306.08784339664</v>
      </c>
      <c r="V890" s="837">
        <f t="shared" si="516"/>
        <v>257421.44618533054</v>
      </c>
      <c r="W890" s="837">
        <f t="shared" si="516"/>
        <v>268281.50154447288</v>
      </c>
      <c r="X890" s="837">
        <f t="shared" si="516"/>
        <v>278397.62278140755</v>
      </c>
      <c r="Y890" s="837">
        <f t="shared" si="516"/>
        <v>286857.15532337211</v>
      </c>
      <c r="Z890" s="837">
        <f t="shared" si="516"/>
        <v>291790.47602097964</v>
      </c>
      <c r="AA890" s="837">
        <f t="shared" si="516"/>
        <v>288771.89703269576</v>
      </c>
      <c r="AB890" s="837">
        <f t="shared" si="516"/>
        <v>0</v>
      </c>
      <c r="AC890" s="837">
        <f t="shared" si="516"/>
        <v>0</v>
      </c>
    </row>
    <row r="891" spans="2:30" x14ac:dyDescent="0.45">
      <c r="B891" s="945" t="str">
        <f t="shared" si="461"/>
        <v>Ratios</v>
      </c>
      <c r="D891" s="583" t="str">
        <f>'12. Inputs-Props &amp; Debtors 2016'!C$78</f>
        <v>FS</v>
      </c>
      <c r="F891" s="837">
        <f>'11. Table - Expenditure Review'!L$223</f>
        <v>0</v>
      </c>
      <c r="G891" s="837">
        <f>'11. Table - Expenditure Review'!M$223</f>
        <v>0</v>
      </c>
      <c r="H891" s="837">
        <f>'11. Table - Expenditure Review'!N$223</f>
        <v>1946.79</v>
      </c>
      <c r="I891" s="837">
        <f t="shared" ref="I891:AC891" si="517">IF(H521&lt;&gt;0,I743/H521,0)</f>
        <v>23619.429674999996</v>
      </c>
      <c r="J891" s="837">
        <f t="shared" si="517"/>
        <v>24871.393395391304</v>
      </c>
      <c r="K891" s="837">
        <f t="shared" si="517"/>
        <v>26185.106560997039</v>
      </c>
      <c r="L891" s="837">
        <f t="shared" si="517"/>
        <v>27562.645046745638</v>
      </c>
      <c r="M891" s="837">
        <f t="shared" si="517"/>
        <v>29005.894048005848</v>
      </c>
      <c r="N891" s="837">
        <f t="shared" si="517"/>
        <v>30516.450303137448</v>
      </c>
      <c r="O891" s="837">
        <f t="shared" si="517"/>
        <v>32095.488233174794</v>
      </c>
      <c r="P891" s="837">
        <f t="shared" si="517"/>
        <v>33743.574895390411</v>
      </c>
      <c r="Q891" s="837">
        <f t="shared" si="517"/>
        <v>35460.411079032834</v>
      </c>
      <c r="R891" s="837">
        <f t="shared" si="517"/>
        <v>37244.463760875726</v>
      </c>
      <c r="S891" s="837">
        <f t="shared" si="517"/>
        <v>39092.43524084775</v>
      </c>
      <c r="T891" s="837">
        <f t="shared" si="517"/>
        <v>40998.480604070151</v>
      </c>
      <c r="U891" s="837">
        <f t="shared" si="517"/>
        <v>42953.02622453501</v>
      </c>
      <c r="V891" s="837">
        <f t="shared" si="517"/>
        <v>44940.934876249034</v>
      </c>
      <c r="W891" s="837">
        <f t="shared" si="517"/>
        <v>46938.559431498303</v>
      </c>
      <c r="X891" s="837">
        <f t="shared" si="517"/>
        <v>48908.819950845143</v>
      </c>
      <c r="Y891" s="837">
        <f t="shared" si="517"/>
        <v>50792.573719264416</v>
      </c>
      <c r="Z891" s="837">
        <f t="shared" si="517"/>
        <v>52492.570064154068</v>
      </c>
      <c r="AA891" s="837">
        <f t="shared" si="517"/>
        <v>53841.337489413585</v>
      </c>
      <c r="AB891" s="837">
        <f t="shared" si="517"/>
        <v>0</v>
      </c>
      <c r="AC891" s="837">
        <f t="shared" si="517"/>
        <v>0</v>
      </c>
    </row>
    <row r="892" spans="2:30" x14ac:dyDescent="0.45">
      <c r="B892" s="945" t="str">
        <f t="shared" si="461"/>
        <v>Ratios</v>
      </c>
      <c r="D892" s="583" t="str">
        <f>'12. Inputs-Props &amp; Debtors 2016'!C$79</f>
        <v>Gau</v>
      </c>
      <c r="F892" s="837">
        <f>'11. Table - Expenditure Review'!O$223</f>
        <v>0</v>
      </c>
      <c r="G892" s="837">
        <f>'11. Table - Expenditure Review'!P$223</f>
        <v>0</v>
      </c>
      <c r="H892" s="837">
        <f>'11. Table - Expenditure Review'!Q$223</f>
        <v>2595.3721928702612</v>
      </c>
      <c r="I892" s="837">
        <f t="shared" ref="I892:AC892" si="518">IF(H522&lt;&gt;0,I744/H522,0)</f>
        <v>31287.35001969013</v>
      </c>
      <c r="J892" s="837">
        <f t="shared" si="518"/>
        <v>33007.983675401374</v>
      </c>
      <c r="K892" s="837">
        <f t="shared" si="518"/>
        <v>34823.222723132138</v>
      </c>
      <c r="L892" s="837">
        <f t="shared" si="518"/>
        <v>36661.172231936594</v>
      </c>
      <c r="M892" s="837">
        <f t="shared" si="518"/>
        <v>38700.041192349345</v>
      </c>
      <c r="N892" s="837">
        <f t="shared" si="518"/>
        <v>40855.637094259153</v>
      </c>
      <c r="O892" s="837">
        <f t="shared" si="518"/>
        <v>43135.622144293106</v>
      </c>
      <c r="P892" s="837">
        <f t="shared" si="518"/>
        <v>45548.526377444919</v>
      </c>
      <c r="Q892" s="837">
        <f t="shared" si="518"/>
        <v>48104.005834757299</v>
      </c>
      <c r="R892" s="837">
        <f t="shared" si="518"/>
        <v>50813.24330917131</v>
      </c>
      <c r="S892" s="837">
        <f t="shared" si="518"/>
        <v>53689.599795787632</v>
      </c>
      <c r="T892" s="837">
        <f t="shared" si="518"/>
        <v>56749.730636799177</v>
      </c>
      <c r="U892" s="837">
        <f t="shared" si="518"/>
        <v>60015.619099940945</v>
      </c>
      <c r="V892" s="837">
        <f t="shared" si="518"/>
        <v>63518.567211489019</v>
      </c>
      <c r="W892" s="837">
        <f t="shared" si="518"/>
        <v>67307.793030084053</v>
      </c>
      <c r="X892" s="837">
        <f t="shared" si="518"/>
        <v>71471.367572663032</v>
      </c>
      <c r="Y892" s="837">
        <f t="shared" si="518"/>
        <v>76196.749412744917</v>
      </c>
      <c r="Z892" s="837">
        <f t="shared" si="518"/>
        <v>81998.732779432728</v>
      </c>
      <c r="AA892" s="837">
        <f t="shared" si="518"/>
        <v>91117.671264465651</v>
      </c>
      <c r="AB892" s="837">
        <f t="shared" si="518"/>
        <v>0</v>
      </c>
      <c r="AC892" s="837">
        <f t="shared" si="518"/>
        <v>0</v>
      </c>
    </row>
    <row r="893" spans="2:30" x14ac:dyDescent="0.45">
      <c r="B893" s="945" t="str">
        <f t="shared" si="461"/>
        <v>Ratios</v>
      </c>
      <c r="D893" s="583" t="str">
        <f>'12. Inputs-Props &amp; Debtors 2016'!C$80</f>
        <v>KZN</v>
      </c>
      <c r="F893" s="837">
        <f>'11. Table - Expenditure Review'!R$223</f>
        <v>0</v>
      </c>
      <c r="G893" s="837">
        <f>'11. Table - Expenditure Review'!S$223</f>
        <v>0</v>
      </c>
      <c r="H893" s="837">
        <f>'11. Table - Expenditure Review'!T$223</f>
        <v>2306.7081562405169</v>
      </c>
      <c r="I893" s="837">
        <f t="shared" ref="I893:AC893" si="519">IF(H523&lt;&gt;0,I745/H523,0)</f>
        <v>26823.909178362774</v>
      </c>
      <c r="J893" s="837">
        <f t="shared" si="519"/>
        <v>28651.120662194218</v>
      </c>
      <c r="K893" s="837">
        <f t="shared" si="519"/>
        <v>30690.86002308947</v>
      </c>
      <c r="L893" s="837">
        <f t="shared" si="519"/>
        <v>34888.532982617129</v>
      </c>
      <c r="M893" s="837">
        <f t="shared" si="519"/>
        <v>36884.753934805558</v>
      </c>
      <c r="N893" s="837">
        <f t="shared" si="519"/>
        <v>39006.657114106682</v>
      </c>
      <c r="O893" s="837">
        <f t="shared" si="519"/>
        <v>41265.495991463336</v>
      </c>
      <c r="P893" s="837">
        <f t="shared" si="519"/>
        <v>43674.71985981636</v>
      </c>
      <c r="Q893" s="837">
        <f t="shared" si="519"/>
        <v>46250.847130233517</v>
      </c>
      <c r="R893" s="837">
        <f t="shared" si="519"/>
        <v>49014.852014579337</v>
      </c>
      <c r="S893" s="837">
        <f t="shared" si="519"/>
        <v>51994.46203966657</v>
      </c>
      <c r="T893" s="837">
        <f t="shared" si="519"/>
        <v>55228.159908227033</v>
      </c>
      <c r="U893" s="837">
        <f t="shared" si="519"/>
        <v>58772.586581179421</v>
      </c>
      <c r="V893" s="837">
        <f t="shared" si="519"/>
        <v>62717.294826847414</v>
      </c>
      <c r="W893" s="837">
        <f t="shared" si="519"/>
        <v>67217.087513068167</v>
      </c>
      <c r="X893" s="837">
        <f t="shared" si="519"/>
        <v>72572.507192924779</v>
      </c>
      <c r="Y893" s="837">
        <f t="shared" si="519"/>
        <v>79469.832828911924</v>
      </c>
      <c r="Z893" s="837">
        <f t="shared" si="519"/>
        <v>89931.47595194586</v>
      </c>
      <c r="AA893" s="837">
        <f t="shared" si="519"/>
        <v>113819.83751906098</v>
      </c>
      <c r="AB893" s="837">
        <f t="shared" si="519"/>
        <v>0</v>
      </c>
      <c r="AC893" s="837">
        <f t="shared" si="519"/>
        <v>0</v>
      </c>
    </row>
    <row r="894" spans="2:30" x14ac:dyDescent="0.45">
      <c r="B894" s="945" t="str">
        <f t="shared" si="461"/>
        <v>Ratios</v>
      </c>
      <c r="D894" s="583" t="str">
        <f>'12. Inputs-Props &amp; Debtors 2016'!C$81</f>
        <v>WC</v>
      </c>
      <c r="F894" s="837">
        <f>'11. Table - Expenditure Review'!U$223</f>
        <v>0</v>
      </c>
      <c r="G894" s="837">
        <f>'11. Table - Expenditure Review'!V$223</f>
        <v>0</v>
      </c>
      <c r="H894" s="837">
        <f>'11. Table - Expenditure Review'!W$223</f>
        <v>784.32211220043564</v>
      </c>
      <c r="I894" s="837">
        <f t="shared" ref="I894:AC894" si="520">IF(H524&lt;&gt;0,I746/H524,0)</f>
        <v>9406.4505670882354</v>
      </c>
      <c r="J894" s="837">
        <f t="shared" si="520"/>
        <v>11714.961586716869</v>
      </c>
      <c r="K894" s="837">
        <f t="shared" si="520"/>
        <v>15572.365735990317</v>
      </c>
      <c r="L894" s="837">
        <f t="shared" si="520"/>
        <v>20866.299837362734</v>
      </c>
      <c r="M894" s="837">
        <f t="shared" si="520"/>
        <v>22260.088590112631</v>
      </c>
      <c r="N894" s="837">
        <f t="shared" si="520"/>
        <v>23780.18799771561</v>
      </c>
      <c r="O894" s="837">
        <f t="shared" si="520"/>
        <v>25446.804475558991</v>
      </c>
      <c r="P894" s="837">
        <f t="shared" si="520"/>
        <v>27285.945501015929</v>
      </c>
      <c r="Q894" s="837">
        <f t="shared" si="520"/>
        <v>29331.910033102085</v>
      </c>
      <c r="R894" s="837">
        <f t="shared" si="520"/>
        <v>31631.213958088552</v>
      </c>
      <c r="S894" s="837">
        <f t="shared" si="520"/>
        <v>34249.021046211863</v>
      </c>
      <c r="T894" s="837">
        <f t="shared" si="520"/>
        <v>37280.171708272479</v>
      </c>
      <c r="U894" s="837">
        <f t="shared" si="520"/>
        <v>40869.169584141644</v>
      </c>
      <c r="V894" s="837">
        <f t="shared" si="520"/>
        <v>45248.952269760681</v>
      </c>
      <c r="W894" s="837">
        <f t="shared" si="520"/>
        <v>50822.881468246007</v>
      </c>
      <c r="X894" s="837">
        <f t="shared" si="520"/>
        <v>58359.00875072983</v>
      </c>
      <c r="Y894" s="837">
        <f t="shared" si="520"/>
        <v>69529.073586925268</v>
      </c>
      <c r="Z894" s="837">
        <f t="shared" si="520"/>
        <v>88805.744565948364</v>
      </c>
      <c r="AA894" s="837">
        <f t="shared" si="520"/>
        <v>133602.9881221496</v>
      </c>
      <c r="AB894" s="837">
        <f t="shared" si="520"/>
        <v>0</v>
      </c>
      <c r="AC894" s="837">
        <f t="shared" si="520"/>
        <v>0</v>
      </c>
    </row>
    <row r="895" spans="2:30" x14ac:dyDescent="0.45">
      <c r="B895" s="945" t="str">
        <f t="shared" si="461"/>
        <v>Ratios</v>
      </c>
      <c r="D895" s="596" t="s">
        <v>11</v>
      </c>
      <c r="F895" s="838">
        <f>'11. Table - Expenditure Review'!F223</f>
        <v>0</v>
      </c>
      <c r="G895" s="838">
        <f>'11. Table - Expenditure Review'!G223</f>
        <v>0</v>
      </c>
      <c r="H895" s="838">
        <f>'11. Table - Expenditure Review'!H223</f>
        <v>2312.9006639211889</v>
      </c>
      <c r="I895" s="838">
        <f t="shared" ref="I895:AC895" si="521">IF(H525&lt;&gt;0,I747/H525,0)</f>
        <v>27065.066611822938</v>
      </c>
      <c r="J895" s="838">
        <f t="shared" si="521"/>
        <v>29115.789137586253</v>
      </c>
      <c r="K895" s="838">
        <f t="shared" si="521"/>
        <v>31464.835573719036</v>
      </c>
      <c r="L895" s="838">
        <f t="shared" si="521"/>
        <v>35393.186711184695</v>
      </c>
      <c r="M895" s="838">
        <f t="shared" si="521"/>
        <v>37411.46330177613</v>
      </c>
      <c r="N895" s="838">
        <f t="shared" si="521"/>
        <v>39555.349987818161</v>
      </c>
      <c r="O895" s="838">
        <f t="shared" si="521"/>
        <v>41835.706532048272</v>
      </c>
      <c r="P895" s="838">
        <f t="shared" si="521"/>
        <v>44265.408987047573</v>
      </c>
      <c r="Q895" s="838">
        <f t="shared" si="521"/>
        <v>46860.129059601008</v>
      </c>
      <c r="R895" s="838">
        <f t="shared" si="521"/>
        <v>49639.563761719859</v>
      </c>
      <c r="S895" s="838">
        <f t="shared" si="521"/>
        <v>52629.45814629212</v>
      </c>
      <c r="T895" s="838">
        <f t="shared" si="521"/>
        <v>55865.099255287772</v>
      </c>
      <c r="U895" s="838">
        <f t="shared" si="521"/>
        <v>59397.715241222235</v>
      </c>
      <c r="V895" s="838">
        <f t="shared" si="521"/>
        <v>63307.070714627625</v>
      </c>
      <c r="W895" s="838">
        <f t="shared" si="521"/>
        <v>67728.634940051648</v>
      </c>
      <c r="X895" s="838">
        <f t="shared" si="521"/>
        <v>72919.742744731266</v>
      </c>
      <c r="Y895" s="838">
        <f t="shared" si="521"/>
        <v>79450.659639009551</v>
      </c>
      <c r="Z895" s="838">
        <f t="shared" si="521"/>
        <v>88922.16968472689</v>
      </c>
      <c r="AA895" s="838">
        <f t="shared" si="521"/>
        <v>108341.10230754857</v>
      </c>
      <c r="AB895" s="838">
        <f t="shared" si="521"/>
        <v>0</v>
      </c>
      <c r="AC895" s="838">
        <f t="shared" si="521"/>
        <v>0</v>
      </c>
    </row>
    <row r="896" spans="2:30" x14ac:dyDescent="0.45">
      <c r="B896" s="945" t="str">
        <f t="shared" si="461"/>
        <v>Ratios</v>
      </c>
      <c r="F896" s="837"/>
      <c r="G896" s="837"/>
      <c r="H896" s="837"/>
    </row>
    <row r="897" spans="2:29" x14ac:dyDescent="0.45">
      <c r="B897" s="945" t="str">
        <f t="shared" si="461"/>
        <v>Ratios</v>
      </c>
      <c r="F897" s="837"/>
      <c r="G897" s="837"/>
      <c r="H897" s="837"/>
    </row>
    <row r="898" spans="2:29" x14ac:dyDescent="0.45">
      <c r="B898" s="945" t="str">
        <f t="shared" si="461"/>
        <v>Ratios</v>
      </c>
      <c r="C898" s="451" t="str">
        <f>'11. Table - Expenditure Review'!C224</f>
        <v>E1.57</v>
      </c>
      <c r="D898" s="583" t="str">
        <f>'11. Table - Expenditure Review'!E224</f>
        <v>Net Surplus/Deficit p.u.p.m.</v>
      </c>
      <c r="F898" s="837">
        <f>'11. Table - Expenditure Review'!F224</f>
        <v>0</v>
      </c>
      <c r="G898" s="837">
        <f>'11. Table - Expenditure Review'!G224</f>
        <v>0</v>
      </c>
      <c r="H898" s="837">
        <f>'11. Table - Expenditure Review'!H224</f>
        <v>-1898.2772627583979</v>
      </c>
    </row>
    <row r="899" spans="2:29" x14ac:dyDescent="0.45">
      <c r="B899" s="945" t="str">
        <f t="shared" si="461"/>
        <v>Ratios</v>
      </c>
      <c r="D899" s="583" t="str">
        <f>'12. Inputs-Props &amp; Debtors 2016'!C$77</f>
        <v>EC</v>
      </c>
      <c r="F899" s="837">
        <f>'11. Table - Expenditure Review'!I$224</f>
        <v>0</v>
      </c>
      <c r="G899" s="837">
        <f>'11. Table - Expenditure Review'!J$224</f>
        <v>0</v>
      </c>
      <c r="H899" s="837">
        <f>'11. Table - Expenditure Review'!K$224</f>
        <v>-9353.4889722222215</v>
      </c>
      <c r="I899" s="837">
        <f t="shared" ref="I899:AC899" si="522">IF((I115*0+I520)&lt;&gt;0,I754/(I115*0+I520)/12,0)</f>
        <v>-10475.314217639807</v>
      </c>
      <c r="J899" s="837">
        <f t="shared" si="522"/>
        <v>-11228.809193394896</v>
      </c>
      <c r="K899" s="837">
        <f t="shared" si="522"/>
        <v>-12204.856561225824</v>
      </c>
      <c r="L899" s="837">
        <f t="shared" si="522"/>
        <v>-13632.657657051093</v>
      </c>
      <c r="M899" s="837">
        <f t="shared" si="522"/>
        <v>-14415.05780621516</v>
      </c>
      <c r="N899" s="837">
        <f t="shared" si="522"/>
        <v>-15244.235759790843</v>
      </c>
      <c r="O899" s="837">
        <f t="shared" si="522"/>
        <v>-16123.718303644035</v>
      </c>
      <c r="P899" s="837">
        <f t="shared" si="522"/>
        <v>-17057.548584892043</v>
      </c>
      <c r="Q899" s="837">
        <f t="shared" si="522"/>
        <v>-18050.456409091876</v>
      </c>
      <c r="R899" s="837">
        <f t="shared" si="522"/>
        <v>-19108.118077876916</v>
      </c>
      <c r="S899" s="837">
        <f t="shared" si="522"/>
        <v>-20237.568202953353</v>
      </c>
      <c r="T899" s="837">
        <f t="shared" si="522"/>
        <v>-21447.881413710355</v>
      </c>
      <c r="U899" s="837">
        <f t="shared" si="522"/>
        <v>-22751.359772333151</v>
      </c>
      <c r="V899" s="837">
        <f t="shared" si="522"/>
        <v>-24165.731186855381</v>
      </c>
      <c r="W899" s="837">
        <f t="shared" si="522"/>
        <v>-25718.537802122552</v>
      </c>
      <c r="X899" s="837">
        <f t="shared" si="522"/>
        <v>-27456.779677009064</v>
      </c>
      <c r="Y899" s="837">
        <f t="shared" si="522"/>
        <v>-29471.009620338507</v>
      </c>
      <c r="Z899" s="837">
        <f t="shared" si="522"/>
        <v>-31967.597310008856</v>
      </c>
      <c r="AA899" s="837">
        <f t="shared" si="522"/>
        <v>-35557.753199131592</v>
      </c>
      <c r="AB899" s="837">
        <f t="shared" si="522"/>
        <v>0</v>
      </c>
      <c r="AC899" s="837">
        <f t="shared" si="522"/>
        <v>0</v>
      </c>
    </row>
    <row r="900" spans="2:29" x14ac:dyDescent="0.45">
      <c r="B900" s="945" t="str">
        <f t="shared" si="461"/>
        <v>Ratios</v>
      </c>
      <c r="D900" s="583" t="str">
        <f>'12. Inputs-Props &amp; Debtors 2016'!C$78</f>
        <v>FS</v>
      </c>
      <c r="F900" s="837">
        <f>'11. Table - Expenditure Review'!L$224</f>
        <v>0</v>
      </c>
      <c r="G900" s="837">
        <f>'11. Table - Expenditure Review'!M$224</f>
        <v>0</v>
      </c>
      <c r="H900" s="837">
        <f>'11. Table - Expenditure Review'!N$224</f>
        <v>-1946.5729861111113</v>
      </c>
      <c r="I900" s="837">
        <f t="shared" ref="I900:AC900" si="523">IF((I116*0+I521)&lt;&gt;0,I755/(I116*0+I521)/12,0)</f>
        <v>-2060.0106357277878</v>
      </c>
      <c r="J900" s="837">
        <f t="shared" si="523"/>
        <v>-2174.7108763442025</v>
      </c>
      <c r="K900" s="837">
        <f t="shared" si="523"/>
        <v>-2295.8735817571605</v>
      </c>
      <c r="L900" s="837">
        <f t="shared" si="523"/>
        <v>-2423.8827452813662</v>
      </c>
      <c r="M900" s="837">
        <f t="shared" si="523"/>
        <v>-2559.1503367340415</v>
      </c>
      <c r="N900" s="837">
        <f t="shared" si="523"/>
        <v>-2702.1199030803086</v>
      </c>
      <c r="O900" s="837">
        <f t="shared" si="523"/>
        <v>-2853.2711328693581</v>
      </c>
      <c r="P900" s="837">
        <f t="shared" si="523"/>
        <v>-3013.1257844293909</v>
      </c>
      <c r="Q900" s="837">
        <f t="shared" si="523"/>
        <v>-3182.2555896131557</v>
      </c>
      <c r="R900" s="837">
        <f t="shared" si="523"/>
        <v>-3361.2930927812617</v>
      </c>
      <c r="S900" s="837">
        <f t="shared" si="523"/>
        <v>-3550.9469733411097</v>
      </c>
      <c r="T900" s="837">
        <f t="shared" si="523"/>
        <v>-3752.024430130019</v>
      </c>
      <c r="U900" s="837">
        <f t="shared" si="523"/>
        <v>-3965.4650784515361</v>
      </c>
      <c r="V900" s="837">
        <f t="shared" si="523"/>
        <v>-4192.3943681828268</v>
      </c>
      <c r="W900" s="837">
        <f t="shared" si="523"/>
        <v>-4434.2116463769535</v>
      </c>
      <c r="X900" s="837">
        <f t="shared" si="523"/>
        <v>-4692.7431069181412</v>
      </c>
      <c r="Y900" s="837">
        <f t="shared" si="523"/>
        <v>-4970.5244275019304</v>
      </c>
      <c r="Z900" s="837">
        <f t="shared" si="523"/>
        <v>-5271.3642881161122</v>
      </c>
      <c r="AA900" s="837">
        <f t="shared" si="523"/>
        <v>-5601.5818676442623</v>
      </c>
      <c r="AB900" s="837">
        <f t="shared" si="523"/>
        <v>0</v>
      </c>
      <c r="AC900" s="837">
        <f t="shared" si="523"/>
        <v>0</v>
      </c>
    </row>
    <row r="901" spans="2:29" x14ac:dyDescent="0.45">
      <c r="B901" s="945" t="str">
        <f t="shared" si="461"/>
        <v>Ratios</v>
      </c>
      <c r="D901" s="583" t="str">
        <f>'12. Inputs-Props &amp; Debtors 2016'!C$79</f>
        <v>Gau</v>
      </c>
      <c r="F901" s="837">
        <f>'11. Table - Expenditure Review'!O$224</f>
        <v>0</v>
      </c>
      <c r="G901" s="837">
        <f>'11. Table - Expenditure Review'!P$224</f>
        <v>0</v>
      </c>
      <c r="H901" s="837">
        <f>'11. Table - Expenditure Review'!Q$224</f>
        <v>-2478.3471535156764</v>
      </c>
      <c r="I901" s="837">
        <f t="shared" ref="I901:AC901" si="524">IF((I117*0+I522)&lt;&gt;0,I756/(I117*0+I522)/12,0)</f>
        <v>-2751.6867043515745</v>
      </c>
      <c r="J901" s="837">
        <f t="shared" si="524"/>
        <v>-2913.1027224288787</v>
      </c>
      <c r="K901" s="837">
        <f t="shared" si="524"/>
        <v>-3085.1024472379709</v>
      </c>
      <c r="L901" s="837">
        <f t="shared" si="524"/>
        <v>-3272.3731475231375</v>
      </c>
      <c r="M901" s="837">
        <f t="shared" si="524"/>
        <v>-3472.5038110544515</v>
      </c>
      <c r="N901" s="837">
        <f t="shared" si="524"/>
        <v>-3687.8482147390991</v>
      </c>
      <c r="O901" s="837">
        <f t="shared" si="524"/>
        <v>-3920.4593401302664</v>
      </c>
      <c r="P901" s="837">
        <f t="shared" si="524"/>
        <v>-4172.9761131069645</v>
      </c>
      <c r="Q901" s="837">
        <f t="shared" si="524"/>
        <v>-4448.8996244883911</v>
      </c>
      <c r="R901" s="837">
        <f t="shared" si="524"/>
        <v>-4753.0492116833584</v>
      </c>
      <c r="S901" s="837">
        <f t="shared" si="524"/>
        <v>-5092.3524661867677</v>
      </c>
      <c r="T901" s="837">
        <f t="shared" si="524"/>
        <v>-5477.2951612906281</v>
      </c>
      <c r="U901" s="837">
        <f t="shared" si="524"/>
        <v>-5924.7798716196658</v>
      </c>
      <c r="V901" s="837">
        <f t="shared" si="524"/>
        <v>-6464.3010167476323</v>
      </c>
      <c r="W901" s="837">
        <f t="shared" si="524"/>
        <v>-7153.0052516053538</v>
      </c>
      <c r="X901" s="837">
        <f t="shared" si="524"/>
        <v>-8119.2666548694151</v>
      </c>
      <c r="Y901" s="837">
        <f t="shared" si="524"/>
        <v>-9726.8215295304908</v>
      </c>
      <c r="Z901" s="837">
        <f t="shared" si="524"/>
        <v>-13581.660545827612</v>
      </c>
      <c r="AA901" s="837">
        <f t="shared" si="524"/>
        <v>-59384.194567956212</v>
      </c>
      <c r="AB901" s="837">
        <f t="shared" si="524"/>
        <v>0</v>
      </c>
      <c r="AC901" s="837">
        <f t="shared" si="524"/>
        <v>0</v>
      </c>
    </row>
    <row r="902" spans="2:29" x14ac:dyDescent="0.45">
      <c r="B902" s="945" t="str">
        <f t="shared" si="461"/>
        <v>Ratios</v>
      </c>
      <c r="D902" s="583" t="str">
        <f>'12. Inputs-Props &amp; Debtors 2016'!C$80</f>
        <v>KZN</v>
      </c>
      <c r="F902" s="837">
        <f>'11. Table - Expenditure Review'!R$224</f>
        <v>0</v>
      </c>
      <c r="G902" s="837">
        <f>'11. Table - Expenditure Review'!S$224</f>
        <v>0</v>
      </c>
      <c r="H902" s="837">
        <f>'11. Table - Expenditure Review'!T$224</f>
        <v>-1950.9572783630299</v>
      </c>
      <c r="I902" s="837">
        <f t="shared" ref="I902:AC902" si="525">IF((I118*0+I523)&lt;&gt;0,I757/(I118*0+I523)/12,0)</f>
        <v>-2468.3510531163784</v>
      </c>
      <c r="J902" s="837">
        <f t="shared" si="525"/>
        <v>-2677.0480444941704</v>
      </c>
      <c r="K902" s="837">
        <f t="shared" si="525"/>
        <v>-2922.3289500391543</v>
      </c>
      <c r="L902" s="837">
        <f t="shared" si="525"/>
        <v>-3084.7149517195189</v>
      </c>
      <c r="M902" s="837">
        <f t="shared" si="525"/>
        <v>-3280.7301226511372</v>
      </c>
      <c r="N902" s="837">
        <f t="shared" si="525"/>
        <v>-3492.7360918357222</v>
      </c>
      <c r="O902" s="837">
        <f t="shared" si="525"/>
        <v>-3723.1343471505456</v>
      </c>
      <c r="P902" s="837">
        <f t="shared" si="525"/>
        <v>-3975.0574857974657</v>
      </c>
      <c r="Q902" s="837">
        <f t="shared" si="525"/>
        <v>-4252.7226113337856</v>
      </c>
      <c r="R902" s="837">
        <f t="shared" si="525"/>
        <v>-4562.0187809196123</v>
      </c>
      <c r="S902" s="837">
        <f t="shared" si="525"/>
        <v>-4911.5325505779065</v>
      </c>
      <c r="T902" s="837">
        <f t="shared" si="525"/>
        <v>-5314.4479702238114</v>
      </c>
      <c r="U902" s="837">
        <f t="shared" si="525"/>
        <v>-5792.3365910924958</v>
      </c>
      <c r="V902" s="837">
        <f t="shared" si="525"/>
        <v>-6383.4692827250974</v>
      </c>
      <c r="W902" s="837">
        <f t="shared" si="525"/>
        <v>-7163.5102285674593</v>
      </c>
      <c r="X902" s="837">
        <f t="shared" si="525"/>
        <v>-8307.2289443743884</v>
      </c>
      <c r="Y902" s="837">
        <f t="shared" si="525"/>
        <v>-10332.89572972621</v>
      </c>
      <c r="Z902" s="837">
        <f t="shared" si="525"/>
        <v>-15774.784245058594</v>
      </c>
      <c r="AA902" s="837">
        <f t="shared" si="525"/>
        <v>-405495.74586430419</v>
      </c>
      <c r="AB902" s="837">
        <f t="shared" si="525"/>
        <v>0</v>
      </c>
      <c r="AC902" s="837">
        <f t="shared" si="525"/>
        <v>0</v>
      </c>
    </row>
    <row r="903" spans="2:29" x14ac:dyDescent="0.45">
      <c r="B903" s="945" t="str">
        <f t="shared" si="461"/>
        <v>Ratios</v>
      </c>
      <c r="D903" s="583" t="str">
        <f>'12. Inputs-Props &amp; Debtors 2016'!C$81</f>
        <v>WC</v>
      </c>
      <c r="F903" s="837">
        <f>'11. Table - Expenditure Review'!U$224</f>
        <v>0</v>
      </c>
      <c r="G903" s="837">
        <f>'11. Table - Expenditure Review'!V$224</f>
        <v>0</v>
      </c>
      <c r="H903" s="837">
        <f>'11. Table - Expenditure Review'!W$224</f>
        <v>442.82668954248373</v>
      </c>
      <c r="I903" s="837">
        <f t="shared" ref="I903:AC903" si="526">IF((I119*0+I524)&lt;&gt;0,I758/(I119*0+I524)/12,0)</f>
        <v>-40.438708204156434</v>
      </c>
      <c r="J903" s="837">
        <f t="shared" si="526"/>
        <v>-215.18272808633799</v>
      </c>
      <c r="K903" s="837">
        <f t="shared" si="526"/>
        <v>-654.55258936848793</v>
      </c>
      <c r="L903" s="837">
        <f t="shared" si="526"/>
        <v>-1269.3488265731228</v>
      </c>
      <c r="M903" s="837">
        <f t="shared" si="526"/>
        <v>-1395.9554979832856</v>
      </c>
      <c r="N903" s="837">
        <f t="shared" si="526"/>
        <v>-1535.5925989083614</v>
      </c>
      <c r="O903" s="837">
        <f t="shared" si="526"/>
        <v>-1690.6960763834313</v>
      </c>
      <c r="P903" s="837">
        <f t="shared" si="526"/>
        <v>-1864.4926554618451</v>
      </c>
      <c r="Q903" s="837">
        <f t="shared" si="526"/>
        <v>-2061.3754378261169</v>
      </c>
      <c r="R903" s="837">
        <f t="shared" si="526"/>
        <v>-2287.5193280889603</v>
      </c>
      <c r="S903" s="837">
        <f t="shared" si="526"/>
        <v>-2551.9365685918865</v>
      </c>
      <c r="T903" s="837">
        <f t="shared" si="526"/>
        <v>-2868.3897398858066</v>
      </c>
      <c r="U903" s="837">
        <f t="shared" si="526"/>
        <v>-3259.1028351865284</v>
      </c>
      <c r="V903" s="837">
        <f t="shared" si="526"/>
        <v>-3762.6094402151953</v>
      </c>
      <c r="W903" s="837">
        <f t="shared" si="526"/>
        <v>-4452.3483201814242</v>
      </c>
      <c r="X903" s="837">
        <f t="shared" si="526"/>
        <v>-5488.2579870048348</v>
      </c>
      <c r="Y903" s="837">
        <f t="shared" si="526"/>
        <v>-7298.3870963265699</v>
      </c>
      <c r="Z903" s="837">
        <f t="shared" si="526"/>
        <v>-11549.566152784842</v>
      </c>
      <c r="AA903" s="837">
        <f t="shared" si="526"/>
        <v>-37406.140985440841</v>
      </c>
      <c r="AB903" s="837">
        <f t="shared" si="526"/>
        <v>0</v>
      </c>
      <c r="AC903" s="837">
        <f t="shared" si="526"/>
        <v>0</v>
      </c>
    </row>
    <row r="904" spans="2:29" x14ac:dyDescent="0.45">
      <c r="B904" s="946" t="str">
        <f t="shared" si="461"/>
        <v>Ratios</v>
      </c>
      <c r="D904" s="596" t="s">
        <v>11</v>
      </c>
      <c r="F904" s="838">
        <f>'11. Table - Expenditure Review'!F224</f>
        <v>0</v>
      </c>
      <c r="G904" s="838">
        <f>'11. Table - Expenditure Review'!G224</f>
        <v>0</v>
      </c>
      <c r="H904" s="838">
        <f>'11. Table - Expenditure Review'!H224</f>
        <v>-1898.2772627583979</v>
      </c>
      <c r="I904" s="838">
        <f t="shared" ref="I904:AC904" si="527">IF((I120*0+I525)&lt;&gt;0,I759/(I120*0+I525)/12,0)</f>
        <v>-2366.6985340455567</v>
      </c>
      <c r="J904" s="838">
        <f t="shared" si="527"/>
        <v>-2597.04887111163</v>
      </c>
      <c r="K904" s="838">
        <f t="shared" si="527"/>
        <v>-2857.2238797254954</v>
      </c>
      <c r="L904" s="838">
        <f t="shared" si="527"/>
        <v>-3084.4735726047511</v>
      </c>
      <c r="M904" s="838">
        <f t="shared" si="527"/>
        <v>-3281.1992669820006</v>
      </c>
      <c r="N904" s="838">
        <f t="shared" si="527"/>
        <v>-3493.6752771190095</v>
      </c>
      <c r="O904" s="838">
        <f t="shared" si="527"/>
        <v>-3724.1917666613904</v>
      </c>
      <c r="P904" s="838">
        <f t="shared" si="527"/>
        <v>-3975.7182440033671</v>
      </c>
      <c r="Q904" s="838">
        <f t="shared" si="527"/>
        <v>-4252.226138975012</v>
      </c>
      <c r="R904" s="838">
        <f t="shared" si="527"/>
        <v>-4559.2214349990554</v>
      </c>
      <c r="S904" s="838">
        <f t="shared" si="527"/>
        <v>-4904.667114353585</v>
      </c>
      <c r="T904" s="838">
        <f t="shared" si="527"/>
        <v>-5300.6755406422735</v>
      </c>
      <c r="U904" s="838">
        <f t="shared" si="527"/>
        <v>-5766.8432066653941</v>
      </c>
      <c r="V904" s="838">
        <f t="shared" si="527"/>
        <v>-6337.4484312838358</v>
      </c>
      <c r="W904" s="838">
        <f t="shared" si="527"/>
        <v>-7078.9855615958231</v>
      </c>
      <c r="X904" s="838">
        <f t="shared" si="527"/>
        <v>-8140.8103236409725</v>
      </c>
      <c r="Y904" s="838">
        <f t="shared" si="527"/>
        <v>-9945.3631292912542</v>
      </c>
      <c r="Z904" s="838">
        <f t="shared" si="527"/>
        <v>-14348.091198105327</v>
      </c>
      <c r="AA904" s="838">
        <f t="shared" si="527"/>
        <v>-65118.652886718795</v>
      </c>
      <c r="AB904" s="838">
        <f t="shared" si="527"/>
        <v>0</v>
      </c>
      <c r="AC904" s="838">
        <f t="shared" si="527"/>
        <v>0</v>
      </c>
    </row>
    <row r="905" spans="2:29" x14ac:dyDescent="0.45">
      <c r="F905" s="639"/>
      <c r="G905" s="639"/>
      <c r="H905" s="639"/>
    </row>
    <row r="906" spans="2:29" x14ac:dyDescent="0.45">
      <c r="F906" s="639"/>
      <c r="G906" s="639"/>
      <c r="H906" s="639"/>
    </row>
    <row r="907" spans="2:29" x14ac:dyDescent="0.45">
      <c r="F907" s="639"/>
      <c r="G907" s="639"/>
      <c r="H907" s="639"/>
    </row>
  </sheetData>
  <sheetProtection formatCells="0" formatColumns="0" formatRows="0"/>
  <mergeCells count="8">
    <mergeCell ref="F646:H646"/>
    <mergeCell ref="I646:AD646"/>
    <mergeCell ref="I28:AD28"/>
    <mergeCell ref="F28:H28"/>
    <mergeCell ref="F516:H516"/>
    <mergeCell ref="I516:AD516"/>
    <mergeCell ref="F449:H449"/>
    <mergeCell ref="I449:AD449"/>
  </mergeCells>
  <printOptions headings="1"/>
  <pageMargins left="0.11811023622047245" right="0.11811023622047245" top="0.47244094488188981" bottom="0.31496062992125984" header="0.31496062992125984" footer="0.15748031496062992"/>
  <pageSetup paperSize="9" scale="43" fitToWidth="2" fitToHeight="10" orientation="landscape" r:id="rId1"/>
  <headerFooter>
    <oddFooter>&amp;R&amp;F &amp;A &amp;D Page &amp;P</oddFooter>
  </headerFooter>
  <rowBreaks count="1" manualBreakCount="1">
    <brk id="159" max="29" man="1"/>
  </rowBreaks>
  <colBreaks count="1" manualBreakCount="1">
    <brk id="14" min="1" max="738" man="1"/>
  </colBreak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62E00-8E31-4F27-A45F-AABF46CD0B68}">
  <sheetPr codeName="Sheet18">
    <tabColor theme="4" tint="0.39997558519241921"/>
  </sheetPr>
  <dimension ref="A1:AZ962"/>
  <sheetViews>
    <sheetView showGridLines="0" view="pageBreakPreview" zoomScale="75" zoomScaleNormal="100" zoomScaleSheetLayoutView="75" workbookViewId="0">
      <selection activeCell="E61" sqref="E61"/>
    </sheetView>
  </sheetViews>
  <sheetFormatPr defaultColWidth="8.73046875" defaultRowHeight="14.25" outlineLevelRow="2" outlineLevelCol="2" x14ac:dyDescent="0.45"/>
  <cols>
    <col min="1" max="1" width="4.73046875" style="61" customWidth="1"/>
    <col min="2" max="2" width="7.19921875" style="61" customWidth="1"/>
    <col min="3" max="3" width="7.46484375" style="62" customWidth="1"/>
    <col min="4" max="4" width="9" style="62" hidden="1" customWidth="1" outlineLevel="1"/>
    <col min="5" max="5" width="76.265625" style="61" customWidth="1" collapsed="1"/>
    <col min="6" max="8" width="16.796875" style="61" customWidth="1"/>
    <col min="9" max="11" width="18.796875" style="61" customWidth="1"/>
    <col min="12" max="12" width="17" style="61" customWidth="1"/>
    <col min="13" max="13" width="18" style="61" customWidth="1"/>
    <col min="14" max="14" width="17.265625" style="61" customWidth="1"/>
    <col min="15" max="16" width="18" style="61" customWidth="1"/>
    <col min="17" max="17" width="17.265625" style="61" customWidth="1"/>
    <col min="18" max="19" width="18" style="61" customWidth="1"/>
    <col min="20" max="20" width="17.19921875" style="61" customWidth="1"/>
    <col min="21" max="21" width="19.46484375" style="61" customWidth="1"/>
    <col min="22" max="22" width="18" style="61" customWidth="1"/>
    <col min="23" max="23" width="19.265625" style="61" customWidth="1"/>
    <col min="24" max="24" width="17.53125" style="63" customWidth="1"/>
    <col min="25" max="25" width="17" style="63" customWidth="1"/>
    <col min="26" max="26" width="18.796875" style="63" customWidth="1"/>
    <col min="27" max="28" width="3.73046875" style="61" customWidth="1" outlineLevel="1"/>
    <col min="29" max="29" width="60.73046875" style="61" customWidth="1" outlineLevel="2"/>
    <col min="30" max="30" width="35" style="61" customWidth="1" outlineLevel="2"/>
    <col min="31" max="32" width="3.19921875" style="61" customWidth="1" outlineLevel="1"/>
    <col min="33" max="34" width="40.73046875" style="61" customWidth="1" outlineLevel="2"/>
    <col min="35" max="36" width="1.73046875" style="61" customWidth="1" outlineLevel="1"/>
    <col min="37" max="38" width="40.73046875" style="61" customWidth="1" outlineLevel="2"/>
    <col min="39" max="40" width="2" style="61" customWidth="1" outlineLevel="1"/>
    <col min="41" max="42" width="40.73046875" style="61" customWidth="1" outlineLevel="2"/>
    <col min="43" max="44" width="3.19921875" style="61" customWidth="1" outlineLevel="1"/>
    <col min="45" max="45" width="46.46484375" style="61" customWidth="1" outlineLevel="2"/>
    <col min="46" max="46" width="40.73046875" style="61" customWidth="1" outlineLevel="2"/>
    <col min="47" max="47" width="2.265625" style="61" customWidth="1" outlineLevel="2"/>
    <col min="48" max="48" width="2.265625" style="61" customWidth="1" outlineLevel="1"/>
    <col min="49" max="50" width="40.73046875" style="61" customWidth="1" outlineLevel="2"/>
    <col min="51" max="52" width="8.73046875" style="61" customWidth="1" outlineLevel="1"/>
    <col min="53" max="16384" width="8.73046875" style="61"/>
  </cols>
  <sheetData>
    <row r="1" spans="1:52" x14ac:dyDescent="0.45">
      <c r="A1" s="574">
        <v>1</v>
      </c>
      <c r="B1" s="574">
        <v>2</v>
      </c>
      <c r="C1" s="574">
        <v>3</v>
      </c>
      <c r="D1" s="574">
        <v>4</v>
      </c>
      <c r="E1" s="574">
        <v>5</v>
      </c>
      <c r="F1" s="574">
        <v>6</v>
      </c>
      <c r="G1" s="574">
        <v>7</v>
      </c>
      <c r="H1" s="574">
        <v>8</v>
      </c>
      <c r="I1" s="574">
        <v>9</v>
      </c>
      <c r="J1" s="574">
        <v>10</v>
      </c>
      <c r="K1" s="574">
        <v>11</v>
      </c>
      <c r="L1" s="574">
        <v>12</v>
      </c>
      <c r="M1" s="574">
        <v>13</v>
      </c>
      <c r="N1" s="574">
        <v>14</v>
      </c>
      <c r="O1" s="574">
        <v>15</v>
      </c>
      <c r="P1" s="574">
        <v>16</v>
      </c>
      <c r="Q1" s="574">
        <v>17</v>
      </c>
      <c r="R1" s="574">
        <v>18</v>
      </c>
      <c r="S1" s="574">
        <v>19</v>
      </c>
      <c r="T1" s="574">
        <v>20</v>
      </c>
      <c r="U1" s="574">
        <v>21</v>
      </c>
      <c r="V1" s="574">
        <v>22</v>
      </c>
      <c r="W1" s="574">
        <v>23</v>
      </c>
    </row>
    <row r="2" spans="1:52" x14ac:dyDescent="0.45">
      <c r="F2" s="63" t="str">
        <f>F5</f>
        <v>Total</v>
      </c>
      <c r="G2" s="63" t="str">
        <f>F5</f>
        <v>Total</v>
      </c>
      <c r="H2" s="63" t="str">
        <f>F5</f>
        <v>Total</v>
      </c>
      <c r="I2" s="63" t="str">
        <f>I5</f>
        <v>EC</v>
      </c>
      <c r="J2" s="63" t="str">
        <f>I5</f>
        <v>EC</v>
      </c>
      <c r="K2" s="63" t="str">
        <f>I5</f>
        <v>EC</v>
      </c>
      <c r="L2" s="63" t="str">
        <f>L5</f>
        <v>FS</v>
      </c>
      <c r="M2" s="63" t="str">
        <f>L5</f>
        <v>FS</v>
      </c>
      <c r="N2" s="63" t="str">
        <f>L5</f>
        <v>FS</v>
      </c>
      <c r="O2" s="63" t="str">
        <f>O5</f>
        <v>Gau</v>
      </c>
      <c r="P2" s="63" t="str">
        <f>O5</f>
        <v>Gau</v>
      </c>
      <c r="Q2" s="63" t="str">
        <f>O5</f>
        <v>Gau</v>
      </c>
      <c r="R2" s="63" t="str">
        <f>R5</f>
        <v>KZN</v>
      </c>
      <c r="S2" s="63" t="str">
        <f>R5</f>
        <v>KZN</v>
      </c>
      <c r="T2" s="63" t="str">
        <f>R5</f>
        <v>KZN</v>
      </c>
      <c r="U2" s="63" t="str">
        <f>U5</f>
        <v>WC</v>
      </c>
      <c r="V2" s="63" t="str">
        <f>U5</f>
        <v>WC</v>
      </c>
      <c r="W2" s="63" t="str">
        <f>U5</f>
        <v>WC</v>
      </c>
    </row>
    <row r="3" spans="1:52" ht="21" x14ac:dyDescent="0.65">
      <c r="E3" s="60"/>
      <c r="F3" s="804" t="str">
        <f>F2&amp;" "&amp;F6</f>
        <v>Total 2013/14</v>
      </c>
      <c r="G3" s="804" t="str">
        <f>G2&amp;" "&amp;G6</f>
        <v>Total 2014/15</v>
      </c>
      <c r="H3" s="804" t="str">
        <f>H2&amp;" "&amp;H6</f>
        <v>Total 2015/16</v>
      </c>
      <c r="I3" s="804" t="str">
        <f>I2&amp;" "&amp;I6</f>
        <v>EC 2013/14</v>
      </c>
      <c r="J3" s="804" t="str">
        <f t="shared" ref="J3:W3" si="0">J2&amp;" "&amp;J6</f>
        <v>EC 2014/15</v>
      </c>
      <c r="K3" s="804" t="str">
        <f t="shared" si="0"/>
        <v>EC 2015/16</v>
      </c>
      <c r="L3" s="804" t="str">
        <f t="shared" si="0"/>
        <v>FS 2013/14</v>
      </c>
      <c r="M3" s="804" t="str">
        <f t="shared" si="0"/>
        <v>FS 2014/15</v>
      </c>
      <c r="N3" s="804" t="str">
        <f t="shared" si="0"/>
        <v>FS 2015/16</v>
      </c>
      <c r="O3" s="804" t="str">
        <f t="shared" si="0"/>
        <v>Gau 2013/14</v>
      </c>
      <c r="P3" s="804" t="str">
        <f t="shared" si="0"/>
        <v>Gau 2014/15</v>
      </c>
      <c r="Q3" s="804" t="str">
        <f t="shared" si="0"/>
        <v>Gau 2015/16</v>
      </c>
      <c r="R3" s="804" t="str">
        <f t="shared" si="0"/>
        <v>KZN 2013/14</v>
      </c>
      <c r="S3" s="804" t="str">
        <f t="shared" si="0"/>
        <v>KZN 2014/15</v>
      </c>
      <c r="T3" s="804" t="str">
        <f t="shared" si="0"/>
        <v>KZN 2015/16</v>
      </c>
      <c r="U3" s="804" t="str">
        <f t="shared" si="0"/>
        <v>WC 2013/14</v>
      </c>
      <c r="V3" s="804" t="str">
        <f t="shared" si="0"/>
        <v>WC 2014/15</v>
      </c>
      <c r="W3" s="804" t="str">
        <f t="shared" si="0"/>
        <v>WC 2015/16</v>
      </c>
    </row>
    <row r="4" spans="1:52" ht="21" customHeight="1" x14ac:dyDescent="0.65">
      <c r="E4" s="60" t="str">
        <f>'1.Cover'!$C$2</f>
        <v xml:space="preserve">Performance and Expenditure Review of Provincial Government Housing Rental Stock </v>
      </c>
      <c r="F4" s="60"/>
      <c r="G4" s="60"/>
      <c r="H4" s="60"/>
      <c r="I4" s="1363" t="s">
        <v>95</v>
      </c>
      <c r="J4" s="1364"/>
      <c r="K4" s="1364"/>
      <c r="L4" s="1364"/>
      <c r="M4" s="1364"/>
      <c r="N4" s="1364"/>
      <c r="O4" s="1364"/>
      <c r="P4" s="1364"/>
      <c r="Q4" s="1364"/>
      <c r="R4" s="1364"/>
      <c r="S4" s="1364"/>
      <c r="T4" s="1364"/>
      <c r="U4" s="1364"/>
      <c r="V4" s="1364"/>
      <c r="W4" s="1364"/>
      <c r="X4" s="1364"/>
      <c r="Y4" s="1364"/>
      <c r="Z4" s="1365"/>
      <c r="AC4" s="1372" t="s">
        <v>96</v>
      </c>
      <c r="AD4" s="1373"/>
      <c r="AE4" s="1373"/>
      <c r="AF4" s="1373"/>
      <c r="AG4" s="1373"/>
      <c r="AH4" s="1373"/>
      <c r="AI4" s="1373"/>
      <c r="AJ4" s="1373"/>
      <c r="AK4" s="1373"/>
      <c r="AL4" s="1373"/>
      <c r="AM4" s="1373"/>
      <c r="AN4" s="1373"/>
      <c r="AO4" s="1373"/>
      <c r="AP4" s="1373"/>
      <c r="AQ4" s="1373"/>
      <c r="AR4" s="1373"/>
      <c r="AS4" s="1373"/>
      <c r="AT4" s="1373"/>
      <c r="AU4" s="1373"/>
      <c r="AV4" s="1373"/>
      <c r="AW4" s="1373"/>
      <c r="AX4" s="1374"/>
    </row>
    <row r="5" spans="1:52" ht="21" customHeight="1" x14ac:dyDescent="0.65">
      <c r="D5" s="64" t="s">
        <v>97</v>
      </c>
      <c r="E5" s="60" t="s">
        <v>98</v>
      </c>
      <c r="F5" s="1375" t="s">
        <v>11</v>
      </c>
      <c r="G5" s="1375"/>
      <c r="H5" s="1375"/>
      <c r="I5" s="1375" t="s">
        <v>1</v>
      </c>
      <c r="J5" s="1375"/>
      <c r="K5" s="1375"/>
      <c r="L5" s="1375" t="s">
        <v>2</v>
      </c>
      <c r="M5" s="1375"/>
      <c r="N5" s="1375"/>
      <c r="O5" s="1375" t="s">
        <v>3</v>
      </c>
      <c r="P5" s="1375"/>
      <c r="Q5" s="1375"/>
      <c r="R5" s="1375" t="s">
        <v>4</v>
      </c>
      <c r="S5" s="1375"/>
      <c r="T5" s="1375"/>
      <c r="U5" s="1375" t="s">
        <v>5</v>
      </c>
      <c r="V5" s="1375"/>
      <c r="W5" s="1375"/>
      <c r="AC5" s="1376" t="s">
        <v>1</v>
      </c>
      <c r="AD5" s="1376"/>
      <c r="AE5" s="65"/>
      <c r="AF5" s="66"/>
      <c r="AG5" s="1376" t="s">
        <v>2</v>
      </c>
      <c r="AH5" s="1376"/>
      <c r="AI5" s="67"/>
      <c r="AJ5" s="66"/>
      <c r="AK5" s="1376" t="s">
        <v>99</v>
      </c>
      <c r="AL5" s="1376"/>
      <c r="AM5" s="67"/>
      <c r="AN5" s="66"/>
      <c r="AO5" s="1376" t="s">
        <v>4</v>
      </c>
      <c r="AP5" s="1376"/>
      <c r="AQ5" s="67"/>
      <c r="AR5" s="66"/>
      <c r="AS5" s="1376" t="s">
        <v>5</v>
      </c>
      <c r="AT5" s="1376"/>
      <c r="AU5" s="67"/>
      <c r="AV5" s="66"/>
      <c r="AW5" s="1376" t="s">
        <v>11</v>
      </c>
      <c r="AX5" s="1376"/>
      <c r="AY5" s="67"/>
    </row>
    <row r="6" spans="1:52" ht="21" x14ac:dyDescent="0.65">
      <c r="D6" s="68" t="s">
        <v>100</v>
      </c>
      <c r="E6" s="60" t="s">
        <v>101</v>
      </c>
      <c r="F6" s="69" t="s">
        <v>102</v>
      </c>
      <c r="G6" s="70" t="s">
        <v>103</v>
      </c>
      <c r="H6" s="70" t="s">
        <v>104</v>
      </c>
      <c r="I6" s="71" t="s">
        <v>102</v>
      </c>
      <c r="J6" s="71" t="s">
        <v>103</v>
      </c>
      <c r="K6" s="71" t="s">
        <v>104</v>
      </c>
      <c r="L6" s="72" t="s">
        <v>102</v>
      </c>
      <c r="M6" s="71" t="s">
        <v>103</v>
      </c>
      <c r="N6" s="71" t="s">
        <v>104</v>
      </c>
      <c r="O6" s="72" t="s">
        <v>102</v>
      </c>
      <c r="P6" s="71" t="s">
        <v>103</v>
      </c>
      <c r="Q6" s="71" t="s">
        <v>104</v>
      </c>
      <c r="R6" s="72" t="s">
        <v>102</v>
      </c>
      <c r="S6" s="71" t="s">
        <v>103</v>
      </c>
      <c r="T6" s="71" t="s">
        <v>104</v>
      </c>
      <c r="U6" s="72" t="s">
        <v>102</v>
      </c>
      <c r="V6" s="71" t="s">
        <v>103</v>
      </c>
      <c r="W6" s="71" t="s">
        <v>104</v>
      </c>
      <c r="AC6" s="73" t="s">
        <v>105</v>
      </c>
      <c r="AD6" s="74" t="s">
        <v>106</v>
      </c>
      <c r="AG6" s="73" t="s">
        <v>105</v>
      </c>
      <c r="AH6" s="74" t="s">
        <v>106</v>
      </c>
      <c r="AK6" s="73" t="s">
        <v>105</v>
      </c>
      <c r="AL6" s="74" t="s">
        <v>106</v>
      </c>
      <c r="AO6" s="73" t="s">
        <v>105</v>
      </c>
      <c r="AP6" s="74" t="s">
        <v>106</v>
      </c>
      <c r="AS6" s="73" t="s">
        <v>105</v>
      </c>
      <c r="AT6" s="74" t="s">
        <v>106</v>
      </c>
      <c r="AW6" s="73" t="s">
        <v>105</v>
      </c>
      <c r="AX6" s="74" t="s">
        <v>106</v>
      </c>
    </row>
    <row r="7" spans="1:52" hidden="1" outlineLevel="2" x14ac:dyDescent="0.45">
      <c r="F7" s="75" t="e">
        <f>I7+L7+O7+R7+U7</f>
        <v>#VALUE!</v>
      </c>
      <c r="G7" s="75">
        <f>J7+M7+P7+S7+V7</f>
        <v>0</v>
      </c>
      <c r="H7" s="76">
        <f>K7+N7+Q7+T7+W7</f>
        <v>0</v>
      </c>
      <c r="I7" s="77" t="s">
        <v>107</v>
      </c>
      <c r="J7" s="78"/>
      <c r="K7" s="79"/>
      <c r="L7" s="80" t="s">
        <v>107</v>
      </c>
      <c r="M7" s="78"/>
      <c r="N7" s="79"/>
      <c r="O7" s="80" t="s">
        <v>107</v>
      </c>
      <c r="P7" s="78"/>
      <c r="Q7" s="79"/>
      <c r="R7" s="80" t="s">
        <v>107</v>
      </c>
      <c r="S7" s="78"/>
      <c r="T7" s="79"/>
      <c r="U7" s="80" t="s">
        <v>107</v>
      </c>
      <c r="V7" s="78"/>
      <c r="W7" s="79"/>
      <c r="AA7" s="81"/>
      <c r="AB7" s="81"/>
      <c r="AC7" s="82"/>
      <c r="AD7" s="82"/>
      <c r="AE7" s="81"/>
      <c r="AF7" s="81"/>
      <c r="AG7" s="82"/>
      <c r="AH7" s="82"/>
      <c r="AI7" s="81"/>
      <c r="AJ7" s="81"/>
      <c r="AK7" s="82"/>
      <c r="AL7" s="82"/>
      <c r="AM7" s="81"/>
      <c r="AN7" s="81"/>
      <c r="AO7" s="82"/>
      <c r="AP7" s="82"/>
      <c r="AQ7" s="81"/>
      <c r="AR7" s="81"/>
      <c r="AS7" s="82"/>
      <c r="AT7" s="82"/>
      <c r="AU7" s="81"/>
      <c r="AV7" s="81"/>
      <c r="AW7" s="83"/>
      <c r="AX7" s="83"/>
      <c r="AY7" s="81"/>
      <c r="AZ7" s="81"/>
    </row>
    <row r="8" spans="1:52" hidden="1" outlineLevel="2" x14ac:dyDescent="0.45">
      <c r="F8" s="75"/>
      <c r="G8" s="75"/>
      <c r="H8" s="76"/>
      <c r="I8" s="84" t="s">
        <v>108</v>
      </c>
      <c r="J8" s="85" t="s">
        <v>109</v>
      </c>
      <c r="K8" s="31"/>
      <c r="L8" s="86" t="s">
        <v>108</v>
      </c>
      <c r="M8" s="85" t="s">
        <v>109</v>
      </c>
      <c r="N8" s="79"/>
      <c r="O8" s="86" t="s">
        <v>108</v>
      </c>
      <c r="P8" s="85" t="s">
        <v>109</v>
      </c>
      <c r="Q8" s="79"/>
      <c r="R8" s="86" t="s">
        <v>108</v>
      </c>
      <c r="S8" s="85" t="s">
        <v>109</v>
      </c>
      <c r="T8" s="79"/>
      <c r="U8" s="86" t="s">
        <v>108</v>
      </c>
      <c r="V8" s="85" t="s">
        <v>109</v>
      </c>
      <c r="W8" s="79"/>
      <c r="AA8" s="81"/>
      <c r="AB8" s="81"/>
      <c r="AC8" s="83"/>
      <c r="AD8" s="83"/>
      <c r="AE8" s="81"/>
      <c r="AF8" s="81"/>
      <c r="AG8" s="83"/>
      <c r="AH8" s="83"/>
      <c r="AI8" s="81"/>
      <c r="AJ8" s="81"/>
      <c r="AK8" s="83"/>
      <c r="AL8" s="83"/>
      <c r="AM8" s="81"/>
      <c r="AN8" s="81"/>
      <c r="AO8" s="83"/>
      <c r="AP8" s="83"/>
      <c r="AQ8" s="81"/>
      <c r="AR8" s="81"/>
      <c r="AS8" s="83"/>
      <c r="AT8" s="83"/>
      <c r="AU8" s="81"/>
      <c r="AV8" s="81"/>
      <c r="AW8" s="83"/>
      <c r="AX8" s="83"/>
      <c r="AY8" s="81"/>
      <c r="AZ8" s="81"/>
    </row>
    <row r="9" spans="1:52" hidden="1" outlineLevel="2" x14ac:dyDescent="0.45">
      <c r="F9" s="75"/>
      <c r="G9" s="75"/>
      <c r="H9" s="76"/>
      <c r="I9" s="84" t="s">
        <v>110</v>
      </c>
      <c r="J9" s="85" t="s">
        <v>111</v>
      </c>
      <c r="K9" s="31"/>
      <c r="L9" s="86" t="s">
        <v>110</v>
      </c>
      <c r="M9" s="85" t="s">
        <v>111</v>
      </c>
      <c r="N9" s="79"/>
      <c r="O9" s="86" t="s">
        <v>110</v>
      </c>
      <c r="P9" s="85" t="s">
        <v>111</v>
      </c>
      <c r="Q9" s="79"/>
      <c r="R9" s="86" t="s">
        <v>110</v>
      </c>
      <c r="S9" s="85" t="s">
        <v>111</v>
      </c>
      <c r="T9" s="79"/>
      <c r="U9" s="86" t="s">
        <v>110</v>
      </c>
      <c r="V9" s="85" t="s">
        <v>111</v>
      </c>
      <c r="W9" s="79"/>
      <c r="AA9" s="81"/>
      <c r="AB9" s="81"/>
      <c r="AC9" s="83"/>
      <c r="AD9" s="83"/>
      <c r="AE9" s="81"/>
      <c r="AF9" s="81"/>
      <c r="AG9" s="83"/>
      <c r="AH9" s="83"/>
      <c r="AI9" s="81"/>
      <c r="AJ9" s="81"/>
      <c r="AK9" s="83"/>
      <c r="AL9" s="83"/>
      <c r="AM9" s="81"/>
      <c r="AN9" s="81"/>
      <c r="AO9" s="83"/>
      <c r="AP9" s="83"/>
      <c r="AQ9" s="81"/>
      <c r="AR9" s="81"/>
      <c r="AS9" s="83"/>
      <c r="AT9" s="83"/>
      <c r="AU9" s="81"/>
      <c r="AV9" s="81"/>
      <c r="AW9" s="83"/>
      <c r="AX9" s="83"/>
      <c r="AY9" s="81"/>
      <c r="AZ9" s="81"/>
    </row>
    <row r="10" spans="1:52" hidden="1" outlineLevel="2" x14ac:dyDescent="0.45">
      <c r="F10" s="75"/>
      <c r="G10" s="75"/>
      <c r="H10" s="76"/>
      <c r="I10" s="84" t="s">
        <v>112</v>
      </c>
      <c r="J10" s="85" t="s">
        <v>113</v>
      </c>
      <c r="K10" s="31"/>
      <c r="L10" s="86" t="s">
        <v>112</v>
      </c>
      <c r="M10" s="85" t="s">
        <v>113</v>
      </c>
      <c r="N10" s="79"/>
      <c r="O10" s="86" t="s">
        <v>112</v>
      </c>
      <c r="P10" s="85" t="s">
        <v>113</v>
      </c>
      <c r="Q10" s="79"/>
      <c r="R10" s="86" t="s">
        <v>112</v>
      </c>
      <c r="S10" s="85" t="s">
        <v>113</v>
      </c>
      <c r="T10" s="79"/>
      <c r="U10" s="86" t="s">
        <v>112</v>
      </c>
      <c r="V10" s="85" t="s">
        <v>113</v>
      </c>
      <c r="W10" s="79"/>
      <c r="AA10" s="81"/>
      <c r="AB10" s="81"/>
      <c r="AC10" s="83"/>
      <c r="AD10" s="83"/>
      <c r="AE10" s="81"/>
      <c r="AF10" s="81"/>
      <c r="AG10" s="83"/>
      <c r="AH10" s="83"/>
      <c r="AI10" s="81"/>
      <c r="AJ10" s="81"/>
      <c r="AK10" s="83"/>
      <c r="AL10" s="83"/>
      <c r="AM10" s="81"/>
      <c r="AN10" s="81"/>
      <c r="AO10" s="83"/>
      <c r="AP10" s="83"/>
      <c r="AQ10" s="81"/>
      <c r="AR10" s="81"/>
      <c r="AS10" s="83"/>
      <c r="AT10" s="83"/>
      <c r="AU10" s="81"/>
      <c r="AV10" s="81"/>
      <c r="AW10" s="83"/>
      <c r="AX10" s="83"/>
      <c r="AY10" s="81"/>
      <c r="AZ10" s="81"/>
    </row>
    <row r="11" spans="1:52" hidden="1" outlineLevel="2" x14ac:dyDescent="0.45">
      <c r="F11" s="75"/>
      <c r="G11" s="75"/>
      <c r="H11" s="76"/>
      <c r="I11" s="84" t="s">
        <v>114</v>
      </c>
      <c r="J11" s="85" t="s">
        <v>115</v>
      </c>
      <c r="K11" s="31"/>
      <c r="L11" s="86" t="s">
        <v>114</v>
      </c>
      <c r="M11" s="85" t="s">
        <v>115</v>
      </c>
      <c r="N11" s="79"/>
      <c r="O11" s="86" t="s">
        <v>114</v>
      </c>
      <c r="P11" s="85" t="s">
        <v>115</v>
      </c>
      <c r="Q11" s="79"/>
      <c r="R11" s="86" t="s">
        <v>114</v>
      </c>
      <c r="S11" s="85" t="s">
        <v>115</v>
      </c>
      <c r="T11" s="79"/>
      <c r="U11" s="86" t="s">
        <v>114</v>
      </c>
      <c r="V11" s="85" t="s">
        <v>115</v>
      </c>
      <c r="W11" s="79"/>
      <c r="AA11" s="81"/>
      <c r="AB11" s="81"/>
      <c r="AC11" s="83"/>
      <c r="AD11" s="83"/>
      <c r="AE11" s="81"/>
      <c r="AF11" s="81"/>
      <c r="AG11" s="83"/>
      <c r="AH11" s="83"/>
      <c r="AI11" s="81"/>
      <c r="AJ11" s="81"/>
      <c r="AK11" s="83"/>
      <c r="AL11" s="83"/>
      <c r="AM11" s="81"/>
      <c r="AN11" s="81"/>
      <c r="AO11" s="83"/>
      <c r="AP11" s="83"/>
      <c r="AQ11" s="81"/>
      <c r="AR11" s="81"/>
      <c r="AS11" s="83"/>
      <c r="AT11" s="83"/>
      <c r="AU11" s="81"/>
      <c r="AV11" s="81"/>
      <c r="AW11" s="83"/>
      <c r="AX11" s="83"/>
      <c r="AY11" s="81"/>
      <c r="AZ11" s="81"/>
    </row>
    <row r="12" spans="1:52" hidden="1" outlineLevel="2" x14ac:dyDescent="0.45">
      <c r="B12" s="1369" t="s">
        <v>116</v>
      </c>
      <c r="C12" s="13"/>
      <c r="D12" s="87"/>
      <c r="E12" s="88" t="s">
        <v>116</v>
      </c>
      <c r="F12" s="89"/>
      <c r="G12" s="89"/>
      <c r="H12" s="23"/>
      <c r="I12" s="90"/>
      <c r="J12" s="91"/>
      <c r="K12" s="31"/>
      <c r="L12" s="92"/>
      <c r="M12" s="92"/>
      <c r="N12" s="31"/>
      <c r="O12" s="92"/>
      <c r="P12" s="92"/>
      <c r="Q12" s="31"/>
      <c r="R12" s="92"/>
      <c r="S12" s="92"/>
      <c r="T12" s="31"/>
      <c r="U12" s="92"/>
      <c r="V12" s="92"/>
      <c r="W12" s="31"/>
      <c r="AA12" s="93"/>
      <c r="AB12" s="93"/>
      <c r="AC12" s="83"/>
      <c r="AD12" s="83"/>
      <c r="AE12" s="93"/>
      <c r="AF12" s="93"/>
      <c r="AG12" s="83"/>
      <c r="AH12" s="83"/>
      <c r="AI12" s="93"/>
      <c r="AJ12" s="93"/>
      <c r="AK12" s="83"/>
      <c r="AL12" s="83"/>
      <c r="AM12" s="93"/>
      <c r="AN12" s="93"/>
      <c r="AO12" s="83"/>
      <c r="AP12" s="83"/>
      <c r="AQ12" s="93"/>
      <c r="AR12" s="93"/>
      <c r="AS12" s="83"/>
      <c r="AT12" s="83"/>
      <c r="AU12" s="93"/>
      <c r="AV12" s="93"/>
      <c r="AW12" s="83"/>
      <c r="AX12" s="83"/>
      <c r="AY12" s="93"/>
      <c r="AZ12" s="93"/>
    </row>
    <row r="13" spans="1:52" hidden="1" outlineLevel="2" x14ac:dyDescent="0.45">
      <c r="B13" s="1370"/>
      <c r="C13" s="13" t="s">
        <v>117</v>
      </c>
      <c r="D13" s="87"/>
      <c r="E13" s="88" t="s">
        <v>118</v>
      </c>
      <c r="F13" s="89"/>
      <c r="G13" s="89"/>
      <c r="H13" s="23"/>
      <c r="I13" s="90"/>
      <c r="J13" s="91"/>
      <c r="K13" s="31"/>
      <c r="L13" s="92"/>
      <c r="M13" s="92"/>
      <c r="N13" s="31"/>
      <c r="O13" s="92"/>
      <c r="P13" s="92"/>
      <c r="Q13" s="31"/>
      <c r="R13" s="92"/>
      <c r="S13" s="92"/>
      <c r="T13" s="31"/>
      <c r="U13" s="92"/>
      <c r="V13" s="92"/>
      <c r="W13" s="31"/>
      <c r="AA13" s="93"/>
      <c r="AB13" s="93"/>
      <c r="AC13" s="83"/>
      <c r="AD13" s="83"/>
      <c r="AE13" s="93"/>
      <c r="AF13" s="93"/>
      <c r="AG13" s="83"/>
      <c r="AH13" s="83"/>
      <c r="AI13" s="93"/>
      <c r="AJ13" s="93"/>
      <c r="AK13" s="83"/>
      <c r="AL13" s="83"/>
      <c r="AM13" s="93"/>
      <c r="AN13" s="93"/>
      <c r="AO13" s="83"/>
      <c r="AP13" s="83"/>
      <c r="AQ13" s="93"/>
      <c r="AR13" s="93"/>
      <c r="AS13" s="83"/>
      <c r="AT13" s="83"/>
      <c r="AU13" s="93"/>
      <c r="AV13" s="93"/>
      <c r="AW13" s="83"/>
      <c r="AX13" s="83"/>
      <c r="AY13" s="93"/>
      <c r="AZ13" s="93"/>
    </row>
    <row r="14" spans="1:52" hidden="1" outlineLevel="2" x14ac:dyDescent="0.45">
      <c r="B14" s="1370"/>
      <c r="C14" s="13" t="s">
        <v>119</v>
      </c>
      <c r="D14" s="87"/>
      <c r="E14" s="14" t="s">
        <v>120</v>
      </c>
      <c r="F14" s="94"/>
      <c r="G14" s="94"/>
      <c r="H14" s="95"/>
      <c r="I14" s="96"/>
      <c r="J14" s="96"/>
      <c r="K14" s="96"/>
      <c r="L14" s="97"/>
      <c r="M14" s="96"/>
      <c r="N14" s="96"/>
      <c r="O14" s="97"/>
      <c r="P14" s="96"/>
      <c r="Q14" s="96"/>
      <c r="R14" s="97"/>
      <c r="S14" s="96"/>
      <c r="T14" s="96"/>
      <c r="U14" s="97"/>
      <c r="V14" s="96"/>
      <c r="W14" s="96"/>
      <c r="AA14" s="93"/>
      <c r="AB14" s="93"/>
      <c r="AC14" s="83"/>
      <c r="AD14" s="83"/>
      <c r="AE14" s="93"/>
      <c r="AF14" s="93"/>
      <c r="AG14" s="83"/>
      <c r="AH14" s="83"/>
      <c r="AI14" s="93"/>
      <c r="AJ14" s="93"/>
      <c r="AK14" s="83"/>
      <c r="AL14" s="83"/>
      <c r="AM14" s="93"/>
      <c r="AN14" s="93"/>
      <c r="AO14" s="83"/>
      <c r="AP14" s="83"/>
      <c r="AQ14" s="93"/>
      <c r="AR14" s="93"/>
      <c r="AS14" s="83"/>
      <c r="AT14" s="83"/>
      <c r="AU14" s="93"/>
      <c r="AV14" s="93"/>
      <c r="AW14" s="83"/>
      <c r="AX14" s="83"/>
      <c r="AY14" s="93"/>
      <c r="AZ14" s="93"/>
    </row>
    <row r="15" spans="1:52" hidden="1" outlineLevel="2" x14ac:dyDescent="0.45">
      <c r="B15" s="1370"/>
      <c r="C15" s="13" t="s">
        <v>121</v>
      </c>
      <c r="D15" s="87"/>
      <c r="E15" s="14" t="s">
        <v>122</v>
      </c>
      <c r="F15" s="94"/>
      <c r="G15" s="94"/>
      <c r="H15" s="95"/>
      <c r="I15" s="96"/>
      <c r="J15" s="96"/>
      <c r="K15" s="96"/>
      <c r="L15" s="97"/>
      <c r="M15" s="96"/>
      <c r="N15" s="96"/>
      <c r="O15" s="97"/>
      <c r="P15" s="96"/>
      <c r="Q15" s="96"/>
      <c r="R15" s="97"/>
      <c r="S15" s="96"/>
      <c r="T15" s="96"/>
      <c r="U15" s="97"/>
      <c r="V15" s="96"/>
      <c r="W15" s="96"/>
      <c r="AA15" s="93"/>
      <c r="AB15" s="93"/>
      <c r="AC15" s="83"/>
      <c r="AD15" s="83"/>
      <c r="AE15" s="93"/>
      <c r="AF15" s="93"/>
      <c r="AG15" s="83"/>
      <c r="AH15" s="83"/>
      <c r="AI15" s="93"/>
      <c r="AJ15" s="93"/>
      <c r="AK15" s="83"/>
      <c r="AL15" s="83"/>
      <c r="AM15" s="93"/>
      <c r="AN15" s="93"/>
      <c r="AO15" s="83"/>
      <c r="AP15" s="83"/>
      <c r="AQ15" s="93"/>
      <c r="AR15" s="93"/>
      <c r="AS15" s="83"/>
      <c r="AT15" s="83"/>
      <c r="AU15" s="93"/>
      <c r="AV15" s="93"/>
      <c r="AW15" s="83"/>
      <c r="AX15" s="83"/>
      <c r="AY15" s="93"/>
      <c r="AZ15" s="93"/>
    </row>
    <row r="16" spans="1:52" hidden="1" outlineLevel="2" x14ac:dyDescent="0.45">
      <c r="B16" s="1370"/>
      <c r="C16" s="13" t="s">
        <v>123</v>
      </c>
      <c r="D16" s="87"/>
      <c r="E16" s="14" t="s">
        <v>124</v>
      </c>
      <c r="F16" s="94"/>
      <c r="G16" s="94"/>
      <c r="H16" s="95"/>
      <c r="I16" s="96"/>
      <c r="J16" s="96"/>
      <c r="K16" s="96"/>
      <c r="L16" s="97"/>
      <c r="M16" s="96"/>
      <c r="N16" s="96"/>
      <c r="O16" s="97"/>
      <c r="P16" s="96"/>
      <c r="Q16" s="96"/>
      <c r="R16" s="97"/>
      <c r="S16" s="96"/>
      <c r="T16" s="96"/>
      <c r="U16" s="97"/>
      <c r="V16" s="96"/>
      <c r="W16" s="96"/>
      <c r="AA16" s="93"/>
      <c r="AB16" s="93"/>
      <c r="AC16" s="83"/>
      <c r="AD16" s="83"/>
      <c r="AE16" s="93"/>
      <c r="AF16" s="93"/>
      <c r="AG16" s="83"/>
      <c r="AH16" s="83"/>
      <c r="AI16" s="93"/>
      <c r="AJ16" s="93"/>
      <c r="AK16" s="83"/>
      <c r="AL16" s="83"/>
      <c r="AM16" s="93"/>
      <c r="AN16" s="93"/>
      <c r="AO16" s="83"/>
      <c r="AP16" s="83"/>
      <c r="AQ16" s="93"/>
      <c r="AR16" s="93"/>
      <c r="AS16" s="83"/>
      <c r="AT16" s="83"/>
      <c r="AU16" s="93"/>
      <c r="AV16" s="93"/>
      <c r="AW16" s="83"/>
      <c r="AX16" s="83"/>
      <c r="AY16" s="93"/>
      <c r="AZ16" s="93"/>
    </row>
    <row r="17" spans="1:52" hidden="1" outlineLevel="2" x14ac:dyDescent="0.45">
      <c r="B17" s="1370"/>
      <c r="C17" s="13" t="s">
        <v>125</v>
      </c>
      <c r="D17" s="87"/>
      <c r="E17" s="14" t="s">
        <v>126</v>
      </c>
      <c r="F17" s="94"/>
      <c r="G17" s="94"/>
      <c r="H17" s="95"/>
      <c r="I17" s="96"/>
      <c r="J17" s="98"/>
      <c r="K17" s="96"/>
      <c r="L17" s="97"/>
      <c r="M17" s="98"/>
      <c r="N17" s="96"/>
      <c r="O17" s="97"/>
      <c r="P17" s="98"/>
      <c r="Q17" s="96"/>
      <c r="R17" s="97"/>
      <c r="S17" s="98"/>
      <c r="T17" s="96"/>
      <c r="U17" s="97"/>
      <c r="V17" s="98"/>
      <c r="W17" s="96"/>
      <c r="AA17" s="93"/>
      <c r="AB17" s="93"/>
      <c r="AC17" s="83"/>
      <c r="AD17" s="83"/>
      <c r="AE17" s="93"/>
      <c r="AF17" s="93"/>
      <c r="AG17" s="83"/>
      <c r="AH17" s="83"/>
      <c r="AI17" s="93"/>
      <c r="AJ17" s="93"/>
      <c r="AK17" s="83"/>
      <c r="AL17" s="83"/>
      <c r="AM17" s="93"/>
      <c r="AN17" s="93"/>
      <c r="AO17" s="83"/>
      <c r="AP17" s="83"/>
      <c r="AQ17" s="93"/>
      <c r="AR17" s="93"/>
      <c r="AS17" s="83"/>
      <c r="AT17" s="83"/>
      <c r="AU17" s="93"/>
      <c r="AV17" s="93"/>
      <c r="AW17" s="83"/>
      <c r="AX17" s="83"/>
      <c r="AY17" s="93"/>
      <c r="AZ17" s="93"/>
    </row>
    <row r="18" spans="1:52" hidden="1" outlineLevel="2" x14ac:dyDescent="0.45">
      <c r="B18" s="1370"/>
      <c r="C18" s="13" t="s">
        <v>127</v>
      </c>
      <c r="D18" s="87"/>
      <c r="E18" s="14" t="s">
        <v>128</v>
      </c>
      <c r="F18" s="94"/>
      <c r="G18" s="94"/>
      <c r="H18" s="95"/>
      <c r="I18" s="96"/>
      <c r="J18" s="96"/>
      <c r="K18" s="96"/>
      <c r="L18" s="97"/>
      <c r="M18" s="96"/>
      <c r="N18" s="96"/>
      <c r="O18" s="97"/>
      <c r="P18" s="96"/>
      <c r="Q18" s="96"/>
      <c r="R18" s="97"/>
      <c r="S18" s="96"/>
      <c r="T18" s="96"/>
      <c r="U18" s="97"/>
      <c r="V18" s="96"/>
      <c r="W18" s="96"/>
      <c r="AA18" s="93"/>
      <c r="AB18" s="93"/>
      <c r="AC18" s="83"/>
      <c r="AD18" s="83"/>
      <c r="AE18" s="93"/>
      <c r="AF18" s="93"/>
      <c r="AG18" s="83"/>
      <c r="AH18" s="83"/>
      <c r="AI18" s="93"/>
      <c r="AJ18" s="93"/>
      <c r="AK18" s="83"/>
      <c r="AL18" s="83"/>
      <c r="AM18" s="93"/>
      <c r="AN18" s="93"/>
      <c r="AO18" s="83"/>
      <c r="AP18" s="83"/>
      <c r="AQ18" s="93"/>
      <c r="AR18" s="93"/>
      <c r="AS18" s="83"/>
      <c r="AT18" s="83"/>
      <c r="AU18" s="93"/>
      <c r="AV18" s="93"/>
      <c r="AW18" s="83"/>
      <c r="AX18" s="83"/>
      <c r="AY18" s="93"/>
      <c r="AZ18" s="93"/>
    </row>
    <row r="19" spans="1:52" hidden="1" outlineLevel="2" x14ac:dyDescent="0.45">
      <c r="B19" s="1370"/>
      <c r="C19" s="13" t="s">
        <v>129</v>
      </c>
      <c r="D19" s="87"/>
      <c r="E19" s="14" t="s">
        <v>130</v>
      </c>
      <c r="F19" s="94"/>
      <c r="G19" s="94"/>
      <c r="H19" s="95"/>
      <c r="I19" s="96" t="s">
        <v>108</v>
      </c>
      <c r="J19" s="96" t="s">
        <v>108</v>
      </c>
      <c r="K19" s="96" t="s">
        <v>108</v>
      </c>
      <c r="L19" s="97"/>
      <c r="M19" s="96"/>
      <c r="N19" s="96"/>
      <c r="O19" s="97"/>
      <c r="P19" s="96"/>
      <c r="Q19" s="96"/>
      <c r="R19" s="97"/>
      <c r="S19" s="96"/>
      <c r="T19" s="96"/>
      <c r="U19" s="97"/>
      <c r="V19" s="96"/>
      <c r="W19" s="96"/>
      <c r="AA19" s="93"/>
      <c r="AB19" s="93"/>
      <c r="AC19" s="83"/>
      <c r="AD19" s="83"/>
      <c r="AE19" s="93"/>
      <c r="AF19" s="93"/>
      <c r="AG19" s="83"/>
      <c r="AH19" s="83"/>
      <c r="AI19" s="93"/>
      <c r="AJ19" s="93"/>
      <c r="AK19" s="83"/>
      <c r="AL19" s="83"/>
      <c r="AM19" s="93"/>
      <c r="AN19" s="93"/>
      <c r="AO19" s="83"/>
      <c r="AP19" s="83"/>
      <c r="AQ19" s="93"/>
      <c r="AR19" s="93"/>
      <c r="AS19" s="83"/>
      <c r="AT19" s="83"/>
      <c r="AU19" s="93"/>
      <c r="AV19" s="93"/>
      <c r="AW19" s="83"/>
      <c r="AX19" s="83"/>
      <c r="AY19" s="93"/>
      <c r="AZ19" s="93"/>
    </row>
    <row r="20" spans="1:52" hidden="1" outlineLevel="2" x14ac:dyDescent="0.45">
      <c r="B20" s="1370"/>
      <c r="C20" s="13" t="s">
        <v>131</v>
      </c>
      <c r="D20" s="87"/>
      <c r="E20" s="14" t="s">
        <v>132</v>
      </c>
      <c r="F20" s="94"/>
      <c r="G20" s="94"/>
      <c r="H20" s="95"/>
      <c r="I20" s="96" t="s">
        <v>108</v>
      </c>
      <c r="J20" s="96" t="s">
        <v>108</v>
      </c>
      <c r="K20" s="96" t="s">
        <v>108</v>
      </c>
      <c r="L20" s="97" t="s">
        <v>108</v>
      </c>
      <c r="M20" s="96" t="s">
        <v>108</v>
      </c>
      <c r="N20" s="96" t="s">
        <v>108</v>
      </c>
      <c r="O20" s="97" t="s">
        <v>108</v>
      </c>
      <c r="P20" s="96" t="s">
        <v>108</v>
      </c>
      <c r="Q20" s="96" t="s">
        <v>108</v>
      </c>
      <c r="R20" s="97" t="s">
        <v>108</v>
      </c>
      <c r="S20" s="96" t="s">
        <v>108</v>
      </c>
      <c r="T20" s="96" t="s">
        <v>108</v>
      </c>
      <c r="U20" s="97" t="s">
        <v>108</v>
      </c>
      <c r="V20" s="96" t="s">
        <v>108</v>
      </c>
      <c r="W20" s="96" t="s">
        <v>108</v>
      </c>
      <c r="AA20" s="93"/>
      <c r="AB20" s="93"/>
      <c r="AC20" s="83"/>
      <c r="AD20" s="83"/>
      <c r="AE20" s="93"/>
      <c r="AF20" s="93"/>
      <c r="AG20" s="83"/>
      <c r="AH20" s="83"/>
      <c r="AI20" s="93"/>
      <c r="AJ20" s="93"/>
      <c r="AK20" s="83"/>
      <c r="AL20" s="83"/>
      <c r="AM20" s="93"/>
      <c r="AN20" s="93"/>
      <c r="AO20" s="83"/>
      <c r="AP20" s="83"/>
      <c r="AQ20" s="93"/>
      <c r="AR20" s="93"/>
      <c r="AS20" s="83"/>
      <c r="AT20" s="83"/>
      <c r="AU20" s="93"/>
      <c r="AV20" s="93"/>
      <c r="AW20" s="83"/>
      <c r="AX20" s="83"/>
      <c r="AY20" s="93"/>
      <c r="AZ20" s="93"/>
    </row>
    <row r="21" spans="1:52" hidden="1" outlineLevel="2" x14ac:dyDescent="0.45">
      <c r="B21" s="1370"/>
      <c r="C21" s="13" t="s">
        <v>133</v>
      </c>
      <c r="D21" s="87"/>
      <c r="E21" s="14" t="s">
        <v>134</v>
      </c>
      <c r="F21" s="94"/>
      <c r="G21" s="94"/>
      <c r="H21" s="95"/>
      <c r="I21" s="96"/>
      <c r="J21" s="96"/>
      <c r="K21" s="96"/>
      <c r="L21" s="97"/>
      <c r="M21" s="96"/>
      <c r="N21" s="96"/>
      <c r="O21" s="97"/>
      <c r="P21" s="96"/>
      <c r="Q21" s="96"/>
      <c r="R21" s="97"/>
      <c r="S21" s="96"/>
      <c r="T21" s="96"/>
      <c r="U21" s="97" t="s">
        <v>108</v>
      </c>
      <c r="V21" s="96" t="s">
        <v>108</v>
      </c>
      <c r="W21" s="96" t="s">
        <v>108</v>
      </c>
      <c r="AA21" s="93"/>
      <c r="AB21" s="93"/>
      <c r="AC21" s="83"/>
      <c r="AD21" s="83"/>
      <c r="AE21" s="93"/>
      <c r="AF21" s="93"/>
      <c r="AG21" s="83"/>
      <c r="AH21" s="83"/>
      <c r="AI21" s="93"/>
      <c r="AJ21" s="93"/>
      <c r="AK21" s="83"/>
      <c r="AL21" s="83"/>
      <c r="AM21" s="93"/>
      <c r="AN21" s="93"/>
      <c r="AO21" s="83"/>
      <c r="AP21" s="83"/>
      <c r="AQ21" s="93"/>
      <c r="AR21" s="93"/>
      <c r="AS21" s="83"/>
      <c r="AT21" s="83"/>
      <c r="AU21" s="93"/>
      <c r="AV21" s="93"/>
      <c r="AW21" s="83"/>
      <c r="AX21" s="83"/>
      <c r="AY21" s="93"/>
      <c r="AZ21" s="93"/>
    </row>
    <row r="22" spans="1:52" hidden="1" outlineLevel="2" x14ac:dyDescent="0.45">
      <c r="B22" s="1370"/>
      <c r="C22" s="13" t="s">
        <v>135</v>
      </c>
      <c r="D22" s="87"/>
      <c r="E22" s="14" t="s">
        <v>136</v>
      </c>
      <c r="F22" s="94"/>
      <c r="G22" s="94"/>
      <c r="H22" s="95"/>
      <c r="I22" s="96"/>
      <c r="J22" s="96"/>
      <c r="K22" s="96"/>
      <c r="L22" s="97"/>
      <c r="M22" s="96"/>
      <c r="N22" s="96"/>
      <c r="O22" s="97" t="s">
        <v>108</v>
      </c>
      <c r="P22" s="96" t="s">
        <v>108</v>
      </c>
      <c r="Q22" s="96" t="s">
        <v>108</v>
      </c>
      <c r="R22" s="97" t="s">
        <v>108</v>
      </c>
      <c r="S22" s="96" t="s">
        <v>108</v>
      </c>
      <c r="T22" s="96" t="s">
        <v>108</v>
      </c>
      <c r="U22" s="97" t="s">
        <v>108</v>
      </c>
      <c r="V22" s="96" t="s">
        <v>108</v>
      </c>
      <c r="W22" s="96" t="s">
        <v>108</v>
      </c>
      <c r="AA22" s="93"/>
      <c r="AB22" s="93"/>
      <c r="AC22" s="83"/>
      <c r="AD22" s="83"/>
      <c r="AE22" s="93"/>
      <c r="AF22" s="93"/>
      <c r="AG22" s="83"/>
      <c r="AH22" s="83"/>
      <c r="AI22" s="93"/>
      <c r="AJ22" s="93"/>
      <c r="AK22" s="83"/>
      <c r="AL22" s="83"/>
      <c r="AM22" s="93"/>
      <c r="AN22" s="93"/>
      <c r="AO22" s="83"/>
      <c r="AP22" s="83"/>
      <c r="AQ22" s="93"/>
      <c r="AR22" s="93"/>
      <c r="AS22" s="83"/>
      <c r="AT22" s="83"/>
      <c r="AU22" s="93"/>
      <c r="AV22" s="93"/>
      <c r="AW22" s="83"/>
      <c r="AX22" s="83"/>
      <c r="AY22" s="93"/>
      <c r="AZ22" s="93"/>
    </row>
    <row r="23" spans="1:52" hidden="1" outlineLevel="2" x14ac:dyDescent="0.45">
      <c r="B23" s="1370"/>
      <c r="C23" s="13" t="s">
        <v>137</v>
      </c>
      <c r="D23" s="87"/>
      <c r="E23" s="14" t="s">
        <v>138</v>
      </c>
      <c r="F23" s="94"/>
      <c r="G23" s="94"/>
      <c r="H23" s="95"/>
      <c r="I23" s="96" t="s">
        <v>108</v>
      </c>
      <c r="J23" s="96" t="s">
        <v>108</v>
      </c>
      <c r="K23" s="96" t="s">
        <v>108</v>
      </c>
      <c r="L23" s="97" t="s">
        <v>108</v>
      </c>
      <c r="M23" s="96" t="s">
        <v>108</v>
      </c>
      <c r="N23" s="96" t="s">
        <v>108</v>
      </c>
      <c r="O23" s="97" t="s">
        <v>108</v>
      </c>
      <c r="P23" s="96" t="s">
        <v>108</v>
      </c>
      <c r="Q23" s="96" t="s">
        <v>108</v>
      </c>
      <c r="R23" s="97" t="s">
        <v>108</v>
      </c>
      <c r="S23" s="96" t="s">
        <v>108</v>
      </c>
      <c r="T23" s="96" t="s">
        <v>108</v>
      </c>
      <c r="U23" s="97" t="s">
        <v>108</v>
      </c>
      <c r="V23" s="96" t="s">
        <v>108</v>
      </c>
      <c r="W23" s="96" t="s">
        <v>108</v>
      </c>
      <c r="AA23" s="93"/>
      <c r="AB23" s="93"/>
      <c r="AC23" s="83"/>
      <c r="AD23" s="83"/>
      <c r="AE23" s="93"/>
      <c r="AF23" s="93"/>
      <c r="AG23" s="83"/>
      <c r="AH23" s="83"/>
      <c r="AI23" s="93"/>
      <c r="AJ23" s="93"/>
      <c r="AK23" s="83"/>
      <c r="AL23" s="83"/>
      <c r="AM23" s="93"/>
      <c r="AN23" s="93"/>
      <c r="AO23" s="83"/>
      <c r="AP23" s="83"/>
      <c r="AQ23" s="93"/>
      <c r="AR23" s="93"/>
      <c r="AS23" s="83"/>
      <c r="AT23" s="83"/>
      <c r="AU23" s="93"/>
      <c r="AV23" s="93"/>
      <c r="AW23" s="83"/>
      <c r="AX23" s="83"/>
      <c r="AY23" s="93"/>
      <c r="AZ23" s="93"/>
    </row>
    <row r="24" spans="1:52" hidden="1" outlineLevel="2" x14ac:dyDescent="0.45">
      <c r="B24" s="1370"/>
      <c r="C24" s="13" t="s">
        <v>139</v>
      </c>
      <c r="D24" s="87"/>
      <c r="E24" s="14" t="s">
        <v>140</v>
      </c>
      <c r="F24" s="94"/>
      <c r="G24" s="94"/>
      <c r="H24" s="95"/>
      <c r="I24" s="96"/>
      <c r="J24" s="96"/>
      <c r="K24" s="96"/>
      <c r="L24" s="97"/>
      <c r="M24" s="96"/>
      <c r="N24" s="96"/>
      <c r="O24" s="97"/>
      <c r="P24" s="96"/>
      <c r="Q24" s="96"/>
      <c r="R24" s="97"/>
      <c r="S24" s="96"/>
      <c r="T24" s="96"/>
      <c r="U24" s="97"/>
      <c r="V24" s="96"/>
      <c r="W24" s="96"/>
      <c r="AA24" s="93"/>
      <c r="AB24" s="93"/>
      <c r="AC24" s="83"/>
      <c r="AD24" s="83"/>
      <c r="AE24" s="93"/>
      <c r="AF24" s="93"/>
      <c r="AG24" s="83"/>
      <c r="AH24" s="83"/>
      <c r="AI24" s="93"/>
      <c r="AJ24" s="93"/>
      <c r="AK24" s="83"/>
      <c r="AL24" s="83"/>
      <c r="AM24" s="93"/>
      <c r="AN24" s="93"/>
      <c r="AO24" s="83"/>
      <c r="AP24" s="83"/>
      <c r="AQ24" s="93"/>
      <c r="AR24" s="93"/>
      <c r="AS24" s="83"/>
      <c r="AT24" s="83"/>
      <c r="AU24" s="93"/>
      <c r="AV24" s="93"/>
      <c r="AW24" s="83"/>
      <c r="AX24" s="83"/>
      <c r="AY24" s="93"/>
      <c r="AZ24" s="93"/>
    </row>
    <row r="25" spans="1:52" hidden="1" outlineLevel="2" x14ac:dyDescent="0.45">
      <c r="B25" s="1370"/>
      <c r="C25" s="13" t="s">
        <v>141</v>
      </c>
      <c r="D25" s="87"/>
      <c r="E25" s="14" t="s">
        <v>142</v>
      </c>
      <c r="F25" s="94"/>
      <c r="G25" s="94"/>
      <c r="H25" s="95"/>
      <c r="I25" s="96" t="s">
        <v>108</v>
      </c>
      <c r="J25" s="96" t="s">
        <v>108</v>
      </c>
      <c r="K25" s="96" t="s">
        <v>108</v>
      </c>
      <c r="L25" s="97" t="s">
        <v>108</v>
      </c>
      <c r="M25" s="96" t="s">
        <v>108</v>
      </c>
      <c r="N25" s="96" t="s">
        <v>108</v>
      </c>
      <c r="O25" s="97" t="s">
        <v>108</v>
      </c>
      <c r="P25" s="96" t="s">
        <v>108</v>
      </c>
      <c r="Q25" s="96" t="s">
        <v>108</v>
      </c>
      <c r="R25" s="97" t="s">
        <v>108</v>
      </c>
      <c r="S25" s="96" t="s">
        <v>108</v>
      </c>
      <c r="T25" s="96" t="s">
        <v>108</v>
      </c>
      <c r="U25" s="97" t="s">
        <v>108</v>
      </c>
      <c r="V25" s="96" t="s">
        <v>108</v>
      </c>
      <c r="W25" s="96" t="s">
        <v>108</v>
      </c>
      <c r="AA25" s="93"/>
      <c r="AB25" s="93"/>
      <c r="AC25" s="83"/>
      <c r="AD25" s="83"/>
      <c r="AE25" s="93"/>
      <c r="AF25" s="93"/>
      <c r="AG25" s="83"/>
      <c r="AH25" s="83"/>
      <c r="AI25" s="93"/>
      <c r="AJ25" s="93"/>
      <c r="AK25" s="83"/>
      <c r="AL25" s="83"/>
      <c r="AM25" s="93"/>
      <c r="AN25" s="93"/>
      <c r="AO25" s="83"/>
      <c r="AP25" s="83"/>
      <c r="AQ25" s="93"/>
      <c r="AR25" s="93"/>
      <c r="AS25" s="83"/>
      <c r="AT25" s="83"/>
      <c r="AU25" s="93"/>
      <c r="AV25" s="93"/>
      <c r="AW25" s="83"/>
      <c r="AX25" s="83"/>
      <c r="AY25" s="93"/>
      <c r="AZ25" s="93"/>
    </row>
    <row r="26" spans="1:52" hidden="1" outlineLevel="2" x14ac:dyDescent="0.45">
      <c r="B26" s="1370"/>
      <c r="C26" s="13" t="s">
        <v>143</v>
      </c>
      <c r="D26" s="87"/>
      <c r="E26" s="14" t="s">
        <v>144</v>
      </c>
      <c r="F26" s="94"/>
      <c r="G26" s="94"/>
      <c r="H26" s="95"/>
      <c r="I26" s="96"/>
      <c r="J26" s="96"/>
      <c r="K26" s="96"/>
      <c r="L26" s="97" t="s">
        <v>108</v>
      </c>
      <c r="M26" s="96" t="s">
        <v>108</v>
      </c>
      <c r="N26" s="96" t="s">
        <v>108</v>
      </c>
      <c r="O26" s="97" t="s">
        <v>108</v>
      </c>
      <c r="P26" s="96" t="s">
        <v>108</v>
      </c>
      <c r="Q26" s="96" t="s">
        <v>108</v>
      </c>
      <c r="R26" s="97" t="s">
        <v>108</v>
      </c>
      <c r="S26" s="96" t="s">
        <v>108</v>
      </c>
      <c r="T26" s="96" t="s">
        <v>108</v>
      </c>
      <c r="U26" s="97" t="s">
        <v>108</v>
      </c>
      <c r="V26" s="96" t="s">
        <v>108</v>
      </c>
      <c r="W26" s="96" t="s">
        <v>108</v>
      </c>
      <c r="AA26" s="93"/>
      <c r="AB26" s="93"/>
      <c r="AC26" s="83"/>
      <c r="AD26" s="83"/>
      <c r="AE26" s="93"/>
      <c r="AF26" s="93"/>
      <c r="AG26" s="83"/>
      <c r="AH26" s="83"/>
      <c r="AI26" s="93"/>
      <c r="AJ26" s="93"/>
      <c r="AK26" s="83"/>
      <c r="AL26" s="83"/>
      <c r="AM26" s="93"/>
      <c r="AN26" s="93"/>
      <c r="AO26" s="83"/>
      <c r="AP26" s="83"/>
      <c r="AQ26" s="93"/>
      <c r="AR26" s="93"/>
      <c r="AS26" s="83"/>
      <c r="AT26" s="83"/>
      <c r="AU26" s="93"/>
      <c r="AV26" s="93"/>
      <c r="AW26" s="83"/>
      <c r="AX26" s="83"/>
      <c r="AY26" s="93"/>
      <c r="AZ26" s="93"/>
    </row>
    <row r="27" spans="1:52" hidden="1" outlineLevel="2" x14ac:dyDescent="0.45">
      <c r="B27" s="1371"/>
      <c r="C27" s="13" t="s">
        <v>145</v>
      </c>
      <c r="D27" s="87"/>
      <c r="E27" s="14" t="s">
        <v>146</v>
      </c>
      <c r="F27" s="94"/>
      <c r="G27" s="94"/>
      <c r="H27" s="95"/>
      <c r="I27" s="96"/>
      <c r="J27" s="96"/>
      <c r="K27" s="96"/>
      <c r="L27" s="97"/>
      <c r="M27" s="96" t="s">
        <v>108</v>
      </c>
      <c r="N27" s="96"/>
      <c r="O27" s="97" t="s">
        <v>108</v>
      </c>
      <c r="P27" s="96" t="s">
        <v>108</v>
      </c>
      <c r="Q27" s="96"/>
      <c r="R27" s="97"/>
      <c r="S27" s="96" t="s">
        <v>108</v>
      </c>
      <c r="T27" s="96" t="s">
        <v>108</v>
      </c>
      <c r="U27" s="97" t="s">
        <v>108</v>
      </c>
      <c r="V27" s="96" t="s">
        <v>108</v>
      </c>
      <c r="W27" s="96" t="s">
        <v>108</v>
      </c>
      <c r="AA27" s="93"/>
      <c r="AB27" s="93"/>
      <c r="AC27" s="83"/>
      <c r="AD27" s="83"/>
      <c r="AE27" s="93"/>
      <c r="AF27" s="93"/>
      <c r="AG27" s="83"/>
      <c r="AH27" s="83"/>
      <c r="AI27" s="93"/>
      <c r="AJ27" s="93"/>
      <c r="AK27" s="83"/>
      <c r="AL27" s="83"/>
      <c r="AM27" s="93"/>
      <c r="AN27" s="93"/>
      <c r="AO27" s="83"/>
      <c r="AP27" s="83"/>
      <c r="AQ27" s="93"/>
      <c r="AR27" s="93"/>
      <c r="AS27" s="83"/>
      <c r="AT27" s="83"/>
      <c r="AU27" s="93"/>
      <c r="AV27" s="93"/>
      <c r="AW27" s="83"/>
      <c r="AX27" s="83"/>
      <c r="AY27" s="93"/>
      <c r="AZ27" s="93"/>
    </row>
    <row r="28" spans="1:52" hidden="1" outlineLevel="2" x14ac:dyDescent="0.45">
      <c r="C28" s="13"/>
      <c r="D28" s="87"/>
      <c r="E28" s="14"/>
      <c r="F28" s="89"/>
      <c r="G28" s="89"/>
      <c r="H28" s="23"/>
      <c r="I28" s="90"/>
      <c r="J28" s="92"/>
      <c r="K28" s="31"/>
      <c r="L28" s="92"/>
      <c r="M28" s="92"/>
      <c r="N28" s="31"/>
      <c r="O28" s="92"/>
      <c r="P28" s="92"/>
      <c r="Q28" s="31"/>
      <c r="R28" s="92"/>
      <c r="S28" s="92"/>
      <c r="T28" s="31"/>
      <c r="U28" s="92"/>
      <c r="V28" s="92"/>
      <c r="W28" s="31"/>
      <c r="AA28" s="93"/>
      <c r="AB28" s="93"/>
      <c r="AC28" s="83"/>
      <c r="AD28" s="83"/>
      <c r="AE28" s="93"/>
      <c r="AF28" s="93"/>
      <c r="AG28" s="83"/>
      <c r="AH28" s="83"/>
      <c r="AI28" s="93"/>
      <c r="AJ28" s="93"/>
      <c r="AK28" s="83"/>
      <c r="AL28" s="83"/>
      <c r="AM28" s="93"/>
      <c r="AN28" s="93"/>
      <c r="AO28" s="83"/>
      <c r="AP28" s="83"/>
      <c r="AQ28" s="93"/>
      <c r="AR28" s="93"/>
      <c r="AS28" s="83"/>
      <c r="AT28" s="83"/>
      <c r="AU28" s="93"/>
      <c r="AV28" s="93"/>
      <c r="AW28" s="83"/>
      <c r="AX28" s="83"/>
      <c r="AY28" s="93"/>
      <c r="AZ28" s="93"/>
    </row>
    <row r="29" spans="1:52" collapsed="1" x14ac:dyDescent="0.45">
      <c r="C29" s="99"/>
      <c r="D29" s="100"/>
      <c r="E29" s="101"/>
      <c r="F29" s="89"/>
      <c r="G29" s="89"/>
      <c r="H29" s="23"/>
      <c r="I29" s="90"/>
      <c r="J29" s="92"/>
      <c r="K29" s="31"/>
      <c r="L29" s="92"/>
      <c r="M29" s="92"/>
      <c r="N29" s="31"/>
      <c r="O29" s="92"/>
      <c r="P29" s="92"/>
      <c r="Q29" s="31"/>
      <c r="R29" s="92"/>
      <c r="S29" s="92"/>
      <c r="T29" s="31"/>
      <c r="U29" s="92"/>
      <c r="V29" s="92"/>
      <c r="W29" s="31"/>
      <c r="AA29" s="93"/>
      <c r="AB29" s="93"/>
      <c r="AC29" s="83"/>
      <c r="AD29" s="83"/>
      <c r="AE29" s="93"/>
      <c r="AF29" s="93"/>
      <c r="AG29" s="83"/>
      <c r="AH29" s="83"/>
      <c r="AI29" s="93"/>
      <c r="AJ29" s="93"/>
      <c r="AK29" s="83"/>
      <c r="AL29" s="83"/>
      <c r="AM29" s="93"/>
      <c r="AN29" s="93"/>
      <c r="AO29" s="83"/>
      <c r="AP29" s="83"/>
      <c r="AQ29" s="93"/>
      <c r="AR29" s="93"/>
      <c r="AS29" s="83"/>
      <c r="AT29" s="83"/>
      <c r="AU29" s="93"/>
      <c r="AV29" s="93"/>
      <c r="AW29" s="83"/>
      <c r="AX29" s="83"/>
      <c r="AY29" s="93"/>
      <c r="AZ29" s="93"/>
    </row>
    <row r="30" spans="1:52" ht="15.75" x14ac:dyDescent="0.45">
      <c r="A30" s="61">
        <v>1</v>
      </c>
      <c r="B30" s="1369" t="s">
        <v>147</v>
      </c>
      <c r="C30" s="9" t="s">
        <v>148</v>
      </c>
      <c r="D30" s="102"/>
      <c r="E30" s="10" t="s">
        <v>149</v>
      </c>
      <c r="F30" s="89"/>
      <c r="G30" s="89"/>
      <c r="H30" s="23"/>
      <c r="I30" s="90"/>
      <c r="J30" s="92"/>
      <c r="K30" s="31"/>
      <c r="L30" s="92"/>
      <c r="M30" s="92"/>
      <c r="N30" s="31"/>
      <c r="O30" s="92"/>
      <c r="P30" s="92"/>
      <c r="Q30" s="31"/>
      <c r="R30" s="92"/>
      <c r="S30" s="92"/>
      <c r="T30" s="31"/>
      <c r="U30" s="92"/>
      <c r="V30" s="92"/>
      <c r="W30" s="31"/>
      <c r="AA30" s="93"/>
      <c r="AB30" s="93"/>
      <c r="AC30" s="83"/>
      <c r="AD30" s="83"/>
      <c r="AE30" s="93"/>
      <c r="AF30" s="93"/>
      <c r="AG30" s="83"/>
      <c r="AH30" s="83"/>
      <c r="AI30" s="93"/>
      <c r="AJ30" s="93"/>
      <c r="AK30" s="83"/>
      <c r="AL30" s="83"/>
      <c r="AM30" s="93"/>
      <c r="AN30" s="93"/>
      <c r="AO30" s="83"/>
      <c r="AP30" s="83"/>
      <c r="AQ30" s="93"/>
      <c r="AR30" s="93"/>
      <c r="AS30" s="83"/>
      <c r="AT30" s="83"/>
      <c r="AU30" s="93"/>
      <c r="AV30" s="93"/>
      <c r="AW30" s="83"/>
      <c r="AX30" s="83"/>
      <c r="AY30" s="93"/>
      <c r="AZ30" s="93"/>
    </row>
    <row r="31" spans="1:52" x14ac:dyDescent="0.45">
      <c r="A31" s="61">
        <v>2</v>
      </c>
      <c r="B31" s="1370"/>
      <c r="C31" s="11" t="s">
        <v>150</v>
      </c>
      <c r="D31" s="103"/>
      <c r="E31" s="12" t="s">
        <v>151</v>
      </c>
      <c r="F31" s="89"/>
      <c r="G31" s="89"/>
      <c r="H31" s="23"/>
      <c r="I31" s="90"/>
      <c r="J31" s="92"/>
      <c r="K31" s="31"/>
      <c r="L31" s="92"/>
      <c r="M31" s="92"/>
      <c r="N31" s="31"/>
      <c r="O31" s="92"/>
      <c r="P31" s="92"/>
      <c r="Q31" s="31"/>
      <c r="R31" s="92"/>
      <c r="S31" s="92"/>
      <c r="T31" s="31"/>
      <c r="U31" s="92"/>
      <c r="V31" s="92"/>
      <c r="W31" s="31"/>
      <c r="AA31" s="93"/>
      <c r="AB31" s="93"/>
      <c r="AC31" s="104" t="s">
        <v>152</v>
      </c>
      <c r="AD31" s="83"/>
      <c r="AE31" s="93"/>
      <c r="AF31" s="93"/>
      <c r="AG31" s="83"/>
      <c r="AH31" s="83"/>
      <c r="AI31" s="93"/>
      <c r="AJ31" s="93"/>
      <c r="AK31" s="83"/>
      <c r="AL31" s="83"/>
      <c r="AM31" s="93"/>
      <c r="AN31" s="93"/>
      <c r="AO31" s="83"/>
      <c r="AP31" s="83"/>
      <c r="AQ31" s="93"/>
      <c r="AR31" s="93"/>
      <c r="AS31" s="83"/>
      <c r="AT31" s="83"/>
      <c r="AU31" s="93"/>
      <c r="AV31" s="93"/>
      <c r="AW31" s="83"/>
      <c r="AX31" s="83"/>
      <c r="AY31" s="93"/>
      <c r="AZ31" s="93"/>
    </row>
    <row r="32" spans="1:52" ht="15.75" customHeight="1" x14ac:dyDescent="0.45">
      <c r="A32" s="61">
        <v>3</v>
      </c>
      <c r="B32" s="1370"/>
      <c r="C32" s="13" t="s">
        <v>153</v>
      </c>
      <c r="D32" s="105" t="s">
        <v>154</v>
      </c>
      <c r="E32" s="14" t="s">
        <v>155</v>
      </c>
      <c r="F32" s="106">
        <f t="shared" ref="F32:H33" si="1">I32+L32+O32+R32+U32</f>
        <v>235</v>
      </c>
      <c r="G32" s="106">
        <f t="shared" si="1"/>
        <v>130</v>
      </c>
      <c r="H32" s="107">
        <f t="shared" si="1"/>
        <v>5160</v>
      </c>
      <c r="I32" s="108">
        <f>I33</f>
        <v>235</v>
      </c>
      <c r="J32" s="108">
        <f>J33</f>
        <v>130</v>
      </c>
      <c r="K32" s="24">
        <v>90</v>
      </c>
      <c r="L32" s="109"/>
      <c r="M32" s="30"/>
      <c r="N32" s="30">
        <v>48</v>
      </c>
      <c r="O32" s="109"/>
      <c r="P32" s="30"/>
      <c r="Q32" s="30">
        <v>1694</v>
      </c>
      <c r="R32" s="109"/>
      <c r="S32" s="30"/>
      <c r="T32" s="30">
        <v>2563</v>
      </c>
      <c r="U32" s="109"/>
      <c r="V32" s="30"/>
      <c r="W32" s="30">
        <v>765</v>
      </c>
      <c r="AA32" s="93"/>
      <c r="AB32" s="93"/>
      <c r="AC32" s="83" t="s">
        <v>156</v>
      </c>
      <c r="AD32" s="83"/>
      <c r="AE32" s="93"/>
      <c r="AF32" s="93"/>
      <c r="AG32" s="83"/>
      <c r="AH32" s="83"/>
      <c r="AI32" s="93"/>
      <c r="AJ32" s="93"/>
      <c r="AK32" s="83"/>
      <c r="AL32" s="83"/>
      <c r="AM32" s="93"/>
      <c r="AN32" s="93"/>
      <c r="AO32" s="83"/>
      <c r="AP32" s="83"/>
      <c r="AQ32" s="93"/>
      <c r="AR32" s="93"/>
      <c r="AS32" s="83"/>
      <c r="AT32" s="83"/>
      <c r="AU32" s="93"/>
      <c r="AV32" s="93"/>
      <c r="AW32" s="83"/>
      <c r="AX32" s="83"/>
      <c r="AY32" s="93"/>
      <c r="AZ32" s="93"/>
    </row>
    <row r="33" spans="1:52" ht="14.25" customHeight="1" x14ac:dyDescent="0.45">
      <c r="A33" s="61">
        <v>4</v>
      </c>
      <c r="B33" s="1370"/>
      <c r="C33" s="13" t="s">
        <v>157</v>
      </c>
      <c r="D33" s="105" t="s">
        <v>158</v>
      </c>
      <c r="E33" s="110" t="s">
        <v>159</v>
      </c>
      <c r="F33" s="106">
        <f t="shared" si="1"/>
        <v>235</v>
      </c>
      <c r="G33" s="106">
        <f t="shared" si="1"/>
        <v>130</v>
      </c>
      <c r="H33" s="107">
        <f t="shared" si="1"/>
        <v>5160</v>
      </c>
      <c r="I33" s="29">
        <v>235</v>
      </c>
      <c r="J33" s="29">
        <v>130</v>
      </c>
      <c r="K33" s="29">
        <v>90</v>
      </c>
      <c r="L33" s="109"/>
      <c r="M33" s="30"/>
      <c r="N33" s="111">
        <f>N32</f>
        <v>48</v>
      </c>
      <c r="O33" s="109"/>
      <c r="P33" s="30"/>
      <c r="Q33" s="111">
        <f>Q32</f>
        <v>1694</v>
      </c>
      <c r="R33" s="109"/>
      <c r="S33" s="30"/>
      <c r="T33" s="111">
        <f>T32</f>
        <v>2563</v>
      </c>
      <c r="U33" s="109"/>
      <c r="V33" s="30"/>
      <c r="W33" s="111">
        <f>W32</f>
        <v>765</v>
      </c>
      <c r="AA33" s="93"/>
      <c r="AB33" s="93"/>
      <c r="AC33" s="83" t="s">
        <v>160</v>
      </c>
      <c r="AD33" s="83"/>
      <c r="AE33" s="93"/>
      <c r="AF33" s="93"/>
      <c r="AG33" s="83"/>
      <c r="AH33" s="83"/>
      <c r="AI33" s="93"/>
      <c r="AJ33" s="93"/>
      <c r="AK33" s="83"/>
      <c r="AL33" s="83"/>
      <c r="AM33" s="93"/>
      <c r="AN33" s="93"/>
      <c r="AO33" s="83"/>
      <c r="AP33" s="83"/>
      <c r="AQ33" s="93"/>
      <c r="AR33" s="93"/>
      <c r="AS33" s="83"/>
      <c r="AT33" s="83"/>
      <c r="AU33" s="93"/>
      <c r="AV33" s="93"/>
      <c r="AW33" s="83"/>
      <c r="AX33" s="83"/>
      <c r="AY33" s="93"/>
      <c r="AZ33" s="93"/>
    </row>
    <row r="34" spans="1:52" x14ac:dyDescent="0.45">
      <c r="A34" s="61">
        <v>5</v>
      </c>
      <c r="B34" s="1370"/>
      <c r="C34" s="13" t="s">
        <v>161</v>
      </c>
      <c r="D34" s="87"/>
      <c r="E34" s="14" t="s">
        <v>162</v>
      </c>
      <c r="F34" s="112">
        <f>IF(F32&lt;&gt;0,(F33-F32)/F32,0)</f>
        <v>0</v>
      </c>
      <c r="G34" s="113">
        <f>IF(G32&lt;&gt;0,(G33-G32)/G32,0)</f>
        <v>0</v>
      </c>
      <c r="H34" s="114">
        <f>IF(H32&lt;&gt;0,(H33-H32)/H32,0)</f>
        <v>0</v>
      </c>
      <c r="I34" s="112">
        <f t="shared" ref="I34:W34" si="2">IF(I32&lt;&gt;0,(I33-I32)/I32,0)</f>
        <v>0</v>
      </c>
      <c r="J34" s="113">
        <f t="shared" si="2"/>
        <v>0</v>
      </c>
      <c r="K34" s="114">
        <f t="shared" si="2"/>
        <v>0</v>
      </c>
      <c r="L34" s="112">
        <f t="shared" si="2"/>
        <v>0</v>
      </c>
      <c r="M34" s="113">
        <f t="shared" si="2"/>
        <v>0</v>
      </c>
      <c r="N34" s="114">
        <f>IF(N32&lt;&gt;0,(N33-N32)/N32,0)</f>
        <v>0</v>
      </c>
      <c r="O34" s="112">
        <f t="shared" si="2"/>
        <v>0</v>
      </c>
      <c r="P34" s="113">
        <f t="shared" si="2"/>
        <v>0</v>
      </c>
      <c r="Q34" s="114">
        <f t="shared" si="2"/>
        <v>0</v>
      </c>
      <c r="R34" s="112">
        <f t="shared" si="2"/>
        <v>0</v>
      </c>
      <c r="S34" s="113">
        <f t="shared" si="2"/>
        <v>0</v>
      </c>
      <c r="T34" s="114">
        <f t="shared" si="2"/>
        <v>0</v>
      </c>
      <c r="U34" s="112">
        <f t="shared" si="2"/>
        <v>0</v>
      </c>
      <c r="V34" s="113">
        <f t="shared" si="2"/>
        <v>0</v>
      </c>
      <c r="W34" s="114">
        <f t="shared" si="2"/>
        <v>0</v>
      </c>
      <c r="AA34" s="93"/>
      <c r="AB34" s="93"/>
      <c r="AC34" s="83"/>
      <c r="AD34" s="83"/>
      <c r="AE34" s="93"/>
      <c r="AF34" s="93"/>
      <c r="AG34" s="83"/>
      <c r="AH34" s="83"/>
      <c r="AI34" s="93"/>
      <c r="AJ34" s="93"/>
      <c r="AK34" s="83"/>
      <c r="AL34" s="83"/>
      <c r="AM34" s="93"/>
      <c r="AN34" s="93"/>
      <c r="AO34" s="83"/>
      <c r="AP34" s="83"/>
      <c r="AQ34" s="93"/>
      <c r="AR34" s="93"/>
      <c r="AS34" s="83"/>
      <c r="AT34" s="83"/>
      <c r="AU34" s="93"/>
      <c r="AV34" s="93"/>
      <c r="AW34" s="83"/>
      <c r="AX34" s="83"/>
      <c r="AY34" s="93"/>
      <c r="AZ34" s="93"/>
    </row>
    <row r="35" spans="1:52" x14ac:dyDescent="0.45">
      <c r="A35" s="61">
        <v>6</v>
      </c>
      <c r="B35" s="1370"/>
      <c r="C35" s="91"/>
      <c r="D35" s="115"/>
      <c r="E35" s="116"/>
      <c r="F35" s="89"/>
      <c r="G35" s="89"/>
      <c r="H35" s="23"/>
      <c r="I35" s="90"/>
      <c r="J35" s="92"/>
      <c r="K35" s="31"/>
      <c r="L35" s="92"/>
      <c r="M35" s="92"/>
      <c r="N35" s="31"/>
      <c r="O35" s="92"/>
      <c r="P35" s="92"/>
      <c r="Q35" s="31"/>
      <c r="R35" s="92"/>
      <c r="S35" s="92"/>
      <c r="T35" s="31"/>
      <c r="U35" s="92"/>
      <c r="V35" s="92"/>
      <c r="W35" s="31"/>
      <c r="AA35" s="93"/>
      <c r="AB35" s="93"/>
      <c r="AC35" s="104"/>
      <c r="AD35" s="83"/>
      <c r="AE35" s="93"/>
      <c r="AF35" s="93"/>
      <c r="AG35" s="83"/>
      <c r="AH35" s="83"/>
      <c r="AI35" s="93"/>
      <c r="AJ35" s="93"/>
      <c r="AK35" s="83"/>
      <c r="AL35" s="83"/>
      <c r="AM35" s="93"/>
      <c r="AN35" s="93"/>
      <c r="AO35" s="83"/>
      <c r="AP35" s="83"/>
      <c r="AQ35" s="93"/>
      <c r="AR35" s="93"/>
      <c r="AS35" s="83"/>
      <c r="AT35" s="83"/>
      <c r="AU35" s="93"/>
      <c r="AV35" s="93"/>
      <c r="AW35" s="83"/>
      <c r="AX35" s="83"/>
      <c r="AY35" s="93"/>
      <c r="AZ35" s="93"/>
    </row>
    <row r="36" spans="1:52" x14ac:dyDescent="0.45">
      <c r="A36" s="61">
        <v>7</v>
      </c>
      <c r="B36" s="1370"/>
      <c r="C36" s="117" t="s">
        <v>163</v>
      </c>
      <c r="D36" s="118"/>
      <c r="E36" s="88" t="s">
        <v>164</v>
      </c>
      <c r="F36" s="89"/>
      <c r="G36" s="89"/>
      <c r="H36" s="23"/>
      <c r="I36" s="90"/>
      <c r="J36" s="92"/>
      <c r="K36" s="31"/>
      <c r="L36" s="92"/>
      <c r="M36" s="92"/>
      <c r="N36" s="31"/>
      <c r="O36" s="92"/>
      <c r="P36" s="92"/>
      <c r="Q36" s="31"/>
      <c r="R36" s="92"/>
      <c r="S36" s="92"/>
      <c r="T36" s="31"/>
      <c r="U36" s="92"/>
      <c r="V36" s="92"/>
      <c r="W36" s="31"/>
      <c r="AA36" s="93"/>
      <c r="AB36" s="93"/>
      <c r="AC36" s="83"/>
      <c r="AD36" s="83"/>
      <c r="AE36" s="93"/>
      <c r="AF36" s="93"/>
      <c r="AG36" s="83"/>
      <c r="AH36" s="83"/>
      <c r="AI36" s="93"/>
      <c r="AJ36" s="93"/>
      <c r="AK36" s="83"/>
      <c r="AL36" s="83"/>
      <c r="AM36" s="93"/>
      <c r="AN36" s="93"/>
      <c r="AO36" s="83"/>
      <c r="AP36" s="83"/>
      <c r="AQ36" s="93"/>
      <c r="AR36" s="93"/>
      <c r="AS36" s="83"/>
      <c r="AT36" s="83"/>
      <c r="AU36" s="93"/>
      <c r="AV36" s="93"/>
      <c r="AW36" s="83"/>
      <c r="AX36" s="83"/>
      <c r="AY36" s="93"/>
      <c r="AZ36" s="93"/>
    </row>
    <row r="37" spans="1:52" ht="16.5" customHeight="1" x14ac:dyDescent="0.45">
      <c r="A37" s="61">
        <v>8</v>
      </c>
      <c r="B37" s="1370"/>
      <c r="C37" s="13" t="s">
        <v>165</v>
      </c>
      <c r="D37" s="105" t="s">
        <v>154</v>
      </c>
      <c r="E37" s="13" t="s">
        <v>166</v>
      </c>
      <c r="F37" s="106">
        <f t="shared" ref="F37:H41" si="3">I37+L37+O37+R37+U37</f>
        <v>0</v>
      </c>
      <c r="G37" s="106">
        <f t="shared" si="3"/>
        <v>0</v>
      </c>
      <c r="H37" s="107">
        <f t="shared" si="3"/>
        <v>911</v>
      </c>
      <c r="I37" s="24"/>
      <c r="J37" s="24"/>
      <c r="K37" s="24">
        <v>48</v>
      </c>
      <c r="L37" s="109"/>
      <c r="M37" s="30"/>
      <c r="N37" s="30">
        <v>45</v>
      </c>
      <c r="O37" s="109"/>
      <c r="P37" s="30"/>
      <c r="Q37" s="30">
        <v>298</v>
      </c>
      <c r="R37" s="109"/>
      <c r="S37" s="30"/>
      <c r="T37" s="30">
        <v>218</v>
      </c>
      <c r="U37" s="109"/>
      <c r="V37" s="30"/>
      <c r="W37" s="30">
        <v>302</v>
      </c>
      <c r="AA37" s="93"/>
      <c r="AB37" s="93"/>
      <c r="AC37" s="119" t="s">
        <v>167</v>
      </c>
      <c r="AD37" s="83"/>
      <c r="AE37" s="93"/>
      <c r="AF37" s="93"/>
      <c r="AG37" s="83"/>
      <c r="AH37" s="83"/>
      <c r="AI37" s="93"/>
      <c r="AJ37" s="93"/>
      <c r="AK37" s="83"/>
      <c r="AL37" s="83"/>
      <c r="AM37" s="93"/>
      <c r="AN37" s="93"/>
      <c r="AO37" s="83"/>
      <c r="AP37" s="83"/>
      <c r="AQ37" s="93"/>
      <c r="AR37" s="93"/>
      <c r="AS37" s="83"/>
      <c r="AT37" s="83"/>
      <c r="AU37" s="93"/>
      <c r="AV37" s="93"/>
      <c r="AW37" s="83"/>
      <c r="AX37" s="83"/>
      <c r="AY37" s="93"/>
      <c r="AZ37" s="93"/>
    </row>
    <row r="38" spans="1:52" ht="15.75" customHeight="1" x14ac:dyDescent="0.45">
      <c r="A38" s="61">
        <v>9</v>
      </c>
      <c r="B38" s="1370"/>
      <c r="C38" s="13" t="s">
        <v>168</v>
      </c>
      <c r="D38" s="105" t="s">
        <v>154</v>
      </c>
      <c r="E38" s="13" t="s">
        <v>8</v>
      </c>
      <c r="F38" s="106">
        <f t="shared" si="3"/>
        <v>0</v>
      </c>
      <c r="G38" s="106">
        <f t="shared" si="3"/>
        <v>0</v>
      </c>
      <c r="H38" s="107">
        <f t="shared" si="3"/>
        <v>2644</v>
      </c>
      <c r="I38" s="24"/>
      <c r="J38" s="24"/>
      <c r="K38" s="24">
        <v>42</v>
      </c>
      <c r="L38" s="109"/>
      <c r="M38" s="30"/>
      <c r="N38" s="30"/>
      <c r="O38" s="109"/>
      <c r="P38" s="30"/>
      <c r="Q38" s="30"/>
      <c r="R38" s="109"/>
      <c r="S38" s="30"/>
      <c r="T38" s="30">
        <v>2218</v>
      </c>
      <c r="U38" s="109"/>
      <c r="V38" s="30"/>
      <c r="W38" s="30">
        <v>384</v>
      </c>
      <c r="AA38" s="93"/>
      <c r="AB38" s="93"/>
      <c r="AC38" s="83"/>
      <c r="AD38" s="83"/>
      <c r="AE38" s="93"/>
      <c r="AF38" s="93"/>
      <c r="AG38" s="83"/>
      <c r="AH38" s="83"/>
      <c r="AI38" s="93"/>
      <c r="AJ38" s="93"/>
      <c r="AK38" s="83"/>
      <c r="AL38" s="83"/>
      <c r="AM38" s="93"/>
      <c r="AN38" s="93"/>
      <c r="AO38" s="83"/>
      <c r="AP38" s="83"/>
      <c r="AQ38" s="93"/>
      <c r="AR38" s="93"/>
      <c r="AS38" s="83"/>
      <c r="AT38" s="83"/>
      <c r="AU38" s="93"/>
      <c r="AV38" s="93"/>
      <c r="AW38" s="83"/>
      <c r="AX38" s="83"/>
      <c r="AY38" s="93"/>
      <c r="AZ38" s="93"/>
    </row>
    <row r="39" spans="1:52" ht="15.75" customHeight="1" x14ac:dyDescent="0.45">
      <c r="A39" s="61">
        <v>10</v>
      </c>
      <c r="B39" s="1370"/>
      <c r="C39" s="13" t="s">
        <v>169</v>
      </c>
      <c r="D39" s="105" t="s">
        <v>154</v>
      </c>
      <c r="E39" s="13" t="s">
        <v>10</v>
      </c>
      <c r="F39" s="106">
        <f t="shared" si="3"/>
        <v>0</v>
      </c>
      <c r="G39" s="106">
        <f t="shared" si="3"/>
        <v>0</v>
      </c>
      <c r="H39" s="107">
        <f t="shared" si="3"/>
        <v>0</v>
      </c>
      <c r="I39" s="24"/>
      <c r="J39" s="24"/>
      <c r="K39" s="24"/>
      <c r="L39" s="109"/>
      <c r="M39" s="30"/>
      <c r="N39" s="30"/>
      <c r="O39" s="109"/>
      <c r="P39" s="30"/>
      <c r="Q39" s="30"/>
      <c r="R39" s="109"/>
      <c r="S39" s="30"/>
      <c r="T39" s="30"/>
      <c r="U39" s="109"/>
      <c r="V39" s="30"/>
      <c r="W39" s="30"/>
      <c r="AA39" s="93"/>
      <c r="AB39" s="93"/>
      <c r="AC39" s="83"/>
      <c r="AD39" s="83"/>
      <c r="AE39" s="93"/>
      <c r="AF39" s="93"/>
      <c r="AG39" s="83"/>
      <c r="AH39" s="83"/>
      <c r="AI39" s="93"/>
      <c r="AJ39" s="93"/>
      <c r="AK39" s="83"/>
      <c r="AL39" s="83"/>
      <c r="AM39" s="93"/>
      <c r="AN39" s="93"/>
      <c r="AO39" s="83"/>
      <c r="AP39" s="83"/>
      <c r="AQ39" s="93"/>
      <c r="AR39" s="93"/>
      <c r="AS39" s="83"/>
      <c r="AT39" s="83"/>
      <c r="AU39" s="93"/>
      <c r="AV39" s="93"/>
      <c r="AW39" s="83"/>
      <c r="AX39" s="83"/>
      <c r="AY39" s="93"/>
      <c r="AZ39" s="93"/>
    </row>
    <row r="40" spans="1:52" x14ac:dyDescent="0.45">
      <c r="A40" s="61">
        <v>11</v>
      </c>
      <c r="B40" s="1370"/>
      <c r="C40" s="13" t="s">
        <v>170</v>
      </c>
      <c r="D40" s="87"/>
      <c r="E40" s="13" t="s">
        <v>171</v>
      </c>
      <c r="F40" s="106">
        <f t="shared" si="3"/>
        <v>235</v>
      </c>
      <c r="G40" s="106">
        <f t="shared" si="3"/>
        <v>130</v>
      </c>
      <c r="H40" s="107">
        <f t="shared" si="3"/>
        <v>1605</v>
      </c>
      <c r="I40" s="120">
        <f t="shared" ref="I40:W40" si="4">I41-SUM(I37:I39)</f>
        <v>235</v>
      </c>
      <c r="J40" s="106">
        <f t="shared" si="4"/>
        <v>130</v>
      </c>
      <c r="K40" s="107">
        <f t="shared" si="4"/>
        <v>0</v>
      </c>
      <c r="L40" s="120">
        <f t="shared" si="4"/>
        <v>0</v>
      </c>
      <c r="M40" s="106">
        <f t="shared" si="4"/>
        <v>0</v>
      </c>
      <c r="N40" s="107">
        <f t="shared" si="4"/>
        <v>3</v>
      </c>
      <c r="O40" s="120">
        <f t="shared" si="4"/>
        <v>0</v>
      </c>
      <c r="P40" s="106">
        <f t="shared" si="4"/>
        <v>0</v>
      </c>
      <c r="Q40" s="107">
        <f t="shared" si="4"/>
        <v>1396</v>
      </c>
      <c r="R40" s="120">
        <f t="shared" si="4"/>
        <v>0</v>
      </c>
      <c r="S40" s="106">
        <f t="shared" si="4"/>
        <v>0</v>
      </c>
      <c r="T40" s="107">
        <f t="shared" si="4"/>
        <v>127</v>
      </c>
      <c r="U40" s="120">
        <f t="shared" si="4"/>
        <v>0</v>
      </c>
      <c r="V40" s="106">
        <f t="shared" si="4"/>
        <v>0</v>
      </c>
      <c r="W40" s="107">
        <f t="shared" si="4"/>
        <v>79</v>
      </c>
      <c r="AA40" s="93"/>
      <c r="AB40" s="93"/>
      <c r="AC40" s="83"/>
      <c r="AD40" s="83"/>
      <c r="AE40" s="93"/>
      <c r="AF40" s="93"/>
      <c r="AG40" s="83"/>
      <c r="AH40" s="83"/>
      <c r="AI40" s="93"/>
      <c r="AJ40" s="93"/>
      <c r="AK40" s="83"/>
      <c r="AL40" s="83"/>
      <c r="AM40" s="93"/>
      <c r="AN40" s="93"/>
      <c r="AO40" s="83"/>
      <c r="AP40" s="83"/>
      <c r="AQ40" s="93"/>
      <c r="AR40" s="93"/>
      <c r="AS40" s="83"/>
      <c r="AT40" s="83"/>
      <c r="AU40" s="93"/>
      <c r="AV40" s="93"/>
      <c r="AW40" s="83"/>
      <c r="AX40" s="83"/>
      <c r="AY40" s="93"/>
      <c r="AZ40" s="93"/>
    </row>
    <row r="41" spans="1:52" ht="14.65" thickBot="1" x14ac:dyDescent="0.5">
      <c r="A41" s="61">
        <v>12</v>
      </c>
      <c r="B41" s="1370"/>
      <c r="C41" s="13" t="s">
        <v>172</v>
      </c>
      <c r="D41" s="87"/>
      <c r="E41" s="13" t="s">
        <v>173</v>
      </c>
      <c r="F41" s="121">
        <f t="shared" si="3"/>
        <v>235</v>
      </c>
      <c r="G41" s="121">
        <f t="shared" si="3"/>
        <v>130</v>
      </c>
      <c r="H41" s="122">
        <f t="shared" si="3"/>
        <v>5160</v>
      </c>
      <c r="I41" s="121">
        <f>I32</f>
        <v>235</v>
      </c>
      <c r="J41" s="121">
        <f>J32</f>
        <v>130</v>
      </c>
      <c r="K41" s="122">
        <f>K32</f>
        <v>90</v>
      </c>
      <c r="L41" s="121">
        <f t="shared" ref="L41:W41" si="5">L32</f>
        <v>0</v>
      </c>
      <c r="M41" s="121">
        <f t="shared" si="5"/>
        <v>0</v>
      </c>
      <c r="N41" s="122">
        <f t="shared" si="5"/>
        <v>48</v>
      </c>
      <c r="O41" s="121">
        <f t="shared" si="5"/>
        <v>0</v>
      </c>
      <c r="P41" s="121">
        <f t="shared" si="5"/>
        <v>0</v>
      </c>
      <c r="Q41" s="122">
        <f t="shared" si="5"/>
        <v>1694</v>
      </c>
      <c r="R41" s="121">
        <f t="shared" si="5"/>
        <v>0</v>
      </c>
      <c r="S41" s="121">
        <f t="shared" si="5"/>
        <v>0</v>
      </c>
      <c r="T41" s="122">
        <f t="shared" si="5"/>
        <v>2563</v>
      </c>
      <c r="U41" s="121">
        <f t="shared" si="5"/>
        <v>0</v>
      </c>
      <c r="V41" s="121">
        <f t="shared" si="5"/>
        <v>0</v>
      </c>
      <c r="W41" s="122">
        <f t="shared" si="5"/>
        <v>765</v>
      </c>
      <c r="AA41" s="93"/>
      <c r="AB41" s="93"/>
      <c r="AC41" s="83"/>
      <c r="AD41" s="83"/>
      <c r="AE41" s="93"/>
      <c r="AF41" s="93"/>
      <c r="AG41" s="83"/>
      <c r="AH41" s="83"/>
      <c r="AI41" s="93"/>
      <c r="AJ41" s="93"/>
      <c r="AK41" s="83"/>
      <c r="AL41" s="83"/>
      <c r="AM41" s="93"/>
      <c r="AN41" s="93"/>
      <c r="AO41" s="83"/>
      <c r="AP41" s="83"/>
      <c r="AQ41" s="93"/>
      <c r="AR41" s="93"/>
      <c r="AS41" s="83"/>
      <c r="AT41" s="83"/>
      <c r="AU41" s="93"/>
      <c r="AV41" s="93"/>
      <c r="AW41" s="83"/>
      <c r="AX41" s="83"/>
      <c r="AY41" s="93"/>
      <c r="AZ41" s="93"/>
    </row>
    <row r="42" spans="1:52" ht="14.65" thickTop="1" x14ac:dyDescent="0.45">
      <c r="A42" s="61">
        <v>13</v>
      </c>
      <c r="B42" s="1370"/>
      <c r="C42" s="13"/>
      <c r="D42" s="87"/>
      <c r="E42" s="14"/>
      <c r="F42" s="106"/>
      <c r="G42" s="106"/>
      <c r="H42" s="107"/>
      <c r="I42" s="120"/>
      <c r="J42" s="106"/>
      <c r="K42" s="107"/>
      <c r="L42" s="123"/>
      <c r="M42" s="123"/>
      <c r="N42" s="124"/>
      <c r="O42" s="123"/>
      <c r="P42" s="123"/>
      <c r="Q42" s="124"/>
      <c r="R42" s="123"/>
      <c r="S42" s="123"/>
      <c r="T42" s="124"/>
      <c r="U42" s="123"/>
      <c r="V42" s="123"/>
      <c r="W42" s="124"/>
      <c r="AA42" s="93"/>
      <c r="AB42" s="93"/>
      <c r="AC42" s="83"/>
      <c r="AD42" s="83"/>
      <c r="AE42" s="93"/>
      <c r="AF42" s="93"/>
      <c r="AG42" s="83"/>
      <c r="AH42" s="83"/>
      <c r="AI42" s="93"/>
      <c r="AJ42" s="93"/>
      <c r="AK42" s="83"/>
      <c r="AL42" s="83"/>
      <c r="AM42" s="93"/>
      <c r="AN42" s="93"/>
      <c r="AO42" s="83"/>
      <c r="AP42" s="83"/>
      <c r="AQ42" s="93"/>
      <c r="AR42" s="93"/>
      <c r="AS42" s="83"/>
      <c r="AT42" s="83"/>
      <c r="AU42" s="93"/>
      <c r="AV42" s="93"/>
      <c r="AW42" s="83"/>
      <c r="AX42" s="83"/>
      <c r="AY42" s="93"/>
      <c r="AZ42" s="93"/>
    </row>
    <row r="43" spans="1:52" x14ac:dyDescent="0.45">
      <c r="A43" s="61">
        <v>14</v>
      </c>
      <c r="B43" s="1370"/>
      <c r="C43" s="117" t="s">
        <v>174</v>
      </c>
      <c r="D43" s="118"/>
      <c r="E43" s="88" t="s">
        <v>175</v>
      </c>
      <c r="F43" s="106"/>
      <c r="G43" s="106"/>
      <c r="H43" s="107"/>
      <c r="I43" s="120"/>
      <c r="J43" s="106"/>
      <c r="K43" s="107"/>
      <c r="L43" s="123"/>
      <c r="M43" s="123"/>
      <c r="N43" s="124"/>
      <c r="O43" s="123"/>
      <c r="P43" s="123"/>
      <c r="Q43" s="124"/>
      <c r="R43" s="123"/>
      <c r="S43" s="123"/>
      <c r="T43" s="124"/>
      <c r="U43" s="123"/>
      <c r="V43" s="123"/>
      <c r="W43" s="124"/>
      <c r="AA43" s="93"/>
      <c r="AB43" s="93"/>
      <c r="AC43" s="83"/>
      <c r="AD43" s="83"/>
      <c r="AE43" s="93"/>
      <c r="AF43" s="93"/>
      <c r="AG43" s="83"/>
      <c r="AH43" s="83"/>
      <c r="AI43" s="93"/>
      <c r="AJ43" s="93"/>
      <c r="AK43" s="83"/>
      <c r="AL43" s="83"/>
      <c r="AM43" s="93"/>
      <c r="AN43" s="93"/>
      <c r="AO43" s="83"/>
      <c r="AP43" s="83"/>
      <c r="AQ43" s="93"/>
      <c r="AR43" s="93"/>
      <c r="AS43" s="83"/>
      <c r="AT43" s="83"/>
      <c r="AU43" s="93"/>
      <c r="AV43" s="93"/>
      <c r="AW43" s="83"/>
      <c r="AX43" s="83"/>
      <c r="AY43" s="93"/>
      <c r="AZ43" s="93"/>
    </row>
    <row r="44" spans="1:52" ht="18" customHeight="1" x14ac:dyDescent="0.45">
      <c r="A44" s="61">
        <v>15</v>
      </c>
      <c r="B44" s="1370"/>
      <c r="C44" s="13" t="s">
        <v>176</v>
      </c>
      <c r="D44" s="105" t="s">
        <v>154</v>
      </c>
      <c r="E44" s="13" t="s">
        <v>177</v>
      </c>
      <c r="F44" s="106">
        <f t="shared" ref="F44:H50" si="6">I44+L44+O44+R44+U44</f>
        <v>0</v>
      </c>
      <c r="G44" s="106">
        <f t="shared" si="6"/>
        <v>0</v>
      </c>
      <c r="H44" s="107">
        <f t="shared" si="6"/>
        <v>2</v>
      </c>
      <c r="I44" s="24"/>
      <c r="J44" s="24"/>
      <c r="K44" s="24">
        <v>2</v>
      </c>
      <c r="L44" s="125"/>
      <c r="M44" s="111"/>
      <c r="N44" s="111"/>
      <c r="O44" s="125"/>
      <c r="P44" s="111"/>
      <c r="Q44" s="111"/>
      <c r="R44" s="125"/>
      <c r="S44" s="111"/>
      <c r="T44" s="111"/>
      <c r="U44" s="125"/>
      <c r="V44" s="111"/>
      <c r="W44" s="111"/>
      <c r="AA44" s="93"/>
      <c r="AB44" s="93"/>
      <c r="AC44" s="83"/>
      <c r="AD44" s="83"/>
      <c r="AE44" s="93"/>
      <c r="AF44" s="93"/>
      <c r="AG44" s="83"/>
      <c r="AH44" s="83"/>
      <c r="AI44" s="93"/>
      <c r="AJ44" s="93"/>
      <c r="AK44" s="83"/>
      <c r="AL44" s="83"/>
      <c r="AM44" s="93"/>
      <c r="AN44" s="93"/>
      <c r="AO44" s="83"/>
      <c r="AP44" s="83"/>
      <c r="AQ44" s="93"/>
      <c r="AR44" s="93"/>
      <c r="AS44" s="83"/>
      <c r="AT44" s="83"/>
      <c r="AU44" s="93"/>
      <c r="AV44" s="93"/>
      <c r="AW44" s="83"/>
      <c r="AX44" s="83"/>
      <c r="AY44" s="93"/>
      <c r="AZ44" s="93"/>
    </row>
    <row r="45" spans="1:52" ht="18" customHeight="1" x14ac:dyDescent="0.45">
      <c r="A45" s="61">
        <v>16</v>
      </c>
      <c r="B45" s="1370"/>
      <c r="C45" s="13" t="s">
        <v>178</v>
      </c>
      <c r="D45" s="105" t="s">
        <v>154</v>
      </c>
      <c r="E45" s="13" t="s">
        <v>179</v>
      </c>
      <c r="F45" s="106">
        <f t="shared" si="6"/>
        <v>0</v>
      </c>
      <c r="G45" s="106">
        <f t="shared" si="6"/>
        <v>0</v>
      </c>
      <c r="H45" s="107">
        <f t="shared" si="6"/>
        <v>1</v>
      </c>
      <c r="I45" s="24"/>
      <c r="J45" s="24"/>
      <c r="K45" s="24">
        <v>1</v>
      </c>
      <c r="L45" s="125"/>
      <c r="M45" s="111"/>
      <c r="N45" s="111"/>
      <c r="O45" s="125"/>
      <c r="P45" s="111"/>
      <c r="Q45" s="111"/>
      <c r="R45" s="125"/>
      <c r="S45" s="111"/>
      <c r="T45" s="111"/>
      <c r="U45" s="125"/>
      <c r="V45" s="111"/>
      <c r="W45" s="111"/>
      <c r="AA45" s="93"/>
      <c r="AB45" s="93"/>
      <c r="AC45" s="83"/>
      <c r="AD45" s="83"/>
      <c r="AE45" s="93"/>
      <c r="AF45" s="93"/>
      <c r="AG45" s="83"/>
      <c r="AH45" s="83"/>
      <c r="AI45" s="93"/>
      <c r="AJ45" s="93"/>
      <c r="AK45" s="83"/>
      <c r="AL45" s="83"/>
      <c r="AM45" s="93"/>
      <c r="AN45" s="93"/>
      <c r="AO45" s="83"/>
      <c r="AP45" s="83"/>
      <c r="AQ45" s="93"/>
      <c r="AR45" s="93"/>
      <c r="AS45" s="83"/>
      <c r="AT45" s="83"/>
      <c r="AU45" s="93"/>
      <c r="AV45" s="93"/>
      <c r="AW45" s="83"/>
      <c r="AX45" s="83"/>
      <c r="AY45" s="93"/>
      <c r="AZ45" s="93"/>
    </row>
    <row r="46" spans="1:52" ht="18" customHeight="1" x14ac:dyDescent="0.45">
      <c r="A46" s="61">
        <v>17</v>
      </c>
      <c r="B46" s="1370"/>
      <c r="C46" s="13" t="s">
        <v>180</v>
      </c>
      <c r="D46" s="105" t="s">
        <v>154</v>
      </c>
      <c r="E46" s="13" t="s">
        <v>181</v>
      </c>
      <c r="F46" s="106">
        <f t="shared" si="6"/>
        <v>0</v>
      </c>
      <c r="G46" s="106">
        <f t="shared" si="6"/>
        <v>0</v>
      </c>
      <c r="H46" s="107">
        <f t="shared" si="6"/>
        <v>55</v>
      </c>
      <c r="I46" s="24"/>
      <c r="J46" s="24"/>
      <c r="K46" s="24">
        <v>55</v>
      </c>
      <c r="L46" s="125"/>
      <c r="M46" s="111"/>
      <c r="N46" s="111"/>
      <c r="O46" s="125"/>
      <c r="P46" s="111"/>
      <c r="Q46" s="111"/>
      <c r="R46" s="125"/>
      <c r="S46" s="111"/>
      <c r="T46" s="111"/>
      <c r="U46" s="125"/>
      <c r="V46" s="111"/>
      <c r="W46" s="111"/>
      <c r="AA46" s="93"/>
      <c r="AB46" s="93"/>
      <c r="AC46" s="83"/>
      <c r="AD46" s="83"/>
      <c r="AE46" s="93"/>
      <c r="AF46" s="93"/>
      <c r="AG46" s="83"/>
      <c r="AH46" s="83"/>
      <c r="AI46" s="93"/>
      <c r="AJ46" s="93"/>
      <c r="AK46" s="83"/>
      <c r="AL46" s="83"/>
      <c r="AM46" s="93"/>
      <c r="AN46" s="93"/>
      <c r="AO46" s="83"/>
      <c r="AP46" s="83"/>
      <c r="AQ46" s="93"/>
      <c r="AR46" s="93"/>
      <c r="AS46" s="83"/>
      <c r="AT46" s="83"/>
      <c r="AU46" s="93"/>
      <c r="AV46" s="93"/>
      <c r="AW46" s="83"/>
      <c r="AX46" s="83"/>
      <c r="AY46" s="93"/>
      <c r="AZ46" s="93"/>
    </row>
    <row r="47" spans="1:52" ht="16.5" customHeight="1" x14ac:dyDescent="0.45">
      <c r="A47" s="61">
        <v>18</v>
      </c>
      <c r="B47" s="1370"/>
      <c r="C47" s="13" t="s">
        <v>182</v>
      </c>
      <c r="D47" s="105" t="s">
        <v>154</v>
      </c>
      <c r="E47" s="13" t="s">
        <v>183</v>
      </c>
      <c r="F47" s="106">
        <f t="shared" si="6"/>
        <v>0</v>
      </c>
      <c r="G47" s="106">
        <f t="shared" si="6"/>
        <v>0</v>
      </c>
      <c r="H47" s="107">
        <f t="shared" si="6"/>
        <v>26</v>
      </c>
      <c r="I47" s="24"/>
      <c r="J47" s="24"/>
      <c r="K47" s="24">
        <v>26</v>
      </c>
      <c r="L47" s="125"/>
      <c r="M47" s="111"/>
      <c r="N47" s="111"/>
      <c r="O47" s="125"/>
      <c r="P47" s="111"/>
      <c r="Q47" s="111"/>
      <c r="R47" s="125"/>
      <c r="S47" s="111"/>
      <c r="T47" s="111"/>
      <c r="U47" s="125"/>
      <c r="V47" s="111"/>
      <c r="W47" s="111"/>
      <c r="AA47" s="93"/>
      <c r="AB47" s="93"/>
      <c r="AC47" s="83"/>
      <c r="AD47" s="83"/>
      <c r="AE47" s="93"/>
      <c r="AF47" s="93"/>
      <c r="AG47" s="83"/>
      <c r="AH47" s="83"/>
      <c r="AI47" s="93"/>
      <c r="AJ47" s="93"/>
      <c r="AK47" s="83"/>
      <c r="AL47" s="83"/>
      <c r="AM47" s="93"/>
      <c r="AN47" s="93"/>
      <c r="AO47" s="83"/>
      <c r="AP47" s="83"/>
      <c r="AQ47" s="93"/>
      <c r="AR47" s="93"/>
      <c r="AS47" s="83"/>
      <c r="AT47" s="83"/>
      <c r="AU47" s="93"/>
      <c r="AV47" s="93"/>
      <c r="AW47" s="83"/>
      <c r="AX47" s="83"/>
      <c r="AY47" s="93"/>
      <c r="AZ47" s="93"/>
    </row>
    <row r="48" spans="1:52" ht="21" customHeight="1" x14ac:dyDescent="0.45">
      <c r="A48" s="61">
        <v>19</v>
      </c>
      <c r="B48" s="1370"/>
      <c r="C48" s="13" t="s">
        <v>184</v>
      </c>
      <c r="D48" s="105" t="s">
        <v>154</v>
      </c>
      <c r="E48" s="13" t="s">
        <v>10</v>
      </c>
      <c r="F48" s="106">
        <f t="shared" si="6"/>
        <v>0</v>
      </c>
      <c r="G48" s="106">
        <f t="shared" si="6"/>
        <v>0</v>
      </c>
      <c r="H48" s="107">
        <f t="shared" si="6"/>
        <v>0</v>
      </c>
      <c r="I48" s="24"/>
      <c r="J48" s="24"/>
      <c r="K48" s="24"/>
      <c r="L48" s="125"/>
      <c r="M48" s="111"/>
      <c r="N48" s="111"/>
      <c r="O48" s="125"/>
      <c r="P48" s="111"/>
      <c r="Q48" s="111"/>
      <c r="R48" s="125"/>
      <c r="S48" s="111"/>
      <c r="T48" s="126"/>
      <c r="U48" s="125"/>
      <c r="V48" s="111"/>
      <c r="W48" s="111"/>
      <c r="AA48" s="93"/>
      <c r="AB48" s="93"/>
      <c r="AC48" s="83"/>
      <c r="AD48" s="83"/>
      <c r="AE48" s="93"/>
      <c r="AF48" s="93"/>
      <c r="AG48" s="83"/>
      <c r="AH48" s="83"/>
      <c r="AI48" s="93"/>
      <c r="AJ48" s="93"/>
      <c r="AK48" s="83"/>
      <c r="AL48" s="83"/>
      <c r="AM48" s="93"/>
      <c r="AN48" s="93"/>
      <c r="AO48" s="83"/>
      <c r="AP48" s="83"/>
      <c r="AQ48" s="93"/>
      <c r="AR48" s="93"/>
      <c r="AS48" s="83"/>
      <c r="AT48" s="83"/>
      <c r="AU48" s="93"/>
      <c r="AV48" s="93"/>
      <c r="AW48" s="83"/>
      <c r="AX48" s="83"/>
      <c r="AY48" s="93"/>
      <c r="AZ48" s="93"/>
    </row>
    <row r="49" spans="1:52" x14ac:dyDescent="0.45">
      <c r="A49" s="61">
        <v>20</v>
      </c>
      <c r="B49" s="1370"/>
      <c r="C49" s="13" t="s">
        <v>185</v>
      </c>
      <c r="D49" s="87"/>
      <c r="E49" s="13" t="s">
        <v>171</v>
      </c>
      <c r="F49" s="106">
        <f t="shared" si="6"/>
        <v>235</v>
      </c>
      <c r="G49" s="106">
        <f t="shared" si="6"/>
        <v>130</v>
      </c>
      <c r="H49" s="107">
        <f t="shared" si="6"/>
        <v>5076</v>
      </c>
      <c r="I49" s="120">
        <f>I50-SUM(I44:I48)</f>
        <v>235</v>
      </c>
      <c r="J49" s="106">
        <f t="shared" ref="J49:W49" si="7">J50-SUM(J44:J48)</f>
        <v>130</v>
      </c>
      <c r="K49" s="107">
        <f t="shared" si="7"/>
        <v>6</v>
      </c>
      <c r="L49" s="106">
        <f t="shared" si="7"/>
        <v>0</v>
      </c>
      <c r="M49" s="106">
        <f t="shared" si="7"/>
        <v>0</v>
      </c>
      <c r="N49" s="107">
        <f t="shared" si="7"/>
        <v>48</v>
      </c>
      <c r="O49" s="106">
        <f t="shared" si="7"/>
        <v>0</v>
      </c>
      <c r="P49" s="106">
        <f t="shared" si="7"/>
        <v>0</v>
      </c>
      <c r="Q49" s="107">
        <f t="shared" si="7"/>
        <v>1694</v>
      </c>
      <c r="R49" s="106">
        <f t="shared" si="7"/>
        <v>0</v>
      </c>
      <c r="S49" s="106">
        <f t="shared" si="7"/>
        <v>0</v>
      </c>
      <c r="T49" s="107">
        <f>T50-SUM(T44:T48)</f>
        <v>2563</v>
      </c>
      <c r="U49" s="106">
        <f t="shared" si="7"/>
        <v>0</v>
      </c>
      <c r="V49" s="106">
        <f t="shared" si="7"/>
        <v>0</v>
      </c>
      <c r="W49" s="107">
        <f t="shared" si="7"/>
        <v>765</v>
      </c>
      <c r="AA49" s="93"/>
      <c r="AB49" s="93"/>
      <c r="AC49" s="83"/>
      <c r="AD49" s="83"/>
      <c r="AE49" s="93"/>
      <c r="AF49" s="93"/>
      <c r="AG49" s="83"/>
      <c r="AH49" s="83"/>
      <c r="AI49" s="93"/>
      <c r="AJ49" s="93"/>
      <c r="AK49" s="83"/>
      <c r="AL49" s="83"/>
      <c r="AM49" s="93"/>
      <c r="AN49" s="93"/>
      <c r="AO49" s="83"/>
      <c r="AP49" s="83"/>
      <c r="AQ49" s="93"/>
      <c r="AR49" s="93"/>
      <c r="AS49" s="83"/>
      <c r="AT49" s="83"/>
      <c r="AU49" s="93"/>
      <c r="AV49" s="93"/>
      <c r="AW49" s="83"/>
      <c r="AX49" s="83"/>
      <c r="AY49" s="93"/>
      <c r="AZ49" s="93"/>
    </row>
    <row r="50" spans="1:52" ht="14.65" thickBot="1" x14ac:dyDescent="0.5">
      <c r="A50" s="61">
        <v>21</v>
      </c>
      <c r="B50" s="1370"/>
      <c r="C50" s="13" t="s">
        <v>186</v>
      </c>
      <c r="D50" s="87"/>
      <c r="E50" s="14" t="s">
        <v>173</v>
      </c>
      <c r="F50" s="121">
        <f t="shared" si="6"/>
        <v>235</v>
      </c>
      <c r="G50" s="121">
        <f t="shared" si="6"/>
        <v>130</v>
      </c>
      <c r="H50" s="122">
        <f t="shared" si="6"/>
        <v>5160</v>
      </c>
      <c r="I50" s="127">
        <f>I32</f>
        <v>235</v>
      </c>
      <c r="J50" s="121">
        <f>J32</f>
        <v>130</v>
      </c>
      <c r="K50" s="122">
        <f>K32</f>
        <v>90</v>
      </c>
      <c r="L50" s="121">
        <f t="shared" ref="L50:W50" si="8">L32</f>
        <v>0</v>
      </c>
      <c r="M50" s="121">
        <f t="shared" si="8"/>
        <v>0</v>
      </c>
      <c r="N50" s="122">
        <f t="shared" si="8"/>
        <v>48</v>
      </c>
      <c r="O50" s="121">
        <f t="shared" si="8"/>
        <v>0</v>
      </c>
      <c r="P50" s="121">
        <f t="shared" si="8"/>
        <v>0</v>
      </c>
      <c r="Q50" s="122">
        <f t="shared" si="8"/>
        <v>1694</v>
      </c>
      <c r="R50" s="121">
        <f t="shared" si="8"/>
        <v>0</v>
      </c>
      <c r="S50" s="121">
        <f t="shared" si="8"/>
        <v>0</v>
      </c>
      <c r="T50" s="122">
        <f t="shared" si="8"/>
        <v>2563</v>
      </c>
      <c r="U50" s="121">
        <f t="shared" si="8"/>
        <v>0</v>
      </c>
      <c r="V50" s="121">
        <f t="shared" si="8"/>
        <v>0</v>
      </c>
      <c r="W50" s="122">
        <f t="shared" si="8"/>
        <v>765</v>
      </c>
      <c r="AA50" s="93"/>
      <c r="AB50" s="93"/>
      <c r="AC50" s="83"/>
      <c r="AD50" s="83"/>
      <c r="AE50" s="93"/>
      <c r="AF50" s="93"/>
      <c r="AG50" s="83"/>
      <c r="AH50" s="83"/>
      <c r="AI50" s="93"/>
      <c r="AJ50" s="93"/>
      <c r="AK50" s="83"/>
      <c r="AL50" s="83"/>
      <c r="AM50" s="93"/>
      <c r="AN50" s="93"/>
      <c r="AO50" s="83"/>
      <c r="AP50" s="83"/>
      <c r="AQ50" s="93"/>
      <c r="AR50" s="93"/>
      <c r="AS50" s="83"/>
      <c r="AT50" s="83"/>
      <c r="AU50" s="93"/>
      <c r="AV50" s="93"/>
      <c r="AW50" s="83"/>
      <c r="AX50" s="83"/>
      <c r="AY50" s="93"/>
      <c r="AZ50" s="93"/>
    </row>
    <row r="51" spans="1:52" ht="14.65" thickTop="1" x14ac:dyDescent="0.45">
      <c r="A51" s="61">
        <v>22</v>
      </c>
      <c r="B51" s="1370"/>
      <c r="C51" s="91"/>
      <c r="D51" s="115"/>
      <c r="E51" s="116"/>
      <c r="F51" s="89"/>
      <c r="G51" s="89"/>
      <c r="H51" s="23"/>
      <c r="I51" s="90"/>
      <c r="J51" s="92"/>
      <c r="K51" s="31"/>
      <c r="L51" s="92"/>
      <c r="M51" s="92"/>
      <c r="N51" s="31"/>
      <c r="O51" s="92"/>
      <c r="P51" s="92"/>
      <c r="Q51" s="31"/>
      <c r="R51" s="92"/>
      <c r="S51" s="92"/>
      <c r="T51" s="31"/>
      <c r="U51" s="92"/>
      <c r="V51" s="92"/>
      <c r="W51" s="31"/>
      <c r="AA51" s="93"/>
      <c r="AB51" s="93"/>
      <c r="AC51" s="104"/>
      <c r="AD51" s="83"/>
      <c r="AE51" s="93"/>
      <c r="AF51" s="93"/>
      <c r="AG51" s="83"/>
      <c r="AH51" s="83"/>
      <c r="AI51" s="93"/>
      <c r="AJ51" s="93"/>
      <c r="AK51" s="83"/>
      <c r="AL51" s="83"/>
      <c r="AM51" s="93"/>
      <c r="AN51" s="93"/>
      <c r="AO51" s="83"/>
      <c r="AP51" s="83"/>
      <c r="AQ51" s="93"/>
      <c r="AR51" s="93"/>
      <c r="AS51" s="83"/>
      <c r="AT51" s="83"/>
      <c r="AU51" s="93"/>
      <c r="AV51" s="93"/>
      <c r="AW51" s="83"/>
      <c r="AX51" s="83"/>
      <c r="AY51" s="93"/>
      <c r="AZ51" s="93"/>
    </row>
    <row r="52" spans="1:52" x14ac:dyDescent="0.45">
      <c r="A52" s="61">
        <v>23</v>
      </c>
      <c r="B52" s="1370"/>
      <c r="C52" s="11" t="s">
        <v>187</v>
      </c>
      <c r="D52" s="103"/>
      <c r="E52" s="12" t="s">
        <v>188</v>
      </c>
      <c r="F52" s="89"/>
      <c r="G52" s="89"/>
      <c r="H52" s="23"/>
      <c r="I52" s="90"/>
      <c r="J52" s="92"/>
      <c r="K52" s="31"/>
      <c r="L52" s="92"/>
      <c r="M52" s="92"/>
      <c r="N52" s="31"/>
      <c r="O52" s="92"/>
      <c r="P52" s="92"/>
      <c r="Q52" s="31"/>
      <c r="R52" s="92"/>
      <c r="S52" s="92"/>
      <c r="T52" s="31"/>
      <c r="U52" s="92"/>
      <c r="V52" s="92"/>
      <c r="W52" s="31"/>
      <c r="AA52" s="93"/>
      <c r="AB52" s="93"/>
      <c r="AC52" s="104"/>
      <c r="AD52" s="83"/>
      <c r="AE52" s="93"/>
      <c r="AF52" s="93"/>
      <c r="AG52" s="83"/>
      <c r="AH52" s="83"/>
      <c r="AI52" s="93"/>
      <c r="AJ52" s="93"/>
      <c r="AK52" s="83"/>
      <c r="AL52" s="83"/>
      <c r="AM52" s="93"/>
      <c r="AN52" s="93"/>
      <c r="AO52" s="83"/>
      <c r="AP52" s="83"/>
      <c r="AQ52" s="93"/>
      <c r="AR52" s="93"/>
      <c r="AS52" s="83"/>
      <c r="AT52" s="83"/>
      <c r="AU52" s="93"/>
      <c r="AV52" s="93"/>
      <c r="AW52" s="83"/>
      <c r="AX52" s="83"/>
      <c r="AY52" s="93"/>
      <c r="AZ52" s="93"/>
    </row>
    <row r="53" spans="1:52" x14ac:dyDescent="0.45">
      <c r="A53" s="61">
        <v>24</v>
      </c>
      <c r="B53" s="1370"/>
      <c r="C53" s="91" t="s">
        <v>189</v>
      </c>
      <c r="D53" s="115"/>
      <c r="E53" s="116" t="s">
        <v>190</v>
      </c>
      <c r="F53" s="89"/>
      <c r="G53" s="89"/>
      <c r="H53" s="23"/>
      <c r="I53" s="90"/>
      <c r="J53" s="92"/>
      <c r="K53" s="31"/>
      <c r="L53" s="92"/>
      <c r="M53" s="92"/>
      <c r="N53" s="31"/>
      <c r="O53" s="92"/>
      <c r="P53" s="92"/>
      <c r="Q53" s="31"/>
      <c r="R53" s="92"/>
      <c r="S53" s="92"/>
      <c r="T53" s="31"/>
      <c r="U53" s="92"/>
      <c r="V53" s="92"/>
      <c r="W53" s="31"/>
      <c r="AA53" s="93"/>
      <c r="AB53" s="93"/>
      <c r="AC53" s="104"/>
      <c r="AD53" s="83"/>
      <c r="AE53" s="93"/>
      <c r="AF53" s="93"/>
      <c r="AG53" s="83"/>
      <c r="AH53" s="83"/>
      <c r="AI53" s="93"/>
      <c r="AJ53" s="93"/>
      <c r="AK53" s="83"/>
      <c r="AL53" s="83"/>
      <c r="AM53" s="93"/>
      <c r="AN53" s="93"/>
      <c r="AO53" s="83"/>
      <c r="AP53" s="83"/>
      <c r="AQ53" s="93"/>
      <c r="AR53" s="93"/>
      <c r="AS53" s="83"/>
      <c r="AT53" s="83"/>
      <c r="AU53" s="93"/>
      <c r="AV53" s="93"/>
      <c r="AW53" s="83"/>
      <c r="AX53" s="83"/>
      <c r="AY53" s="93"/>
      <c r="AZ53" s="93"/>
    </row>
    <row r="54" spans="1:52" x14ac:dyDescent="0.45">
      <c r="A54" s="61">
        <v>25</v>
      </c>
      <c r="B54" s="1370"/>
      <c r="C54" s="91"/>
      <c r="D54" s="115"/>
      <c r="E54" s="116"/>
      <c r="F54" s="89"/>
      <c r="G54" s="89"/>
      <c r="H54" s="23"/>
      <c r="I54" s="90"/>
      <c r="J54" s="92"/>
      <c r="K54" s="31"/>
      <c r="L54" s="92"/>
      <c r="M54" s="92"/>
      <c r="N54" s="31"/>
      <c r="O54" s="92"/>
      <c r="P54" s="92"/>
      <c r="Q54" s="31"/>
      <c r="R54" s="92"/>
      <c r="S54" s="92"/>
      <c r="T54" s="14"/>
      <c r="U54" s="92"/>
      <c r="V54" s="92"/>
      <c r="W54" s="31"/>
      <c r="AA54" s="93"/>
      <c r="AB54" s="93"/>
      <c r="AC54" s="104"/>
      <c r="AD54" s="83"/>
      <c r="AE54" s="93"/>
      <c r="AF54" s="93"/>
      <c r="AG54" s="83"/>
      <c r="AH54" s="83"/>
      <c r="AI54" s="93"/>
      <c r="AJ54" s="93"/>
      <c r="AK54" s="83"/>
      <c r="AL54" s="83"/>
      <c r="AM54" s="93"/>
      <c r="AN54" s="93"/>
      <c r="AO54" s="83"/>
      <c r="AP54" s="83"/>
      <c r="AQ54" s="93"/>
      <c r="AR54" s="93"/>
      <c r="AS54" s="83"/>
      <c r="AT54" s="83"/>
      <c r="AU54" s="93"/>
      <c r="AV54" s="93"/>
      <c r="AW54" s="83"/>
      <c r="AX54" s="83"/>
      <c r="AY54" s="93"/>
      <c r="AZ54" s="93"/>
    </row>
    <row r="55" spans="1:52" x14ac:dyDescent="0.45">
      <c r="A55" s="61">
        <v>26</v>
      </c>
      <c r="B55" s="1370"/>
      <c r="C55" s="11" t="s">
        <v>191</v>
      </c>
      <c r="D55" s="103"/>
      <c r="E55" s="12" t="s">
        <v>192</v>
      </c>
      <c r="F55" s="89"/>
      <c r="G55" s="89"/>
      <c r="H55" s="23"/>
      <c r="I55" s="92"/>
      <c r="J55" s="92"/>
      <c r="K55" s="31"/>
      <c r="L55" s="92"/>
      <c r="M55" s="92"/>
      <c r="N55" s="31"/>
      <c r="O55" s="92"/>
      <c r="P55" s="92"/>
      <c r="Q55" s="31"/>
      <c r="R55" s="92"/>
      <c r="S55" s="92"/>
      <c r="T55" s="31"/>
      <c r="U55" s="92"/>
      <c r="V55" s="92"/>
      <c r="W55" s="31"/>
      <c r="AA55" s="93"/>
      <c r="AB55" s="93"/>
      <c r="AC55" s="104"/>
      <c r="AD55" s="83"/>
      <c r="AE55" s="93"/>
      <c r="AF55" s="93"/>
      <c r="AG55" s="83"/>
      <c r="AH55" s="83"/>
      <c r="AI55" s="93"/>
      <c r="AJ55" s="93"/>
      <c r="AK55" s="83"/>
      <c r="AL55" s="83"/>
      <c r="AM55" s="93"/>
      <c r="AN55" s="93"/>
      <c r="AO55" s="83"/>
      <c r="AP55" s="83"/>
      <c r="AQ55" s="93"/>
      <c r="AR55" s="93"/>
      <c r="AS55" s="83"/>
      <c r="AT55" s="83"/>
      <c r="AU55" s="93"/>
      <c r="AV55" s="93"/>
      <c r="AW55" s="83"/>
      <c r="AX55" s="83"/>
      <c r="AY55" s="93"/>
      <c r="AZ55" s="93"/>
    </row>
    <row r="56" spans="1:52" ht="21.75" customHeight="1" x14ac:dyDescent="0.45">
      <c r="A56" s="61">
        <v>27</v>
      </c>
      <c r="B56" s="1370"/>
      <c r="C56" s="91" t="s">
        <v>193</v>
      </c>
      <c r="D56" s="128" t="s">
        <v>194</v>
      </c>
      <c r="E56" s="129" t="s">
        <v>195</v>
      </c>
      <c r="F56" s="130">
        <f>(I56+L56+O56+R56+U56)/5</f>
        <v>239.1</v>
      </c>
      <c r="G56" s="130">
        <f>(J56+M56+P56+S56+V56)/5</f>
        <v>233.6166666666667</v>
      </c>
      <c r="H56" s="131">
        <f>(K56+N56+Q56+T56+W56)/5</f>
        <v>259.26666666666665</v>
      </c>
      <c r="I56" s="132">
        <v>306</v>
      </c>
      <c r="J56" s="132">
        <v>258</v>
      </c>
      <c r="K56" s="132">
        <v>300</v>
      </c>
      <c r="L56" s="133">
        <v>189.08333333333334</v>
      </c>
      <c r="M56" s="132">
        <v>175.16666666666666</v>
      </c>
      <c r="N56" s="132">
        <v>224.91666666666666</v>
      </c>
      <c r="O56" s="133">
        <v>88.333333333333329</v>
      </c>
      <c r="P56" s="132">
        <v>90.583333333333329</v>
      </c>
      <c r="Q56" s="132">
        <v>89.5</v>
      </c>
      <c r="R56" s="133">
        <v>127.83333333333333</v>
      </c>
      <c r="S56" s="132">
        <v>130.75</v>
      </c>
      <c r="T56" s="132">
        <v>129.41666666666666</v>
      </c>
      <c r="U56" s="133">
        <v>484.25</v>
      </c>
      <c r="V56" s="132">
        <v>513.58333333333337</v>
      </c>
      <c r="W56" s="132">
        <v>552.5</v>
      </c>
      <c r="AA56" s="93"/>
      <c r="AB56" s="93"/>
      <c r="AC56" s="104" t="s">
        <v>196</v>
      </c>
      <c r="AD56" s="83"/>
      <c r="AE56" s="93"/>
      <c r="AF56" s="93"/>
      <c r="AG56" s="83"/>
      <c r="AH56" s="83"/>
      <c r="AI56" s="93"/>
      <c r="AJ56" s="93"/>
      <c r="AK56" s="83"/>
      <c r="AL56" s="83"/>
      <c r="AM56" s="93"/>
      <c r="AN56" s="93"/>
      <c r="AO56" s="83"/>
      <c r="AP56" s="83"/>
      <c r="AQ56" s="93"/>
      <c r="AR56" s="93"/>
      <c r="AS56" s="83"/>
      <c r="AT56" s="83"/>
      <c r="AU56" s="93"/>
      <c r="AV56" s="93"/>
      <c r="AW56" s="83"/>
      <c r="AX56" s="83"/>
      <c r="AY56" s="93"/>
      <c r="AZ56" s="93"/>
    </row>
    <row r="57" spans="1:52" x14ac:dyDescent="0.45">
      <c r="A57" s="61">
        <v>28</v>
      </c>
      <c r="B57" s="1370"/>
      <c r="C57" s="91"/>
      <c r="D57" s="128"/>
      <c r="E57" s="116" t="s">
        <v>197</v>
      </c>
      <c r="F57" s="130"/>
      <c r="G57" s="130"/>
      <c r="H57" s="131"/>
      <c r="I57" s="132"/>
      <c r="J57" s="132"/>
      <c r="K57" s="132"/>
      <c r="L57" s="133"/>
      <c r="M57" s="132"/>
      <c r="N57" s="132"/>
      <c r="O57" s="133"/>
      <c r="P57" s="132"/>
      <c r="Q57" s="132"/>
      <c r="R57" s="133"/>
      <c r="S57" s="132"/>
      <c r="T57" s="132"/>
      <c r="U57" s="133"/>
      <c r="V57" s="132"/>
      <c r="W57" s="132"/>
      <c r="AA57" s="93"/>
      <c r="AB57" s="93"/>
      <c r="AC57" s="104"/>
      <c r="AD57" s="83"/>
      <c r="AE57" s="93"/>
      <c r="AF57" s="93"/>
      <c r="AG57" s="83"/>
      <c r="AH57" s="83"/>
      <c r="AI57" s="93"/>
      <c r="AJ57" s="93"/>
      <c r="AK57" s="83"/>
      <c r="AL57" s="83"/>
      <c r="AM57" s="93"/>
      <c r="AN57" s="93"/>
      <c r="AO57" s="83"/>
      <c r="AP57" s="83"/>
      <c r="AQ57" s="93"/>
      <c r="AR57" s="93"/>
      <c r="AS57" s="83"/>
      <c r="AT57" s="83"/>
      <c r="AU57" s="93"/>
      <c r="AV57" s="93"/>
      <c r="AW57" s="83"/>
      <c r="AX57" s="83"/>
      <c r="AY57" s="93"/>
      <c r="AZ57" s="93"/>
    </row>
    <row r="58" spans="1:52" x14ac:dyDescent="0.45">
      <c r="A58" s="61">
        <v>29</v>
      </c>
      <c r="B58" s="1370"/>
      <c r="C58" s="91" t="s">
        <v>198</v>
      </c>
      <c r="D58" s="115"/>
      <c r="E58" s="116" t="s">
        <v>199</v>
      </c>
      <c r="F58" s="130">
        <f>I58+L58+O58+R58+U58</f>
        <v>0</v>
      </c>
      <c r="G58" s="130">
        <f>J58+M58+P58+S58+V58</f>
        <v>0</v>
      </c>
      <c r="H58" s="131">
        <f>K58+N58+Q58+T58+W58</f>
        <v>0</v>
      </c>
      <c r="I58" s="134">
        <v>0</v>
      </c>
      <c r="J58" s="134">
        <v>0</v>
      </c>
      <c r="K58" s="134">
        <v>0</v>
      </c>
      <c r="L58" s="135"/>
      <c r="M58" s="134"/>
      <c r="N58" s="134"/>
      <c r="O58" s="135"/>
      <c r="P58" s="134"/>
      <c r="Q58" s="134"/>
      <c r="R58" s="135"/>
      <c r="S58" s="134"/>
      <c r="T58" s="134"/>
      <c r="U58" s="135"/>
      <c r="V58" s="134"/>
      <c r="W58" s="134"/>
      <c r="AA58" s="93"/>
      <c r="AB58" s="93"/>
      <c r="AC58" s="104" t="s">
        <v>200</v>
      </c>
      <c r="AD58" s="83"/>
      <c r="AE58" s="93"/>
      <c r="AF58" s="93"/>
      <c r="AG58" s="83"/>
      <c r="AH58" s="83"/>
      <c r="AI58" s="93"/>
      <c r="AJ58" s="93"/>
      <c r="AK58" s="83"/>
      <c r="AL58" s="83"/>
      <c r="AM58" s="93"/>
      <c r="AN58" s="93"/>
      <c r="AO58" s="83"/>
      <c r="AP58" s="83"/>
      <c r="AQ58" s="93"/>
      <c r="AR58" s="93"/>
      <c r="AS58" s="83"/>
      <c r="AT58" s="83"/>
      <c r="AU58" s="93"/>
      <c r="AV58" s="93"/>
      <c r="AW58" s="83"/>
      <c r="AX58" s="83"/>
      <c r="AY58" s="93"/>
      <c r="AZ58" s="93"/>
    </row>
    <row r="59" spans="1:52" x14ac:dyDescent="0.45">
      <c r="A59" s="61">
        <v>30</v>
      </c>
      <c r="B59" s="1370"/>
      <c r="C59" s="91"/>
      <c r="D59" s="115"/>
      <c r="E59" s="116"/>
      <c r="F59" s="130"/>
      <c r="G59" s="130"/>
      <c r="H59" s="131"/>
      <c r="I59" s="136"/>
      <c r="J59" s="136"/>
      <c r="K59" s="137"/>
      <c r="L59" s="136"/>
      <c r="M59" s="136"/>
      <c r="N59" s="137"/>
      <c r="O59" s="136"/>
      <c r="P59" s="136"/>
      <c r="Q59" s="137"/>
      <c r="R59" s="136"/>
      <c r="S59" s="136"/>
      <c r="T59" s="137"/>
      <c r="U59" s="136"/>
      <c r="V59" s="136"/>
      <c r="W59" s="137"/>
      <c r="AA59" s="93"/>
      <c r="AB59" s="93"/>
      <c r="AC59" s="104"/>
      <c r="AD59" s="83"/>
      <c r="AE59" s="93"/>
      <c r="AF59" s="93"/>
      <c r="AG59" s="83"/>
      <c r="AH59" s="83"/>
      <c r="AI59" s="93"/>
      <c r="AJ59" s="93"/>
      <c r="AK59" s="83"/>
      <c r="AL59" s="83"/>
      <c r="AM59" s="93"/>
      <c r="AN59" s="93"/>
      <c r="AO59" s="83"/>
      <c r="AP59" s="83"/>
      <c r="AQ59" s="93"/>
      <c r="AR59" s="93"/>
      <c r="AS59" s="83"/>
      <c r="AT59" s="83"/>
      <c r="AU59" s="93"/>
      <c r="AV59" s="93"/>
      <c r="AW59" s="83"/>
      <c r="AX59" s="83"/>
      <c r="AY59" s="93"/>
      <c r="AZ59" s="93"/>
    </row>
    <row r="60" spans="1:52" x14ac:dyDescent="0.45">
      <c r="A60" s="61">
        <v>31</v>
      </c>
      <c r="B60" s="1370"/>
      <c r="C60" s="11" t="s">
        <v>201</v>
      </c>
      <c r="D60" s="103"/>
      <c r="E60" s="12" t="s">
        <v>202</v>
      </c>
      <c r="F60" s="89"/>
      <c r="G60" s="89"/>
      <c r="H60" s="23"/>
      <c r="I60" s="92"/>
      <c r="J60" s="92"/>
      <c r="K60" s="31"/>
      <c r="L60" s="92"/>
      <c r="M60" s="92"/>
      <c r="N60" s="31"/>
      <c r="O60" s="92"/>
      <c r="P60" s="92"/>
      <c r="Q60" s="31"/>
      <c r="R60" s="92"/>
      <c r="S60" s="92"/>
      <c r="T60" s="31"/>
      <c r="U60" s="92"/>
      <c r="V60" s="92"/>
      <c r="W60" s="31"/>
      <c r="AA60" s="93"/>
      <c r="AB60" s="93"/>
      <c r="AC60" s="104"/>
      <c r="AD60" s="83"/>
      <c r="AE60" s="93"/>
      <c r="AF60" s="93"/>
      <c r="AG60" s="83"/>
      <c r="AH60" s="83"/>
      <c r="AI60" s="93"/>
      <c r="AJ60" s="93"/>
      <c r="AK60" s="83"/>
      <c r="AL60" s="83"/>
      <c r="AM60" s="93"/>
      <c r="AN60" s="93"/>
      <c r="AO60" s="83"/>
      <c r="AP60" s="83"/>
      <c r="AQ60" s="93"/>
      <c r="AR60" s="93"/>
      <c r="AS60" s="83"/>
      <c r="AT60" s="83"/>
      <c r="AU60" s="93"/>
      <c r="AV60" s="93"/>
      <c r="AW60" s="83"/>
      <c r="AX60" s="83"/>
      <c r="AY60" s="93"/>
      <c r="AZ60" s="93"/>
    </row>
    <row r="61" spans="1:52" ht="27" customHeight="1" x14ac:dyDescent="0.45">
      <c r="A61" s="61">
        <v>32</v>
      </c>
      <c r="B61" s="1370"/>
      <c r="C61" s="91" t="s">
        <v>203</v>
      </c>
      <c r="D61" s="138" t="s">
        <v>204</v>
      </c>
      <c r="E61" s="116" t="s">
        <v>205</v>
      </c>
      <c r="F61" s="106">
        <f t="shared" ref="F61:H64" si="9">I61+L61+O61+R61+U61</f>
        <v>0</v>
      </c>
      <c r="G61" s="106">
        <f t="shared" si="9"/>
        <v>0</v>
      </c>
      <c r="H61" s="107">
        <f t="shared" si="9"/>
        <v>0</v>
      </c>
      <c r="I61" s="29"/>
      <c r="J61" s="29"/>
      <c r="K61" s="29"/>
      <c r="L61" s="139"/>
      <c r="M61" s="140"/>
      <c r="N61" s="140"/>
      <c r="O61" s="139"/>
      <c r="P61" s="140"/>
      <c r="Q61" s="140"/>
      <c r="R61" s="139"/>
      <c r="S61" s="140"/>
      <c r="T61" s="140"/>
      <c r="U61" s="139"/>
      <c r="V61" s="140"/>
      <c r="W61" s="140"/>
      <c r="AA61" s="93"/>
      <c r="AB61" s="93"/>
      <c r="AC61" s="104" t="s">
        <v>206</v>
      </c>
      <c r="AD61" s="83"/>
      <c r="AE61" s="93"/>
      <c r="AF61" s="93"/>
      <c r="AG61" s="83"/>
      <c r="AH61" s="83"/>
      <c r="AI61" s="93"/>
      <c r="AJ61" s="93"/>
      <c r="AK61" s="83"/>
      <c r="AL61" s="83"/>
      <c r="AM61" s="93"/>
      <c r="AN61" s="93"/>
      <c r="AO61" s="83"/>
      <c r="AP61" s="83"/>
      <c r="AQ61" s="93"/>
      <c r="AR61" s="93"/>
      <c r="AS61" s="83"/>
      <c r="AT61" s="83"/>
      <c r="AU61" s="93"/>
      <c r="AV61" s="93"/>
      <c r="AW61" s="83"/>
      <c r="AX61" s="83"/>
      <c r="AY61" s="93"/>
      <c r="AZ61" s="93"/>
    </row>
    <row r="62" spans="1:52" ht="15.75" customHeight="1" x14ac:dyDescent="0.45">
      <c r="A62" s="61">
        <v>33</v>
      </c>
      <c r="B62" s="1370"/>
      <c r="C62" s="91" t="s">
        <v>207</v>
      </c>
      <c r="D62" s="138" t="s">
        <v>204</v>
      </c>
      <c r="E62" s="116" t="s">
        <v>208</v>
      </c>
      <c r="F62" s="106">
        <f t="shared" si="9"/>
        <v>0</v>
      </c>
      <c r="G62" s="106">
        <f t="shared" si="9"/>
        <v>0</v>
      </c>
      <c r="H62" s="107">
        <f t="shared" si="9"/>
        <v>0</v>
      </c>
      <c r="I62" s="29"/>
      <c r="J62" s="29"/>
      <c r="K62" s="29"/>
      <c r="L62" s="139"/>
      <c r="M62" s="140"/>
      <c r="N62" s="140"/>
      <c r="O62" s="139"/>
      <c r="P62" s="140"/>
      <c r="Q62" s="140"/>
      <c r="R62" s="139"/>
      <c r="S62" s="140"/>
      <c r="T62" s="140"/>
      <c r="U62" s="139"/>
      <c r="V62" s="140"/>
      <c r="W62" s="140"/>
      <c r="AA62" s="93"/>
      <c r="AB62" s="93"/>
      <c r="AC62" s="104" t="s">
        <v>209</v>
      </c>
      <c r="AD62" s="83"/>
      <c r="AE62" s="93"/>
      <c r="AF62" s="93"/>
      <c r="AG62" s="83"/>
      <c r="AH62" s="83"/>
      <c r="AI62" s="93"/>
      <c r="AJ62" s="93"/>
      <c r="AK62" s="83"/>
      <c r="AL62" s="83"/>
      <c r="AM62" s="93"/>
      <c r="AN62" s="93"/>
      <c r="AO62" s="83"/>
      <c r="AP62" s="83"/>
      <c r="AQ62" s="93"/>
      <c r="AR62" s="93"/>
      <c r="AS62" s="83"/>
      <c r="AT62" s="83"/>
      <c r="AU62" s="93"/>
      <c r="AV62" s="93"/>
      <c r="AW62" s="83"/>
      <c r="AX62" s="83"/>
      <c r="AY62" s="93"/>
      <c r="AZ62" s="93"/>
    </row>
    <row r="63" spans="1:52" x14ac:dyDescent="0.45">
      <c r="A63" s="61">
        <v>34</v>
      </c>
      <c r="B63" s="1370"/>
      <c r="C63" s="91" t="s">
        <v>210</v>
      </c>
      <c r="D63" s="115"/>
      <c r="E63" s="116" t="s">
        <v>211</v>
      </c>
      <c r="F63" s="106">
        <f t="shared" si="9"/>
        <v>235</v>
      </c>
      <c r="G63" s="106">
        <f t="shared" si="9"/>
        <v>130</v>
      </c>
      <c r="H63" s="107">
        <f t="shared" si="9"/>
        <v>5160</v>
      </c>
      <c r="I63" s="141">
        <f t="shared" ref="I63:W63" si="10">I64-SUM(I61:I62)</f>
        <v>235</v>
      </c>
      <c r="J63" s="142">
        <f t="shared" si="10"/>
        <v>130</v>
      </c>
      <c r="K63" s="143">
        <f t="shared" si="10"/>
        <v>90</v>
      </c>
      <c r="L63" s="142">
        <f t="shared" si="10"/>
        <v>0</v>
      </c>
      <c r="M63" s="142">
        <f t="shared" si="10"/>
        <v>0</v>
      </c>
      <c r="N63" s="143">
        <f t="shared" si="10"/>
        <v>48</v>
      </c>
      <c r="O63" s="142">
        <f t="shared" si="10"/>
        <v>0</v>
      </c>
      <c r="P63" s="142">
        <f t="shared" si="10"/>
        <v>0</v>
      </c>
      <c r="Q63" s="143">
        <f t="shared" si="10"/>
        <v>1694</v>
      </c>
      <c r="R63" s="142">
        <f t="shared" si="10"/>
        <v>0</v>
      </c>
      <c r="S63" s="142">
        <f t="shared" si="10"/>
        <v>0</v>
      </c>
      <c r="T63" s="143">
        <f t="shared" si="10"/>
        <v>2563</v>
      </c>
      <c r="U63" s="142">
        <f t="shared" si="10"/>
        <v>0</v>
      </c>
      <c r="V63" s="142">
        <f t="shared" si="10"/>
        <v>0</v>
      </c>
      <c r="W63" s="143">
        <f t="shared" si="10"/>
        <v>765</v>
      </c>
      <c r="AA63" s="93"/>
      <c r="AB63" s="93"/>
      <c r="AC63" s="104"/>
      <c r="AD63" s="83"/>
      <c r="AE63" s="93"/>
      <c r="AF63" s="93"/>
      <c r="AG63" s="83"/>
      <c r="AH63" s="83"/>
      <c r="AI63" s="93"/>
      <c r="AJ63" s="93"/>
      <c r="AK63" s="83"/>
      <c r="AL63" s="83"/>
      <c r="AM63" s="93"/>
      <c r="AN63" s="93"/>
      <c r="AO63" s="83"/>
      <c r="AP63" s="83"/>
      <c r="AQ63" s="93"/>
      <c r="AR63" s="93"/>
      <c r="AS63" s="83"/>
      <c r="AT63" s="83"/>
      <c r="AU63" s="93"/>
      <c r="AV63" s="93"/>
      <c r="AW63" s="83"/>
      <c r="AX63" s="83"/>
      <c r="AY63" s="93"/>
      <c r="AZ63" s="93"/>
    </row>
    <row r="64" spans="1:52" ht="14.65" thickBot="1" x14ac:dyDescent="0.5">
      <c r="A64" s="61">
        <v>35</v>
      </c>
      <c r="B64" s="1370"/>
      <c r="C64" s="91" t="s">
        <v>212</v>
      </c>
      <c r="D64" s="115"/>
      <c r="E64" s="15" t="s">
        <v>213</v>
      </c>
      <c r="F64" s="106">
        <f t="shared" si="9"/>
        <v>235</v>
      </c>
      <c r="G64" s="106">
        <f t="shared" si="9"/>
        <v>130</v>
      </c>
      <c r="H64" s="107">
        <f t="shared" si="9"/>
        <v>5160</v>
      </c>
      <c r="I64" s="144">
        <f t="shared" ref="I64:W64" si="11">I32</f>
        <v>235</v>
      </c>
      <c r="J64" s="144">
        <f t="shared" si="11"/>
        <v>130</v>
      </c>
      <c r="K64" s="145">
        <f t="shared" si="11"/>
        <v>90</v>
      </c>
      <c r="L64" s="146">
        <f t="shared" si="11"/>
        <v>0</v>
      </c>
      <c r="M64" s="146">
        <f t="shared" si="11"/>
        <v>0</v>
      </c>
      <c r="N64" s="147">
        <f t="shared" si="11"/>
        <v>48</v>
      </c>
      <c r="O64" s="146">
        <f t="shared" si="11"/>
        <v>0</v>
      </c>
      <c r="P64" s="146">
        <f t="shared" si="11"/>
        <v>0</v>
      </c>
      <c r="Q64" s="147">
        <f t="shared" si="11"/>
        <v>1694</v>
      </c>
      <c r="R64" s="146">
        <f t="shared" si="11"/>
        <v>0</v>
      </c>
      <c r="S64" s="146">
        <f t="shared" si="11"/>
        <v>0</v>
      </c>
      <c r="T64" s="147">
        <f t="shared" si="11"/>
        <v>2563</v>
      </c>
      <c r="U64" s="144">
        <f t="shared" si="11"/>
        <v>0</v>
      </c>
      <c r="V64" s="144">
        <f t="shared" si="11"/>
        <v>0</v>
      </c>
      <c r="W64" s="145">
        <f t="shared" si="11"/>
        <v>765</v>
      </c>
      <c r="AA64" s="93"/>
      <c r="AB64" s="93"/>
      <c r="AC64" s="104"/>
      <c r="AD64" s="83"/>
      <c r="AE64" s="93"/>
      <c r="AF64" s="93"/>
      <c r="AG64" s="83"/>
      <c r="AH64" s="83"/>
      <c r="AI64" s="93"/>
      <c r="AJ64" s="93"/>
      <c r="AK64" s="83"/>
      <c r="AL64" s="83"/>
      <c r="AM64" s="93"/>
      <c r="AN64" s="93"/>
      <c r="AO64" s="83"/>
      <c r="AP64" s="83"/>
      <c r="AQ64" s="93"/>
      <c r="AR64" s="93"/>
      <c r="AS64" s="83"/>
      <c r="AT64" s="83"/>
      <c r="AU64" s="93"/>
      <c r="AV64" s="93"/>
      <c r="AW64" s="83"/>
      <c r="AX64" s="83"/>
      <c r="AY64" s="93"/>
      <c r="AZ64" s="93"/>
    </row>
    <row r="65" spans="1:52" ht="14.65" thickTop="1" x14ac:dyDescent="0.45">
      <c r="A65" s="61">
        <v>36</v>
      </c>
      <c r="B65" s="1370"/>
      <c r="C65" s="91"/>
      <c r="D65" s="115"/>
      <c r="E65" s="116"/>
      <c r="F65" s="89"/>
      <c r="G65" s="89"/>
      <c r="H65" s="23"/>
      <c r="I65" s="92"/>
      <c r="J65" s="92"/>
      <c r="K65" s="31"/>
      <c r="L65" s="92"/>
      <c r="M65" s="92"/>
      <c r="N65" s="31"/>
      <c r="O65" s="92"/>
      <c r="P65" s="92"/>
      <c r="Q65" s="31"/>
      <c r="R65" s="92"/>
      <c r="S65" s="92"/>
      <c r="T65" s="31"/>
      <c r="U65" s="92"/>
      <c r="V65" s="92"/>
      <c r="W65" s="31"/>
      <c r="AA65" s="93"/>
      <c r="AB65" s="93"/>
      <c r="AC65" s="104"/>
      <c r="AD65" s="83"/>
      <c r="AE65" s="93"/>
      <c r="AF65" s="93"/>
      <c r="AG65" s="83"/>
      <c r="AH65" s="83"/>
      <c r="AI65" s="93"/>
      <c r="AJ65" s="93"/>
      <c r="AK65" s="83"/>
      <c r="AL65" s="83"/>
      <c r="AM65" s="93"/>
      <c r="AN65" s="93"/>
      <c r="AO65" s="83"/>
      <c r="AP65" s="83"/>
      <c r="AQ65" s="93"/>
      <c r="AR65" s="93"/>
      <c r="AS65" s="83"/>
      <c r="AT65" s="83"/>
      <c r="AU65" s="93"/>
      <c r="AV65" s="93"/>
      <c r="AW65" s="83"/>
      <c r="AX65" s="83"/>
      <c r="AY65" s="93"/>
      <c r="AZ65" s="93"/>
    </row>
    <row r="66" spans="1:52" x14ac:dyDescent="0.45">
      <c r="A66" s="61">
        <v>37</v>
      </c>
      <c r="B66" s="1370"/>
      <c r="C66" s="11" t="s">
        <v>214</v>
      </c>
      <c r="D66" s="103"/>
      <c r="E66" s="12" t="s">
        <v>215</v>
      </c>
      <c r="F66" s="89"/>
      <c r="G66" s="89"/>
      <c r="H66" s="23"/>
      <c r="I66" s="92"/>
      <c r="J66" s="92"/>
      <c r="K66" s="31"/>
      <c r="L66" s="92"/>
      <c r="M66" s="92"/>
      <c r="N66" s="31"/>
      <c r="O66" s="92"/>
      <c r="P66" s="92"/>
      <c r="Q66" s="31"/>
      <c r="R66" s="92"/>
      <c r="S66" s="92"/>
      <c r="T66" s="31"/>
      <c r="U66" s="92"/>
      <c r="V66" s="92"/>
      <c r="W66" s="31"/>
      <c r="AA66" s="93"/>
      <c r="AB66" s="93"/>
      <c r="AC66" s="104"/>
      <c r="AD66" s="83"/>
      <c r="AE66" s="93"/>
      <c r="AF66" s="93"/>
      <c r="AG66" s="83"/>
      <c r="AH66" s="83"/>
      <c r="AI66" s="93"/>
      <c r="AJ66" s="93"/>
      <c r="AK66" s="83"/>
      <c r="AL66" s="83"/>
      <c r="AM66" s="93"/>
      <c r="AN66" s="93"/>
      <c r="AO66" s="83"/>
      <c r="AP66" s="83"/>
      <c r="AQ66" s="93"/>
      <c r="AR66" s="93"/>
      <c r="AS66" s="83"/>
      <c r="AT66" s="83"/>
      <c r="AU66" s="93"/>
      <c r="AV66" s="93"/>
      <c r="AW66" s="83"/>
      <c r="AX66" s="83"/>
      <c r="AY66" s="93"/>
      <c r="AZ66" s="93"/>
    </row>
    <row r="67" spans="1:52" x14ac:dyDescent="0.45">
      <c r="A67" s="61">
        <v>38</v>
      </c>
      <c r="B67" s="1370"/>
      <c r="C67" s="91" t="s">
        <v>216</v>
      </c>
      <c r="D67" s="115"/>
      <c r="E67" s="116" t="s">
        <v>217</v>
      </c>
      <c r="F67" s="148">
        <f>IF(COUNTA(I67,L67,O67,R67,U67)&lt;&gt;0,(I67+L67+O67+R67+U67)/COUNTA(I67,L67,O67,R67,U67),0)</f>
        <v>0</v>
      </c>
      <c r="G67" s="148">
        <f>IF(COUNTA(J67,M67,P67,S67,V67)&lt;&gt;0,(J67+M67+P67+S67+V67)/COUNTA(J67,M67,P67,S67,V67),0)</f>
        <v>0</v>
      </c>
      <c r="H67" s="148">
        <f>IF(COUNTA(K67,N67,Q67,T67,W67)&lt;&gt;0,(K67+N67+Q67+T67+W67)/COUNTA(K67,N67,Q67,T67,W67),0)</f>
        <v>1</v>
      </c>
      <c r="I67" s="149">
        <f>I610</f>
        <v>0</v>
      </c>
      <c r="J67" s="149">
        <f t="shared" ref="J67:W67" si="12">J610</f>
        <v>0</v>
      </c>
      <c r="K67" s="149">
        <f t="shared" si="12"/>
        <v>1</v>
      </c>
      <c r="L67" s="149">
        <f t="shared" si="12"/>
        <v>0</v>
      </c>
      <c r="M67" s="149">
        <f t="shared" si="12"/>
        <v>0</v>
      </c>
      <c r="N67" s="149">
        <f t="shared" si="12"/>
        <v>1</v>
      </c>
      <c r="O67" s="149">
        <f t="shared" si="12"/>
        <v>0</v>
      </c>
      <c r="P67" s="149">
        <f t="shared" si="12"/>
        <v>0</v>
      </c>
      <c r="Q67" s="149">
        <f t="shared" si="12"/>
        <v>1</v>
      </c>
      <c r="R67" s="149">
        <f t="shared" si="12"/>
        <v>0</v>
      </c>
      <c r="S67" s="149">
        <f t="shared" si="12"/>
        <v>0</v>
      </c>
      <c r="T67" s="149">
        <f t="shared" si="12"/>
        <v>1</v>
      </c>
      <c r="U67" s="149">
        <f t="shared" si="12"/>
        <v>0</v>
      </c>
      <c r="V67" s="149">
        <f t="shared" si="12"/>
        <v>0</v>
      </c>
      <c r="W67" s="149">
        <f t="shared" si="12"/>
        <v>1</v>
      </c>
      <c r="AA67" s="93"/>
      <c r="AB67" s="93"/>
      <c r="AC67" s="83"/>
      <c r="AD67" s="83"/>
      <c r="AE67" s="93"/>
      <c r="AF67" s="93"/>
      <c r="AG67" s="83"/>
      <c r="AH67" s="83"/>
      <c r="AI67" s="93"/>
      <c r="AJ67" s="93"/>
      <c r="AK67" s="83"/>
      <c r="AL67" s="83"/>
      <c r="AM67" s="93"/>
      <c r="AN67" s="93"/>
      <c r="AO67" s="83"/>
      <c r="AP67" s="83"/>
      <c r="AQ67" s="93"/>
      <c r="AR67" s="93"/>
      <c r="AS67" s="83"/>
      <c r="AT67" s="83"/>
      <c r="AU67" s="93"/>
      <c r="AV67" s="93"/>
      <c r="AW67" s="83"/>
      <c r="AX67" s="83"/>
      <c r="AY67" s="93"/>
      <c r="AZ67" s="93"/>
    </row>
    <row r="68" spans="1:52" s="158" customFormat="1" x14ac:dyDescent="0.45">
      <c r="A68" s="61">
        <v>39</v>
      </c>
      <c r="B68" s="1370"/>
      <c r="C68" s="150" t="s">
        <v>218</v>
      </c>
      <c r="D68" s="151"/>
      <c r="E68" s="152" t="s">
        <v>219</v>
      </c>
      <c r="F68" s="153">
        <f t="shared" ref="F68:H69" si="13">I68+L68+O68+R68+U68</f>
        <v>5126881</v>
      </c>
      <c r="G68" s="153">
        <f t="shared" si="13"/>
        <v>2897940</v>
      </c>
      <c r="H68" s="154">
        <f t="shared" si="13"/>
        <v>1403759</v>
      </c>
      <c r="I68" s="155">
        <v>4399381</v>
      </c>
      <c r="J68" s="155">
        <v>2402940</v>
      </c>
      <c r="K68" s="155">
        <v>1043759</v>
      </c>
      <c r="L68" s="156">
        <v>727500</v>
      </c>
      <c r="M68" s="157">
        <v>495000</v>
      </c>
      <c r="N68" s="157">
        <v>360000</v>
      </c>
      <c r="O68" s="156"/>
      <c r="P68" s="157"/>
      <c r="Q68" s="157"/>
      <c r="R68" s="156"/>
      <c r="S68" s="157"/>
      <c r="T68" s="157"/>
      <c r="U68" s="156"/>
      <c r="V68" s="157"/>
      <c r="W68" s="157"/>
      <c r="AA68" s="159"/>
      <c r="AB68" s="159"/>
      <c r="AC68" s="160" t="s">
        <v>152</v>
      </c>
      <c r="AD68" s="161"/>
      <c r="AE68" s="159"/>
      <c r="AF68" s="159"/>
      <c r="AG68" s="161"/>
      <c r="AH68" s="161"/>
      <c r="AI68" s="159"/>
      <c r="AJ68" s="159"/>
      <c r="AK68" s="161"/>
      <c r="AL68" s="161"/>
      <c r="AM68" s="159"/>
      <c r="AN68" s="159"/>
      <c r="AO68" s="161"/>
      <c r="AP68" s="161"/>
      <c r="AQ68" s="159"/>
      <c r="AR68" s="159"/>
      <c r="AS68" s="161"/>
      <c r="AT68" s="161"/>
      <c r="AU68" s="159"/>
      <c r="AV68" s="159"/>
      <c r="AW68" s="161"/>
      <c r="AX68" s="161"/>
      <c r="AY68" s="159"/>
      <c r="AZ68" s="159"/>
    </row>
    <row r="69" spans="1:52" s="158" customFormat="1" x14ac:dyDescent="0.45">
      <c r="A69" s="61">
        <v>40</v>
      </c>
      <c r="B69" s="1371"/>
      <c r="C69" s="150" t="s">
        <v>220</v>
      </c>
      <c r="D69" s="151"/>
      <c r="E69" s="162" t="s">
        <v>221</v>
      </c>
      <c r="F69" s="153">
        <f t="shared" si="13"/>
        <v>1076969452</v>
      </c>
      <c r="G69" s="153">
        <f t="shared" si="13"/>
        <v>1021023668.29</v>
      </c>
      <c r="H69" s="154">
        <f t="shared" si="13"/>
        <v>1028182643</v>
      </c>
      <c r="I69" s="163"/>
      <c r="J69" s="163"/>
      <c r="K69" s="163"/>
      <c r="L69" s="156"/>
      <c r="M69" s="157"/>
      <c r="N69" s="157"/>
      <c r="O69" s="156">
        <v>326933856</v>
      </c>
      <c r="P69" s="157">
        <v>308436856</v>
      </c>
      <c r="Q69" s="157">
        <v>301246856</v>
      </c>
      <c r="R69" s="156">
        <v>426862555</v>
      </c>
      <c r="S69" s="157">
        <v>388814792.29000002</v>
      </c>
      <c r="T69" s="157">
        <v>412709008</v>
      </c>
      <c r="U69" s="156">
        <v>323173041</v>
      </c>
      <c r="V69" s="157">
        <v>323772020</v>
      </c>
      <c r="W69" s="157">
        <v>314226779</v>
      </c>
      <c r="AA69" s="159"/>
      <c r="AB69" s="159"/>
      <c r="AC69" s="160" t="s">
        <v>222</v>
      </c>
      <c r="AD69" s="161"/>
      <c r="AE69" s="159"/>
      <c r="AF69" s="159"/>
      <c r="AG69" s="161"/>
      <c r="AH69" s="161"/>
      <c r="AI69" s="159"/>
      <c r="AJ69" s="159"/>
      <c r="AK69" s="161"/>
      <c r="AL69" s="161"/>
      <c r="AM69" s="159"/>
      <c r="AN69" s="159"/>
      <c r="AO69" s="161"/>
      <c r="AP69" s="161"/>
      <c r="AQ69" s="159"/>
      <c r="AR69" s="159"/>
      <c r="AS69" s="161"/>
      <c r="AT69" s="161"/>
      <c r="AU69" s="159"/>
      <c r="AV69" s="159"/>
      <c r="AW69" s="161"/>
      <c r="AX69" s="161"/>
      <c r="AY69" s="159"/>
      <c r="AZ69" s="159"/>
    </row>
    <row r="70" spans="1:52" x14ac:dyDescent="0.45">
      <c r="C70" s="91"/>
      <c r="D70" s="115"/>
      <c r="E70" s="116"/>
      <c r="F70" s="89"/>
      <c r="G70" s="89"/>
      <c r="H70" s="23"/>
      <c r="I70" s="92"/>
      <c r="J70" s="92"/>
      <c r="K70" s="31"/>
      <c r="L70" s="92"/>
      <c r="M70" s="92"/>
      <c r="N70" s="31"/>
      <c r="O70" s="92"/>
      <c r="P70" s="92"/>
      <c r="Q70" s="31"/>
      <c r="R70" s="92"/>
      <c r="S70" s="92"/>
      <c r="T70" s="31"/>
      <c r="U70" s="92"/>
      <c r="V70" s="92"/>
      <c r="W70" s="31"/>
      <c r="AA70" s="93"/>
      <c r="AB70" s="93"/>
      <c r="AC70" s="83"/>
      <c r="AD70" s="83"/>
      <c r="AE70" s="93"/>
      <c r="AF70" s="93"/>
      <c r="AG70" s="83"/>
      <c r="AH70" s="83"/>
      <c r="AI70" s="93"/>
      <c r="AJ70" s="93"/>
      <c r="AK70" s="83"/>
      <c r="AL70" s="83"/>
      <c r="AM70" s="93"/>
      <c r="AN70" s="93"/>
      <c r="AO70" s="83"/>
      <c r="AP70" s="83"/>
      <c r="AQ70" s="93"/>
      <c r="AR70" s="93"/>
      <c r="AS70" s="83"/>
      <c r="AT70" s="83"/>
      <c r="AU70" s="93"/>
      <c r="AV70" s="93"/>
      <c r="AW70" s="83"/>
      <c r="AX70" s="83"/>
      <c r="AY70" s="93"/>
      <c r="AZ70" s="93"/>
    </row>
    <row r="71" spans="1:52" ht="15.75" x14ac:dyDescent="0.45">
      <c r="A71" s="571">
        <v>1</v>
      </c>
      <c r="B71" s="1377" t="s">
        <v>223</v>
      </c>
      <c r="C71" s="9" t="s">
        <v>224</v>
      </c>
      <c r="D71" s="102"/>
      <c r="E71" s="10" t="s">
        <v>225</v>
      </c>
      <c r="F71" s="89"/>
      <c r="G71" s="89"/>
      <c r="H71" s="23"/>
      <c r="I71" s="92"/>
      <c r="J71" s="92"/>
      <c r="K71" s="31"/>
      <c r="L71" s="92"/>
      <c r="M71" s="92"/>
      <c r="N71" s="31"/>
      <c r="O71" s="92"/>
      <c r="P71" s="92"/>
      <c r="Q71" s="31"/>
      <c r="R71" s="92"/>
      <c r="S71" s="92"/>
      <c r="T71" s="31"/>
      <c r="U71" s="92"/>
      <c r="V71" s="92"/>
      <c r="W71" s="31"/>
      <c r="AA71" s="93"/>
      <c r="AB71" s="93"/>
      <c r="AC71" s="83"/>
      <c r="AD71" s="83"/>
      <c r="AE71" s="93"/>
      <c r="AF71" s="93"/>
      <c r="AG71" s="83"/>
      <c r="AH71" s="83"/>
      <c r="AI71" s="93"/>
      <c r="AJ71" s="93"/>
      <c r="AK71" s="83"/>
      <c r="AL71" s="83"/>
      <c r="AM71" s="93"/>
      <c r="AN71" s="93"/>
      <c r="AO71" s="83"/>
      <c r="AP71" s="83"/>
      <c r="AQ71" s="93"/>
      <c r="AR71" s="93"/>
      <c r="AS71" s="83"/>
      <c r="AT71" s="83"/>
      <c r="AU71" s="93"/>
      <c r="AV71" s="93"/>
      <c r="AW71" s="83"/>
      <c r="AX71" s="83"/>
      <c r="AY71" s="93"/>
      <c r="AZ71" s="93"/>
    </row>
    <row r="72" spans="1:52" x14ac:dyDescent="0.45">
      <c r="A72" s="571">
        <v>2</v>
      </c>
      <c r="B72" s="1378"/>
      <c r="C72" s="11" t="s">
        <v>226</v>
      </c>
      <c r="D72" s="103"/>
      <c r="E72" s="12" t="s">
        <v>227</v>
      </c>
      <c r="F72" s="89"/>
      <c r="G72" s="89"/>
      <c r="H72" s="23"/>
      <c r="I72" s="14"/>
      <c r="J72" s="92"/>
      <c r="K72" s="31"/>
      <c r="L72" s="92"/>
      <c r="M72" s="92"/>
      <c r="N72" s="31"/>
      <c r="O72" s="92"/>
      <c r="P72" s="92"/>
      <c r="Q72" s="31"/>
      <c r="R72" s="92"/>
      <c r="S72" s="92"/>
      <c r="T72" s="31"/>
      <c r="U72" s="92"/>
      <c r="V72" s="92"/>
      <c r="W72" s="31"/>
      <c r="AA72" s="93"/>
      <c r="AB72" s="93"/>
      <c r="AC72" s="83"/>
      <c r="AD72" s="83"/>
      <c r="AE72" s="93"/>
      <c r="AF72" s="93"/>
      <c r="AG72" s="83"/>
      <c r="AH72" s="83"/>
      <c r="AI72" s="93"/>
      <c r="AJ72" s="93"/>
      <c r="AK72" s="83"/>
      <c r="AL72" s="83"/>
      <c r="AM72" s="93"/>
      <c r="AN72" s="93"/>
      <c r="AO72" s="83"/>
      <c r="AP72" s="83"/>
      <c r="AQ72" s="93"/>
      <c r="AR72" s="93"/>
      <c r="AS72" s="83"/>
      <c r="AT72" s="83"/>
      <c r="AU72" s="93"/>
      <c r="AV72" s="93"/>
      <c r="AW72" s="83"/>
      <c r="AX72" s="83"/>
      <c r="AY72" s="93"/>
      <c r="AZ72" s="93"/>
    </row>
    <row r="73" spans="1:52" ht="18" customHeight="1" x14ac:dyDescent="0.45">
      <c r="A73" s="571">
        <v>3</v>
      </c>
      <c r="B73" s="1378"/>
      <c r="C73" s="164" t="s">
        <v>228</v>
      </c>
      <c r="D73" s="128" t="s">
        <v>229</v>
      </c>
      <c r="E73" s="165" t="s">
        <v>230</v>
      </c>
      <c r="F73" s="130">
        <f t="shared" ref="F73:H74" si="14">I73+L73+O73+R73+U73</f>
        <v>13274959000</v>
      </c>
      <c r="G73" s="130">
        <f t="shared" si="14"/>
        <v>13316096000</v>
      </c>
      <c r="H73" s="131">
        <f t="shared" si="14"/>
        <v>13110097000</v>
      </c>
      <c r="I73" s="166">
        <v>2523803000</v>
      </c>
      <c r="J73" s="166">
        <v>2392718000</v>
      </c>
      <c r="K73" s="166">
        <v>2462372000</v>
      </c>
      <c r="L73" s="167">
        <v>1350936000</v>
      </c>
      <c r="M73" s="166">
        <v>1061756000</v>
      </c>
      <c r="N73" s="166">
        <v>1057284000</v>
      </c>
      <c r="O73" s="167">
        <v>4108399000</v>
      </c>
      <c r="P73" s="166">
        <v>4417641000</v>
      </c>
      <c r="Q73" s="166">
        <v>4071467000</v>
      </c>
      <c r="R73" s="167">
        <v>3332584000</v>
      </c>
      <c r="S73" s="166">
        <v>3509045000</v>
      </c>
      <c r="T73" s="166">
        <v>3543852000</v>
      </c>
      <c r="U73" s="167">
        <v>1959237000</v>
      </c>
      <c r="V73" s="166">
        <v>1934936000</v>
      </c>
      <c r="W73" s="166">
        <v>1975122000</v>
      </c>
      <c r="AA73" s="93"/>
      <c r="AB73" s="93"/>
      <c r="AC73" s="83" t="s">
        <v>231</v>
      </c>
      <c r="AD73" s="83"/>
      <c r="AE73" s="93"/>
      <c r="AF73" s="93"/>
      <c r="AG73" s="83"/>
      <c r="AH73" s="83"/>
      <c r="AI73" s="93"/>
      <c r="AJ73" s="93"/>
      <c r="AK73" s="83"/>
      <c r="AL73" s="83"/>
      <c r="AM73" s="93"/>
      <c r="AN73" s="93"/>
      <c r="AO73" s="83"/>
      <c r="AP73" s="83"/>
      <c r="AQ73" s="93"/>
      <c r="AR73" s="93"/>
      <c r="AS73" s="83"/>
      <c r="AT73" s="83"/>
      <c r="AU73" s="93"/>
      <c r="AV73" s="93"/>
      <c r="AW73" s="83"/>
      <c r="AX73" s="83"/>
      <c r="AY73" s="93"/>
      <c r="AZ73" s="93"/>
    </row>
    <row r="74" spans="1:52" ht="17.25" customHeight="1" x14ac:dyDescent="0.45">
      <c r="A74" s="571">
        <v>4</v>
      </c>
      <c r="B74" s="1378"/>
      <c r="C74" s="164" t="s">
        <v>232</v>
      </c>
      <c r="D74" s="128" t="s">
        <v>229</v>
      </c>
      <c r="E74" s="168" t="s">
        <v>233</v>
      </c>
      <c r="F74" s="130">
        <f t="shared" si="14"/>
        <v>17923184</v>
      </c>
      <c r="G74" s="130">
        <f t="shared" si="14"/>
        <v>17604545</v>
      </c>
      <c r="H74" s="131">
        <f t="shared" si="14"/>
        <v>10717984</v>
      </c>
      <c r="I74" s="166">
        <v>5576064</v>
      </c>
      <c r="J74" s="166">
        <v>1243913</v>
      </c>
      <c r="K74" s="166">
        <v>313420</v>
      </c>
      <c r="L74" s="167">
        <v>157500</v>
      </c>
      <c r="M74" s="1004">
        <v>135000</v>
      </c>
      <c r="N74" s="1004">
        <v>0</v>
      </c>
      <c r="O74" s="167">
        <v>1522381</v>
      </c>
      <c r="P74" s="166">
        <v>2645202</v>
      </c>
      <c r="Q74" s="1004">
        <v>1475617</v>
      </c>
      <c r="R74" s="167">
        <v>10104396</v>
      </c>
      <c r="S74" s="166">
        <v>13221991</v>
      </c>
      <c r="T74" s="166">
        <v>8660989</v>
      </c>
      <c r="U74" s="167">
        <v>562843</v>
      </c>
      <c r="V74" s="166">
        <v>358439</v>
      </c>
      <c r="W74" s="1004">
        <v>267958</v>
      </c>
      <c r="AA74" s="93"/>
      <c r="AB74" s="93"/>
      <c r="AC74" s="83" t="s">
        <v>233</v>
      </c>
      <c r="AD74" s="83"/>
      <c r="AE74" s="93"/>
      <c r="AF74" s="93"/>
      <c r="AG74" s="83"/>
      <c r="AH74" s="83"/>
      <c r="AI74" s="93"/>
      <c r="AJ74" s="93"/>
      <c r="AK74" s="83"/>
      <c r="AL74" s="83"/>
      <c r="AM74" s="93"/>
      <c r="AN74" s="93"/>
      <c r="AO74" s="83"/>
      <c r="AP74" s="83"/>
      <c r="AQ74" s="93"/>
      <c r="AR74" s="93"/>
      <c r="AS74" s="83"/>
      <c r="AT74" s="83"/>
      <c r="AU74" s="93"/>
      <c r="AV74" s="93"/>
      <c r="AW74" s="83"/>
      <c r="AX74" s="83"/>
      <c r="AY74" s="93"/>
      <c r="AZ74" s="93"/>
    </row>
    <row r="75" spans="1:52" x14ac:dyDescent="0.45">
      <c r="A75" s="571">
        <v>5</v>
      </c>
      <c r="B75" s="1378"/>
      <c r="C75" s="91"/>
      <c r="D75" s="115"/>
      <c r="E75" s="116"/>
      <c r="F75" s="89"/>
      <c r="G75" s="89"/>
      <c r="H75" s="23"/>
      <c r="I75" s="92"/>
      <c r="J75" s="92"/>
      <c r="K75" s="202">
        <f>K74*3/6+J74*2/6+I74*1/6</f>
        <v>1500691.6666666667</v>
      </c>
      <c r="L75" s="92"/>
      <c r="M75" s="92"/>
      <c r="N75" s="202">
        <f>N74*3/4+L74*1/4</f>
        <v>39375</v>
      </c>
      <c r="O75" s="92"/>
      <c r="P75" s="92"/>
      <c r="Q75" s="202">
        <f>Q74*3/6+P74*2/6+O74*1/6</f>
        <v>1873272.6666666667</v>
      </c>
      <c r="R75" s="92"/>
      <c r="S75" s="92"/>
      <c r="T75" s="202">
        <f>T74*3/6+S74*2/6+R74*1/6</f>
        <v>10421890.833333332</v>
      </c>
      <c r="U75" s="92"/>
      <c r="V75" s="92"/>
      <c r="W75" s="202">
        <f>V74*2/3+U74*1/3</f>
        <v>426573.66666666669</v>
      </c>
      <c r="AA75" s="92"/>
      <c r="AB75" s="92"/>
      <c r="AC75" s="83"/>
      <c r="AD75" s="83"/>
      <c r="AE75" s="93"/>
      <c r="AF75" s="93"/>
      <c r="AG75" s="83"/>
      <c r="AH75" s="83"/>
      <c r="AI75" s="93"/>
      <c r="AJ75" s="93"/>
      <c r="AK75" s="83"/>
      <c r="AL75" s="83"/>
      <c r="AM75" s="93"/>
      <c r="AN75" s="93"/>
      <c r="AO75" s="83"/>
      <c r="AP75" s="83"/>
      <c r="AQ75" s="93"/>
      <c r="AR75" s="93"/>
      <c r="AS75" s="83"/>
      <c r="AT75" s="83"/>
      <c r="AU75" s="93"/>
      <c r="AV75" s="93"/>
      <c r="AW75" s="83"/>
      <c r="AX75" s="83"/>
      <c r="AY75" s="93"/>
      <c r="AZ75" s="93"/>
    </row>
    <row r="76" spans="1:52" x14ac:dyDescent="0.45">
      <c r="A76" s="571">
        <v>6</v>
      </c>
      <c r="B76" s="1378"/>
      <c r="C76" s="11" t="s">
        <v>234</v>
      </c>
      <c r="D76" s="103"/>
      <c r="E76" s="169" t="s">
        <v>235</v>
      </c>
      <c r="F76" s="89"/>
      <c r="G76" s="89"/>
      <c r="H76" s="23"/>
      <c r="I76" s="170"/>
      <c r="J76" s="171"/>
      <c r="K76" s="172"/>
      <c r="L76" s="171"/>
      <c r="M76" s="171"/>
      <c r="N76" s="172"/>
      <c r="O76" s="171"/>
      <c r="P76" s="171"/>
      <c r="Q76" s="172"/>
      <c r="R76" s="171"/>
      <c r="S76" s="171"/>
      <c r="T76" s="172"/>
      <c r="U76" s="171"/>
      <c r="V76" s="171"/>
      <c r="W76" s="172"/>
      <c r="AA76" s="92"/>
      <c r="AB76" s="92"/>
      <c r="AC76" s="83"/>
      <c r="AD76" s="83"/>
      <c r="AE76" s="93"/>
      <c r="AF76" s="93"/>
      <c r="AG76" s="83"/>
      <c r="AH76" s="83"/>
      <c r="AI76" s="93"/>
      <c r="AJ76" s="93"/>
      <c r="AK76" s="83"/>
      <c r="AL76" s="83"/>
      <c r="AM76" s="93"/>
      <c r="AN76" s="93"/>
      <c r="AO76" s="83"/>
      <c r="AP76" s="83"/>
      <c r="AQ76" s="93"/>
      <c r="AR76" s="93"/>
      <c r="AS76" s="83"/>
      <c r="AT76" s="83"/>
      <c r="AU76" s="93"/>
      <c r="AV76" s="93"/>
      <c r="AW76" s="83"/>
      <c r="AX76" s="83"/>
      <c r="AY76" s="93"/>
      <c r="AZ76" s="93"/>
    </row>
    <row r="77" spans="1:52" ht="15" customHeight="1" x14ac:dyDescent="0.45">
      <c r="A77" s="571">
        <v>7</v>
      </c>
      <c r="B77" s="1378"/>
      <c r="C77" s="91" t="s">
        <v>236</v>
      </c>
      <c r="D77" s="128" t="s">
        <v>237</v>
      </c>
      <c r="E77" s="116" t="s">
        <v>238</v>
      </c>
      <c r="F77" s="106">
        <f t="shared" ref="F77:H78" si="15">I77+L77+O77+R77+U77</f>
        <v>0</v>
      </c>
      <c r="G77" s="106">
        <f t="shared" si="15"/>
        <v>238</v>
      </c>
      <c r="H77" s="107">
        <f t="shared" si="15"/>
        <v>0</v>
      </c>
      <c r="I77" s="24"/>
      <c r="J77" s="24">
        <v>238</v>
      </c>
      <c r="K77" s="24"/>
      <c r="L77" s="109"/>
      <c r="M77" s="30"/>
      <c r="N77" s="30"/>
      <c r="O77" s="109"/>
      <c r="P77" s="30"/>
      <c r="Q77" s="30"/>
      <c r="R77" s="109"/>
      <c r="S77" s="30"/>
      <c r="T77" s="30"/>
      <c r="U77" s="109"/>
      <c r="V77" s="30"/>
      <c r="W77" s="30"/>
      <c r="AA77" s="93"/>
      <c r="AB77" s="93"/>
      <c r="AC77" s="83"/>
      <c r="AD77" s="83"/>
      <c r="AE77" s="93"/>
      <c r="AF77" s="93"/>
      <c r="AG77" s="83"/>
      <c r="AH77" s="83"/>
      <c r="AI77" s="93"/>
      <c r="AJ77" s="93"/>
      <c r="AK77" s="83"/>
      <c r="AL77" s="83"/>
      <c r="AM77" s="93"/>
      <c r="AN77" s="93"/>
      <c r="AO77" s="83"/>
      <c r="AP77" s="83"/>
      <c r="AQ77" s="93"/>
      <c r="AR77" s="93"/>
      <c r="AS77" s="83"/>
      <c r="AT77" s="83"/>
      <c r="AU77" s="93"/>
      <c r="AV77" s="93"/>
      <c r="AW77" s="83"/>
      <c r="AX77" s="83"/>
      <c r="AY77" s="93"/>
      <c r="AZ77" s="93"/>
    </row>
    <row r="78" spans="1:52" ht="18" customHeight="1" x14ac:dyDescent="0.45">
      <c r="A78" s="571">
        <v>8</v>
      </c>
      <c r="B78" s="1379"/>
      <c r="C78" s="91" t="s">
        <v>239</v>
      </c>
      <c r="D78" s="128" t="s">
        <v>237</v>
      </c>
      <c r="E78" s="116" t="s">
        <v>240</v>
      </c>
      <c r="F78" s="130">
        <f t="shared" si="15"/>
        <v>0</v>
      </c>
      <c r="G78" s="130">
        <f t="shared" si="15"/>
        <v>0</v>
      </c>
      <c r="H78" s="131">
        <f t="shared" si="15"/>
        <v>0</v>
      </c>
      <c r="I78" s="132"/>
      <c r="J78" s="132"/>
      <c r="K78" s="132"/>
      <c r="L78" s="133"/>
      <c r="M78" s="132"/>
      <c r="N78" s="132"/>
      <c r="O78" s="133"/>
      <c r="P78" s="132"/>
      <c r="Q78" s="132"/>
      <c r="R78" s="133"/>
      <c r="S78" s="132"/>
      <c r="T78" s="132"/>
      <c r="U78" s="133"/>
      <c r="V78" s="132"/>
      <c r="W78" s="132"/>
      <c r="AA78" s="93"/>
      <c r="AB78" s="93"/>
      <c r="AC78" s="83"/>
      <c r="AD78" s="83"/>
      <c r="AE78" s="93"/>
      <c r="AF78" s="93"/>
      <c r="AG78" s="83"/>
      <c r="AH78" s="83"/>
      <c r="AI78" s="93"/>
      <c r="AJ78" s="93"/>
      <c r="AK78" s="83"/>
      <c r="AL78" s="83"/>
      <c r="AM78" s="93"/>
      <c r="AN78" s="93"/>
      <c r="AO78" s="83"/>
      <c r="AP78" s="83"/>
      <c r="AQ78" s="93"/>
      <c r="AR78" s="93"/>
      <c r="AS78" s="83"/>
      <c r="AT78" s="83"/>
      <c r="AU78" s="93"/>
      <c r="AV78" s="93"/>
      <c r="AW78" s="83"/>
      <c r="AX78" s="83"/>
      <c r="AY78" s="93"/>
      <c r="AZ78" s="93"/>
    </row>
    <row r="79" spans="1:52" x14ac:dyDescent="0.45">
      <c r="C79" s="91"/>
      <c r="D79" s="115"/>
      <c r="E79" s="116"/>
      <c r="F79" s="89"/>
      <c r="G79" s="89"/>
      <c r="H79" s="23"/>
      <c r="I79" s="92"/>
      <c r="J79" s="92"/>
      <c r="K79" s="31"/>
      <c r="L79" s="92"/>
      <c r="M79" s="92"/>
      <c r="N79" s="31"/>
      <c r="O79" s="92"/>
      <c r="P79" s="92"/>
      <c r="Q79" s="31"/>
      <c r="R79" s="92"/>
      <c r="S79" s="92"/>
      <c r="T79" s="31"/>
      <c r="U79" s="92"/>
      <c r="V79" s="92"/>
      <c r="W79" s="31"/>
      <c r="AA79" s="93"/>
      <c r="AB79" s="93"/>
      <c r="AC79" s="83"/>
      <c r="AD79" s="83"/>
      <c r="AE79" s="93"/>
      <c r="AF79" s="93"/>
      <c r="AG79" s="83"/>
      <c r="AH79" s="83"/>
      <c r="AI79" s="93"/>
      <c r="AJ79" s="93"/>
      <c r="AK79" s="83"/>
      <c r="AL79" s="83"/>
      <c r="AM79" s="93"/>
      <c r="AN79" s="93"/>
      <c r="AO79" s="83"/>
      <c r="AP79" s="83"/>
      <c r="AQ79" s="93"/>
      <c r="AR79" s="93"/>
      <c r="AS79" s="83"/>
      <c r="AT79" s="83"/>
      <c r="AU79" s="93"/>
      <c r="AV79" s="93"/>
      <c r="AW79" s="83"/>
      <c r="AX79" s="83"/>
      <c r="AY79" s="93"/>
      <c r="AZ79" s="93"/>
    </row>
    <row r="80" spans="1:52" x14ac:dyDescent="0.45">
      <c r="C80" s="91"/>
      <c r="D80" s="115"/>
      <c r="E80" s="116"/>
      <c r="F80" s="89"/>
      <c r="G80" s="89"/>
      <c r="H80" s="23"/>
      <c r="I80" s="92"/>
      <c r="J80" s="92"/>
      <c r="K80" s="31"/>
      <c r="L80" s="92"/>
      <c r="M80" s="92"/>
      <c r="N80" s="31"/>
      <c r="O80" s="92"/>
      <c r="P80" s="92"/>
      <c r="Q80" s="31"/>
      <c r="R80" s="92"/>
      <c r="S80" s="92"/>
      <c r="T80" s="31"/>
      <c r="U80" s="92"/>
      <c r="V80" s="92"/>
      <c r="W80" s="31"/>
      <c r="AA80" s="93"/>
      <c r="AB80" s="93"/>
      <c r="AC80" s="83"/>
      <c r="AD80" s="83"/>
      <c r="AE80" s="93"/>
      <c r="AF80" s="93"/>
      <c r="AG80" s="83"/>
      <c r="AH80" s="83"/>
      <c r="AI80" s="93"/>
      <c r="AJ80" s="93"/>
      <c r="AK80" s="83"/>
      <c r="AL80" s="83"/>
      <c r="AM80" s="93"/>
      <c r="AN80" s="93"/>
      <c r="AO80" s="83"/>
      <c r="AP80" s="83"/>
      <c r="AQ80" s="93"/>
      <c r="AR80" s="93"/>
      <c r="AS80" s="83"/>
      <c r="AT80" s="83"/>
      <c r="AU80" s="93"/>
      <c r="AV80" s="93"/>
      <c r="AW80" s="83"/>
      <c r="AX80" s="83"/>
      <c r="AY80" s="93"/>
      <c r="AZ80" s="93"/>
    </row>
    <row r="81" spans="1:52" ht="15.75" x14ac:dyDescent="0.45">
      <c r="A81" s="571"/>
      <c r="B81" s="1369" t="s">
        <v>241</v>
      </c>
      <c r="C81" s="9" t="s">
        <v>242</v>
      </c>
      <c r="D81" s="102"/>
      <c r="E81" s="10" t="s">
        <v>243</v>
      </c>
      <c r="F81" s="89"/>
      <c r="G81" s="89"/>
      <c r="H81" s="23"/>
      <c r="I81" s="90"/>
      <c r="J81" s="92"/>
      <c r="K81" s="31"/>
      <c r="L81" s="92"/>
      <c r="M81" s="92"/>
      <c r="N81" s="31"/>
      <c r="O81" s="92"/>
      <c r="P81" s="92"/>
      <c r="Q81" s="31"/>
      <c r="R81" s="92"/>
      <c r="S81" s="92"/>
      <c r="T81" s="31"/>
      <c r="U81" s="92"/>
      <c r="V81" s="92"/>
      <c r="W81" s="31"/>
      <c r="AA81" s="93"/>
      <c r="AB81" s="93"/>
      <c r="AC81" s="83"/>
      <c r="AD81" s="83"/>
      <c r="AE81" s="93"/>
      <c r="AF81" s="93"/>
      <c r="AG81" s="83"/>
      <c r="AH81" s="83"/>
      <c r="AI81" s="93"/>
      <c r="AJ81" s="93"/>
      <c r="AK81" s="83"/>
      <c r="AL81" s="83"/>
      <c r="AM81" s="93"/>
      <c r="AN81" s="93"/>
      <c r="AO81" s="83"/>
      <c r="AP81" s="83"/>
      <c r="AQ81" s="93"/>
      <c r="AR81" s="93"/>
      <c r="AS81" s="83"/>
      <c r="AT81" s="83"/>
      <c r="AU81" s="93"/>
      <c r="AV81" s="93"/>
      <c r="AW81" s="83"/>
      <c r="AX81" s="83"/>
      <c r="AY81" s="93"/>
      <c r="AZ81" s="93"/>
    </row>
    <row r="82" spans="1:52" x14ac:dyDescent="0.45">
      <c r="A82" s="571"/>
      <c r="B82" s="1370"/>
      <c r="C82" s="11" t="s">
        <v>244</v>
      </c>
      <c r="D82" s="103"/>
      <c r="E82" s="12" t="s">
        <v>245</v>
      </c>
      <c r="F82" s="89"/>
      <c r="G82" s="89"/>
      <c r="H82" s="23"/>
      <c r="I82" s="90"/>
      <c r="J82" s="92"/>
      <c r="K82" s="31"/>
      <c r="L82" s="92"/>
      <c r="M82" s="92"/>
      <c r="N82" s="31"/>
      <c r="O82" s="92"/>
      <c r="P82" s="92"/>
      <c r="Q82" s="31"/>
      <c r="R82" s="92"/>
      <c r="S82" s="92"/>
      <c r="T82" s="31"/>
      <c r="U82" s="92"/>
      <c r="V82" s="92"/>
      <c r="W82" s="31"/>
      <c r="AA82" s="93"/>
      <c r="AB82" s="93"/>
      <c r="AC82" s="83"/>
      <c r="AD82" s="83"/>
      <c r="AE82" s="93"/>
      <c r="AF82" s="93"/>
      <c r="AG82" s="83"/>
      <c r="AH82" s="83"/>
      <c r="AI82" s="93"/>
      <c r="AJ82" s="93"/>
      <c r="AK82" s="83"/>
      <c r="AL82" s="83"/>
      <c r="AM82" s="93"/>
      <c r="AN82" s="93"/>
      <c r="AO82" s="83"/>
      <c r="AP82" s="83"/>
      <c r="AQ82" s="93"/>
      <c r="AR82" s="93"/>
      <c r="AS82" s="83"/>
      <c r="AT82" s="83"/>
      <c r="AU82" s="93"/>
      <c r="AV82" s="93"/>
      <c r="AW82" s="83"/>
      <c r="AX82" s="83"/>
      <c r="AY82" s="93"/>
      <c r="AZ82" s="93"/>
    </row>
    <row r="83" spans="1:52" ht="18" customHeight="1" x14ac:dyDescent="0.45">
      <c r="A83" s="571">
        <v>1</v>
      </c>
      <c r="B83" s="1370"/>
      <c r="C83" s="91" t="s">
        <v>246</v>
      </c>
      <c r="D83" s="173" t="s">
        <v>204</v>
      </c>
      <c r="E83" s="116" t="s">
        <v>247</v>
      </c>
      <c r="F83" s="106">
        <f t="shared" ref="F83:H86" si="16">I83+L83+O83+R83+U83</f>
        <v>0</v>
      </c>
      <c r="G83" s="106">
        <f t="shared" si="16"/>
        <v>203</v>
      </c>
      <c r="H83" s="107">
        <f t="shared" si="16"/>
        <v>88</v>
      </c>
      <c r="I83" s="29">
        <v>0</v>
      </c>
      <c r="J83" s="29">
        <v>203</v>
      </c>
      <c r="K83" s="29">
        <v>88</v>
      </c>
      <c r="L83" s="29"/>
      <c r="M83" s="29"/>
      <c r="N83" s="29"/>
      <c r="O83" s="29"/>
      <c r="P83" s="29"/>
      <c r="Q83" s="29"/>
      <c r="R83" s="29"/>
      <c r="S83" s="29"/>
      <c r="T83" s="29"/>
      <c r="U83" s="29"/>
      <c r="V83" s="29"/>
      <c r="W83" s="29"/>
      <c r="AA83" s="93"/>
      <c r="AB83" s="93"/>
      <c r="AC83" s="83"/>
      <c r="AD83" s="83" t="s">
        <v>248</v>
      </c>
      <c r="AE83" s="93"/>
      <c r="AF83" s="93"/>
      <c r="AG83" s="83"/>
      <c r="AH83" s="83"/>
      <c r="AI83" s="93"/>
      <c r="AJ83" s="93"/>
      <c r="AK83" s="83"/>
      <c r="AL83" s="83"/>
      <c r="AM83" s="93"/>
      <c r="AN83" s="93"/>
      <c r="AO83" s="83"/>
      <c r="AP83" s="83"/>
      <c r="AQ83" s="93"/>
      <c r="AR83" s="93"/>
      <c r="AS83" s="83"/>
      <c r="AT83" s="83"/>
      <c r="AU83" s="93"/>
      <c r="AV83" s="93"/>
      <c r="AW83" s="83"/>
      <c r="AX83" s="83"/>
      <c r="AY83" s="93"/>
      <c r="AZ83" s="93"/>
    </row>
    <row r="84" spans="1:52" ht="21.75" customHeight="1" x14ac:dyDescent="0.45">
      <c r="A84" s="571">
        <v>2</v>
      </c>
      <c r="B84" s="1370"/>
      <c r="C84" s="91" t="s">
        <v>249</v>
      </c>
      <c r="D84" s="173" t="s">
        <v>204</v>
      </c>
      <c r="E84" s="116" t="s">
        <v>250</v>
      </c>
      <c r="F84" s="106">
        <f t="shared" si="16"/>
        <v>0</v>
      </c>
      <c r="G84" s="106">
        <f t="shared" si="16"/>
        <v>1007</v>
      </c>
      <c r="H84" s="107">
        <f t="shared" si="16"/>
        <v>1682</v>
      </c>
      <c r="I84" s="29"/>
      <c r="J84" s="29">
        <v>2</v>
      </c>
      <c r="K84" s="29">
        <v>6</v>
      </c>
      <c r="L84" s="29"/>
      <c r="M84" s="29">
        <v>0</v>
      </c>
      <c r="N84" s="29">
        <v>0</v>
      </c>
      <c r="O84" s="29"/>
      <c r="P84" s="29">
        <v>220</v>
      </c>
      <c r="Q84" s="29">
        <v>294</v>
      </c>
      <c r="R84" s="29"/>
      <c r="S84" s="29">
        <v>148</v>
      </c>
      <c r="T84" s="29">
        <v>566</v>
      </c>
      <c r="U84" s="29"/>
      <c r="V84" s="29">
        <v>637</v>
      </c>
      <c r="W84" s="29">
        <v>816</v>
      </c>
      <c r="AA84" s="93"/>
      <c r="AB84" s="93"/>
      <c r="AC84" s="83"/>
      <c r="AD84" s="83" t="s">
        <v>251</v>
      </c>
      <c r="AE84" s="93"/>
      <c r="AF84" s="93"/>
      <c r="AG84" s="119" t="s">
        <v>252</v>
      </c>
      <c r="AH84" s="83"/>
      <c r="AI84" s="93"/>
      <c r="AJ84" s="93"/>
      <c r="AK84" s="119" t="s">
        <v>252</v>
      </c>
      <c r="AL84" s="83"/>
      <c r="AM84" s="93"/>
      <c r="AN84" s="93"/>
      <c r="AO84" s="83"/>
      <c r="AP84" s="83"/>
      <c r="AQ84" s="93"/>
      <c r="AR84" s="93"/>
      <c r="AS84" s="83"/>
      <c r="AT84" s="83"/>
      <c r="AU84" s="93"/>
      <c r="AV84" s="93"/>
      <c r="AW84" s="83"/>
      <c r="AX84" s="83"/>
      <c r="AY84" s="93"/>
      <c r="AZ84" s="93"/>
    </row>
    <row r="85" spans="1:52" ht="18.75" customHeight="1" x14ac:dyDescent="0.45">
      <c r="A85" s="571">
        <v>3</v>
      </c>
      <c r="B85" s="1370"/>
      <c r="C85" s="91" t="s">
        <v>253</v>
      </c>
      <c r="D85" s="128" t="s">
        <v>254</v>
      </c>
      <c r="E85" s="15" t="s">
        <v>255</v>
      </c>
      <c r="F85" s="106">
        <f t="shared" si="16"/>
        <v>6466</v>
      </c>
      <c r="G85" s="106">
        <f t="shared" si="16"/>
        <v>5429</v>
      </c>
      <c r="H85" s="107">
        <f t="shared" si="16"/>
        <v>3747</v>
      </c>
      <c r="I85" s="24">
        <v>121</v>
      </c>
      <c r="J85" s="24">
        <v>119</v>
      </c>
      <c r="K85" s="24">
        <v>113</v>
      </c>
      <c r="L85" s="109">
        <v>0</v>
      </c>
      <c r="M85" s="30">
        <v>0</v>
      </c>
      <c r="N85" s="30">
        <v>0</v>
      </c>
      <c r="O85" s="109">
        <v>1090</v>
      </c>
      <c r="P85" s="30">
        <v>870</v>
      </c>
      <c r="Q85" s="30">
        <v>576</v>
      </c>
      <c r="R85" s="109">
        <v>2590</v>
      </c>
      <c r="S85" s="30">
        <v>2412</v>
      </c>
      <c r="T85" s="30">
        <v>1846</v>
      </c>
      <c r="U85" s="109">
        <v>2665</v>
      </c>
      <c r="V85" s="30">
        <v>2028</v>
      </c>
      <c r="W85" s="30">
        <v>1212</v>
      </c>
      <c r="AA85" s="93"/>
      <c r="AB85" s="93"/>
      <c r="AC85" s="83"/>
      <c r="AD85" s="83"/>
      <c r="AE85" s="93"/>
      <c r="AF85" s="93"/>
      <c r="AG85" s="83"/>
      <c r="AH85" s="83"/>
      <c r="AI85" s="93"/>
      <c r="AJ85" s="93"/>
      <c r="AK85" s="83"/>
      <c r="AL85" s="83"/>
      <c r="AM85" s="93"/>
      <c r="AN85" s="93"/>
      <c r="AO85" s="83"/>
      <c r="AP85" s="83"/>
      <c r="AQ85" s="93"/>
      <c r="AR85" s="93"/>
      <c r="AS85" s="83" t="s">
        <v>256</v>
      </c>
      <c r="AT85" s="83"/>
      <c r="AU85" s="93"/>
      <c r="AV85" s="93"/>
      <c r="AW85" s="83"/>
      <c r="AX85" s="83"/>
      <c r="AY85" s="93"/>
      <c r="AZ85" s="93"/>
    </row>
    <row r="86" spans="1:52" ht="20.25" customHeight="1" x14ac:dyDescent="0.45">
      <c r="A86" s="571">
        <v>4</v>
      </c>
      <c r="B86" s="1370"/>
      <c r="C86" s="91" t="s">
        <v>257</v>
      </c>
      <c r="D86" s="128" t="s">
        <v>254</v>
      </c>
      <c r="E86" s="14" t="s">
        <v>258</v>
      </c>
      <c r="F86" s="106">
        <f t="shared" si="16"/>
        <v>245</v>
      </c>
      <c r="G86" s="106">
        <f t="shared" si="16"/>
        <v>194</v>
      </c>
      <c r="H86" s="107">
        <f t="shared" si="16"/>
        <v>144</v>
      </c>
      <c r="I86" s="24">
        <v>13</v>
      </c>
      <c r="J86" s="24">
        <v>15</v>
      </c>
      <c r="K86" s="24">
        <v>13</v>
      </c>
      <c r="L86" s="200">
        <f>IF(L79&lt;&gt;0,L90/L79,0)</f>
        <v>0</v>
      </c>
      <c r="M86" s="200">
        <f>IF(M79&lt;&gt;0,M90/M79,0)</f>
        <v>0</v>
      </c>
      <c r="N86" s="202">
        <f>IF(N79&lt;&gt;0,N90/N79,0)</f>
        <v>0</v>
      </c>
      <c r="O86" s="109">
        <v>8</v>
      </c>
      <c r="P86" s="30">
        <v>7</v>
      </c>
      <c r="Q86" s="30">
        <v>4</v>
      </c>
      <c r="R86" s="109">
        <v>53</v>
      </c>
      <c r="S86" s="30">
        <v>57</v>
      </c>
      <c r="T86" s="30">
        <v>52</v>
      </c>
      <c r="U86" s="109">
        <v>171</v>
      </c>
      <c r="V86" s="30">
        <v>115</v>
      </c>
      <c r="W86" s="30">
        <v>75</v>
      </c>
      <c r="AA86" s="93"/>
      <c r="AB86" s="93"/>
      <c r="AC86" s="83"/>
      <c r="AD86" s="83"/>
      <c r="AE86" s="93"/>
      <c r="AF86" s="93"/>
      <c r="AG86" s="83"/>
      <c r="AH86" s="83"/>
      <c r="AI86" s="93"/>
      <c r="AJ86" s="93"/>
      <c r="AK86" s="83"/>
      <c r="AL86" s="83"/>
      <c r="AM86" s="93"/>
      <c r="AN86" s="93"/>
      <c r="AO86" s="83"/>
      <c r="AP86" s="83"/>
      <c r="AQ86" s="93"/>
      <c r="AR86" s="93"/>
      <c r="AS86" s="83" t="s">
        <v>256</v>
      </c>
      <c r="AT86" s="83"/>
      <c r="AU86" s="93"/>
      <c r="AV86" s="93"/>
      <c r="AW86" s="83"/>
      <c r="AX86" s="83"/>
      <c r="AY86" s="93"/>
      <c r="AZ86" s="93"/>
    </row>
    <row r="87" spans="1:52" x14ac:dyDescent="0.45">
      <c r="A87" s="571">
        <v>5</v>
      </c>
      <c r="B87" s="1370"/>
      <c r="C87" s="91"/>
      <c r="D87" s="115"/>
      <c r="E87" s="116"/>
      <c r="F87" s="89"/>
      <c r="G87" s="89"/>
      <c r="H87" s="23"/>
      <c r="I87" s="92"/>
      <c r="J87" s="92"/>
      <c r="K87" s="31"/>
      <c r="L87" s="92"/>
      <c r="M87" s="92"/>
      <c r="N87" s="31"/>
      <c r="O87" s="92"/>
      <c r="P87" s="92"/>
      <c r="Q87" s="31"/>
      <c r="R87" s="92"/>
      <c r="S87" s="92"/>
      <c r="T87" s="31"/>
      <c r="U87" s="92"/>
      <c r="V87" s="92"/>
      <c r="W87" s="31"/>
      <c r="AA87" s="93"/>
      <c r="AB87" s="93"/>
      <c r="AC87" s="83"/>
      <c r="AD87" s="83"/>
      <c r="AE87" s="93"/>
      <c r="AF87" s="93"/>
      <c r="AG87" s="83"/>
      <c r="AH87" s="83"/>
      <c r="AI87" s="93"/>
      <c r="AJ87" s="93"/>
      <c r="AK87" s="83"/>
      <c r="AL87" s="83"/>
      <c r="AM87" s="93"/>
      <c r="AN87" s="93"/>
      <c r="AO87" s="83"/>
      <c r="AP87" s="83"/>
      <c r="AQ87" s="93"/>
      <c r="AR87" s="93"/>
      <c r="AS87" s="83"/>
      <c r="AT87" s="83"/>
      <c r="AU87" s="93"/>
      <c r="AV87" s="93"/>
      <c r="AW87" s="83"/>
      <c r="AX87" s="83"/>
      <c r="AY87" s="93"/>
      <c r="AZ87" s="93"/>
    </row>
    <row r="88" spans="1:52" x14ac:dyDescent="0.45">
      <c r="A88" s="571">
        <v>6</v>
      </c>
      <c r="B88" s="1370"/>
      <c r="C88" s="11" t="s">
        <v>259</v>
      </c>
      <c r="D88" s="103"/>
      <c r="E88" s="169" t="s">
        <v>260</v>
      </c>
      <c r="F88" s="89"/>
      <c r="G88" s="89"/>
      <c r="H88" s="23"/>
      <c r="I88" s="92"/>
      <c r="J88" s="92"/>
      <c r="K88" s="31"/>
      <c r="L88" s="92"/>
      <c r="M88" s="92"/>
      <c r="N88" s="31"/>
      <c r="O88" s="92"/>
      <c r="P88" s="92"/>
      <c r="Q88" s="31"/>
      <c r="R88" s="92"/>
      <c r="S88" s="92"/>
      <c r="T88" s="31"/>
      <c r="U88" s="92"/>
      <c r="V88" s="92"/>
      <c r="W88" s="31"/>
      <c r="AA88" s="93"/>
      <c r="AB88" s="93"/>
      <c r="AC88" s="83"/>
      <c r="AD88" s="83"/>
      <c r="AE88" s="93"/>
      <c r="AF88" s="93"/>
      <c r="AG88" s="83"/>
      <c r="AH88" s="83"/>
      <c r="AI88" s="93"/>
      <c r="AJ88" s="93"/>
      <c r="AK88" s="83"/>
      <c r="AL88" s="83"/>
      <c r="AM88" s="93"/>
      <c r="AN88" s="93"/>
      <c r="AO88" s="83"/>
      <c r="AP88" s="83"/>
      <c r="AQ88" s="93"/>
      <c r="AR88" s="93"/>
      <c r="AS88" s="83"/>
      <c r="AT88" s="83"/>
      <c r="AU88" s="93"/>
      <c r="AV88" s="93"/>
      <c r="AW88" s="83"/>
      <c r="AX88" s="83"/>
      <c r="AY88" s="93"/>
      <c r="AZ88" s="93"/>
    </row>
    <row r="89" spans="1:52" ht="21.75" customHeight="1" x14ac:dyDescent="0.45">
      <c r="A89" s="571">
        <v>7</v>
      </c>
      <c r="B89" s="1370"/>
      <c r="C89" s="91" t="s">
        <v>261</v>
      </c>
      <c r="D89" s="128" t="s">
        <v>254</v>
      </c>
      <c r="E89" s="116" t="s">
        <v>262</v>
      </c>
      <c r="F89" s="130">
        <f>I89+L89+O89+R89+U89</f>
        <v>280546.42</v>
      </c>
      <c r="G89" s="130">
        <f>J89+M89+P89+S89+V89</f>
        <v>218687.75000000003</v>
      </c>
      <c r="H89" s="131">
        <f>K89+N89+Q89+T89+W89</f>
        <v>139194.12999999998</v>
      </c>
      <c r="I89" s="132">
        <v>44836</v>
      </c>
      <c r="J89" s="132">
        <v>44820</v>
      </c>
      <c r="K89" s="132">
        <v>44820</v>
      </c>
      <c r="L89" s="133">
        <v>0</v>
      </c>
      <c r="M89" s="132">
        <v>0</v>
      </c>
      <c r="N89" s="132">
        <v>0</v>
      </c>
      <c r="O89" s="133">
        <v>0</v>
      </c>
      <c r="P89" s="132">
        <v>629.97</v>
      </c>
      <c r="Q89" s="132">
        <v>0</v>
      </c>
      <c r="R89" s="133">
        <v>185629.9</v>
      </c>
      <c r="S89" s="132">
        <v>147930.55000000002</v>
      </c>
      <c r="T89" s="132">
        <v>75921.089999999982</v>
      </c>
      <c r="U89" s="133">
        <v>50080.520000000004</v>
      </c>
      <c r="V89" s="132">
        <v>25307.23</v>
      </c>
      <c r="W89" s="132">
        <v>18453.04</v>
      </c>
      <c r="AA89" s="93"/>
      <c r="AB89" s="93"/>
      <c r="AC89" s="83"/>
      <c r="AD89" s="83"/>
      <c r="AE89" s="93"/>
      <c r="AF89" s="93"/>
      <c r="AG89" s="83"/>
      <c r="AH89" s="83"/>
      <c r="AI89" s="93"/>
      <c r="AJ89" s="93"/>
      <c r="AK89" s="83"/>
      <c r="AL89" s="83"/>
      <c r="AM89" s="93"/>
      <c r="AN89" s="93"/>
      <c r="AO89" s="83"/>
      <c r="AP89" s="83"/>
      <c r="AQ89" s="93"/>
      <c r="AR89" s="93"/>
      <c r="AS89" s="83" t="s">
        <v>256</v>
      </c>
      <c r="AT89" s="83"/>
      <c r="AU89" s="93"/>
      <c r="AV89" s="93"/>
      <c r="AW89" s="83"/>
      <c r="AX89" s="83"/>
      <c r="AY89" s="93"/>
      <c r="AZ89" s="93"/>
    </row>
    <row r="90" spans="1:52" x14ac:dyDescent="0.45">
      <c r="A90" s="571">
        <v>8</v>
      </c>
      <c r="B90" s="1370"/>
      <c r="C90" s="13"/>
      <c r="D90" s="87"/>
      <c r="E90" s="14"/>
      <c r="F90" s="89"/>
      <c r="G90" s="89"/>
      <c r="H90" s="23"/>
      <c r="I90" s="200">
        <f t="shared" ref="I90:V90" si="17">IF(I83&lt;&gt;0,I94/I83,0)</f>
        <v>0</v>
      </c>
      <c r="J90" s="200">
        <f t="shared" si="17"/>
        <v>6127.6502463054185</v>
      </c>
      <c r="K90" s="202">
        <f>IF(K83&lt;&gt;0,K94/K83,0)</f>
        <v>3561.590909090909</v>
      </c>
      <c r="L90" s="200">
        <f t="shared" si="17"/>
        <v>0</v>
      </c>
      <c r="M90" s="200">
        <f t="shared" si="17"/>
        <v>0</v>
      </c>
      <c r="N90" s="202">
        <f>IF(N83&lt;&gt;0,N94/N83,0)</f>
        <v>0</v>
      </c>
      <c r="O90" s="200">
        <f t="shared" si="17"/>
        <v>0</v>
      </c>
      <c r="P90" s="200">
        <f t="shared" si="17"/>
        <v>0</v>
      </c>
      <c r="Q90" s="202">
        <f>IF(Q83&lt;&gt;0,Q94/Q83,0)</f>
        <v>0</v>
      </c>
      <c r="R90" s="200">
        <f t="shared" si="17"/>
        <v>0</v>
      </c>
      <c r="S90" s="200">
        <f t="shared" si="17"/>
        <v>0</v>
      </c>
      <c r="T90" s="202">
        <f>IF(T83&lt;&gt;0,T94/T83,0)</f>
        <v>0</v>
      </c>
      <c r="U90" s="200">
        <f t="shared" si="17"/>
        <v>0</v>
      </c>
      <c r="V90" s="200">
        <f t="shared" si="17"/>
        <v>0</v>
      </c>
      <c r="W90" s="202">
        <f>IF(W83&lt;&gt;0,W94/W83,0)</f>
        <v>0</v>
      </c>
      <c r="AA90" s="14"/>
      <c r="AB90" s="14"/>
      <c r="AC90" s="83"/>
      <c r="AD90" s="83"/>
      <c r="AE90" s="93"/>
      <c r="AF90" s="93"/>
      <c r="AG90" s="83"/>
      <c r="AH90" s="83"/>
      <c r="AI90" s="93"/>
      <c r="AJ90" s="93"/>
      <c r="AK90" s="83"/>
      <c r="AL90" s="83"/>
      <c r="AM90" s="93"/>
      <c r="AN90" s="93"/>
      <c r="AO90" s="83"/>
      <c r="AP90" s="83"/>
      <c r="AQ90" s="14"/>
      <c r="AR90" s="14"/>
      <c r="AS90" s="104" t="s">
        <v>256</v>
      </c>
      <c r="AT90" s="104"/>
      <c r="AU90" s="14"/>
      <c r="AV90" s="14"/>
      <c r="AW90" s="83"/>
      <c r="AX90" s="83"/>
      <c r="AY90" s="14"/>
      <c r="AZ90" s="14"/>
    </row>
    <row r="91" spans="1:52" x14ac:dyDescent="0.45">
      <c r="A91" s="571">
        <v>9</v>
      </c>
      <c r="B91" s="1370"/>
      <c r="C91" s="11" t="s">
        <v>263</v>
      </c>
      <c r="D91" s="103"/>
      <c r="E91" s="169" t="s">
        <v>264</v>
      </c>
      <c r="F91" s="89"/>
      <c r="G91" s="89"/>
      <c r="H91" s="23"/>
      <c r="I91" s="92"/>
      <c r="J91" s="92"/>
      <c r="K91" s="267">
        <f>K90/7500</f>
        <v>0.47487878787878784</v>
      </c>
      <c r="L91" s="92"/>
      <c r="M91" s="92"/>
      <c r="N91" s="31"/>
      <c r="O91" s="92"/>
      <c r="P91" s="92"/>
      <c r="Q91" s="31"/>
      <c r="R91" s="92"/>
      <c r="S91" s="92"/>
      <c r="T91" s="31"/>
      <c r="U91" s="92"/>
      <c r="V91" s="92"/>
      <c r="W91" s="31"/>
      <c r="AA91" s="93"/>
      <c r="AB91" s="93"/>
      <c r="AC91" s="83"/>
      <c r="AD91" s="83"/>
      <c r="AE91" s="93"/>
      <c r="AF91" s="93"/>
      <c r="AG91" s="83"/>
      <c r="AH91" s="83"/>
      <c r="AI91" s="93"/>
      <c r="AJ91" s="93"/>
      <c r="AK91" s="83"/>
      <c r="AL91" s="83"/>
      <c r="AM91" s="93"/>
      <c r="AN91" s="93"/>
      <c r="AO91" s="83"/>
      <c r="AP91" s="83"/>
      <c r="AQ91" s="93"/>
      <c r="AR91" s="93"/>
      <c r="AS91" s="83"/>
      <c r="AT91" s="83"/>
      <c r="AU91" s="93"/>
      <c r="AV91" s="93"/>
      <c r="AW91" s="83"/>
      <c r="AX91" s="83"/>
      <c r="AY91" s="93"/>
      <c r="AZ91" s="93"/>
    </row>
    <row r="92" spans="1:52" x14ac:dyDescent="0.45">
      <c r="A92" s="571">
        <v>10</v>
      </c>
      <c r="B92" s="1370"/>
      <c r="C92" s="91" t="s">
        <v>265</v>
      </c>
      <c r="D92" s="115"/>
      <c r="E92" s="15" t="s">
        <v>266</v>
      </c>
      <c r="F92" s="89"/>
      <c r="G92" s="89"/>
      <c r="H92" s="23"/>
      <c r="I92" s="92"/>
      <c r="J92" s="92"/>
      <c r="K92" s="31"/>
      <c r="L92" s="92"/>
      <c r="M92" s="92"/>
      <c r="N92" s="31"/>
      <c r="O92" s="92"/>
      <c r="P92" s="92"/>
      <c r="Q92" s="31"/>
      <c r="R92" s="92"/>
      <c r="S92" s="92"/>
      <c r="T92" s="31"/>
      <c r="U92" s="92"/>
      <c r="V92" s="92"/>
      <c r="W92" s="31"/>
      <c r="AA92" s="93"/>
      <c r="AB92" s="93"/>
      <c r="AC92" s="83"/>
      <c r="AD92" s="83"/>
      <c r="AE92" s="93"/>
      <c r="AF92" s="93"/>
      <c r="AG92" s="83"/>
      <c r="AH92" s="83"/>
      <c r="AI92" s="93"/>
      <c r="AJ92" s="93"/>
      <c r="AK92" s="83"/>
      <c r="AL92" s="83"/>
      <c r="AM92" s="93"/>
      <c r="AN92" s="93"/>
      <c r="AO92" s="83"/>
      <c r="AP92" s="83"/>
      <c r="AQ92" s="93"/>
      <c r="AR92" s="93"/>
      <c r="AS92" s="83" t="s">
        <v>256</v>
      </c>
      <c r="AT92" s="83"/>
      <c r="AU92" s="93"/>
      <c r="AV92" s="93"/>
      <c r="AW92" s="83"/>
      <c r="AX92" s="83"/>
      <c r="AY92" s="93"/>
      <c r="AZ92" s="93"/>
    </row>
    <row r="93" spans="1:52" s="180" customFormat="1" x14ac:dyDescent="0.45">
      <c r="A93" s="571">
        <v>11</v>
      </c>
      <c r="B93" s="1370"/>
      <c r="C93" s="174"/>
      <c r="D93" s="175"/>
      <c r="E93" s="176"/>
      <c r="F93" s="130"/>
      <c r="G93" s="130"/>
      <c r="H93" s="131"/>
      <c r="I93" s="177"/>
      <c r="J93" s="177"/>
      <c r="K93" s="178"/>
      <c r="L93" s="177"/>
      <c r="M93" s="177"/>
      <c r="N93" s="178"/>
      <c r="O93" s="177"/>
      <c r="P93" s="179"/>
      <c r="Q93" s="178"/>
      <c r="R93" s="177"/>
      <c r="S93" s="177"/>
      <c r="T93" s="178"/>
      <c r="U93" s="177"/>
      <c r="V93" s="166"/>
      <c r="W93" s="178"/>
      <c r="AA93" s="181"/>
      <c r="AB93" s="181"/>
      <c r="AC93" s="182"/>
      <c r="AD93" s="182"/>
      <c r="AE93" s="181"/>
      <c r="AF93" s="181"/>
      <c r="AG93" s="182"/>
      <c r="AH93" s="182"/>
      <c r="AI93" s="181"/>
      <c r="AJ93" s="181"/>
      <c r="AK93" s="182"/>
      <c r="AL93" s="182"/>
      <c r="AM93" s="181"/>
      <c r="AN93" s="181"/>
      <c r="AO93" s="182"/>
      <c r="AP93" s="182"/>
      <c r="AQ93" s="181"/>
      <c r="AR93" s="181"/>
      <c r="AS93" s="182"/>
      <c r="AT93" s="182"/>
      <c r="AU93" s="181"/>
      <c r="AV93" s="181"/>
      <c r="AW93" s="182"/>
      <c r="AX93" s="182"/>
      <c r="AY93" s="181"/>
      <c r="AZ93" s="181"/>
    </row>
    <row r="94" spans="1:52" ht="20.25" customHeight="1" x14ac:dyDescent="0.45">
      <c r="A94" s="571">
        <v>12</v>
      </c>
      <c r="B94" s="1370"/>
      <c r="C94" s="91" t="s">
        <v>267</v>
      </c>
      <c r="D94" s="128" t="s">
        <v>254</v>
      </c>
      <c r="E94" s="164" t="s">
        <v>268</v>
      </c>
      <c r="F94" s="130">
        <f t="shared" ref="F94:H96" si="18">I94+L94+O94+R94+U94</f>
        <v>17923184</v>
      </c>
      <c r="G94" s="130">
        <f t="shared" si="18"/>
        <v>17604545</v>
      </c>
      <c r="H94" s="131">
        <f t="shared" si="18"/>
        <v>10717984</v>
      </c>
      <c r="I94" s="166">
        <v>5576064</v>
      </c>
      <c r="J94" s="166">
        <v>1243913</v>
      </c>
      <c r="K94" s="166">
        <v>313420</v>
      </c>
      <c r="L94" s="167">
        <v>157500</v>
      </c>
      <c r="M94" s="166">
        <v>135000</v>
      </c>
      <c r="N94" s="166">
        <v>0</v>
      </c>
      <c r="O94" s="167">
        <v>1522381</v>
      </c>
      <c r="P94" s="166">
        <v>2645202</v>
      </c>
      <c r="Q94" s="166">
        <v>1475617</v>
      </c>
      <c r="R94" s="167">
        <v>10104396</v>
      </c>
      <c r="S94" s="166">
        <v>13221991</v>
      </c>
      <c r="T94" s="166">
        <v>8660989</v>
      </c>
      <c r="U94" s="133">
        <v>562843</v>
      </c>
      <c r="V94" s="132">
        <v>358439</v>
      </c>
      <c r="W94" s="132">
        <v>267958</v>
      </c>
      <c r="AA94" s="93"/>
      <c r="AB94" s="93"/>
      <c r="AC94" s="83" t="s">
        <v>269</v>
      </c>
      <c r="AD94" s="83"/>
      <c r="AE94" s="93"/>
      <c r="AF94" s="93"/>
      <c r="AG94" s="83"/>
      <c r="AH94" s="83"/>
      <c r="AI94" s="93"/>
      <c r="AJ94" s="93"/>
      <c r="AK94" s="83"/>
      <c r="AL94" s="83"/>
      <c r="AM94" s="93"/>
      <c r="AN94" s="93"/>
      <c r="AO94" s="83"/>
      <c r="AP94" s="83"/>
      <c r="AQ94" s="93"/>
      <c r="AR94" s="93"/>
      <c r="AS94" s="83"/>
      <c r="AT94" s="83"/>
      <c r="AU94" s="93"/>
      <c r="AV94" s="93"/>
      <c r="AW94" s="83"/>
      <c r="AX94" s="83"/>
      <c r="AY94" s="93"/>
      <c r="AZ94" s="93"/>
    </row>
    <row r="95" spans="1:52" ht="15.75" customHeight="1" x14ac:dyDescent="0.45">
      <c r="A95" s="571">
        <v>13</v>
      </c>
      <c r="B95" s="1370"/>
      <c r="C95" s="91" t="s">
        <v>270</v>
      </c>
      <c r="D95" s="128" t="s">
        <v>254</v>
      </c>
      <c r="E95" s="91" t="s">
        <v>271</v>
      </c>
      <c r="F95" s="130">
        <f t="shared" si="18"/>
        <v>64493890.520000011</v>
      </c>
      <c r="G95" s="130">
        <f t="shared" si="18"/>
        <v>51803055.629999995</v>
      </c>
      <c r="H95" s="131">
        <f t="shared" si="18"/>
        <v>38707569.810000002</v>
      </c>
      <c r="I95" s="132">
        <v>1255258.96</v>
      </c>
      <c r="J95" s="132">
        <v>1310743.93</v>
      </c>
      <c r="K95" s="132">
        <v>1394850.75</v>
      </c>
      <c r="L95" s="133">
        <v>414</v>
      </c>
      <c r="M95" s="132">
        <v>414</v>
      </c>
      <c r="N95" s="132">
        <v>0</v>
      </c>
      <c r="O95" s="133">
        <v>11402647.120000001</v>
      </c>
      <c r="P95" s="132">
        <v>13067443.359999998</v>
      </c>
      <c r="Q95" s="132">
        <v>9299695.160000002</v>
      </c>
      <c r="R95" s="133">
        <v>32365503.15000001</v>
      </c>
      <c r="S95" s="132">
        <v>24561066.859999999</v>
      </c>
      <c r="T95" s="132">
        <v>20484465.760000002</v>
      </c>
      <c r="U95" s="133">
        <v>19470067.290000003</v>
      </c>
      <c r="V95" s="132">
        <v>12863387.479999999</v>
      </c>
      <c r="W95" s="132">
        <v>7528558.1400000006</v>
      </c>
      <c r="AA95" s="93"/>
      <c r="AB95" s="93"/>
      <c r="AC95" s="83" t="s">
        <v>272</v>
      </c>
      <c r="AD95" s="83"/>
      <c r="AE95" s="93"/>
      <c r="AF95" s="93"/>
      <c r="AG95" s="83"/>
      <c r="AH95" s="83"/>
      <c r="AI95" s="93"/>
      <c r="AJ95" s="93"/>
      <c r="AK95" s="83"/>
      <c r="AL95" s="83"/>
      <c r="AM95" s="93"/>
      <c r="AN95" s="93"/>
      <c r="AO95" s="83"/>
      <c r="AP95" s="83"/>
      <c r="AQ95" s="93"/>
      <c r="AR95" s="93"/>
      <c r="AS95" s="83" t="s">
        <v>256</v>
      </c>
      <c r="AT95" s="83"/>
      <c r="AU95" s="93"/>
      <c r="AV95" s="93"/>
      <c r="AW95" s="83"/>
      <c r="AX95" s="83"/>
      <c r="AY95" s="93"/>
      <c r="AZ95" s="93"/>
    </row>
    <row r="96" spans="1:52" x14ac:dyDescent="0.45">
      <c r="A96" s="571">
        <v>14</v>
      </c>
      <c r="B96" s="1370"/>
      <c r="C96" s="91" t="s">
        <v>273</v>
      </c>
      <c r="D96" s="115"/>
      <c r="E96" s="15" t="s">
        <v>274</v>
      </c>
      <c r="F96" s="130">
        <f t="shared" si="18"/>
        <v>82417074.520000011</v>
      </c>
      <c r="G96" s="130">
        <f t="shared" si="18"/>
        <v>69407600.629999995</v>
      </c>
      <c r="H96" s="131">
        <f t="shared" si="18"/>
        <v>49425553.810000002</v>
      </c>
      <c r="I96" s="183">
        <f t="shared" ref="I96:W96" si="19">SUM(I94:I95)</f>
        <v>6831322.96</v>
      </c>
      <c r="J96" s="184">
        <f t="shared" si="19"/>
        <v>2554656.9299999997</v>
      </c>
      <c r="K96" s="185">
        <f t="shared" si="19"/>
        <v>1708270.75</v>
      </c>
      <c r="L96" s="184">
        <f t="shared" si="19"/>
        <v>157914</v>
      </c>
      <c r="M96" s="184">
        <f t="shared" si="19"/>
        <v>135414</v>
      </c>
      <c r="N96" s="185">
        <f t="shared" si="19"/>
        <v>0</v>
      </c>
      <c r="O96" s="184">
        <f t="shared" si="19"/>
        <v>12925028.120000001</v>
      </c>
      <c r="P96" s="184">
        <f t="shared" si="19"/>
        <v>15712645.359999998</v>
      </c>
      <c r="Q96" s="185">
        <f t="shared" si="19"/>
        <v>10775312.160000002</v>
      </c>
      <c r="R96" s="184">
        <f t="shared" si="19"/>
        <v>42469899.150000006</v>
      </c>
      <c r="S96" s="184">
        <f t="shared" si="19"/>
        <v>37783057.859999999</v>
      </c>
      <c r="T96" s="185">
        <f t="shared" si="19"/>
        <v>29145454.760000002</v>
      </c>
      <c r="U96" s="184">
        <f t="shared" si="19"/>
        <v>20032910.290000003</v>
      </c>
      <c r="V96" s="184">
        <f t="shared" si="19"/>
        <v>13221826.479999999</v>
      </c>
      <c r="W96" s="185">
        <f t="shared" si="19"/>
        <v>7796516.1400000006</v>
      </c>
      <c r="AA96" s="93"/>
      <c r="AB96" s="93"/>
      <c r="AC96" s="83"/>
      <c r="AD96" s="83"/>
      <c r="AE96" s="93"/>
      <c r="AF96" s="93"/>
      <c r="AG96" s="83"/>
      <c r="AH96" s="83"/>
      <c r="AI96" s="93"/>
      <c r="AJ96" s="93"/>
      <c r="AK96" s="83"/>
      <c r="AL96" s="83"/>
      <c r="AM96" s="93"/>
      <c r="AN96" s="93"/>
      <c r="AO96" s="83"/>
      <c r="AP96" s="83"/>
      <c r="AQ96" s="93"/>
      <c r="AR96" s="93"/>
      <c r="AS96" s="83"/>
      <c r="AT96" s="83"/>
      <c r="AU96" s="93"/>
      <c r="AV96" s="93"/>
      <c r="AW96" s="83"/>
      <c r="AX96" s="83"/>
      <c r="AY96" s="93"/>
      <c r="AZ96" s="93"/>
    </row>
    <row r="97" spans="1:52" x14ac:dyDescent="0.45">
      <c r="A97" s="571">
        <v>15</v>
      </c>
      <c r="B97" s="1370"/>
      <c r="C97" s="91" t="s">
        <v>275</v>
      </c>
      <c r="D97" s="115"/>
      <c r="E97" s="15" t="s">
        <v>276</v>
      </c>
      <c r="F97" s="89"/>
      <c r="G97" s="89"/>
      <c r="H97" s="23"/>
      <c r="I97" s="92"/>
      <c r="J97" s="92"/>
      <c r="K97" s="31"/>
      <c r="L97" s="92"/>
      <c r="M97" s="92"/>
      <c r="N97" s="31"/>
      <c r="O97" s="92"/>
      <c r="P97" s="92"/>
      <c r="Q97" s="31"/>
      <c r="R97" s="92"/>
      <c r="S97" s="92"/>
      <c r="T97" s="31"/>
      <c r="U97" s="92"/>
      <c r="V97" s="92"/>
      <c r="W97" s="31"/>
      <c r="AA97" s="93"/>
      <c r="AB97" s="93"/>
      <c r="AC97" s="83"/>
      <c r="AD97" s="83"/>
      <c r="AE97" s="93"/>
      <c r="AF97" s="93"/>
      <c r="AG97" s="83"/>
      <c r="AH97" s="83"/>
      <c r="AI97" s="93"/>
      <c r="AJ97" s="93"/>
      <c r="AK97" s="83"/>
      <c r="AL97" s="83"/>
      <c r="AM97" s="93"/>
      <c r="AN97" s="93"/>
      <c r="AO97" s="83"/>
      <c r="AP97" s="83"/>
      <c r="AQ97" s="93"/>
      <c r="AR97" s="93"/>
      <c r="AS97" s="83"/>
      <c r="AT97" s="83"/>
      <c r="AU97" s="93"/>
      <c r="AV97" s="93"/>
      <c r="AW97" s="83"/>
      <c r="AX97" s="83"/>
      <c r="AY97" s="93"/>
      <c r="AZ97" s="93"/>
    </row>
    <row r="98" spans="1:52" ht="17.25" customHeight="1" x14ac:dyDescent="0.45">
      <c r="A98" s="571">
        <v>16</v>
      </c>
      <c r="B98" s="1370"/>
      <c r="C98" s="91" t="s">
        <v>277</v>
      </c>
      <c r="D98" s="173" t="s">
        <v>278</v>
      </c>
      <c r="E98" s="91" t="s">
        <v>279</v>
      </c>
      <c r="F98" s="130">
        <f t="shared" ref="F98:H101" si="20">I98+L98+O98+R98+U98</f>
        <v>0</v>
      </c>
      <c r="G98" s="130">
        <f t="shared" si="20"/>
        <v>0</v>
      </c>
      <c r="H98" s="131">
        <f t="shared" si="20"/>
        <v>0</v>
      </c>
      <c r="I98" s="166"/>
      <c r="J98" s="166"/>
      <c r="K98" s="166"/>
      <c r="L98" s="186"/>
      <c r="M98" s="187"/>
      <c r="N98" s="187"/>
      <c r="O98" s="186"/>
      <c r="P98" s="187"/>
      <c r="Q98" s="187"/>
      <c r="R98" s="186"/>
      <c r="S98" s="187"/>
      <c r="T98" s="187"/>
      <c r="U98" s="186"/>
      <c r="V98" s="187"/>
      <c r="W98" s="187"/>
      <c r="AA98" s="93"/>
      <c r="AB98" s="93"/>
      <c r="AC98" s="83"/>
      <c r="AD98" s="83"/>
      <c r="AE98" s="93"/>
      <c r="AF98" s="93"/>
      <c r="AG98" s="83"/>
      <c r="AH98" s="83"/>
      <c r="AI98" s="93"/>
      <c r="AJ98" s="93"/>
      <c r="AK98" s="83"/>
      <c r="AL98" s="83"/>
      <c r="AM98" s="93"/>
      <c r="AN98" s="93"/>
      <c r="AO98" s="83"/>
      <c r="AP98" s="83"/>
      <c r="AQ98" s="93"/>
      <c r="AR98" s="93"/>
      <c r="AS98" s="83"/>
      <c r="AT98" s="83"/>
      <c r="AU98" s="93"/>
      <c r="AV98" s="93"/>
      <c r="AW98" s="83"/>
      <c r="AX98" s="83"/>
      <c r="AY98" s="93"/>
      <c r="AZ98" s="93"/>
    </row>
    <row r="99" spans="1:52" ht="18.75" customHeight="1" x14ac:dyDescent="0.45">
      <c r="A99" s="571">
        <v>17</v>
      </c>
      <c r="B99" s="1370"/>
      <c r="C99" s="91" t="s">
        <v>280</v>
      </c>
      <c r="D99" s="173" t="s">
        <v>278</v>
      </c>
      <c r="E99" s="91" t="s">
        <v>281</v>
      </c>
      <c r="F99" s="130">
        <f t="shared" si="20"/>
        <v>0</v>
      </c>
      <c r="G99" s="130">
        <f t="shared" si="20"/>
        <v>0</v>
      </c>
      <c r="H99" s="131">
        <f t="shared" si="20"/>
        <v>0</v>
      </c>
      <c r="I99" s="166"/>
      <c r="J99" s="166"/>
      <c r="K99" s="166"/>
      <c r="L99" s="167"/>
      <c r="M99" s="166"/>
      <c r="N99" s="166"/>
      <c r="O99" s="167"/>
      <c r="P99" s="166"/>
      <c r="Q99" s="166"/>
      <c r="R99" s="167"/>
      <c r="S99" s="166"/>
      <c r="T99" s="166"/>
      <c r="U99" s="167"/>
      <c r="V99" s="166"/>
      <c r="W99" s="166"/>
      <c r="AA99" s="93"/>
      <c r="AB99" s="93"/>
      <c r="AC99" s="83"/>
      <c r="AD99" s="83"/>
      <c r="AE99" s="93"/>
      <c r="AF99" s="93"/>
      <c r="AG99" s="83"/>
      <c r="AH99" s="83"/>
      <c r="AI99" s="93"/>
      <c r="AJ99" s="93"/>
      <c r="AK99" s="83"/>
      <c r="AL99" s="83"/>
      <c r="AM99" s="93"/>
      <c r="AN99" s="93"/>
      <c r="AO99" s="83"/>
      <c r="AP99" s="83"/>
      <c r="AQ99" s="93"/>
      <c r="AR99" s="93"/>
      <c r="AS99" s="83"/>
      <c r="AT99" s="83"/>
      <c r="AU99" s="93"/>
      <c r="AV99" s="93"/>
      <c r="AW99" s="83"/>
      <c r="AX99" s="83"/>
      <c r="AY99" s="93"/>
      <c r="AZ99" s="93"/>
    </row>
    <row r="100" spans="1:52" x14ac:dyDescent="0.45">
      <c r="A100" s="571">
        <v>18</v>
      </c>
      <c r="B100" s="1370"/>
      <c r="C100" s="91" t="s">
        <v>282</v>
      </c>
      <c r="D100" s="115"/>
      <c r="E100" s="15" t="s">
        <v>283</v>
      </c>
      <c r="F100" s="130">
        <f t="shared" si="20"/>
        <v>0</v>
      </c>
      <c r="G100" s="130">
        <f t="shared" si="20"/>
        <v>0</v>
      </c>
      <c r="H100" s="131">
        <f t="shared" si="20"/>
        <v>0</v>
      </c>
      <c r="I100" s="183">
        <f t="shared" ref="I100:W100" si="21">SUM(I98:I99)</f>
        <v>0</v>
      </c>
      <c r="J100" s="184">
        <f t="shared" si="21"/>
        <v>0</v>
      </c>
      <c r="K100" s="185">
        <f t="shared" si="21"/>
        <v>0</v>
      </c>
      <c r="L100" s="184">
        <f t="shared" si="21"/>
        <v>0</v>
      </c>
      <c r="M100" s="184">
        <f t="shared" si="21"/>
        <v>0</v>
      </c>
      <c r="N100" s="185">
        <f t="shared" si="21"/>
        <v>0</v>
      </c>
      <c r="O100" s="184">
        <f t="shared" si="21"/>
        <v>0</v>
      </c>
      <c r="P100" s="184">
        <f t="shared" si="21"/>
        <v>0</v>
      </c>
      <c r="Q100" s="185">
        <f t="shared" si="21"/>
        <v>0</v>
      </c>
      <c r="R100" s="184">
        <f t="shared" si="21"/>
        <v>0</v>
      </c>
      <c r="S100" s="184">
        <f t="shared" si="21"/>
        <v>0</v>
      </c>
      <c r="T100" s="185">
        <f t="shared" si="21"/>
        <v>0</v>
      </c>
      <c r="U100" s="184">
        <f t="shared" si="21"/>
        <v>0</v>
      </c>
      <c r="V100" s="184">
        <f t="shared" si="21"/>
        <v>0</v>
      </c>
      <c r="W100" s="185">
        <f t="shared" si="21"/>
        <v>0</v>
      </c>
      <c r="AA100" s="93"/>
      <c r="AB100" s="93"/>
      <c r="AC100" s="83"/>
      <c r="AD100" s="83"/>
      <c r="AE100" s="93"/>
      <c r="AF100" s="93"/>
      <c r="AG100" s="83"/>
      <c r="AH100" s="83"/>
      <c r="AI100" s="93"/>
      <c r="AJ100" s="93"/>
      <c r="AK100" s="83"/>
      <c r="AL100" s="83"/>
      <c r="AM100" s="93"/>
      <c r="AN100" s="93"/>
      <c r="AO100" s="83"/>
      <c r="AP100" s="83"/>
      <c r="AQ100" s="93"/>
      <c r="AR100" s="93"/>
      <c r="AS100" s="83"/>
      <c r="AT100" s="83"/>
      <c r="AU100" s="93"/>
      <c r="AV100" s="93"/>
      <c r="AW100" s="83"/>
      <c r="AX100" s="83"/>
      <c r="AY100" s="93"/>
      <c r="AZ100" s="93"/>
    </row>
    <row r="101" spans="1:52" ht="14.65" thickBot="1" x14ac:dyDescent="0.5">
      <c r="A101" s="571">
        <v>19</v>
      </c>
      <c r="B101" s="1371"/>
      <c r="C101" s="188" t="s">
        <v>284</v>
      </c>
      <c r="D101" s="115"/>
      <c r="E101" s="15" t="s">
        <v>285</v>
      </c>
      <c r="F101" s="189">
        <f t="shared" si="20"/>
        <v>82417074.520000011</v>
      </c>
      <c r="G101" s="189">
        <f t="shared" si="20"/>
        <v>69407600.629999995</v>
      </c>
      <c r="H101" s="190">
        <f t="shared" si="20"/>
        <v>49425553.810000002</v>
      </c>
      <c r="I101" s="191">
        <f>I96-I100</f>
        <v>6831322.96</v>
      </c>
      <c r="J101" s="192">
        <f t="shared" ref="J101:W101" si="22">J96-J100</f>
        <v>2554656.9299999997</v>
      </c>
      <c r="K101" s="193">
        <f t="shared" si="22"/>
        <v>1708270.75</v>
      </c>
      <c r="L101" s="192">
        <f t="shared" si="22"/>
        <v>157914</v>
      </c>
      <c r="M101" s="192">
        <f t="shared" si="22"/>
        <v>135414</v>
      </c>
      <c r="N101" s="193">
        <f t="shared" si="22"/>
        <v>0</v>
      </c>
      <c r="O101" s="192">
        <f t="shared" si="22"/>
        <v>12925028.120000001</v>
      </c>
      <c r="P101" s="192">
        <f t="shared" si="22"/>
        <v>15712645.359999998</v>
      </c>
      <c r="Q101" s="193">
        <f t="shared" si="22"/>
        <v>10775312.160000002</v>
      </c>
      <c r="R101" s="192">
        <f t="shared" si="22"/>
        <v>42469899.150000006</v>
      </c>
      <c r="S101" s="192">
        <f t="shared" si="22"/>
        <v>37783057.859999999</v>
      </c>
      <c r="T101" s="193">
        <f t="shared" si="22"/>
        <v>29145454.760000002</v>
      </c>
      <c r="U101" s="192">
        <f t="shared" si="22"/>
        <v>20032910.290000003</v>
      </c>
      <c r="V101" s="192">
        <f t="shared" si="22"/>
        <v>13221826.479999999</v>
      </c>
      <c r="W101" s="193">
        <f t="shared" si="22"/>
        <v>7796516.1400000006</v>
      </c>
      <c r="AA101" s="93"/>
      <c r="AB101" s="93"/>
      <c r="AC101" s="83"/>
      <c r="AD101" s="83"/>
      <c r="AE101" s="93"/>
      <c r="AF101" s="93"/>
      <c r="AG101" s="83"/>
      <c r="AH101" s="83"/>
      <c r="AI101" s="93"/>
      <c r="AJ101" s="93"/>
      <c r="AK101" s="83"/>
      <c r="AL101" s="83"/>
      <c r="AM101" s="93"/>
      <c r="AN101" s="93"/>
      <c r="AO101" s="83"/>
      <c r="AP101" s="83"/>
      <c r="AQ101" s="93"/>
      <c r="AR101" s="93"/>
      <c r="AS101" s="83"/>
      <c r="AT101" s="83"/>
      <c r="AU101" s="93"/>
      <c r="AV101" s="93"/>
      <c r="AW101" s="83"/>
      <c r="AX101" s="83"/>
      <c r="AY101" s="93"/>
      <c r="AZ101" s="93"/>
    </row>
    <row r="102" spans="1:52" ht="14.65" thickTop="1" x14ac:dyDescent="0.45">
      <c r="A102" s="571">
        <v>20</v>
      </c>
      <c r="B102" s="194"/>
      <c r="C102" s="188"/>
      <c r="D102" s="115"/>
      <c r="E102" s="110" t="s">
        <v>286</v>
      </c>
      <c r="F102" s="195">
        <f t="shared" ref="F102:W102" si="23">F101/F73</f>
        <v>6.2084616999570404E-3</v>
      </c>
      <c r="G102" s="195">
        <f t="shared" si="23"/>
        <v>5.2123085197042732E-3</v>
      </c>
      <c r="H102" s="196">
        <f t="shared" si="23"/>
        <v>3.7700372323713548E-3</v>
      </c>
      <c r="I102" s="197">
        <f t="shared" si="23"/>
        <v>2.7067576035055036E-3</v>
      </c>
      <c r="J102" s="195">
        <f t="shared" si="23"/>
        <v>1.0676799062823115E-3</v>
      </c>
      <c r="K102" s="196">
        <f t="shared" si="23"/>
        <v>6.9375007106968402E-4</v>
      </c>
      <c r="L102" s="195">
        <f t="shared" si="23"/>
        <v>1.1689228801364388E-4</v>
      </c>
      <c r="M102" s="195">
        <f t="shared" si="23"/>
        <v>1.2753777704105275E-4</v>
      </c>
      <c r="N102" s="196">
        <f t="shared" si="23"/>
        <v>0</v>
      </c>
      <c r="O102" s="195">
        <f t="shared" si="23"/>
        <v>3.1460011844029758E-3</v>
      </c>
      <c r="P102" s="195">
        <f t="shared" si="23"/>
        <v>3.5567954390137175E-3</v>
      </c>
      <c r="Q102" s="196">
        <f t="shared" si="23"/>
        <v>2.646542919296657E-3</v>
      </c>
      <c r="R102" s="195">
        <f t="shared" si="23"/>
        <v>1.2743834559008868E-2</v>
      </c>
      <c r="S102" s="195">
        <f t="shared" si="23"/>
        <v>1.0767333522368621E-2</v>
      </c>
      <c r="T102" s="196">
        <f t="shared" si="23"/>
        <v>8.2242302330909987E-3</v>
      </c>
      <c r="U102" s="195">
        <f t="shared" si="23"/>
        <v>1.0224852986136951E-2</v>
      </c>
      <c r="V102" s="195">
        <f t="shared" si="23"/>
        <v>6.8332112690032117E-3</v>
      </c>
      <c r="W102" s="196">
        <f t="shared" si="23"/>
        <v>3.9473592719842122E-3</v>
      </c>
      <c r="AA102" s="93"/>
      <c r="AB102" s="93"/>
      <c r="AC102" s="83"/>
      <c r="AD102" s="83"/>
      <c r="AE102" s="93"/>
      <c r="AF102" s="93"/>
      <c r="AG102" s="83"/>
      <c r="AH102" s="83"/>
      <c r="AI102" s="93"/>
      <c r="AJ102" s="93"/>
      <c r="AK102" s="83"/>
      <c r="AL102" s="83"/>
      <c r="AM102" s="93"/>
      <c r="AN102" s="93"/>
      <c r="AO102" s="83"/>
      <c r="AP102" s="83"/>
      <c r="AQ102" s="93"/>
      <c r="AR102" s="93"/>
      <c r="AS102" s="83"/>
      <c r="AT102" s="83"/>
      <c r="AU102" s="93"/>
      <c r="AV102" s="93"/>
      <c r="AW102" s="83"/>
      <c r="AX102" s="83"/>
      <c r="AY102" s="93"/>
      <c r="AZ102" s="93"/>
    </row>
    <row r="103" spans="1:52" x14ac:dyDescent="0.45">
      <c r="B103" s="194"/>
      <c r="C103" s="188"/>
      <c r="D103" s="115"/>
      <c r="E103" s="110"/>
      <c r="F103" s="89"/>
      <c r="G103" s="89"/>
      <c r="H103" s="23"/>
      <c r="I103" s="92"/>
      <c r="J103" s="92"/>
      <c r="K103" s="31"/>
      <c r="L103" s="92"/>
      <c r="M103" s="92"/>
      <c r="N103" s="31"/>
      <c r="O103" s="92"/>
      <c r="P103" s="92"/>
      <c r="Q103" s="31"/>
      <c r="R103" s="92"/>
      <c r="S103" s="92"/>
      <c r="T103" s="31"/>
      <c r="U103" s="92"/>
      <c r="V103" s="92"/>
      <c r="W103" s="31"/>
      <c r="AA103" s="93"/>
      <c r="AB103" s="93"/>
      <c r="AC103" s="83"/>
      <c r="AD103" s="83"/>
      <c r="AE103" s="93"/>
      <c r="AF103" s="93"/>
      <c r="AG103" s="83"/>
      <c r="AH103" s="83"/>
      <c r="AI103" s="93"/>
      <c r="AJ103" s="93"/>
      <c r="AK103" s="83"/>
      <c r="AL103" s="83"/>
      <c r="AM103" s="93"/>
      <c r="AN103" s="93"/>
      <c r="AO103" s="83"/>
      <c r="AP103" s="83"/>
      <c r="AQ103" s="93"/>
      <c r="AR103" s="93"/>
      <c r="AS103" s="83"/>
      <c r="AT103" s="83"/>
      <c r="AU103" s="93"/>
      <c r="AV103" s="93"/>
      <c r="AW103" s="83"/>
      <c r="AX103" s="83"/>
      <c r="AY103" s="93"/>
      <c r="AZ103" s="93"/>
    </row>
    <row r="104" spans="1:52" ht="15" customHeight="1" x14ac:dyDescent="0.45">
      <c r="A104" s="571">
        <v>1</v>
      </c>
      <c r="B104" s="1380" t="s">
        <v>287</v>
      </c>
      <c r="C104" s="198"/>
      <c r="D104" s="115"/>
      <c r="E104" s="169" t="s">
        <v>288</v>
      </c>
      <c r="F104" s="89"/>
      <c r="G104" s="89"/>
      <c r="H104" s="131">
        <f>H106/H105</f>
        <v>87428.980361768641</v>
      </c>
      <c r="I104" s="92"/>
      <c r="J104" s="92"/>
      <c r="K104" s="131">
        <f>K106/K105</f>
        <v>77023.692456140343</v>
      </c>
      <c r="L104" s="92"/>
      <c r="M104" s="92"/>
      <c r="N104" s="131">
        <f>N106/N105</f>
        <v>35073.449999999997</v>
      </c>
      <c r="O104" s="92"/>
      <c r="P104" s="92"/>
      <c r="Q104" s="131">
        <f>Q106/Q105</f>
        <v>152480.91798245613</v>
      </c>
      <c r="R104" s="92"/>
      <c r="S104" s="92"/>
      <c r="T104" s="131">
        <f>T106/T105</f>
        <v>91514.463637532128</v>
      </c>
      <c r="U104" s="92"/>
      <c r="V104" s="92"/>
      <c r="W104" s="131">
        <f>W106/W105</f>
        <v>51919.282393258422</v>
      </c>
      <c r="AA104" s="93"/>
      <c r="AB104" s="93"/>
      <c r="AC104" s="83"/>
      <c r="AD104" s="83"/>
      <c r="AE104" s="93"/>
      <c r="AF104" s="93"/>
      <c r="AG104" s="83"/>
      <c r="AH104" s="83"/>
      <c r="AI104" s="93"/>
      <c r="AJ104" s="93"/>
      <c r="AK104" s="83"/>
      <c r="AL104" s="83"/>
      <c r="AM104" s="93"/>
      <c r="AN104" s="93"/>
      <c r="AO104" s="83"/>
      <c r="AP104" s="83"/>
      <c r="AQ104" s="93"/>
      <c r="AR104" s="93"/>
      <c r="AS104" s="83"/>
      <c r="AT104" s="83"/>
      <c r="AU104" s="93"/>
      <c r="AV104" s="93"/>
      <c r="AW104" s="83"/>
      <c r="AX104" s="83"/>
      <c r="AY104" s="93"/>
      <c r="AZ104" s="93"/>
    </row>
    <row r="105" spans="1:52" ht="14.65" thickBot="1" x14ac:dyDescent="0.5">
      <c r="A105" s="571">
        <v>2</v>
      </c>
      <c r="B105" s="1381"/>
      <c r="C105" s="198"/>
      <c r="D105" s="115"/>
      <c r="E105" s="39" t="s">
        <v>289</v>
      </c>
      <c r="F105" s="130"/>
      <c r="G105" s="130"/>
      <c r="H105" s="199">
        <f t="shared" ref="H105:H113" si="24">K105+N105+Q105+T105+W105</f>
        <v>2239</v>
      </c>
      <c r="I105" s="200"/>
      <c r="J105" s="200"/>
      <c r="K105" s="199">
        <v>114</v>
      </c>
      <c r="L105" s="200"/>
      <c r="M105" s="200"/>
      <c r="N105" s="199">
        <v>1</v>
      </c>
      <c r="O105" s="200"/>
      <c r="P105" s="200"/>
      <c r="Q105" s="199">
        <v>456</v>
      </c>
      <c r="R105" s="200"/>
      <c r="S105" s="200"/>
      <c r="T105" s="199">
        <v>778</v>
      </c>
      <c r="U105" s="200"/>
      <c r="V105" s="200"/>
      <c r="W105" s="199">
        <v>890</v>
      </c>
      <c r="AA105" s="93"/>
      <c r="AB105" s="93"/>
      <c r="AC105" s="83"/>
      <c r="AD105" s="83"/>
      <c r="AE105" s="93"/>
      <c r="AF105" s="93"/>
      <c r="AG105" s="83"/>
      <c r="AH105" s="83"/>
      <c r="AI105" s="93"/>
      <c r="AJ105" s="93"/>
      <c r="AK105" s="83"/>
      <c r="AL105" s="83"/>
      <c r="AM105" s="93"/>
      <c r="AN105" s="93"/>
      <c r="AO105" s="83"/>
      <c r="AP105" s="83"/>
      <c r="AQ105" s="93"/>
      <c r="AR105" s="93"/>
      <c r="AS105" s="83"/>
      <c r="AT105" s="83"/>
      <c r="AU105" s="93"/>
      <c r="AV105" s="93"/>
      <c r="AW105" s="83"/>
      <c r="AX105" s="83"/>
      <c r="AY105" s="93"/>
      <c r="AZ105" s="93"/>
    </row>
    <row r="106" spans="1:52" ht="15" thickTop="1" thickBot="1" x14ac:dyDescent="0.5">
      <c r="A106" s="571">
        <v>3</v>
      </c>
      <c r="B106" s="1381"/>
      <c r="C106" s="198"/>
      <c r="D106" s="115"/>
      <c r="E106" s="39" t="s">
        <v>62</v>
      </c>
      <c r="F106" s="130"/>
      <c r="G106" s="130"/>
      <c r="H106" s="201">
        <f t="shared" si="24"/>
        <v>195753487.02999997</v>
      </c>
      <c r="I106" s="200"/>
      <c r="J106" s="200"/>
      <c r="K106" s="201">
        <v>8780700.9399999995</v>
      </c>
      <c r="L106" s="200"/>
      <c r="M106" s="200"/>
      <c r="N106" s="201">
        <v>35073.449999999997</v>
      </c>
      <c r="O106" s="200"/>
      <c r="P106" s="200"/>
      <c r="Q106" s="201">
        <v>69531298.599999994</v>
      </c>
      <c r="R106" s="200"/>
      <c r="S106" s="200"/>
      <c r="T106" s="201">
        <v>71198252.709999993</v>
      </c>
      <c r="U106" s="200"/>
      <c r="V106" s="200"/>
      <c r="W106" s="201">
        <v>46208161.329999998</v>
      </c>
      <c r="AA106" s="93"/>
      <c r="AB106" s="93"/>
      <c r="AC106" s="83"/>
      <c r="AD106" s="83"/>
      <c r="AE106" s="93"/>
      <c r="AF106" s="93"/>
      <c r="AG106" s="83"/>
      <c r="AH106" s="83"/>
      <c r="AI106" s="93"/>
      <c r="AJ106" s="93"/>
      <c r="AK106" s="83"/>
      <c r="AL106" s="83"/>
      <c r="AM106" s="93"/>
      <c r="AN106" s="93"/>
      <c r="AO106" s="83"/>
      <c r="AP106" s="83"/>
      <c r="AQ106" s="93"/>
      <c r="AR106" s="93"/>
      <c r="AS106" s="83"/>
      <c r="AT106" s="83"/>
      <c r="AU106" s="93"/>
      <c r="AV106" s="93"/>
      <c r="AW106" s="83"/>
      <c r="AX106" s="83"/>
      <c r="AY106" s="93"/>
      <c r="AZ106" s="93"/>
    </row>
    <row r="107" spans="1:52" ht="14.65" thickTop="1" x14ac:dyDescent="0.45">
      <c r="A107" s="571">
        <v>4</v>
      </c>
      <c r="B107" s="1381"/>
      <c r="C107" s="198"/>
      <c r="D107" s="115"/>
      <c r="E107" s="39" t="s">
        <v>63</v>
      </c>
      <c r="F107" s="130"/>
      <c r="G107" s="130"/>
      <c r="H107" s="202">
        <f t="shared" si="24"/>
        <v>173333076.53999999</v>
      </c>
      <c r="I107" s="200"/>
      <c r="J107" s="200"/>
      <c r="K107" s="202">
        <v>6584340.7000000002</v>
      </c>
      <c r="L107" s="200"/>
      <c r="M107" s="200"/>
      <c r="N107" s="202">
        <v>35073.449999999997</v>
      </c>
      <c r="O107" s="200"/>
      <c r="P107" s="200"/>
      <c r="Q107" s="202">
        <v>67442136.209999993</v>
      </c>
      <c r="R107" s="200"/>
      <c r="S107" s="200"/>
      <c r="T107" s="202">
        <v>60206403.469999999</v>
      </c>
      <c r="U107" s="200"/>
      <c r="V107" s="200"/>
      <c r="W107" s="202">
        <v>39065122.710000001</v>
      </c>
      <c r="AA107" s="93"/>
      <c r="AB107" s="93"/>
      <c r="AC107" s="83"/>
      <c r="AD107" s="83"/>
      <c r="AE107" s="93"/>
      <c r="AF107" s="93"/>
      <c r="AG107" s="83"/>
      <c r="AH107" s="83"/>
      <c r="AI107" s="93"/>
      <c r="AJ107" s="93"/>
      <c r="AK107" s="83"/>
      <c r="AL107" s="83"/>
      <c r="AM107" s="93"/>
      <c r="AN107" s="93"/>
      <c r="AO107" s="83"/>
      <c r="AP107" s="83"/>
      <c r="AQ107" s="93"/>
      <c r="AR107" s="93"/>
      <c r="AS107" s="83"/>
      <c r="AT107" s="83"/>
      <c r="AU107" s="93"/>
      <c r="AV107" s="93"/>
      <c r="AW107" s="83"/>
      <c r="AX107" s="83"/>
      <c r="AY107" s="93"/>
      <c r="AZ107" s="93"/>
    </row>
    <row r="108" spans="1:52" x14ac:dyDescent="0.45">
      <c r="A108" s="571">
        <v>5</v>
      </c>
      <c r="B108" s="1381"/>
      <c r="C108" s="198"/>
      <c r="D108" s="115"/>
      <c r="E108" s="39" t="s">
        <v>27</v>
      </c>
      <c r="F108" s="130"/>
      <c r="G108" s="130"/>
      <c r="H108" s="202">
        <f t="shared" si="24"/>
        <v>2357678.67</v>
      </c>
      <c r="I108" s="200"/>
      <c r="J108" s="200"/>
      <c r="K108" s="202">
        <v>22349.119999999999</v>
      </c>
      <c r="L108" s="200"/>
      <c r="M108" s="200"/>
      <c r="N108" s="202">
        <v>35.880000000000003</v>
      </c>
      <c r="O108" s="200"/>
      <c r="P108" s="200"/>
      <c r="Q108" s="202">
        <v>826785.65</v>
      </c>
      <c r="R108" s="200"/>
      <c r="S108" s="200"/>
      <c r="T108" s="202">
        <v>839217.18</v>
      </c>
      <c r="U108" s="200"/>
      <c r="V108" s="200"/>
      <c r="W108" s="202">
        <v>669290.84</v>
      </c>
      <c r="AA108" s="93"/>
      <c r="AB108" s="93"/>
      <c r="AC108" s="83"/>
      <c r="AD108" s="83"/>
      <c r="AE108" s="93"/>
      <c r="AF108" s="93"/>
      <c r="AG108" s="83"/>
      <c r="AH108" s="83"/>
      <c r="AI108" s="93"/>
      <c r="AJ108" s="93"/>
      <c r="AK108" s="83"/>
      <c r="AL108" s="83"/>
      <c r="AM108" s="93"/>
      <c r="AN108" s="93"/>
      <c r="AO108" s="83"/>
      <c r="AP108" s="83"/>
      <c r="AQ108" s="93"/>
      <c r="AR108" s="93"/>
      <c r="AS108" s="83"/>
      <c r="AT108" s="83"/>
      <c r="AU108" s="93"/>
      <c r="AV108" s="93"/>
      <c r="AW108" s="83"/>
      <c r="AX108" s="83"/>
      <c r="AY108" s="93"/>
      <c r="AZ108" s="93"/>
    </row>
    <row r="109" spans="1:52" x14ac:dyDescent="0.45">
      <c r="A109" s="571">
        <v>6</v>
      </c>
      <c r="B109" s="1381"/>
      <c r="C109" s="198"/>
      <c r="D109" s="115"/>
      <c r="E109" s="39" t="s">
        <v>64</v>
      </c>
      <c r="F109" s="130"/>
      <c r="G109" s="130"/>
      <c r="H109" s="202">
        <f t="shared" si="24"/>
        <v>1431257.38</v>
      </c>
      <c r="I109" s="200"/>
      <c r="J109" s="200"/>
      <c r="K109" s="202">
        <v>120984.86</v>
      </c>
      <c r="L109" s="200"/>
      <c r="M109" s="200"/>
      <c r="N109" s="202">
        <v>35.68</v>
      </c>
      <c r="O109" s="200"/>
      <c r="P109" s="200"/>
      <c r="Q109" s="202">
        <v>736608.21</v>
      </c>
      <c r="R109" s="200"/>
      <c r="S109" s="200"/>
      <c r="T109" s="202">
        <v>-932.49</v>
      </c>
      <c r="U109" s="200"/>
      <c r="V109" s="200"/>
      <c r="W109" s="202">
        <v>574561.12</v>
      </c>
      <c r="AA109" s="93"/>
      <c r="AB109" s="93"/>
      <c r="AC109" s="83"/>
      <c r="AD109" s="83"/>
      <c r="AE109" s="93"/>
      <c r="AF109" s="93"/>
      <c r="AG109" s="83"/>
      <c r="AH109" s="83"/>
      <c r="AI109" s="93"/>
      <c r="AJ109" s="93"/>
      <c r="AK109" s="83"/>
      <c r="AL109" s="83"/>
      <c r="AM109" s="93"/>
      <c r="AN109" s="93"/>
      <c r="AO109" s="83"/>
      <c r="AP109" s="83"/>
      <c r="AQ109" s="93"/>
      <c r="AR109" s="93"/>
      <c r="AS109" s="83"/>
      <c r="AT109" s="83"/>
      <c r="AU109" s="93"/>
      <c r="AV109" s="93"/>
      <c r="AW109" s="83"/>
      <c r="AX109" s="83"/>
      <c r="AY109" s="93"/>
      <c r="AZ109" s="93"/>
    </row>
    <row r="110" spans="1:52" x14ac:dyDescent="0.45">
      <c r="A110" s="571">
        <v>7</v>
      </c>
      <c r="B110" s="1381"/>
      <c r="C110" s="198"/>
      <c r="D110" s="115"/>
      <c r="E110" s="39" t="s">
        <v>31</v>
      </c>
      <c r="F110" s="130"/>
      <c r="G110" s="130"/>
      <c r="H110" s="202">
        <f t="shared" si="24"/>
        <v>2123275.56</v>
      </c>
      <c r="I110" s="200"/>
      <c r="J110" s="200"/>
      <c r="K110" s="202">
        <v>421583.95</v>
      </c>
      <c r="L110" s="200"/>
      <c r="M110" s="200"/>
      <c r="N110" s="202">
        <v>38.68</v>
      </c>
      <c r="O110" s="200"/>
      <c r="P110" s="200"/>
      <c r="Q110" s="202">
        <v>787811.95</v>
      </c>
      <c r="R110" s="200"/>
      <c r="S110" s="200"/>
      <c r="T110" s="202">
        <v>345213.55</v>
      </c>
      <c r="U110" s="200"/>
      <c r="V110" s="200"/>
      <c r="W110" s="202">
        <v>568627.43000000005</v>
      </c>
      <c r="AA110" s="93"/>
      <c r="AB110" s="93"/>
      <c r="AC110" s="83"/>
      <c r="AD110" s="83"/>
      <c r="AE110" s="93"/>
      <c r="AF110" s="93"/>
      <c r="AG110" s="83"/>
      <c r="AH110" s="83"/>
      <c r="AI110" s="93"/>
      <c r="AJ110" s="93"/>
      <c r="AK110" s="83"/>
      <c r="AL110" s="83"/>
      <c r="AM110" s="93"/>
      <c r="AN110" s="93"/>
      <c r="AO110" s="83"/>
      <c r="AP110" s="83"/>
      <c r="AQ110" s="93"/>
      <c r="AR110" s="93"/>
      <c r="AS110" s="83"/>
      <c r="AT110" s="83"/>
      <c r="AU110" s="93"/>
      <c r="AV110" s="93"/>
      <c r="AW110" s="83"/>
      <c r="AX110" s="83"/>
      <c r="AY110" s="93"/>
      <c r="AZ110" s="93"/>
    </row>
    <row r="111" spans="1:52" x14ac:dyDescent="0.45">
      <c r="A111" s="571">
        <v>8</v>
      </c>
      <c r="B111" s="1381"/>
      <c r="C111" s="198"/>
      <c r="D111" s="115"/>
      <c r="E111" s="39" t="s">
        <v>65</v>
      </c>
      <c r="F111" s="130"/>
      <c r="G111" s="130"/>
      <c r="H111" s="202">
        <f t="shared" si="24"/>
        <v>203181.42999999988</v>
      </c>
      <c r="I111" s="200"/>
      <c r="J111" s="200"/>
      <c r="K111" s="202">
        <v>88626.52</v>
      </c>
      <c r="L111" s="200"/>
      <c r="M111" s="200"/>
      <c r="N111" s="202">
        <v>35.68</v>
      </c>
      <c r="O111" s="200"/>
      <c r="P111" s="200"/>
      <c r="Q111" s="202">
        <v>1120293.1299999999</v>
      </c>
      <c r="R111" s="200"/>
      <c r="S111" s="200"/>
      <c r="T111" s="202">
        <v>-1433106.94</v>
      </c>
      <c r="U111" s="200"/>
      <c r="V111" s="200"/>
      <c r="W111" s="202">
        <v>427333.04</v>
      </c>
      <c r="AA111" s="93"/>
      <c r="AB111" s="93"/>
      <c r="AC111" s="83"/>
      <c r="AD111" s="83"/>
      <c r="AE111" s="93"/>
      <c r="AF111" s="93"/>
      <c r="AG111" s="83"/>
      <c r="AH111" s="83"/>
      <c r="AI111" s="93"/>
      <c r="AJ111" s="93"/>
      <c r="AK111" s="83"/>
      <c r="AL111" s="83"/>
      <c r="AM111" s="93"/>
      <c r="AN111" s="93"/>
      <c r="AO111" s="83"/>
      <c r="AP111" s="83"/>
      <c r="AQ111" s="93"/>
      <c r="AR111" s="93"/>
      <c r="AS111" s="83"/>
      <c r="AT111" s="83"/>
      <c r="AU111" s="93"/>
      <c r="AV111" s="93"/>
      <c r="AW111" s="83"/>
      <c r="AX111" s="83"/>
      <c r="AY111" s="93"/>
      <c r="AZ111" s="93"/>
    </row>
    <row r="112" spans="1:52" x14ac:dyDescent="0.45">
      <c r="A112" s="571">
        <v>9</v>
      </c>
      <c r="B112" s="1381"/>
      <c r="C112" s="198"/>
      <c r="D112" s="115"/>
      <c r="E112" s="39" t="s">
        <v>66</v>
      </c>
      <c r="F112" s="130"/>
      <c r="G112" s="130"/>
      <c r="H112" s="202">
        <f t="shared" si="24"/>
        <v>-184018.03000000003</v>
      </c>
      <c r="I112" s="200"/>
      <c r="J112" s="200"/>
      <c r="K112" s="202">
        <v>99432.55</v>
      </c>
      <c r="L112" s="200"/>
      <c r="M112" s="200"/>
      <c r="N112" s="202">
        <v>35.68</v>
      </c>
      <c r="O112" s="200"/>
      <c r="P112" s="200"/>
      <c r="Q112" s="202">
        <v>467328.28</v>
      </c>
      <c r="R112" s="200"/>
      <c r="S112" s="200"/>
      <c r="T112" s="202">
        <v>-1308603.23</v>
      </c>
      <c r="U112" s="200"/>
      <c r="V112" s="200"/>
      <c r="W112" s="202">
        <v>557788.68999999994</v>
      </c>
      <c r="AA112" s="93"/>
      <c r="AB112" s="93"/>
      <c r="AC112" s="83"/>
      <c r="AD112" s="83"/>
      <c r="AE112" s="93"/>
      <c r="AF112" s="93"/>
      <c r="AG112" s="83"/>
      <c r="AH112" s="83"/>
      <c r="AI112" s="93"/>
      <c r="AJ112" s="93"/>
      <c r="AK112" s="83"/>
      <c r="AL112" s="83"/>
      <c r="AM112" s="93"/>
      <c r="AN112" s="93"/>
      <c r="AO112" s="83"/>
      <c r="AP112" s="83"/>
      <c r="AQ112" s="93"/>
      <c r="AR112" s="93"/>
      <c r="AS112" s="83"/>
      <c r="AT112" s="83"/>
      <c r="AU112" s="93"/>
      <c r="AV112" s="93"/>
      <c r="AW112" s="83"/>
      <c r="AX112" s="83"/>
      <c r="AY112" s="93"/>
      <c r="AZ112" s="93"/>
    </row>
    <row r="113" spans="1:52" x14ac:dyDescent="0.45">
      <c r="A113" s="571">
        <v>10</v>
      </c>
      <c r="B113" s="1381"/>
      <c r="C113" s="198"/>
      <c r="D113" s="115"/>
      <c r="E113" s="39" t="s">
        <v>35</v>
      </c>
      <c r="F113" s="130"/>
      <c r="G113" s="130"/>
      <c r="H113" s="202">
        <f t="shared" si="24"/>
        <v>162153432.53</v>
      </c>
      <c r="I113" s="200"/>
      <c r="J113" s="200"/>
      <c r="K113" s="202">
        <v>583364.69999999995</v>
      </c>
      <c r="L113" s="200"/>
      <c r="M113" s="200"/>
      <c r="N113" s="202">
        <v>34891.85</v>
      </c>
      <c r="O113" s="200"/>
      <c r="P113" s="200"/>
      <c r="Q113" s="202">
        <v>63503308.990000002</v>
      </c>
      <c r="R113" s="200"/>
      <c r="S113" s="200"/>
      <c r="T113" s="202">
        <v>61764615.399999999</v>
      </c>
      <c r="U113" s="200"/>
      <c r="V113" s="200"/>
      <c r="W113" s="202">
        <v>36267251.590000004</v>
      </c>
      <c r="AA113" s="93"/>
      <c r="AB113" s="93"/>
      <c r="AC113" s="83"/>
      <c r="AD113" s="83"/>
      <c r="AE113" s="93"/>
      <c r="AF113" s="93"/>
      <c r="AG113" s="83"/>
      <c r="AH113" s="83"/>
      <c r="AI113" s="93"/>
      <c r="AJ113" s="93"/>
      <c r="AK113" s="83"/>
      <c r="AL113" s="83"/>
      <c r="AM113" s="93"/>
      <c r="AN113" s="93"/>
      <c r="AO113" s="83"/>
      <c r="AP113" s="83"/>
      <c r="AQ113" s="93"/>
      <c r="AR113" s="93"/>
      <c r="AS113" s="83"/>
      <c r="AT113" s="83"/>
      <c r="AU113" s="93"/>
      <c r="AV113" s="93"/>
      <c r="AW113" s="83"/>
      <c r="AX113" s="83"/>
      <c r="AY113" s="93"/>
      <c r="AZ113" s="93"/>
    </row>
    <row r="114" spans="1:52" x14ac:dyDescent="0.45">
      <c r="A114" s="571">
        <v>11</v>
      </c>
      <c r="B114" s="1381"/>
      <c r="C114" s="198"/>
      <c r="D114" s="115"/>
      <c r="E114" s="169" t="s">
        <v>290</v>
      </c>
      <c r="F114" s="130"/>
      <c r="G114" s="130"/>
      <c r="H114" s="202"/>
      <c r="I114" s="200"/>
      <c r="J114" s="200"/>
      <c r="K114" s="202"/>
      <c r="L114" s="200"/>
      <c r="M114" s="200"/>
      <c r="N114" s="202"/>
      <c r="O114" s="200"/>
      <c r="P114" s="200"/>
      <c r="Q114" s="202"/>
      <c r="R114" s="200"/>
      <c r="S114" s="200"/>
      <c r="T114" s="202"/>
      <c r="U114" s="200"/>
      <c r="V114" s="200"/>
      <c r="W114" s="202"/>
      <c r="AA114" s="93"/>
      <c r="AB114" s="93"/>
      <c r="AC114" s="83"/>
      <c r="AD114" s="83"/>
      <c r="AE114" s="93"/>
      <c r="AF114" s="93"/>
      <c r="AG114" s="83"/>
      <c r="AH114" s="83"/>
      <c r="AI114" s="93"/>
      <c r="AJ114" s="93"/>
      <c r="AK114" s="83"/>
      <c r="AL114" s="83"/>
      <c r="AM114" s="93"/>
      <c r="AN114" s="93"/>
      <c r="AO114" s="83"/>
      <c r="AP114" s="83"/>
      <c r="AQ114" s="93"/>
      <c r="AR114" s="93"/>
      <c r="AS114" s="83"/>
      <c r="AT114" s="83"/>
      <c r="AU114" s="93"/>
      <c r="AV114" s="93"/>
      <c r="AW114" s="83"/>
      <c r="AX114" s="83"/>
      <c r="AY114" s="93"/>
      <c r="AZ114" s="93"/>
    </row>
    <row r="115" spans="1:52" ht="14.65" thickBot="1" x14ac:dyDescent="0.5">
      <c r="A115" s="571">
        <v>12</v>
      </c>
      <c r="B115" s="1381"/>
      <c r="C115" s="198"/>
      <c r="D115" s="115"/>
      <c r="E115" s="42" t="s">
        <v>291</v>
      </c>
      <c r="F115" s="130"/>
      <c r="G115" s="130"/>
      <c r="H115" s="199">
        <f>IF(H$105&lt;&gt;0,H106/H$105,0)</f>
        <v>87428.980361768641</v>
      </c>
      <c r="I115" s="200"/>
      <c r="J115" s="200"/>
      <c r="K115" s="199">
        <f>IF(K$105&lt;&gt;0,K106/K$105,0)</f>
        <v>77023.692456140343</v>
      </c>
      <c r="L115" s="200"/>
      <c r="M115" s="200"/>
      <c r="N115" s="199">
        <f>IF(N$105&lt;&gt;0,N106/N$105,0)</f>
        <v>35073.449999999997</v>
      </c>
      <c r="O115" s="200"/>
      <c r="P115" s="200"/>
      <c r="Q115" s="203">
        <v>152480.91798245613</v>
      </c>
      <c r="R115" s="200"/>
      <c r="S115" s="200"/>
      <c r="T115" s="199">
        <f>IF(T$105&lt;&gt;0,T106/T$105,0)</f>
        <v>91514.463637532128</v>
      </c>
      <c r="U115" s="200"/>
      <c r="V115" s="200"/>
      <c r="W115" s="199">
        <f>IF(W$105&lt;&gt;0,W106/W$105,0)</f>
        <v>51919.282393258422</v>
      </c>
      <c r="AA115" s="93"/>
      <c r="AB115" s="93"/>
      <c r="AC115" s="83"/>
      <c r="AD115" s="83"/>
      <c r="AE115" s="93"/>
      <c r="AF115" s="93"/>
      <c r="AG115" s="83"/>
      <c r="AH115" s="83"/>
      <c r="AI115" s="93"/>
      <c r="AJ115" s="93"/>
      <c r="AK115" s="83"/>
      <c r="AL115" s="83"/>
      <c r="AM115" s="93"/>
      <c r="AN115" s="93"/>
      <c r="AO115" s="83"/>
      <c r="AP115" s="83"/>
      <c r="AQ115" s="93"/>
      <c r="AR115" s="93"/>
      <c r="AS115" s="83"/>
      <c r="AT115" s="83"/>
      <c r="AU115" s="93"/>
      <c r="AV115" s="93"/>
      <c r="AW115" s="83"/>
      <c r="AX115" s="83"/>
      <c r="AY115" s="93"/>
      <c r="AZ115" s="93"/>
    </row>
    <row r="116" spans="1:52" ht="15" thickTop="1" thickBot="1" x14ac:dyDescent="0.5">
      <c r="A116" s="571">
        <v>13</v>
      </c>
      <c r="B116" s="1381"/>
      <c r="C116" s="198"/>
      <c r="D116" s="115"/>
      <c r="E116" s="42" t="str">
        <f t="shared" ref="E116:E122" si="25">E107</f>
        <v>Arrear Amount</v>
      </c>
      <c r="F116" s="130"/>
      <c r="G116" s="130"/>
      <c r="H116" s="201">
        <f t="shared" ref="H116:H122" si="26">IF(H$105&lt;&gt;0,H107/H$105,0)</f>
        <v>77415.39818669048</v>
      </c>
      <c r="I116" s="200"/>
      <c r="J116" s="200"/>
      <c r="K116" s="201">
        <f t="shared" ref="K116:K122" si="27">IF(K$105&lt;&gt;0,K107/K$105,0)</f>
        <v>57757.374561403507</v>
      </c>
      <c r="L116" s="200"/>
      <c r="M116" s="200"/>
      <c r="N116" s="201">
        <f t="shared" ref="N116:N122" si="28">IF(N$105&lt;&gt;0,N107/N$105,0)</f>
        <v>35073.449999999997</v>
      </c>
      <c r="O116" s="200"/>
      <c r="P116" s="200"/>
      <c r="Q116" s="201">
        <v>147899.42151315787</v>
      </c>
      <c r="R116" s="200"/>
      <c r="S116" s="200"/>
      <c r="T116" s="201">
        <f t="shared" ref="T116:T122" si="29">IF(T$105&lt;&gt;0,T107/T$105,0)</f>
        <v>77386.122712082259</v>
      </c>
      <c r="U116" s="200"/>
      <c r="V116" s="200"/>
      <c r="W116" s="201">
        <f t="shared" ref="W116:W122" si="30">IF(W$105&lt;&gt;0,W107/W$105,0)</f>
        <v>43893.396303370784</v>
      </c>
      <c r="AA116" s="93"/>
      <c r="AB116" s="93"/>
      <c r="AC116" s="83"/>
      <c r="AD116" s="83"/>
      <c r="AE116" s="93"/>
      <c r="AF116" s="93"/>
      <c r="AG116" s="83"/>
      <c r="AH116" s="83"/>
      <c r="AI116" s="93"/>
      <c r="AJ116" s="93"/>
      <c r="AK116" s="83"/>
      <c r="AL116" s="83"/>
      <c r="AM116" s="93"/>
      <c r="AN116" s="93"/>
      <c r="AO116" s="83"/>
      <c r="AP116" s="83"/>
      <c r="AQ116" s="93"/>
      <c r="AR116" s="93"/>
      <c r="AS116" s="83"/>
      <c r="AT116" s="83"/>
      <c r="AU116" s="93"/>
      <c r="AV116" s="93"/>
      <c r="AW116" s="83"/>
      <c r="AX116" s="83"/>
      <c r="AY116" s="93"/>
      <c r="AZ116" s="93"/>
    </row>
    <row r="117" spans="1:52" ht="14.65" thickTop="1" x14ac:dyDescent="0.45">
      <c r="A117" s="571">
        <v>14</v>
      </c>
      <c r="B117" s="1381"/>
      <c r="C117" s="198"/>
      <c r="D117" s="115"/>
      <c r="E117" s="42" t="str">
        <f t="shared" si="25"/>
        <v>Current</v>
      </c>
      <c r="F117" s="130"/>
      <c r="G117" s="130"/>
      <c r="H117" s="202">
        <f t="shared" si="26"/>
        <v>1053.0052121482804</v>
      </c>
      <c r="I117" s="200"/>
      <c r="J117" s="200"/>
      <c r="K117" s="202">
        <f t="shared" si="27"/>
        <v>196.04491228070174</v>
      </c>
      <c r="L117" s="200"/>
      <c r="M117" s="200"/>
      <c r="N117" s="202">
        <f t="shared" si="28"/>
        <v>35.880000000000003</v>
      </c>
      <c r="O117" s="200"/>
      <c r="P117" s="200"/>
      <c r="Q117" s="202">
        <v>1813.1264254385965</v>
      </c>
      <c r="R117" s="200"/>
      <c r="S117" s="200"/>
      <c r="T117" s="202">
        <f t="shared" si="29"/>
        <v>1078.685321336761</v>
      </c>
      <c r="U117" s="200"/>
      <c r="V117" s="200"/>
      <c r="W117" s="202">
        <f t="shared" si="30"/>
        <v>752.01217977528086</v>
      </c>
      <c r="AA117" s="93"/>
      <c r="AB117" s="93"/>
      <c r="AC117" s="83"/>
      <c r="AD117" s="83"/>
      <c r="AE117" s="93"/>
      <c r="AF117" s="93"/>
      <c r="AG117" s="83"/>
      <c r="AH117" s="83"/>
      <c r="AI117" s="93"/>
      <c r="AJ117" s="93"/>
      <c r="AK117" s="83"/>
      <c r="AL117" s="83"/>
      <c r="AM117" s="93"/>
      <c r="AN117" s="93"/>
      <c r="AO117" s="83"/>
      <c r="AP117" s="83"/>
      <c r="AQ117" s="93"/>
      <c r="AR117" s="93"/>
      <c r="AS117" s="83"/>
      <c r="AT117" s="83"/>
      <c r="AU117" s="93"/>
      <c r="AV117" s="93"/>
      <c r="AW117" s="83"/>
      <c r="AX117" s="83"/>
      <c r="AY117" s="93"/>
      <c r="AZ117" s="93"/>
    </row>
    <row r="118" spans="1:52" x14ac:dyDescent="0.45">
      <c r="A118" s="571">
        <v>15</v>
      </c>
      <c r="B118" s="1381"/>
      <c r="C118" s="198"/>
      <c r="D118" s="115"/>
      <c r="E118" s="42" t="str">
        <f t="shared" si="25"/>
        <v>30 Days</v>
      </c>
      <c r="F118" s="130"/>
      <c r="G118" s="130"/>
      <c r="H118" s="202">
        <f t="shared" si="26"/>
        <v>639.23956230460021</v>
      </c>
      <c r="I118" s="200"/>
      <c r="J118" s="200"/>
      <c r="K118" s="202">
        <f t="shared" si="27"/>
        <v>1061.270701754386</v>
      </c>
      <c r="L118" s="200"/>
      <c r="M118" s="200"/>
      <c r="N118" s="202">
        <f t="shared" si="28"/>
        <v>35.68</v>
      </c>
      <c r="O118" s="200"/>
      <c r="P118" s="200"/>
      <c r="Q118" s="202">
        <v>1615.3688815789474</v>
      </c>
      <c r="R118" s="200"/>
      <c r="S118" s="200"/>
      <c r="T118" s="202">
        <f t="shared" si="29"/>
        <v>-1.1985732647814911</v>
      </c>
      <c r="U118" s="200"/>
      <c r="V118" s="200"/>
      <c r="W118" s="202">
        <f t="shared" si="30"/>
        <v>645.57429213483147</v>
      </c>
      <c r="AA118" s="93"/>
      <c r="AB118" s="93"/>
      <c r="AC118" s="83"/>
      <c r="AD118" s="83"/>
      <c r="AE118" s="93"/>
      <c r="AF118" s="93"/>
      <c r="AG118" s="83"/>
      <c r="AH118" s="83"/>
      <c r="AI118" s="93"/>
      <c r="AJ118" s="93"/>
      <c r="AK118" s="83"/>
      <c r="AL118" s="83"/>
      <c r="AM118" s="93"/>
      <c r="AN118" s="93"/>
      <c r="AO118" s="83"/>
      <c r="AP118" s="83"/>
      <c r="AQ118" s="93"/>
      <c r="AR118" s="93"/>
      <c r="AS118" s="83"/>
      <c r="AT118" s="83"/>
      <c r="AU118" s="93"/>
      <c r="AV118" s="93"/>
      <c r="AW118" s="83"/>
      <c r="AX118" s="83"/>
      <c r="AY118" s="93"/>
      <c r="AZ118" s="93"/>
    </row>
    <row r="119" spans="1:52" x14ac:dyDescent="0.45">
      <c r="A119" s="571">
        <v>16</v>
      </c>
      <c r="B119" s="1381"/>
      <c r="C119" s="198"/>
      <c r="D119" s="115"/>
      <c r="E119" s="42" t="str">
        <f t="shared" si="25"/>
        <v>60 days</v>
      </c>
      <c r="F119" s="130"/>
      <c r="G119" s="130"/>
      <c r="H119" s="202">
        <f t="shared" si="26"/>
        <v>948.3142295667709</v>
      </c>
      <c r="I119" s="200"/>
      <c r="J119" s="200"/>
      <c r="K119" s="202">
        <f t="shared" si="27"/>
        <v>3698.1048245614038</v>
      </c>
      <c r="L119" s="200"/>
      <c r="M119" s="200"/>
      <c r="N119" s="202">
        <f t="shared" si="28"/>
        <v>38.68</v>
      </c>
      <c r="O119" s="200"/>
      <c r="P119" s="200"/>
      <c r="Q119" s="202">
        <v>1727.6577850877193</v>
      </c>
      <c r="R119" s="200"/>
      <c r="S119" s="200"/>
      <c r="T119" s="202">
        <f t="shared" si="29"/>
        <v>443.71921593830331</v>
      </c>
      <c r="U119" s="200"/>
      <c r="V119" s="200"/>
      <c r="W119" s="202">
        <f t="shared" si="30"/>
        <v>638.90722471910124</v>
      </c>
      <c r="AA119" s="93"/>
      <c r="AB119" s="93"/>
      <c r="AC119" s="83"/>
      <c r="AD119" s="83"/>
      <c r="AE119" s="93"/>
      <c r="AF119" s="93"/>
      <c r="AG119" s="83"/>
      <c r="AH119" s="83"/>
      <c r="AI119" s="93"/>
      <c r="AJ119" s="93"/>
      <c r="AK119" s="83"/>
      <c r="AL119" s="83"/>
      <c r="AM119" s="93"/>
      <c r="AN119" s="93"/>
      <c r="AO119" s="83"/>
      <c r="AP119" s="83"/>
      <c r="AQ119" s="93"/>
      <c r="AR119" s="93"/>
      <c r="AS119" s="83"/>
      <c r="AT119" s="83"/>
      <c r="AU119" s="93"/>
      <c r="AV119" s="93"/>
      <c r="AW119" s="83"/>
      <c r="AX119" s="83"/>
      <c r="AY119" s="93"/>
      <c r="AZ119" s="93"/>
    </row>
    <row r="120" spans="1:52" x14ac:dyDescent="0.45">
      <c r="A120" s="571">
        <v>17</v>
      </c>
      <c r="B120" s="1381"/>
      <c r="C120" s="198"/>
      <c r="D120" s="115"/>
      <c r="E120" s="42" t="str">
        <f t="shared" si="25"/>
        <v>90 Days</v>
      </c>
      <c r="F120" s="130"/>
      <c r="G120" s="130"/>
      <c r="H120" s="202">
        <f t="shared" si="26"/>
        <v>90.746507369361268</v>
      </c>
      <c r="I120" s="200"/>
      <c r="J120" s="200"/>
      <c r="K120" s="202">
        <f t="shared" si="27"/>
        <v>777.42561403508773</v>
      </c>
      <c r="L120" s="200"/>
      <c r="M120" s="200"/>
      <c r="N120" s="202">
        <f t="shared" si="28"/>
        <v>35.68</v>
      </c>
      <c r="O120" s="200"/>
      <c r="P120" s="200"/>
      <c r="Q120" s="202">
        <v>2456.7831798245611</v>
      </c>
      <c r="R120" s="200"/>
      <c r="S120" s="200"/>
      <c r="T120" s="202">
        <f t="shared" si="29"/>
        <v>-1842.039768637532</v>
      </c>
      <c r="U120" s="200"/>
      <c r="V120" s="200"/>
      <c r="W120" s="202">
        <f t="shared" si="30"/>
        <v>480.14948314606738</v>
      </c>
      <c r="AA120" s="93"/>
      <c r="AB120" s="93"/>
      <c r="AC120" s="83"/>
      <c r="AD120" s="83"/>
      <c r="AE120" s="93"/>
      <c r="AF120" s="93"/>
      <c r="AG120" s="83"/>
      <c r="AH120" s="83"/>
      <c r="AI120" s="93"/>
      <c r="AJ120" s="93"/>
      <c r="AK120" s="83"/>
      <c r="AL120" s="83"/>
      <c r="AM120" s="93"/>
      <c r="AN120" s="93"/>
      <c r="AO120" s="83"/>
      <c r="AP120" s="83"/>
      <c r="AQ120" s="93"/>
      <c r="AR120" s="93"/>
      <c r="AS120" s="83"/>
      <c r="AT120" s="83"/>
      <c r="AU120" s="93"/>
      <c r="AV120" s="93"/>
      <c r="AW120" s="83"/>
      <c r="AX120" s="83"/>
      <c r="AY120" s="93"/>
      <c r="AZ120" s="93"/>
    </row>
    <row r="121" spans="1:52" x14ac:dyDescent="0.45">
      <c r="A121" s="571">
        <v>18</v>
      </c>
      <c r="B121" s="1381"/>
      <c r="C121" s="198"/>
      <c r="D121" s="115"/>
      <c r="E121" s="42" t="str">
        <f t="shared" si="25"/>
        <v>120 days</v>
      </c>
      <c r="F121" s="130"/>
      <c r="G121" s="130"/>
      <c r="H121" s="202">
        <f t="shared" si="26"/>
        <v>-82.18759714158108</v>
      </c>
      <c r="I121" s="200"/>
      <c r="J121" s="200"/>
      <c r="K121" s="202">
        <f t="shared" si="27"/>
        <v>872.21535087719303</v>
      </c>
      <c r="L121" s="200"/>
      <c r="M121" s="200"/>
      <c r="N121" s="202">
        <f t="shared" si="28"/>
        <v>35.68</v>
      </c>
      <c r="O121" s="200"/>
      <c r="P121" s="200"/>
      <c r="Q121" s="202">
        <v>1024.8427192982456</v>
      </c>
      <c r="R121" s="200"/>
      <c r="S121" s="200"/>
      <c r="T121" s="202">
        <f t="shared" si="29"/>
        <v>-1682.0092930591259</v>
      </c>
      <c r="U121" s="200"/>
      <c r="V121" s="200"/>
      <c r="W121" s="202">
        <f t="shared" si="30"/>
        <v>626.7288651685393</v>
      </c>
      <c r="AA121" s="93"/>
      <c r="AB121" s="93"/>
      <c r="AC121" s="83"/>
      <c r="AD121" s="83"/>
      <c r="AE121" s="93"/>
      <c r="AF121" s="93"/>
      <c r="AG121" s="83"/>
      <c r="AH121" s="83"/>
      <c r="AI121" s="93"/>
      <c r="AJ121" s="93"/>
      <c r="AK121" s="83"/>
      <c r="AL121" s="83"/>
      <c r="AM121" s="93"/>
      <c r="AN121" s="93"/>
      <c r="AO121" s="83"/>
      <c r="AP121" s="83"/>
      <c r="AQ121" s="93"/>
      <c r="AR121" s="93"/>
      <c r="AS121" s="83"/>
      <c r="AT121" s="83"/>
      <c r="AU121" s="93"/>
      <c r="AV121" s="93"/>
      <c r="AW121" s="83"/>
      <c r="AX121" s="83"/>
      <c r="AY121" s="93"/>
      <c r="AZ121" s="93"/>
    </row>
    <row r="122" spans="1:52" x14ac:dyDescent="0.45">
      <c r="A122" s="571">
        <v>19</v>
      </c>
      <c r="B122" s="1381"/>
      <c r="C122" s="198"/>
      <c r="D122" s="115"/>
      <c r="E122" s="42" t="str">
        <f t="shared" si="25"/>
        <v>120+ days</v>
      </c>
      <c r="F122" s="130"/>
      <c r="G122" s="130"/>
      <c r="H122" s="202">
        <f t="shared" si="26"/>
        <v>72422.256601161236</v>
      </c>
      <c r="I122" s="200"/>
      <c r="J122" s="200"/>
      <c r="K122" s="202">
        <f t="shared" si="27"/>
        <v>5117.2342105263151</v>
      </c>
      <c r="L122" s="200"/>
      <c r="M122" s="200"/>
      <c r="N122" s="202">
        <f t="shared" si="28"/>
        <v>34891.85</v>
      </c>
      <c r="O122" s="200"/>
      <c r="P122" s="200"/>
      <c r="Q122" s="202">
        <v>139261.64252192984</v>
      </c>
      <c r="R122" s="200"/>
      <c r="S122" s="200"/>
      <c r="T122" s="202">
        <f t="shared" si="29"/>
        <v>79388.965809768633</v>
      </c>
      <c r="U122" s="200"/>
      <c r="V122" s="200"/>
      <c r="W122" s="202">
        <f t="shared" si="30"/>
        <v>40749.720887640455</v>
      </c>
      <c r="AA122" s="93"/>
      <c r="AB122" s="93"/>
      <c r="AC122" s="83"/>
      <c r="AD122" s="83"/>
      <c r="AE122" s="93"/>
      <c r="AF122" s="93"/>
      <c r="AG122" s="83"/>
      <c r="AH122" s="83"/>
      <c r="AI122" s="93"/>
      <c r="AJ122" s="93"/>
      <c r="AK122" s="83"/>
      <c r="AL122" s="83"/>
      <c r="AM122" s="93"/>
      <c r="AN122" s="93"/>
      <c r="AO122" s="83"/>
      <c r="AP122" s="83"/>
      <c r="AQ122" s="93"/>
      <c r="AR122" s="93"/>
      <c r="AS122" s="83"/>
      <c r="AT122" s="83"/>
      <c r="AU122" s="93"/>
      <c r="AV122" s="93"/>
      <c r="AW122" s="83"/>
      <c r="AX122" s="83"/>
      <c r="AY122" s="93"/>
      <c r="AZ122" s="93"/>
    </row>
    <row r="123" spans="1:52" x14ac:dyDescent="0.45">
      <c r="A123" s="571">
        <v>20</v>
      </c>
      <c r="B123" s="1381"/>
      <c r="C123" s="91"/>
      <c r="D123" s="115"/>
      <c r="E123" s="42"/>
      <c r="F123" s="130"/>
      <c r="G123" s="130"/>
      <c r="H123" s="131"/>
      <c r="I123" s="200"/>
      <c r="J123" s="200"/>
      <c r="K123" s="202"/>
      <c r="L123" s="200"/>
      <c r="M123" s="200"/>
      <c r="N123" s="202"/>
      <c r="O123" s="200"/>
      <c r="P123" s="200"/>
      <c r="Q123" s="202"/>
      <c r="R123" s="200"/>
      <c r="S123" s="200"/>
      <c r="T123" s="202"/>
      <c r="U123" s="200"/>
      <c r="V123" s="200"/>
      <c r="W123" s="202"/>
      <c r="AA123" s="93"/>
      <c r="AB123" s="93"/>
      <c r="AC123" s="83"/>
      <c r="AD123" s="83"/>
      <c r="AE123" s="93"/>
      <c r="AF123" s="93"/>
      <c r="AG123" s="83"/>
      <c r="AH123" s="83"/>
      <c r="AI123" s="93"/>
      <c r="AJ123" s="93"/>
      <c r="AK123" s="83"/>
      <c r="AL123" s="83"/>
      <c r="AM123" s="93"/>
      <c r="AN123" s="93"/>
      <c r="AO123" s="83"/>
      <c r="AP123" s="83"/>
      <c r="AQ123" s="93"/>
      <c r="AR123" s="93"/>
      <c r="AS123" s="83"/>
      <c r="AT123" s="83"/>
      <c r="AU123" s="93"/>
      <c r="AV123" s="93"/>
      <c r="AW123" s="83"/>
      <c r="AX123" s="83"/>
      <c r="AY123" s="93"/>
      <c r="AZ123" s="93"/>
    </row>
    <row r="124" spans="1:52" x14ac:dyDescent="0.45">
      <c r="A124" s="571">
        <v>21</v>
      </c>
      <c r="B124" s="1381"/>
      <c r="C124" s="91"/>
      <c r="D124" s="115"/>
      <c r="E124" s="42"/>
      <c r="F124" s="130"/>
      <c r="G124" s="130"/>
      <c r="H124" s="131"/>
      <c r="I124" s="200"/>
      <c r="J124" s="200"/>
      <c r="K124" s="202"/>
      <c r="L124" s="200"/>
      <c r="M124" s="200"/>
      <c r="N124" s="202"/>
      <c r="O124" s="200"/>
      <c r="P124" s="200"/>
      <c r="Q124" s="202"/>
      <c r="R124" s="200"/>
      <c r="S124" s="200"/>
      <c r="T124" s="202"/>
      <c r="U124" s="200"/>
      <c r="V124" s="200"/>
      <c r="W124" s="202"/>
      <c r="AA124" s="93"/>
      <c r="AB124" s="93"/>
      <c r="AC124" s="83"/>
      <c r="AD124" s="83"/>
      <c r="AE124" s="93"/>
      <c r="AF124" s="93"/>
      <c r="AG124" s="83"/>
      <c r="AH124" s="83"/>
      <c r="AI124" s="93"/>
      <c r="AJ124" s="93"/>
      <c r="AK124" s="83"/>
      <c r="AL124" s="83"/>
      <c r="AM124" s="93"/>
      <c r="AN124" s="93"/>
      <c r="AO124" s="83"/>
      <c r="AP124" s="83"/>
      <c r="AQ124" s="93"/>
      <c r="AR124" s="93"/>
      <c r="AS124" s="83"/>
      <c r="AT124" s="83"/>
      <c r="AU124" s="93"/>
      <c r="AV124" s="93"/>
      <c r="AW124" s="83"/>
      <c r="AX124" s="83"/>
      <c r="AY124" s="93"/>
      <c r="AZ124" s="93"/>
    </row>
    <row r="125" spans="1:52" x14ac:dyDescent="0.45">
      <c r="A125" s="571">
        <v>22</v>
      </c>
      <c r="B125" s="1381"/>
      <c r="C125" s="91"/>
      <c r="D125" s="115"/>
      <c r="E125" s="42"/>
      <c r="F125" s="130"/>
      <c r="G125" s="130"/>
      <c r="H125" s="131"/>
      <c r="I125" s="200"/>
      <c r="J125" s="200"/>
      <c r="K125" s="202"/>
      <c r="L125" s="200"/>
      <c r="M125" s="200"/>
      <c r="N125" s="202"/>
      <c r="O125" s="200"/>
      <c r="P125" s="200"/>
      <c r="Q125" s="202"/>
      <c r="R125" s="200"/>
      <c r="S125" s="200"/>
      <c r="T125" s="202"/>
      <c r="U125" s="200"/>
      <c r="V125" s="200"/>
      <c r="W125" s="202"/>
      <c r="AA125" s="93"/>
      <c r="AB125" s="93"/>
      <c r="AC125" s="83"/>
      <c r="AD125" s="83"/>
      <c r="AE125" s="93"/>
      <c r="AF125" s="93"/>
      <c r="AG125" s="83"/>
      <c r="AH125" s="83"/>
      <c r="AI125" s="93"/>
      <c r="AJ125" s="93"/>
      <c r="AK125" s="83"/>
      <c r="AL125" s="83"/>
      <c r="AM125" s="93"/>
      <c r="AN125" s="93"/>
      <c r="AO125" s="83"/>
      <c r="AP125" s="83"/>
      <c r="AQ125" s="93"/>
      <c r="AR125" s="93"/>
      <c r="AS125" s="83"/>
      <c r="AT125" s="83"/>
      <c r="AU125" s="93"/>
      <c r="AV125" s="93"/>
      <c r="AW125" s="83"/>
      <c r="AX125" s="83"/>
      <c r="AY125" s="93"/>
      <c r="AZ125" s="93"/>
    </row>
    <row r="126" spans="1:52" x14ac:dyDescent="0.45">
      <c r="A126" s="571">
        <v>23</v>
      </c>
      <c r="B126" s="1382"/>
      <c r="C126" s="91"/>
      <c r="D126" s="115"/>
      <c r="E126" s="42"/>
      <c r="F126" s="130"/>
      <c r="G126" s="130"/>
      <c r="H126" s="131"/>
      <c r="I126" s="200"/>
      <c r="J126" s="200"/>
      <c r="K126" s="202"/>
      <c r="L126" s="200"/>
      <c r="M126" s="200"/>
      <c r="N126" s="202"/>
      <c r="O126" s="200"/>
      <c r="P126" s="200"/>
      <c r="Q126" s="202"/>
      <c r="R126" s="200"/>
      <c r="S126" s="200"/>
      <c r="T126" s="202"/>
      <c r="U126" s="200"/>
      <c r="V126" s="200"/>
      <c r="W126" s="202"/>
      <c r="AA126" s="93"/>
      <c r="AB126" s="93"/>
      <c r="AC126" s="83"/>
      <c r="AD126" s="83"/>
      <c r="AE126" s="93"/>
      <c r="AF126" s="93"/>
      <c r="AG126" s="83"/>
      <c r="AH126" s="83"/>
      <c r="AI126" s="93"/>
      <c r="AJ126" s="93"/>
      <c r="AK126" s="83"/>
      <c r="AL126" s="83"/>
      <c r="AM126" s="93"/>
      <c r="AN126" s="93"/>
      <c r="AO126" s="83"/>
      <c r="AP126" s="83"/>
      <c r="AQ126" s="93"/>
      <c r="AR126" s="93"/>
      <c r="AS126" s="83"/>
      <c r="AT126" s="83"/>
      <c r="AU126" s="93"/>
      <c r="AV126" s="93"/>
      <c r="AW126" s="83"/>
      <c r="AX126" s="83"/>
      <c r="AY126" s="93"/>
      <c r="AZ126" s="93"/>
    </row>
    <row r="127" spans="1:52" x14ac:dyDescent="0.45">
      <c r="C127" s="91"/>
      <c r="D127" s="115"/>
      <c r="E127" s="42"/>
      <c r="F127" s="130"/>
      <c r="G127" s="130"/>
      <c r="H127" s="131"/>
      <c r="I127" s="200"/>
      <c r="J127" s="200"/>
      <c r="K127" s="202"/>
      <c r="L127" s="200"/>
      <c r="M127" s="200"/>
      <c r="N127" s="202"/>
      <c r="O127" s="200"/>
      <c r="P127" s="200"/>
      <c r="Q127" s="202"/>
      <c r="R127" s="200"/>
      <c r="S127" s="200"/>
      <c r="T127" s="202"/>
      <c r="U127" s="200"/>
      <c r="V127" s="200"/>
      <c r="W127" s="202"/>
      <c r="AA127" s="93"/>
      <c r="AB127" s="93"/>
      <c r="AC127" s="83"/>
      <c r="AD127" s="83"/>
      <c r="AE127" s="93"/>
      <c r="AF127" s="93"/>
      <c r="AG127" s="83"/>
      <c r="AH127" s="83"/>
      <c r="AI127" s="93"/>
      <c r="AJ127" s="93"/>
      <c r="AK127" s="83"/>
      <c r="AL127" s="83"/>
      <c r="AM127" s="93"/>
      <c r="AN127" s="93"/>
      <c r="AO127" s="83"/>
      <c r="AP127" s="83"/>
      <c r="AQ127" s="93"/>
      <c r="AR127" s="93"/>
      <c r="AS127" s="83"/>
      <c r="AT127" s="83"/>
      <c r="AU127" s="93"/>
      <c r="AV127" s="93"/>
      <c r="AW127" s="83"/>
      <c r="AX127" s="83"/>
      <c r="AY127" s="93"/>
      <c r="AZ127" s="93"/>
    </row>
    <row r="128" spans="1:52" ht="15.75" customHeight="1" x14ac:dyDescent="0.45">
      <c r="A128" s="571">
        <v>1</v>
      </c>
      <c r="B128" s="1369" t="s">
        <v>17</v>
      </c>
      <c r="C128" s="9" t="s">
        <v>18</v>
      </c>
      <c r="D128" s="102"/>
      <c r="E128" s="10" t="s">
        <v>19</v>
      </c>
      <c r="F128" s="130"/>
      <c r="G128" s="130"/>
      <c r="H128" s="131"/>
      <c r="I128" s="200"/>
      <c r="J128" s="200"/>
      <c r="K128" s="202"/>
      <c r="L128" s="200"/>
      <c r="M128" s="200"/>
      <c r="N128" s="202"/>
      <c r="O128" s="200"/>
      <c r="P128" s="200"/>
      <c r="Q128" s="202"/>
      <c r="R128" s="200"/>
      <c r="S128" s="200"/>
      <c r="T128" s="202"/>
      <c r="U128" s="200"/>
      <c r="V128" s="200"/>
      <c r="W128" s="202"/>
      <c r="AA128" s="93"/>
      <c r="AB128" s="93"/>
      <c r="AC128" s="83"/>
      <c r="AD128" s="83"/>
      <c r="AE128" s="93"/>
      <c r="AF128" s="93"/>
      <c r="AG128" s="83"/>
      <c r="AH128" s="83"/>
      <c r="AI128" s="93"/>
      <c r="AJ128" s="93"/>
      <c r="AK128" s="83"/>
      <c r="AL128" s="83"/>
      <c r="AM128" s="93"/>
      <c r="AN128" s="93"/>
      <c r="AO128" s="83"/>
      <c r="AP128" s="83"/>
      <c r="AQ128" s="93"/>
      <c r="AR128" s="93"/>
      <c r="AS128" s="83"/>
      <c r="AT128" s="83"/>
      <c r="AU128" s="93"/>
      <c r="AV128" s="93"/>
      <c r="AW128" s="83"/>
      <c r="AX128" s="83"/>
      <c r="AY128" s="93"/>
      <c r="AZ128" s="93"/>
    </row>
    <row r="129" spans="1:52" x14ac:dyDescent="0.45">
      <c r="A129" s="571">
        <v>2</v>
      </c>
      <c r="B129" s="1370"/>
      <c r="C129" s="11" t="s">
        <v>20</v>
      </c>
      <c r="D129" s="103"/>
      <c r="E129" s="12" t="s">
        <v>21</v>
      </c>
      <c r="F129" s="89"/>
      <c r="G129" s="89"/>
      <c r="H129" s="23"/>
      <c r="I129" s="92"/>
      <c r="J129" s="92"/>
      <c r="K129" s="31"/>
      <c r="L129" s="92"/>
      <c r="M129" s="92"/>
      <c r="N129" s="31"/>
      <c r="O129" s="92"/>
      <c r="P129" s="92"/>
      <c r="Q129" s="31"/>
      <c r="R129" s="92"/>
      <c r="S129" s="92"/>
      <c r="T129" s="31"/>
      <c r="U129" s="92"/>
      <c r="V129" s="92"/>
      <c r="W129" s="31"/>
      <c r="AA129" s="93"/>
      <c r="AB129" s="93"/>
      <c r="AC129" s="83"/>
      <c r="AD129" s="83"/>
      <c r="AE129" s="93"/>
      <c r="AF129" s="93"/>
      <c r="AG129" s="83"/>
      <c r="AH129" s="83"/>
      <c r="AI129" s="93"/>
      <c r="AJ129" s="93"/>
      <c r="AK129" s="83"/>
      <c r="AL129" s="83"/>
      <c r="AM129" s="93"/>
      <c r="AN129" s="93"/>
      <c r="AO129" s="83"/>
      <c r="AP129" s="83"/>
      <c r="AQ129" s="93"/>
      <c r="AR129" s="93"/>
      <c r="AS129" s="83"/>
      <c r="AT129" s="83"/>
      <c r="AU129" s="93"/>
      <c r="AV129" s="93"/>
      <c r="AW129" s="83"/>
      <c r="AX129" s="83"/>
      <c r="AY129" s="93"/>
      <c r="AZ129" s="93"/>
    </row>
    <row r="130" spans="1:52" ht="15" customHeight="1" x14ac:dyDescent="0.45">
      <c r="A130" s="571">
        <v>3</v>
      </c>
      <c r="B130" s="1370"/>
      <c r="C130" s="13" t="s">
        <v>22</v>
      </c>
      <c r="D130" s="105" t="s">
        <v>292</v>
      </c>
      <c r="E130" s="13" t="s">
        <v>23</v>
      </c>
      <c r="F130" s="204">
        <f t="shared" ref="F130:H136" si="31">I130+L130+O130+R130+U130</f>
        <v>2253630</v>
      </c>
      <c r="G130" s="204">
        <f t="shared" si="31"/>
        <v>1653477.9100000001</v>
      </c>
      <c r="H130" s="131">
        <f t="shared" si="31"/>
        <v>96406988.579999998</v>
      </c>
      <c r="I130" s="21">
        <v>2253630</v>
      </c>
      <c r="J130" s="21">
        <v>1653477.9100000001</v>
      </c>
      <c r="K130" s="21">
        <f>1028278.1*0+1018152</f>
        <v>1018152</v>
      </c>
      <c r="L130" s="97"/>
      <c r="M130" s="96"/>
      <c r="N130" s="21">
        <f>N131</f>
        <v>1513477.1</v>
      </c>
      <c r="O130" s="97"/>
      <c r="P130" s="96"/>
      <c r="Q130" s="21">
        <f>Q131</f>
        <v>31984426.030000001</v>
      </c>
      <c r="R130" s="97"/>
      <c r="S130" s="96"/>
      <c r="T130" s="21">
        <f>T131</f>
        <v>49690196.090000004</v>
      </c>
      <c r="U130" s="97"/>
      <c r="V130" s="96"/>
      <c r="W130" s="21">
        <f>W131</f>
        <v>12200737.359999999</v>
      </c>
      <c r="AA130" s="93"/>
      <c r="AB130" s="93"/>
      <c r="AC130" s="83"/>
      <c r="AD130" s="83"/>
      <c r="AE130" s="93"/>
      <c r="AF130" s="93"/>
      <c r="AG130" s="83"/>
      <c r="AH130" s="83"/>
      <c r="AI130" s="93"/>
      <c r="AJ130" s="93"/>
      <c r="AK130" s="83"/>
      <c r="AL130" s="83"/>
      <c r="AM130" s="93"/>
      <c r="AN130" s="93"/>
      <c r="AO130" s="83"/>
      <c r="AP130" s="83"/>
      <c r="AQ130" s="93"/>
      <c r="AR130" s="93"/>
      <c r="AS130" s="83"/>
      <c r="AT130" s="83"/>
      <c r="AU130" s="93"/>
      <c r="AV130" s="93"/>
      <c r="AW130" s="83"/>
      <c r="AX130" s="83"/>
      <c r="AY130" s="93"/>
      <c r="AZ130" s="93"/>
    </row>
    <row r="131" spans="1:52" ht="15.75" customHeight="1" x14ac:dyDescent="0.45">
      <c r="A131" s="571">
        <v>4</v>
      </c>
      <c r="B131" s="1370"/>
      <c r="C131" s="13" t="s">
        <v>24</v>
      </c>
      <c r="D131" s="105"/>
      <c r="E131" s="13" t="s">
        <v>25</v>
      </c>
      <c r="F131" s="204">
        <f t="shared" si="31"/>
        <v>2253630</v>
      </c>
      <c r="G131" s="204">
        <f t="shared" si="31"/>
        <v>1653477.9100000001</v>
      </c>
      <c r="H131" s="131">
        <f t="shared" si="31"/>
        <v>96406988.540000007</v>
      </c>
      <c r="I131" s="205">
        <f>SUM(I132:I136)</f>
        <v>2253630</v>
      </c>
      <c r="J131" s="206">
        <f>SUM(J132:J136)</f>
        <v>1653477.9100000001</v>
      </c>
      <c r="K131" s="22">
        <f>SUM(K132:K136)</f>
        <v>1018151.96</v>
      </c>
      <c r="L131" s="205">
        <f>SUM(L132:L136)</f>
        <v>0</v>
      </c>
      <c r="M131" s="206">
        <f>SUM(M132:M136)</f>
        <v>0</v>
      </c>
      <c r="N131" s="22">
        <v>1513477.1</v>
      </c>
      <c r="O131" s="205">
        <f>SUM(O132:O136)</f>
        <v>0</v>
      </c>
      <c r="P131" s="206">
        <f>SUM(P132:P136)</f>
        <v>0</v>
      </c>
      <c r="Q131" s="22">
        <v>31984426.030000001</v>
      </c>
      <c r="R131" s="205">
        <f>SUM(R132:R136)</f>
        <v>0</v>
      </c>
      <c r="S131" s="206">
        <f>SUM(S132:S136)</f>
        <v>0</v>
      </c>
      <c r="T131" s="22">
        <v>49690196.090000004</v>
      </c>
      <c r="U131" s="205">
        <f>SUM(U132:U136)</f>
        <v>0</v>
      </c>
      <c r="V131" s="206">
        <f>SUM(V132:V136)</f>
        <v>0</v>
      </c>
      <c r="W131" s="22">
        <v>12200737.359999999</v>
      </c>
      <c r="AA131" s="93"/>
      <c r="AB131" s="93"/>
      <c r="AC131" s="83" t="s">
        <v>293</v>
      </c>
      <c r="AD131" s="83"/>
      <c r="AE131" s="93"/>
      <c r="AF131" s="93"/>
      <c r="AG131" s="83" t="s">
        <v>294</v>
      </c>
      <c r="AH131" s="83"/>
      <c r="AI131" s="93"/>
      <c r="AJ131" s="93"/>
      <c r="AK131" s="83" t="s">
        <v>294</v>
      </c>
      <c r="AL131" s="83"/>
      <c r="AM131" s="93"/>
      <c r="AN131" s="93"/>
      <c r="AO131" s="83" t="s">
        <v>294</v>
      </c>
      <c r="AP131" s="83"/>
      <c r="AQ131" s="93"/>
      <c r="AR131" s="93"/>
      <c r="AS131" s="83" t="s">
        <v>294</v>
      </c>
      <c r="AT131" s="83"/>
      <c r="AU131" s="93"/>
      <c r="AV131" s="93"/>
      <c r="AW131" s="83"/>
      <c r="AX131" s="83"/>
      <c r="AY131" s="93"/>
      <c r="AZ131" s="93"/>
    </row>
    <row r="132" spans="1:52" x14ac:dyDescent="0.45">
      <c r="A132" s="571">
        <v>5</v>
      </c>
      <c r="B132" s="1370"/>
      <c r="C132" s="13" t="s">
        <v>26</v>
      </c>
      <c r="D132" s="105"/>
      <c r="E132" s="13" t="s">
        <v>27</v>
      </c>
      <c r="F132" s="204">
        <f t="shared" si="31"/>
        <v>167296</v>
      </c>
      <c r="G132" s="204">
        <f t="shared" si="31"/>
        <v>46113.39</v>
      </c>
      <c r="H132" s="131">
        <f t="shared" si="31"/>
        <v>928718.22</v>
      </c>
      <c r="I132" s="21">
        <v>167296</v>
      </c>
      <c r="J132" s="21">
        <v>46113.39</v>
      </c>
      <c r="K132" s="21">
        <v>19921.77</v>
      </c>
      <c r="L132" s="21"/>
      <c r="M132" s="21"/>
      <c r="N132" s="21">
        <v>10794.81</v>
      </c>
      <c r="O132" s="21"/>
      <c r="P132" s="21"/>
      <c r="Q132" s="21">
        <v>184583.56</v>
      </c>
      <c r="R132" s="21"/>
      <c r="S132" s="21"/>
      <c r="T132" s="21">
        <v>303721.09000000003</v>
      </c>
      <c r="U132" s="21"/>
      <c r="V132" s="21"/>
      <c r="W132" s="21">
        <v>409696.99</v>
      </c>
      <c r="AA132" s="93"/>
      <c r="AB132" s="93"/>
      <c r="AC132" s="83"/>
      <c r="AD132" s="83"/>
      <c r="AE132" s="93"/>
      <c r="AF132" s="93"/>
      <c r="AG132" s="83"/>
      <c r="AH132" s="83"/>
      <c r="AI132" s="93"/>
      <c r="AJ132" s="93"/>
      <c r="AK132" s="83"/>
      <c r="AL132" s="83"/>
      <c r="AM132" s="93"/>
      <c r="AN132" s="93"/>
      <c r="AO132" s="83"/>
      <c r="AP132" s="83"/>
      <c r="AQ132" s="93"/>
      <c r="AR132" s="93"/>
      <c r="AS132" s="83"/>
      <c r="AT132" s="83"/>
      <c r="AU132" s="93"/>
      <c r="AV132" s="93"/>
      <c r="AW132" s="83"/>
      <c r="AX132" s="83"/>
      <c r="AY132" s="93"/>
      <c r="AZ132" s="93"/>
    </row>
    <row r="133" spans="1:52" x14ac:dyDescent="0.45">
      <c r="A133" s="571">
        <v>6</v>
      </c>
      <c r="B133" s="1370"/>
      <c r="C133" s="13" t="s">
        <v>28</v>
      </c>
      <c r="D133" s="105"/>
      <c r="E133" s="13" t="s">
        <v>29</v>
      </c>
      <c r="F133" s="204">
        <f t="shared" si="31"/>
        <v>80719</v>
      </c>
      <c r="G133" s="204">
        <f t="shared" si="31"/>
        <v>44874.53</v>
      </c>
      <c r="H133" s="131">
        <f t="shared" si="31"/>
        <v>859386.95</v>
      </c>
      <c r="I133" s="21">
        <v>80719</v>
      </c>
      <c r="J133" s="21">
        <v>44874.53</v>
      </c>
      <c r="K133" s="21">
        <v>18270.55</v>
      </c>
      <c r="L133" s="21"/>
      <c r="M133" s="21"/>
      <c r="N133" s="21">
        <v>10974.81</v>
      </c>
      <c r="O133" s="21"/>
      <c r="P133" s="21"/>
      <c r="Q133" s="21">
        <v>184452.52</v>
      </c>
      <c r="R133" s="21"/>
      <c r="S133" s="21"/>
      <c r="T133" s="21">
        <v>299945.71999999997</v>
      </c>
      <c r="U133" s="21"/>
      <c r="V133" s="21"/>
      <c r="W133" s="21">
        <v>345743.35</v>
      </c>
      <c r="AA133" s="93"/>
      <c r="AB133" s="93"/>
      <c r="AC133" s="83"/>
      <c r="AD133" s="83"/>
      <c r="AE133" s="93"/>
      <c r="AF133" s="93"/>
      <c r="AG133" s="83"/>
      <c r="AH133" s="83"/>
      <c r="AI133" s="93"/>
      <c r="AJ133" s="93"/>
      <c r="AK133" s="83"/>
      <c r="AL133" s="83"/>
      <c r="AM133" s="93"/>
      <c r="AN133" s="93"/>
      <c r="AO133" s="83"/>
      <c r="AP133" s="83"/>
      <c r="AQ133" s="93"/>
      <c r="AR133" s="93"/>
      <c r="AS133" s="83"/>
      <c r="AT133" s="83"/>
      <c r="AU133" s="93"/>
      <c r="AV133" s="93"/>
      <c r="AW133" s="83"/>
      <c r="AX133" s="83"/>
      <c r="AY133" s="93"/>
      <c r="AZ133" s="93"/>
    </row>
    <row r="134" spans="1:52" x14ac:dyDescent="0.45">
      <c r="A134" s="571">
        <v>7</v>
      </c>
      <c r="B134" s="1370"/>
      <c r="C134" s="13" t="s">
        <v>30</v>
      </c>
      <c r="D134" s="105"/>
      <c r="E134" s="13" t="s">
        <v>31</v>
      </c>
      <c r="F134" s="204">
        <f t="shared" si="31"/>
        <v>78023</v>
      </c>
      <c r="G134" s="204">
        <f t="shared" si="31"/>
        <v>43897.179999999993</v>
      </c>
      <c r="H134" s="131">
        <f t="shared" si="31"/>
        <v>822729.54</v>
      </c>
      <c r="I134" s="21">
        <v>78023</v>
      </c>
      <c r="J134" s="21">
        <v>43897.179999999993</v>
      </c>
      <c r="K134" s="21">
        <v>17330.169999999998</v>
      </c>
      <c r="L134" s="21"/>
      <c r="M134" s="21"/>
      <c r="N134" s="21">
        <v>10794.81</v>
      </c>
      <c r="O134" s="21"/>
      <c r="P134" s="21"/>
      <c r="Q134" s="21">
        <v>184199.32</v>
      </c>
      <c r="R134" s="21"/>
      <c r="S134" s="21"/>
      <c r="T134" s="21">
        <v>297527.8</v>
      </c>
      <c r="U134" s="21"/>
      <c r="V134" s="21"/>
      <c r="W134" s="21">
        <v>312877.44</v>
      </c>
      <c r="AA134" s="93"/>
      <c r="AB134" s="93"/>
      <c r="AC134" s="83"/>
      <c r="AD134" s="83"/>
      <c r="AE134" s="93"/>
      <c r="AF134" s="93"/>
      <c r="AG134" s="83"/>
      <c r="AH134" s="83"/>
      <c r="AI134" s="93"/>
      <c r="AJ134" s="93"/>
      <c r="AK134" s="83"/>
      <c r="AL134" s="83"/>
      <c r="AM134" s="93"/>
      <c r="AN134" s="93"/>
      <c r="AO134" s="83"/>
      <c r="AP134" s="83"/>
      <c r="AQ134" s="93"/>
      <c r="AR134" s="93"/>
      <c r="AS134" s="83"/>
      <c r="AT134" s="83"/>
      <c r="AU134" s="93"/>
      <c r="AV134" s="93"/>
      <c r="AW134" s="83"/>
      <c r="AX134" s="83"/>
      <c r="AY134" s="93"/>
      <c r="AZ134" s="93"/>
    </row>
    <row r="135" spans="1:52" x14ac:dyDescent="0.45">
      <c r="A135" s="571">
        <v>8</v>
      </c>
      <c r="B135" s="1370"/>
      <c r="C135" s="13" t="s">
        <v>32</v>
      </c>
      <c r="D135" s="105"/>
      <c r="E135" s="13" t="s">
        <v>33</v>
      </c>
      <c r="F135" s="204">
        <f t="shared" si="31"/>
        <v>72733</v>
      </c>
      <c r="G135" s="204">
        <f t="shared" si="31"/>
        <v>42536.869999999995</v>
      </c>
      <c r="H135" s="131">
        <f t="shared" si="31"/>
        <v>786456.45</v>
      </c>
      <c r="I135" s="21">
        <v>72733</v>
      </c>
      <c r="J135" s="21">
        <v>42536.869999999995</v>
      </c>
      <c r="K135" s="21">
        <v>16759.599999999999</v>
      </c>
      <c r="L135" s="21"/>
      <c r="M135" s="21"/>
      <c r="N135" s="21">
        <v>10794.81</v>
      </c>
      <c r="O135" s="21"/>
      <c r="P135" s="21"/>
      <c r="Q135" s="21">
        <v>184110.05</v>
      </c>
      <c r="R135" s="21"/>
      <c r="S135" s="21"/>
      <c r="T135" s="21">
        <v>295600.11</v>
      </c>
      <c r="U135" s="21"/>
      <c r="V135" s="21"/>
      <c r="W135" s="21">
        <v>279191.88</v>
      </c>
      <c r="AA135" s="93"/>
      <c r="AB135" s="93"/>
      <c r="AC135" s="83"/>
      <c r="AD135" s="83"/>
      <c r="AE135" s="93"/>
      <c r="AF135" s="93"/>
      <c r="AG135" s="83"/>
      <c r="AH135" s="83"/>
      <c r="AI135" s="93"/>
      <c r="AJ135" s="93"/>
      <c r="AK135" s="83"/>
      <c r="AL135" s="83"/>
      <c r="AM135" s="93"/>
      <c r="AN135" s="93"/>
      <c r="AO135" s="83"/>
      <c r="AP135" s="83"/>
      <c r="AQ135" s="93"/>
      <c r="AR135" s="93"/>
      <c r="AS135" s="83"/>
      <c r="AT135" s="83"/>
      <c r="AU135" s="93"/>
      <c r="AV135" s="93"/>
      <c r="AW135" s="83"/>
      <c r="AX135" s="83"/>
      <c r="AY135" s="93"/>
      <c r="AZ135" s="93"/>
    </row>
    <row r="136" spans="1:52" x14ac:dyDescent="0.45">
      <c r="A136" s="571">
        <v>9</v>
      </c>
      <c r="B136" s="1370"/>
      <c r="C136" s="13" t="s">
        <v>34</v>
      </c>
      <c r="D136" s="105"/>
      <c r="E136" s="13" t="s">
        <v>35</v>
      </c>
      <c r="F136" s="204">
        <f t="shared" si="31"/>
        <v>1854859</v>
      </c>
      <c r="G136" s="204">
        <f t="shared" si="31"/>
        <v>1476055.9400000002</v>
      </c>
      <c r="H136" s="131">
        <f t="shared" si="31"/>
        <v>92264772.49000001</v>
      </c>
      <c r="I136" s="21">
        <v>1854859</v>
      </c>
      <c r="J136" s="21">
        <v>1476055.9400000002</v>
      </c>
      <c r="K136" s="21">
        <f>962629.87-16760</f>
        <v>945869.87</v>
      </c>
      <c r="L136" s="21"/>
      <c r="M136" s="21"/>
      <c r="N136" s="21">
        <v>1459503.05</v>
      </c>
      <c r="O136" s="21"/>
      <c r="P136" s="21"/>
      <c r="Q136" s="21">
        <v>31062973.23</v>
      </c>
      <c r="R136" s="21"/>
      <c r="S136" s="21"/>
      <c r="T136" s="21">
        <v>48198963.090000004</v>
      </c>
      <c r="U136" s="21"/>
      <c r="V136" s="21"/>
      <c r="W136" s="21">
        <v>10597463.25</v>
      </c>
      <c r="AA136" s="93"/>
      <c r="AB136" s="93"/>
      <c r="AC136" s="83"/>
      <c r="AD136" s="83"/>
      <c r="AE136" s="93"/>
      <c r="AF136" s="93"/>
      <c r="AG136" s="83"/>
      <c r="AH136" s="83"/>
      <c r="AI136" s="93"/>
      <c r="AJ136" s="93"/>
      <c r="AK136" s="83"/>
      <c r="AL136" s="83"/>
      <c r="AM136" s="93"/>
      <c r="AN136" s="93"/>
      <c r="AO136" s="83"/>
      <c r="AP136" s="83"/>
      <c r="AQ136" s="93"/>
      <c r="AR136" s="93"/>
      <c r="AS136" s="83"/>
      <c r="AT136" s="83"/>
      <c r="AU136" s="93"/>
      <c r="AV136" s="93"/>
      <c r="AW136" s="83"/>
      <c r="AX136" s="83"/>
      <c r="AY136" s="93"/>
      <c r="AZ136" s="93"/>
    </row>
    <row r="137" spans="1:52" x14ac:dyDescent="0.45">
      <c r="A137" s="571">
        <v>10</v>
      </c>
      <c r="B137" s="1370"/>
      <c r="C137" s="13" t="s">
        <v>36</v>
      </c>
      <c r="D137" s="87"/>
      <c r="E137" s="14"/>
      <c r="F137" s="106"/>
      <c r="G137" s="106"/>
      <c r="H137" s="107"/>
      <c r="I137" s="207"/>
      <c r="J137" s="89"/>
      <c r="K137" s="23"/>
      <c r="L137" s="92"/>
      <c r="M137" s="92"/>
      <c r="N137" s="14"/>
      <c r="O137" s="92"/>
      <c r="P137" s="92"/>
      <c r="Q137" s="14"/>
      <c r="R137" s="92"/>
      <c r="S137" s="92"/>
      <c r="T137" s="14"/>
      <c r="U137" s="92"/>
      <c r="V137" s="92"/>
      <c r="W137" s="14"/>
      <c r="AA137" s="93"/>
      <c r="AB137" s="93"/>
      <c r="AC137" s="83"/>
      <c r="AD137" s="83"/>
      <c r="AE137" s="93"/>
      <c r="AF137" s="93"/>
      <c r="AG137" s="83"/>
      <c r="AH137" s="83"/>
      <c r="AI137" s="93"/>
      <c r="AJ137" s="93"/>
      <c r="AK137" s="83"/>
      <c r="AL137" s="83"/>
      <c r="AM137" s="93"/>
      <c r="AN137" s="93"/>
      <c r="AO137" s="83"/>
      <c r="AP137" s="83"/>
      <c r="AQ137" s="93"/>
      <c r="AR137" s="93"/>
      <c r="AS137" s="83"/>
      <c r="AT137" s="83"/>
      <c r="AU137" s="93"/>
      <c r="AV137" s="93"/>
      <c r="AW137" s="83"/>
      <c r="AX137" s="83"/>
      <c r="AY137" s="93"/>
      <c r="AZ137" s="93"/>
    </row>
    <row r="138" spans="1:52" x14ac:dyDescent="0.45">
      <c r="A138" s="571">
        <v>11</v>
      </c>
      <c r="B138" s="1370"/>
      <c r="C138" s="13" t="s">
        <v>37</v>
      </c>
      <c r="D138" s="87"/>
      <c r="E138" s="15" t="s">
        <v>38</v>
      </c>
      <c r="F138" s="106">
        <f t="shared" ref="F138:H140" si="32">I138+L138+O138+R138+U138</f>
        <v>0</v>
      </c>
      <c r="G138" s="106">
        <f t="shared" si="32"/>
        <v>0</v>
      </c>
      <c r="H138" s="107">
        <f t="shared" si="32"/>
        <v>4871</v>
      </c>
      <c r="I138" s="29"/>
      <c r="J138" s="29"/>
      <c r="K138" s="140">
        <f>K32</f>
        <v>90</v>
      </c>
      <c r="L138" s="29"/>
      <c r="M138" s="29"/>
      <c r="N138" s="29">
        <v>48</v>
      </c>
      <c r="O138" s="29"/>
      <c r="P138" s="29"/>
      <c r="Q138" s="29">
        <v>1788</v>
      </c>
      <c r="R138" s="29"/>
      <c r="S138" s="29"/>
      <c r="T138" s="29">
        <v>2281</v>
      </c>
      <c r="U138" s="29"/>
      <c r="V138" s="29"/>
      <c r="W138" s="29">
        <v>664</v>
      </c>
      <c r="AA138" s="93"/>
      <c r="AB138" s="93"/>
      <c r="AC138" s="119" t="s">
        <v>295</v>
      </c>
      <c r="AD138" s="83"/>
      <c r="AE138" s="93"/>
      <c r="AF138" s="93"/>
      <c r="AG138" s="83"/>
      <c r="AH138" s="83"/>
      <c r="AI138" s="93"/>
      <c r="AJ138" s="93"/>
      <c r="AK138" s="83"/>
      <c r="AL138" s="83"/>
      <c r="AM138" s="93"/>
      <c r="AN138" s="93"/>
      <c r="AO138" s="83"/>
      <c r="AP138" s="83"/>
      <c r="AQ138" s="93"/>
      <c r="AR138" s="93"/>
      <c r="AS138" s="83" t="s">
        <v>130</v>
      </c>
      <c r="AT138" s="83"/>
      <c r="AU138" s="93"/>
      <c r="AV138" s="93"/>
      <c r="AW138" s="83"/>
      <c r="AX138" s="83"/>
      <c r="AY138" s="93"/>
      <c r="AZ138" s="93"/>
    </row>
    <row r="139" spans="1:52" ht="15" customHeight="1" x14ac:dyDescent="0.45">
      <c r="A139" s="571">
        <v>12</v>
      </c>
      <c r="B139" s="1370"/>
      <c r="C139" s="13" t="s">
        <v>39</v>
      </c>
      <c r="D139" s="128" t="s">
        <v>254</v>
      </c>
      <c r="E139" s="14" t="s">
        <v>40</v>
      </c>
      <c r="F139" s="106">
        <f t="shared" si="32"/>
        <v>5767</v>
      </c>
      <c r="G139" s="106">
        <f t="shared" si="32"/>
        <v>5336</v>
      </c>
      <c r="H139" s="107">
        <f t="shared" si="32"/>
        <v>5164</v>
      </c>
      <c r="I139" s="24">
        <v>415</v>
      </c>
      <c r="J139" s="24">
        <v>144</v>
      </c>
      <c r="K139" s="24">
        <v>95</v>
      </c>
      <c r="L139" s="109">
        <v>84</v>
      </c>
      <c r="M139" s="30">
        <v>64</v>
      </c>
      <c r="N139" s="30">
        <v>48</v>
      </c>
      <c r="O139" s="109">
        <v>1822</v>
      </c>
      <c r="P139" s="30">
        <v>1796</v>
      </c>
      <c r="Q139" s="30">
        <v>1692</v>
      </c>
      <c r="R139" s="109">
        <v>2564</v>
      </c>
      <c r="S139" s="30">
        <v>2480</v>
      </c>
      <c r="T139" s="30">
        <v>2486</v>
      </c>
      <c r="U139" s="109">
        <v>882</v>
      </c>
      <c r="V139" s="30">
        <v>852</v>
      </c>
      <c r="W139" s="30">
        <v>843</v>
      </c>
      <c r="AA139" s="93"/>
      <c r="AB139" s="93"/>
      <c r="AC139" s="83"/>
      <c r="AD139" s="83"/>
      <c r="AE139" s="93"/>
      <c r="AF139" s="93"/>
      <c r="AG139" s="83"/>
      <c r="AH139" s="83"/>
      <c r="AI139" s="93"/>
      <c r="AJ139" s="93"/>
      <c r="AK139" s="83"/>
      <c r="AL139" s="83"/>
      <c r="AM139" s="93"/>
      <c r="AN139" s="93"/>
      <c r="AO139" s="83"/>
      <c r="AP139" s="83"/>
      <c r="AQ139" s="93"/>
      <c r="AR139" s="93"/>
      <c r="AS139" s="83" t="s">
        <v>256</v>
      </c>
      <c r="AT139" s="83"/>
      <c r="AU139" s="93"/>
      <c r="AV139" s="93"/>
      <c r="AW139" s="83"/>
      <c r="AX139" s="83"/>
      <c r="AY139" s="93"/>
      <c r="AZ139" s="93"/>
    </row>
    <row r="140" spans="1:52" ht="15" customHeight="1" x14ac:dyDescent="0.45">
      <c r="A140" s="571">
        <v>13</v>
      </c>
      <c r="B140" s="1370"/>
      <c r="C140" s="13" t="s">
        <v>41</v>
      </c>
      <c r="D140" s="128" t="s">
        <v>254</v>
      </c>
      <c r="E140" s="14" t="s">
        <v>42</v>
      </c>
      <c r="F140" s="106">
        <f t="shared" si="32"/>
        <v>1773</v>
      </c>
      <c r="G140" s="106">
        <f t="shared" si="32"/>
        <v>1526</v>
      </c>
      <c r="H140" s="107">
        <f t="shared" si="32"/>
        <v>1719</v>
      </c>
      <c r="I140" s="24">
        <v>310</v>
      </c>
      <c r="J140" s="24">
        <v>63</v>
      </c>
      <c r="K140" s="24">
        <v>52</v>
      </c>
      <c r="L140" s="109">
        <v>8</v>
      </c>
      <c r="M140" s="30">
        <v>2</v>
      </c>
      <c r="N140" s="30">
        <v>0</v>
      </c>
      <c r="O140" s="109">
        <v>117</v>
      </c>
      <c r="P140" s="30">
        <v>75</v>
      </c>
      <c r="Q140" s="30">
        <v>79</v>
      </c>
      <c r="R140" s="109">
        <v>613</v>
      </c>
      <c r="S140" s="30">
        <v>673</v>
      </c>
      <c r="T140" s="30">
        <v>880</v>
      </c>
      <c r="U140" s="109">
        <v>725</v>
      </c>
      <c r="V140" s="30">
        <v>713</v>
      </c>
      <c r="W140" s="30">
        <v>708</v>
      </c>
      <c r="AA140" s="93"/>
      <c r="AB140" s="93"/>
      <c r="AC140" s="83"/>
      <c r="AD140" s="83"/>
      <c r="AE140" s="93"/>
      <c r="AF140" s="93"/>
      <c r="AG140" s="83"/>
      <c r="AH140" s="83"/>
      <c r="AI140" s="93"/>
      <c r="AJ140" s="93"/>
      <c r="AK140" s="83"/>
      <c r="AL140" s="83"/>
      <c r="AM140" s="93"/>
      <c r="AN140" s="93"/>
      <c r="AO140" s="83"/>
      <c r="AP140" s="83"/>
      <c r="AQ140" s="93"/>
      <c r="AR140" s="93"/>
      <c r="AS140" s="83" t="s">
        <v>256</v>
      </c>
      <c r="AT140" s="83"/>
      <c r="AU140" s="93"/>
      <c r="AV140" s="93"/>
      <c r="AW140" s="83"/>
      <c r="AX140" s="83"/>
      <c r="AY140" s="93"/>
      <c r="AZ140" s="93"/>
    </row>
    <row r="141" spans="1:52" x14ac:dyDescent="0.45">
      <c r="A141" s="571">
        <v>14</v>
      </c>
      <c r="B141" s="1370"/>
      <c r="C141" s="13" t="s">
        <v>43</v>
      </c>
      <c r="D141" s="103"/>
      <c r="E141" s="14"/>
      <c r="F141" s="89"/>
      <c r="G141" s="89"/>
      <c r="H141" s="23"/>
      <c r="I141" s="208"/>
      <c r="J141" s="209"/>
      <c r="K141" s="25"/>
      <c r="L141" s="92"/>
      <c r="M141" s="92"/>
      <c r="N141" s="31"/>
      <c r="O141" s="92"/>
      <c r="P141" s="92"/>
      <c r="Q141" s="31"/>
      <c r="R141" s="92"/>
      <c r="S141" s="92"/>
      <c r="T141" s="31"/>
      <c r="U141" s="92"/>
      <c r="V141" s="92"/>
      <c r="W141" s="31"/>
      <c r="AA141" s="93"/>
      <c r="AB141" s="93"/>
      <c r="AC141" s="83"/>
      <c r="AD141" s="83"/>
      <c r="AE141" s="93"/>
      <c r="AF141" s="93"/>
      <c r="AG141" s="83"/>
      <c r="AH141" s="83"/>
      <c r="AI141" s="93"/>
      <c r="AJ141" s="93"/>
      <c r="AK141" s="83"/>
      <c r="AL141" s="83"/>
      <c r="AM141" s="93"/>
      <c r="AN141" s="93"/>
      <c r="AO141" s="83"/>
      <c r="AP141" s="83"/>
      <c r="AQ141" s="93"/>
      <c r="AR141" s="93"/>
      <c r="AS141" s="83"/>
      <c r="AT141" s="83"/>
      <c r="AU141" s="93"/>
      <c r="AV141" s="93"/>
      <c r="AW141" s="83"/>
      <c r="AX141" s="83"/>
      <c r="AY141" s="93"/>
      <c r="AZ141" s="93"/>
    </row>
    <row r="142" spans="1:52" x14ac:dyDescent="0.45">
      <c r="A142" s="571">
        <v>15</v>
      </c>
      <c r="B142" s="1370"/>
      <c r="C142" s="13" t="s">
        <v>44</v>
      </c>
      <c r="D142" s="103"/>
      <c r="E142" s="12" t="s">
        <v>45</v>
      </c>
      <c r="F142" s="89"/>
      <c r="G142" s="89"/>
      <c r="H142" s="23"/>
      <c r="I142" s="210"/>
      <c r="J142" s="15"/>
      <c r="K142" s="26"/>
      <c r="L142" s="92"/>
      <c r="M142" s="92"/>
      <c r="N142" s="31"/>
      <c r="O142" s="92"/>
      <c r="P142" s="92"/>
      <c r="Q142" s="31"/>
      <c r="R142" s="92"/>
      <c r="S142" s="92"/>
      <c r="T142" s="31"/>
      <c r="U142" s="92"/>
      <c r="V142" s="92"/>
      <c r="W142" s="31"/>
      <c r="AA142" s="93"/>
      <c r="AB142" s="93"/>
      <c r="AC142" s="83"/>
      <c r="AD142" s="83"/>
      <c r="AE142" s="93"/>
      <c r="AF142" s="93"/>
      <c r="AG142" s="83"/>
      <c r="AH142" s="83"/>
      <c r="AI142" s="93"/>
      <c r="AJ142" s="93"/>
      <c r="AK142" s="83"/>
      <c r="AL142" s="83"/>
      <c r="AM142" s="93"/>
      <c r="AN142" s="93"/>
      <c r="AO142" s="83"/>
      <c r="AP142" s="83"/>
      <c r="AQ142" s="93"/>
      <c r="AR142" s="93"/>
      <c r="AS142" s="83"/>
      <c r="AT142" s="83"/>
      <c r="AU142" s="93"/>
      <c r="AV142" s="93"/>
      <c r="AW142" s="83"/>
      <c r="AX142" s="83"/>
      <c r="AY142" s="93"/>
      <c r="AZ142" s="93"/>
    </row>
    <row r="143" spans="1:52" x14ac:dyDescent="0.45">
      <c r="A143" s="571">
        <v>16</v>
      </c>
      <c r="B143" s="1370"/>
      <c r="C143" s="13" t="s">
        <v>46</v>
      </c>
      <c r="D143" s="103"/>
      <c r="E143" s="13" t="s">
        <v>23</v>
      </c>
      <c r="F143" s="89"/>
      <c r="G143" s="89"/>
      <c r="H143" s="23"/>
      <c r="I143" s="210"/>
      <c r="J143" s="15"/>
      <c r="K143" s="26"/>
      <c r="L143" s="92"/>
      <c r="M143" s="92"/>
      <c r="N143" s="31"/>
      <c r="O143" s="92"/>
      <c r="P143" s="92"/>
      <c r="Q143" s="31"/>
      <c r="R143" s="92"/>
      <c r="S143" s="92"/>
      <c r="T143" s="31"/>
      <c r="U143" s="92"/>
      <c r="V143" s="92"/>
      <c r="W143" s="31"/>
      <c r="AA143" s="93"/>
      <c r="AB143" s="93"/>
      <c r="AC143" s="83"/>
      <c r="AD143" s="83"/>
      <c r="AE143" s="93"/>
      <c r="AF143" s="93"/>
      <c r="AG143" s="83"/>
      <c r="AH143" s="83"/>
      <c r="AI143" s="93"/>
      <c r="AJ143" s="93"/>
      <c r="AK143" s="83"/>
      <c r="AL143" s="83"/>
      <c r="AM143" s="93"/>
      <c r="AN143" s="93"/>
      <c r="AO143" s="83"/>
      <c r="AP143" s="83"/>
      <c r="AQ143" s="93"/>
      <c r="AR143" s="93"/>
      <c r="AS143" s="83"/>
      <c r="AT143" s="83"/>
      <c r="AU143" s="93"/>
      <c r="AV143" s="93"/>
      <c r="AW143" s="83"/>
      <c r="AX143" s="83"/>
      <c r="AY143" s="93"/>
      <c r="AZ143" s="93"/>
    </row>
    <row r="144" spans="1:52" x14ac:dyDescent="0.45">
      <c r="A144" s="571">
        <v>17</v>
      </c>
      <c r="B144" s="1370"/>
      <c r="C144" s="13" t="s">
        <v>47</v>
      </c>
      <c r="D144" s="103"/>
      <c r="E144" s="13" t="s">
        <v>25</v>
      </c>
      <c r="F144" s="130">
        <f t="shared" ref="F144:H147" si="33">I144+L144+O144+R144+U144</f>
        <v>0</v>
      </c>
      <c r="G144" s="130">
        <f t="shared" si="33"/>
        <v>0</v>
      </c>
      <c r="H144" s="131">
        <f t="shared" si="33"/>
        <v>96406987.239999995</v>
      </c>
      <c r="I144" s="210"/>
      <c r="J144" s="15"/>
      <c r="K144" s="27">
        <f>K131</f>
        <v>1018151.96</v>
      </c>
      <c r="L144" s="92"/>
      <c r="M144" s="92"/>
      <c r="N144" s="27">
        <f>N131</f>
        <v>1513477.1</v>
      </c>
      <c r="O144" s="92"/>
      <c r="P144" s="92"/>
      <c r="Q144" s="33">
        <v>31984426.030000001</v>
      </c>
      <c r="R144" s="92"/>
      <c r="S144" s="92"/>
      <c r="T144" s="33">
        <v>49690194.789999999</v>
      </c>
      <c r="U144" s="92"/>
      <c r="V144" s="92"/>
      <c r="W144" s="33">
        <v>12200737.359999999</v>
      </c>
      <c r="AA144" s="93"/>
      <c r="AB144" s="93"/>
      <c r="AC144" s="83"/>
      <c r="AD144" s="83"/>
      <c r="AE144" s="93"/>
      <c r="AF144" s="93"/>
      <c r="AG144" s="83"/>
      <c r="AH144" s="83"/>
      <c r="AI144" s="93"/>
      <c r="AJ144" s="93"/>
      <c r="AK144" s="83"/>
      <c r="AL144" s="83"/>
      <c r="AM144" s="93"/>
      <c r="AN144" s="93"/>
      <c r="AO144" s="83"/>
      <c r="AP144" s="83"/>
      <c r="AQ144" s="93"/>
      <c r="AR144" s="93"/>
      <c r="AS144" s="83"/>
      <c r="AT144" s="83"/>
      <c r="AU144" s="93"/>
      <c r="AV144" s="93"/>
      <c r="AW144" s="83"/>
      <c r="AX144" s="83"/>
      <c r="AY144" s="93"/>
      <c r="AZ144" s="93"/>
    </row>
    <row r="145" spans="1:52" x14ac:dyDescent="0.45">
      <c r="A145" s="571">
        <v>18</v>
      </c>
      <c r="B145" s="1370"/>
      <c r="C145" s="13" t="s">
        <v>48</v>
      </c>
      <c r="D145" s="103"/>
      <c r="E145" s="13" t="s">
        <v>49</v>
      </c>
      <c r="F145" s="130">
        <f t="shared" si="33"/>
        <v>0</v>
      </c>
      <c r="G145" s="130">
        <f t="shared" si="33"/>
        <v>0.38229711923984788</v>
      </c>
      <c r="H145" s="131">
        <f t="shared" si="33"/>
        <v>8930957.7434978541</v>
      </c>
      <c r="I145" s="210"/>
      <c r="J145" s="15"/>
      <c r="K145" s="27">
        <f>K$144*($Q145+$T145+$W145)/($Q$144+$T$144+$T$145)</f>
        <v>103643.01336964294</v>
      </c>
      <c r="L145" s="92"/>
      <c r="M145" s="92"/>
      <c r="N145" s="27">
        <f>N$144*($Q145+$T145+$W145)/($Q$144+$T$144+$T$145)</f>
        <v>154064.75012821116</v>
      </c>
      <c r="O145" s="92"/>
      <c r="P145" s="211">
        <f>Q145/Q$144</f>
        <v>6.8085157068550964E-2</v>
      </c>
      <c r="Q145" s="21">
        <v>2177664.67</v>
      </c>
      <c r="R145" s="92"/>
      <c r="S145" s="211">
        <f>T145/T$144</f>
        <v>7.1005767131950503E-2</v>
      </c>
      <c r="T145" s="21">
        <v>3528290.4</v>
      </c>
      <c r="U145" s="92"/>
      <c r="V145" s="211">
        <f>W145/W$144</f>
        <v>0.2432061950393464</v>
      </c>
      <c r="W145" s="21">
        <v>2967294.91</v>
      </c>
      <c r="AA145" s="93"/>
      <c r="AB145" s="93"/>
      <c r="AC145" s="83"/>
      <c r="AD145" s="83"/>
      <c r="AE145" s="93"/>
      <c r="AF145" s="93"/>
      <c r="AG145" s="83"/>
      <c r="AH145" s="83"/>
      <c r="AI145" s="93"/>
      <c r="AJ145" s="93"/>
      <c r="AK145" s="83"/>
      <c r="AL145" s="83"/>
      <c r="AM145" s="93"/>
      <c r="AN145" s="93"/>
      <c r="AO145" s="83"/>
      <c r="AP145" s="83"/>
      <c r="AQ145" s="93"/>
      <c r="AR145" s="93"/>
      <c r="AS145" s="83"/>
      <c r="AT145" s="83"/>
      <c r="AU145" s="93"/>
      <c r="AV145" s="93"/>
      <c r="AW145" s="83"/>
      <c r="AX145" s="83"/>
      <c r="AY145" s="93"/>
      <c r="AZ145" s="93"/>
    </row>
    <row r="146" spans="1:52" x14ac:dyDescent="0.45">
      <c r="A146" s="571">
        <v>19</v>
      </c>
      <c r="B146" s="1370"/>
      <c r="C146" s="13" t="s">
        <v>50</v>
      </c>
      <c r="D146" s="103"/>
      <c r="E146" s="16" t="s">
        <v>51</v>
      </c>
      <c r="F146" s="130">
        <f t="shared" si="33"/>
        <v>0</v>
      </c>
      <c r="G146" s="130">
        <f t="shared" si="33"/>
        <v>0.87538629508020604</v>
      </c>
      <c r="H146" s="131">
        <f t="shared" si="33"/>
        <v>25285577.594811104</v>
      </c>
      <c r="I146" s="210"/>
      <c r="J146" s="15"/>
      <c r="K146" s="27">
        <f>K$144*($Q146+$T146+$W146)/($Q$144+$T$144+$T$145)</f>
        <v>293437.0010457302</v>
      </c>
      <c r="L146" s="92"/>
      <c r="M146" s="92"/>
      <c r="N146" s="27">
        <f>N$144*($Q146+$T146+$W146)/($Q$144+$T$144+$T$145)</f>
        <v>436192.43376537692</v>
      </c>
      <c r="O146" s="92"/>
      <c r="P146" s="211">
        <f>Q146/Q$144</f>
        <v>0.20972007481730007</v>
      </c>
      <c r="Q146" s="21">
        <v>6707776.2199999997</v>
      </c>
      <c r="R146" s="92"/>
      <c r="S146" s="211">
        <f>T146/T$144</f>
        <v>0.25944769233616438</v>
      </c>
      <c r="T146" s="21">
        <v>12892006.369999999</v>
      </c>
      <c r="U146" s="92"/>
      <c r="V146" s="211">
        <f>W146/W$144</f>
        <v>0.40621852792674168</v>
      </c>
      <c r="W146" s="21">
        <v>4956165.57</v>
      </c>
      <c r="AA146" s="93"/>
      <c r="AB146" s="93"/>
      <c r="AC146" s="83"/>
      <c r="AD146" s="83"/>
      <c r="AE146" s="93"/>
      <c r="AF146" s="93"/>
      <c r="AG146" s="83"/>
      <c r="AH146" s="83"/>
      <c r="AI146" s="93"/>
      <c r="AJ146" s="93"/>
      <c r="AK146" s="83"/>
      <c r="AL146" s="83"/>
      <c r="AM146" s="93"/>
      <c r="AN146" s="93"/>
      <c r="AO146" s="83"/>
      <c r="AP146" s="83"/>
      <c r="AQ146" s="93"/>
      <c r="AR146" s="93"/>
      <c r="AS146" s="83"/>
      <c r="AT146" s="83"/>
      <c r="AU146" s="93"/>
      <c r="AV146" s="93"/>
      <c r="AW146" s="83"/>
      <c r="AX146" s="83"/>
      <c r="AY146" s="93"/>
      <c r="AZ146" s="93"/>
    </row>
    <row r="147" spans="1:52" x14ac:dyDescent="0.45">
      <c r="A147" s="571">
        <v>20</v>
      </c>
      <c r="B147" s="1370"/>
      <c r="C147" s="13" t="s">
        <v>52</v>
      </c>
      <c r="D147" s="103"/>
      <c r="E147" s="13" t="s">
        <v>53</v>
      </c>
      <c r="F147" s="130">
        <f t="shared" si="33"/>
        <v>0</v>
      </c>
      <c r="G147" s="130">
        <f t="shared" si="33"/>
        <v>1.7423175109459721</v>
      </c>
      <c r="H147" s="131">
        <f t="shared" si="33"/>
        <v>62448145.875695705</v>
      </c>
      <c r="I147" s="210"/>
      <c r="J147" s="15"/>
      <c r="K147" s="27">
        <f>K$144*($Q147+$T147+$W147)/($Q$144+$T$144+$T$145)</f>
        <v>724705.47994880867</v>
      </c>
      <c r="L147" s="92"/>
      <c r="M147" s="92"/>
      <c r="N147" s="27">
        <f>N$144*($Q147+$T147+$W147)/($Q$144+$T$144+$T$145)</f>
        <v>1077270.5757468964</v>
      </c>
      <c r="O147" s="92"/>
      <c r="P147" s="211">
        <f>Q147/Q$144</f>
        <v>0.72219476811414896</v>
      </c>
      <c r="Q147" s="21">
        <v>23098985.140000001</v>
      </c>
      <c r="R147" s="92"/>
      <c r="S147" s="211">
        <f>T147/T$144</f>
        <v>0.66954650028249563</v>
      </c>
      <c r="T147" s="21">
        <v>33269896.02</v>
      </c>
      <c r="U147" s="92"/>
      <c r="V147" s="211">
        <f>W147/W$144</f>
        <v>0.3505762425493274</v>
      </c>
      <c r="W147" s="21">
        <v>4277288.66</v>
      </c>
      <c r="AA147" s="93"/>
      <c r="AB147" s="93"/>
      <c r="AC147" s="83"/>
      <c r="AD147" s="83"/>
      <c r="AE147" s="93"/>
      <c r="AF147" s="93"/>
      <c r="AG147" s="83"/>
      <c r="AH147" s="83"/>
      <c r="AI147" s="93"/>
      <c r="AJ147" s="93"/>
      <c r="AK147" s="83"/>
      <c r="AL147" s="83"/>
      <c r="AM147" s="93"/>
      <c r="AN147" s="93"/>
      <c r="AO147" s="83"/>
      <c r="AP147" s="83"/>
      <c r="AQ147" s="93"/>
      <c r="AR147" s="93"/>
      <c r="AS147" s="83"/>
      <c r="AT147" s="83"/>
      <c r="AU147" s="93"/>
      <c r="AV147" s="93"/>
      <c r="AW147" s="83"/>
      <c r="AX147" s="83"/>
      <c r="AY147" s="93"/>
      <c r="AZ147" s="93"/>
    </row>
    <row r="148" spans="1:52" x14ac:dyDescent="0.45">
      <c r="A148" s="571">
        <v>21</v>
      </c>
      <c r="B148" s="1370"/>
      <c r="C148" s="13" t="s">
        <v>54</v>
      </c>
      <c r="D148" s="103"/>
      <c r="E148" s="13" t="s">
        <v>55</v>
      </c>
      <c r="F148" s="89"/>
      <c r="G148" s="89"/>
      <c r="H148" s="23"/>
      <c r="I148" s="210"/>
      <c r="J148" s="15"/>
      <c r="K148" s="26"/>
      <c r="L148" s="92"/>
      <c r="M148" s="92"/>
      <c r="N148" s="31"/>
      <c r="O148" s="92"/>
      <c r="P148" s="92"/>
      <c r="Q148" s="31"/>
      <c r="R148" s="92"/>
      <c r="S148" s="92"/>
      <c r="T148" s="31"/>
      <c r="U148" s="92"/>
      <c r="V148" s="92"/>
      <c r="W148" s="31"/>
      <c r="AA148" s="93"/>
      <c r="AB148" s="93"/>
      <c r="AC148" s="83"/>
      <c r="AD148" s="83"/>
      <c r="AE148" s="93"/>
      <c r="AF148" s="93"/>
      <c r="AG148" s="83"/>
      <c r="AH148" s="83"/>
      <c r="AI148" s="93"/>
      <c r="AJ148" s="93"/>
      <c r="AK148" s="83"/>
      <c r="AL148" s="83"/>
      <c r="AM148" s="93"/>
      <c r="AN148" s="93"/>
      <c r="AO148" s="83"/>
      <c r="AP148" s="83"/>
      <c r="AQ148" s="93"/>
      <c r="AR148" s="93"/>
      <c r="AS148" s="83"/>
      <c r="AT148" s="83"/>
      <c r="AU148" s="93"/>
      <c r="AV148" s="93"/>
      <c r="AW148" s="83"/>
      <c r="AX148" s="83"/>
      <c r="AY148" s="93"/>
      <c r="AZ148" s="93"/>
    </row>
    <row r="149" spans="1:52" x14ac:dyDescent="0.45">
      <c r="A149" s="571">
        <v>22</v>
      </c>
      <c r="B149" s="1370"/>
      <c r="C149" s="13" t="s">
        <v>56</v>
      </c>
      <c r="D149" s="103"/>
      <c r="E149" s="13" t="s">
        <v>57</v>
      </c>
      <c r="F149" s="106">
        <f>I149+L149+O149+R149+U149</f>
        <v>0</v>
      </c>
      <c r="G149" s="106">
        <f>J149+M149+P149+S149+V149</f>
        <v>0</v>
      </c>
      <c r="H149" s="107">
        <f>K149+N149+Q149+T149+W149</f>
        <v>4871</v>
      </c>
      <c r="I149" s="210"/>
      <c r="J149" s="15"/>
      <c r="K149" s="28">
        <f>K138</f>
        <v>90</v>
      </c>
      <c r="L149" s="92"/>
      <c r="M149" s="92"/>
      <c r="N149" s="32">
        <f>N138</f>
        <v>48</v>
      </c>
      <c r="O149" s="92"/>
      <c r="P149" s="92"/>
      <c r="Q149" s="30">
        <v>1788</v>
      </c>
      <c r="R149" s="92"/>
      <c r="S149" s="92"/>
      <c r="T149" s="30">
        <v>2281</v>
      </c>
      <c r="U149" s="92"/>
      <c r="V149" s="92"/>
      <c r="W149" s="30">
        <v>664</v>
      </c>
      <c r="AA149" s="93"/>
      <c r="AB149" s="93"/>
      <c r="AC149" s="83"/>
      <c r="AD149" s="83"/>
      <c r="AE149" s="93"/>
      <c r="AF149" s="93"/>
      <c r="AG149" s="83"/>
      <c r="AH149" s="83"/>
      <c r="AI149" s="93"/>
      <c r="AJ149" s="93"/>
      <c r="AK149" s="83"/>
      <c r="AL149" s="83"/>
      <c r="AM149" s="93"/>
      <c r="AN149" s="93"/>
      <c r="AO149" s="83"/>
      <c r="AP149" s="83"/>
      <c r="AQ149" s="93"/>
      <c r="AR149" s="93"/>
      <c r="AS149" s="83"/>
      <c r="AT149" s="83"/>
      <c r="AU149" s="93"/>
      <c r="AV149" s="93"/>
      <c r="AW149" s="83"/>
      <c r="AX149" s="83"/>
      <c r="AY149" s="93"/>
      <c r="AZ149" s="93"/>
    </row>
    <row r="150" spans="1:52" x14ac:dyDescent="0.45">
      <c r="A150" s="571">
        <v>23</v>
      </c>
      <c r="B150" s="1370"/>
      <c r="C150" s="13" t="s">
        <v>296</v>
      </c>
      <c r="D150" s="103"/>
      <c r="E150" s="14"/>
      <c r="F150" s="89"/>
      <c r="G150" s="89"/>
      <c r="H150" s="23"/>
      <c r="I150" s="210"/>
      <c r="J150" s="15"/>
      <c r="K150" s="26"/>
      <c r="L150" s="92"/>
      <c r="M150" s="92"/>
      <c r="N150" s="31"/>
      <c r="O150" s="92"/>
      <c r="P150" s="92"/>
      <c r="Q150" s="31"/>
      <c r="R150" s="92"/>
      <c r="S150" s="92"/>
      <c r="T150" s="31"/>
      <c r="U150" s="92"/>
      <c r="V150" s="92"/>
      <c r="W150" s="31"/>
      <c r="AA150" s="93"/>
      <c r="AB150" s="93"/>
      <c r="AC150" s="83"/>
      <c r="AD150" s="83"/>
      <c r="AE150" s="93"/>
      <c r="AF150" s="93"/>
      <c r="AG150" s="83"/>
      <c r="AH150" s="83"/>
      <c r="AI150" s="93"/>
      <c r="AJ150" s="93"/>
      <c r="AK150" s="83"/>
      <c r="AL150" s="83"/>
      <c r="AM150" s="93"/>
      <c r="AN150" s="93"/>
      <c r="AO150" s="83"/>
      <c r="AP150" s="83"/>
      <c r="AQ150" s="93"/>
      <c r="AR150" s="93"/>
      <c r="AS150" s="83"/>
      <c r="AT150" s="83"/>
      <c r="AU150" s="93"/>
      <c r="AV150" s="93"/>
      <c r="AW150" s="83"/>
      <c r="AX150" s="83"/>
      <c r="AY150" s="93"/>
      <c r="AZ150" s="93"/>
    </row>
    <row r="151" spans="1:52" x14ac:dyDescent="0.45">
      <c r="A151" s="571">
        <v>24</v>
      </c>
      <c r="B151" s="1370"/>
      <c r="C151" s="212" t="s">
        <v>297</v>
      </c>
      <c r="D151" s="103"/>
      <c r="E151" s="42"/>
      <c r="F151" s="130"/>
      <c r="G151" s="130"/>
      <c r="H151" s="202"/>
      <c r="I151" s="200"/>
      <c r="J151" s="200"/>
      <c r="K151" s="202"/>
      <c r="L151" s="200"/>
      <c r="M151" s="200"/>
      <c r="N151" s="202"/>
      <c r="O151" s="200"/>
      <c r="P151" s="200"/>
      <c r="Q151" s="202"/>
      <c r="R151" s="200"/>
      <c r="S151" s="200"/>
      <c r="T151" s="202"/>
      <c r="U151" s="200"/>
      <c r="V151" s="200"/>
      <c r="W151" s="202"/>
      <c r="AA151" s="93"/>
      <c r="AB151" s="93"/>
      <c r="AC151" s="83"/>
      <c r="AD151" s="83"/>
      <c r="AE151" s="93"/>
      <c r="AF151" s="93"/>
      <c r="AG151" s="83"/>
      <c r="AH151" s="83"/>
      <c r="AI151" s="93"/>
      <c r="AJ151" s="93"/>
      <c r="AK151" s="83"/>
      <c r="AL151" s="83"/>
      <c r="AM151" s="93"/>
      <c r="AN151" s="93"/>
      <c r="AO151" s="83"/>
      <c r="AP151" s="83"/>
      <c r="AQ151" s="93"/>
      <c r="AR151" s="93"/>
      <c r="AS151" s="83"/>
      <c r="AT151" s="83"/>
      <c r="AU151" s="93"/>
      <c r="AV151" s="93"/>
      <c r="AW151" s="83"/>
      <c r="AX151" s="83"/>
      <c r="AY151" s="93"/>
      <c r="AZ151" s="93"/>
    </row>
    <row r="152" spans="1:52" ht="14.65" thickBot="1" x14ac:dyDescent="0.5">
      <c r="A152" s="571">
        <v>25</v>
      </c>
      <c r="B152" s="1370"/>
      <c r="C152" s="212" t="s">
        <v>298</v>
      </c>
      <c r="D152" s="103"/>
      <c r="E152" s="39" t="s">
        <v>299</v>
      </c>
      <c r="F152" s="130"/>
      <c r="G152" s="130"/>
      <c r="H152" s="203">
        <f t="shared" ref="H152:H157" si="34">IF(H$138&lt;&gt;0,H131/H$138,0)</f>
        <v>19792.032137138165</v>
      </c>
      <c r="I152" s="200"/>
      <c r="J152" s="200"/>
      <c r="K152" s="203">
        <f t="shared" ref="K152:K157" si="35">IF(K$138&lt;&gt;0,K131/K$138,0)</f>
        <v>11312.799555555555</v>
      </c>
      <c r="L152" s="200"/>
      <c r="M152" s="200"/>
      <c r="N152" s="203">
        <v>31530.772916666669</v>
      </c>
      <c r="O152" s="200"/>
      <c r="P152" s="200"/>
      <c r="Q152" s="203">
        <v>17888.392634228188</v>
      </c>
      <c r="R152" s="200"/>
      <c r="S152" s="200"/>
      <c r="T152" s="203">
        <v>21802.208917141605</v>
      </c>
      <c r="U152" s="200"/>
      <c r="V152" s="200"/>
      <c r="W152" s="203">
        <v>18375.383057228915</v>
      </c>
      <c r="AA152" s="93"/>
      <c r="AB152" s="93"/>
      <c r="AC152" s="83"/>
      <c r="AD152" s="83"/>
      <c r="AE152" s="93"/>
      <c r="AF152" s="93"/>
      <c r="AG152" s="83"/>
      <c r="AH152" s="83"/>
      <c r="AI152" s="93"/>
      <c r="AJ152" s="93"/>
      <c r="AK152" s="83"/>
      <c r="AL152" s="83"/>
      <c r="AM152" s="93"/>
      <c r="AN152" s="93"/>
      <c r="AO152" s="83"/>
      <c r="AP152" s="83"/>
      <c r="AQ152" s="93"/>
      <c r="AR152" s="93"/>
      <c r="AS152" s="83"/>
      <c r="AT152" s="83"/>
      <c r="AU152" s="93"/>
      <c r="AV152" s="93"/>
      <c r="AW152" s="83"/>
      <c r="AX152" s="83"/>
      <c r="AY152" s="93"/>
      <c r="AZ152" s="93"/>
    </row>
    <row r="153" spans="1:52" ht="14.65" thickTop="1" x14ac:dyDescent="0.45">
      <c r="A153" s="571">
        <v>26</v>
      </c>
      <c r="B153" s="1370"/>
      <c r="C153" s="212" t="s">
        <v>300</v>
      </c>
      <c r="D153" s="103"/>
      <c r="E153" s="42" t="s">
        <v>27</v>
      </c>
      <c r="F153" s="130"/>
      <c r="G153" s="130"/>
      <c r="H153" s="202">
        <f t="shared" si="34"/>
        <v>190.66274276329295</v>
      </c>
      <c r="I153" s="200"/>
      <c r="J153" s="200"/>
      <c r="K153" s="202">
        <f t="shared" si="35"/>
        <v>221.35300000000001</v>
      </c>
      <c r="L153" s="200"/>
      <c r="M153" s="200"/>
      <c r="N153" s="202">
        <v>224.891875</v>
      </c>
      <c r="O153" s="200"/>
      <c r="P153" s="200"/>
      <c r="Q153" s="202">
        <v>103.23465324384787</v>
      </c>
      <c r="R153" s="200"/>
      <c r="S153" s="200"/>
      <c r="T153" s="202">
        <v>133.15260412099957</v>
      </c>
      <c r="U153" s="200"/>
      <c r="V153" s="200"/>
      <c r="W153" s="202">
        <v>617.01353915662651</v>
      </c>
      <c r="AA153" s="93"/>
      <c r="AB153" s="93"/>
      <c r="AC153" s="83"/>
      <c r="AD153" s="83"/>
      <c r="AE153" s="93"/>
      <c r="AF153" s="93"/>
      <c r="AG153" s="83"/>
      <c r="AH153" s="83"/>
      <c r="AI153" s="93"/>
      <c r="AJ153" s="93"/>
      <c r="AK153" s="83"/>
      <c r="AL153" s="83"/>
      <c r="AM153" s="93"/>
      <c r="AN153" s="93"/>
      <c r="AO153" s="83"/>
      <c r="AP153" s="83"/>
      <c r="AQ153" s="93"/>
      <c r="AR153" s="93"/>
      <c r="AS153" s="83"/>
      <c r="AT153" s="83"/>
      <c r="AU153" s="93"/>
      <c r="AV153" s="93"/>
      <c r="AW153" s="83"/>
      <c r="AX153" s="83"/>
      <c r="AY153" s="93"/>
      <c r="AZ153" s="93"/>
    </row>
    <row r="154" spans="1:52" x14ac:dyDescent="0.45">
      <c r="A154" s="571">
        <v>27</v>
      </c>
      <c r="B154" s="1370"/>
      <c r="C154" s="212" t="s">
        <v>301</v>
      </c>
      <c r="D154" s="103"/>
      <c r="E154" s="42" t="s">
        <v>64</v>
      </c>
      <c r="F154" s="130"/>
      <c r="G154" s="130"/>
      <c r="H154" s="202">
        <f t="shared" si="34"/>
        <v>176.42926503797986</v>
      </c>
      <c r="I154" s="200"/>
      <c r="J154" s="200"/>
      <c r="K154" s="202">
        <f t="shared" si="35"/>
        <v>203.0061111111111</v>
      </c>
      <c r="L154" s="200"/>
      <c r="M154" s="200"/>
      <c r="N154" s="202">
        <v>228.641875</v>
      </c>
      <c r="O154" s="200"/>
      <c r="P154" s="200"/>
      <c r="Q154" s="202">
        <v>103.16136465324384</v>
      </c>
      <c r="R154" s="200"/>
      <c r="S154" s="200"/>
      <c r="T154" s="202">
        <v>131.49746602367381</v>
      </c>
      <c r="U154" s="200"/>
      <c r="V154" s="200"/>
      <c r="W154" s="202">
        <v>520.69781626506017</v>
      </c>
      <c r="AA154" s="93"/>
      <c r="AB154" s="93"/>
      <c r="AC154" s="83"/>
      <c r="AD154" s="83"/>
      <c r="AE154" s="93"/>
      <c r="AF154" s="93"/>
      <c r="AG154" s="83"/>
      <c r="AH154" s="83"/>
      <c r="AI154" s="93"/>
      <c r="AJ154" s="93"/>
      <c r="AK154" s="83"/>
      <c r="AL154" s="83"/>
      <c r="AM154" s="93"/>
      <c r="AN154" s="93"/>
      <c r="AO154" s="83"/>
      <c r="AP154" s="83"/>
      <c r="AQ154" s="93"/>
      <c r="AR154" s="93"/>
      <c r="AS154" s="83"/>
      <c r="AT154" s="83"/>
      <c r="AU154" s="93"/>
      <c r="AV154" s="93"/>
      <c r="AW154" s="83"/>
      <c r="AX154" s="83"/>
      <c r="AY154" s="93"/>
      <c r="AZ154" s="93"/>
    </row>
    <row r="155" spans="1:52" x14ac:dyDescent="0.45">
      <c r="A155" s="571">
        <v>28</v>
      </c>
      <c r="B155" s="1370"/>
      <c r="C155" s="212" t="s">
        <v>302</v>
      </c>
      <c r="D155" s="103"/>
      <c r="E155" s="42" t="s">
        <v>31</v>
      </c>
      <c r="F155" s="130"/>
      <c r="G155" s="130"/>
      <c r="H155" s="202">
        <f t="shared" si="34"/>
        <v>168.90362143297065</v>
      </c>
      <c r="I155" s="200"/>
      <c r="J155" s="200"/>
      <c r="K155" s="202">
        <f t="shared" si="35"/>
        <v>192.55744444444443</v>
      </c>
      <c r="L155" s="200"/>
      <c r="M155" s="200"/>
      <c r="N155" s="202">
        <v>224.891875</v>
      </c>
      <c r="O155" s="200"/>
      <c r="P155" s="200"/>
      <c r="Q155" s="202">
        <v>103.01975391498881</v>
      </c>
      <c r="R155" s="200"/>
      <c r="S155" s="200"/>
      <c r="T155" s="202">
        <v>130.43743971942129</v>
      </c>
      <c r="U155" s="200"/>
      <c r="V155" s="200"/>
      <c r="W155" s="202">
        <v>471.20096385542166</v>
      </c>
      <c r="AA155" s="93"/>
      <c r="AB155" s="93"/>
      <c r="AC155" s="83"/>
      <c r="AD155" s="83"/>
      <c r="AE155" s="93"/>
      <c r="AF155" s="93"/>
      <c r="AG155" s="83"/>
      <c r="AH155" s="83"/>
      <c r="AI155" s="93"/>
      <c r="AJ155" s="93"/>
      <c r="AK155" s="83"/>
      <c r="AL155" s="83"/>
      <c r="AM155" s="93"/>
      <c r="AN155" s="93"/>
      <c r="AO155" s="83"/>
      <c r="AP155" s="83"/>
      <c r="AQ155" s="93"/>
      <c r="AR155" s="93"/>
      <c r="AS155" s="83"/>
      <c r="AT155" s="83"/>
      <c r="AU155" s="93"/>
      <c r="AV155" s="93"/>
      <c r="AW155" s="83"/>
      <c r="AX155" s="83"/>
      <c r="AY155" s="93"/>
      <c r="AZ155" s="93"/>
    </row>
    <row r="156" spans="1:52" x14ac:dyDescent="0.45">
      <c r="A156" s="571">
        <v>29</v>
      </c>
      <c r="B156" s="1370"/>
      <c r="C156" s="212" t="s">
        <v>303</v>
      </c>
      <c r="D156" s="103"/>
      <c r="E156" s="42" t="s">
        <v>65</v>
      </c>
      <c r="F156" s="130"/>
      <c r="G156" s="130"/>
      <c r="H156" s="202">
        <f t="shared" si="34"/>
        <v>161.45687743789776</v>
      </c>
      <c r="I156" s="200"/>
      <c r="J156" s="200"/>
      <c r="K156" s="202">
        <f t="shared" si="35"/>
        <v>186.21777777777777</v>
      </c>
      <c r="L156" s="200"/>
      <c r="M156" s="200"/>
      <c r="N156" s="202">
        <v>224.891875</v>
      </c>
      <c r="O156" s="200"/>
      <c r="P156" s="200"/>
      <c r="Q156" s="202">
        <v>102.96982662192393</v>
      </c>
      <c r="R156" s="200"/>
      <c r="S156" s="200"/>
      <c r="T156" s="202">
        <v>129.59233231039016</v>
      </c>
      <c r="U156" s="200"/>
      <c r="V156" s="200"/>
      <c r="W156" s="202">
        <v>420.4696987951807</v>
      </c>
      <c r="AA156" s="93"/>
      <c r="AB156" s="93"/>
      <c r="AC156" s="83"/>
      <c r="AD156" s="83"/>
      <c r="AE156" s="93"/>
      <c r="AF156" s="93"/>
      <c r="AG156" s="83"/>
      <c r="AH156" s="83"/>
      <c r="AI156" s="93"/>
      <c r="AJ156" s="93"/>
      <c r="AK156" s="83"/>
      <c r="AL156" s="83"/>
      <c r="AM156" s="93"/>
      <c r="AN156" s="93"/>
      <c r="AO156" s="83"/>
      <c r="AP156" s="83"/>
      <c r="AQ156" s="93"/>
      <c r="AR156" s="93"/>
      <c r="AS156" s="83"/>
      <c r="AT156" s="83"/>
      <c r="AU156" s="93"/>
      <c r="AV156" s="93"/>
      <c r="AW156" s="83"/>
      <c r="AX156" s="83"/>
      <c r="AY156" s="93"/>
      <c r="AZ156" s="93"/>
    </row>
    <row r="157" spans="1:52" x14ac:dyDescent="0.45">
      <c r="A157" s="571">
        <v>30</v>
      </c>
      <c r="B157" s="1370"/>
      <c r="C157" s="212" t="s">
        <v>304</v>
      </c>
      <c r="D157" s="103"/>
      <c r="E157" s="42" t="s">
        <v>35</v>
      </c>
      <c r="F157" s="130"/>
      <c r="G157" s="130"/>
      <c r="H157" s="202">
        <f t="shared" si="34"/>
        <v>18941.649043317597</v>
      </c>
      <c r="I157" s="200"/>
      <c r="J157" s="200"/>
      <c r="K157" s="202">
        <f t="shared" si="35"/>
        <v>10509.665222222222</v>
      </c>
      <c r="L157" s="200"/>
      <c r="M157" s="200"/>
      <c r="N157" s="202">
        <v>30406.313541666666</v>
      </c>
      <c r="O157" s="200"/>
      <c r="P157" s="200"/>
      <c r="Q157" s="202">
        <v>17373.027533557048</v>
      </c>
      <c r="R157" s="200"/>
      <c r="S157" s="200"/>
      <c r="T157" s="202">
        <v>21130.62827268742</v>
      </c>
      <c r="U157" s="200"/>
      <c r="V157" s="200"/>
      <c r="W157" s="202">
        <v>15960.035015060241</v>
      </c>
      <c r="AA157" s="93"/>
      <c r="AB157" s="93"/>
      <c r="AC157" s="83"/>
      <c r="AD157" s="83"/>
      <c r="AE157" s="93"/>
      <c r="AF157" s="93"/>
      <c r="AG157" s="83"/>
      <c r="AH157" s="83"/>
      <c r="AI157" s="93"/>
      <c r="AJ157" s="93"/>
      <c r="AK157" s="83"/>
      <c r="AL157" s="83"/>
      <c r="AM157" s="93"/>
      <c r="AN157" s="93"/>
      <c r="AO157" s="83"/>
      <c r="AP157" s="83"/>
      <c r="AQ157" s="93"/>
      <c r="AR157" s="93"/>
      <c r="AS157" s="83"/>
      <c r="AT157" s="83"/>
      <c r="AU157" s="93"/>
      <c r="AV157" s="93"/>
      <c r="AW157" s="83"/>
      <c r="AX157" s="83"/>
      <c r="AY157" s="93"/>
      <c r="AZ157" s="93"/>
    </row>
    <row r="158" spans="1:52" x14ac:dyDescent="0.45">
      <c r="A158" s="571">
        <v>31</v>
      </c>
      <c r="B158" s="1370"/>
      <c r="C158" s="212" t="s">
        <v>305</v>
      </c>
      <c r="D158" s="103"/>
      <c r="E158" s="42"/>
      <c r="F158" s="130"/>
      <c r="G158" s="130"/>
      <c r="H158" s="202"/>
      <c r="I158" s="200"/>
      <c r="J158" s="200"/>
      <c r="K158" s="202"/>
      <c r="L158" s="200"/>
      <c r="M158" s="200"/>
      <c r="N158" s="202"/>
      <c r="O158" s="200"/>
      <c r="P158" s="200"/>
      <c r="Q158" s="202"/>
      <c r="R158" s="200"/>
      <c r="S158" s="200"/>
      <c r="T158" s="202"/>
      <c r="U158" s="200"/>
      <c r="V158" s="200"/>
      <c r="W158" s="202"/>
      <c r="AA158" s="93"/>
      <c r="AB158" s="93"/>
      <c r="AC158" s="83"/>
      <c r="AD158" s="83"/>
      <c r="AE158" s="93"/>
      <c r="AF158" s="93"/>
      <c r="AG158" s="83"/>
      <c r="AH158" s="83"/>
      <c r="AI158" s="93"/>
      <c r="AJ158" s="93"/>
      <c r="AK158" s="83"/>
      <c r="AL158" s="83"/>
      <c r="AM158" s="93"/>
      <c r="AN158" s="93"/>
      <c r="AO158" s="83"/>
      <c r="AP158" s="83"/>
      <c r="AQ158" s="93"/>
      <c r="AR158" s="93"/>
      <c r="AS158" s="83"/>
      <c r="AT158" s="83"/>
      <c r="AU158" s="93"/>
      <c r="AV158" s="93"/>
      <c r="AW158" s="83"/>
      <c r="AX158" s="83"/>
      <c r="AY158" s="93"/>
      <c r="AZ158" s="93"/>
    </row>
    <row r="159" spans="1:52" x14ac:dyDescent="0.45">
      <c r="A159" s="571">
        <v>32</v>
      </c>
      <c r="B159" s="1370"/>
      <c r="C159" s="212" t="s">
        <v>306</v>
      </c>
      <c r="D159" s="103"/>
      <c r="E159" s="42" t="s">
        <v>307</v>
      </c>
      <c r="F159" s="130"/>
      <c r="G159" s="130"/>
      <c r="H159" s="213">
        <f>IF(H153&lt;&gt;0,H157/H153,0)</f>
        <v>99.346357703631583</v>
      </c>
      <c r="I159" s="200"/>
      <c r="J159" s="200"/>
      <c r="K159" s="213">
        <f>IF(K153&lt;&gt;0,K157/K153,0)</f>
        <v>47.47920842374949</v>
      </c>
      <c r="L159" s="200"/>
      <c r="M159" s="200"/>
      <c r="N159" s="213">
        <f>IF(N153&lt;&gt;0,N157/N153,0)</f>
        <v>135.20414439902137</v>
      </c>
      <c r="O159" s="200"/>
      <c r="P159" s="200"/>
      <c r="Q159" s="213">
        <f>IF(Q153&lt;&gt;0,Q157/Q153,0)</f>
        <v>168.28678149885073</v>
      </c>
      <c r="R159" s="200"/>
      <c r="S159" s="200"/>
      <c r="T159" s="213">
        <f>IF(T153&lt;&gt;0,T157/T153,0)</f>
        <v>158.69481796604904</v>
      </c>
      <c r="U159" s="200"/>
      <c r="V159" s="200"/>
      <c r="W159" s="213">
        <f>IF(W153&lt;&gt;0,W157/W153,0)</f>
        <v>25.866588011788906</v>
      </c>
      <c r="AA159" s="93"/>
      <c r="AB159" s="93"/>
      <c r="AC159" s="83"/>
      <c r="AD159" s="83"/>
      <c r="AE159" s="93"/>
      <c r="AF159" s="93"/>
      <c r="AG159" s="83"/>
      <c r="AH159" s="83"/>
      <c r="AI159" s="93"/>
      <c r="AJ159" s="93"/>
      <c r="AK159" s="83"/>
      <c r="AL159" s="83"/>
      <c r="AM159" s="93"/>
      <c r="AN159" s="93"/>
      <c r="AO159" s="83"/>
      <c r="AP159" s="83"/>
      <c r="AQ159" s="93"/>
      <c r="AR159" s="93"/>
      <c r="AS159" s="83"/>
      <c r="AT159" s="83"/>
      <c r="AU159" s="93"/>
      <c r="AV159" s="93"/>
      <c r="AW159" s="83"/>
      <c r="AX159" s="83"/>
      <c r="AY159" s="93"/>
      <c r="AZ159" s="93"/>
    </row>
    <row r="160" spans="1:52" x14ac:dyDescent="0.45">
      <c r="A160" s="571">
        <v>33</v>
      </c>
      <c r="B160" s="1370"/>
      <c r="C160" s="212" t="s">
        <v>308</v>
      </c>
      <c r="D160" s="103"/>
      <c r="E160" s="42" t="s">
        <v>309</v>
      </c>
      <c r="F160" s="130"/>
      <c r="G160" s="130"/>
      <c r="H160" s="213">
        <f>H159/12</f>
        <v>8.278863141969298</v>
      </c>
      <c r="I160" s="200"/>
      <c r="J160" s="200"/>
      <c r="K160" s="213">
        <f>K159/12</f>
        <v>3.9566007019791241</v>
      </c>
      <c r="L160" s="200"/>
      <c r="M160" s="200"/>
      <c r="N160" s="213">
        <f>N159/12</f>
        <v>11.267012033251781</v>
      </c>
      <c r="O160" s="200"/>
      <c r="P160" s="200"/>
      <c r="Q160" s="213">
        <f>Q159/12</f>
        <v>14.023898458237561</v>
      </c>
      <c r="R160" s="200"/>
      <c r="S160" s="200"/>
      <c r="T160" s="213">
        <f>T159/12</f>
        <v>13.22456816383742</v>
      </c>
      <c r="U160" s="200"/>
      <c r="V160" s="200"/>
      <c r="W160" s="213">
        <f>W159/12</f>
        <v>2.155549000982409</v>
      </c>
      <c r="AA160" s="93"/>
      <c r="AB160" s="93"/>
      <c r="AC160" s="83"/>
      <c r="AD160" s="83"/>
      <c r="AE160" s="93"/>
      <c r="AF160" s="93"/>
      <c r="AG160" s="83"/>
      <c r="AH160" s="83"/>
      <c r="AI160" s="93"/>
      <c r="AJ160" s="93"/>
      <c r="AK160" s="83"/>
      <c r="AL160" s="83"/>
      <c r="AM160" s="93"/>
      <c r="AN160" s="93"/>
      <c r="AO160" s="83"/>
      <c r="AP160" s="83"/>
      <c r="AQ160" s="93"/>
      <c r="AR160" s="93"/>
      <c r="AS160" s="83"/>
      <c r="AT160" s="83"/>
      <c r="AU160" s="93"/>
      <c r="AV160" s="93"/>
      <c r="AW160" s="83"/>
      <c r="AX160" s="83"/>
      <c r="AY160" s="93"/>
      <c r="AZ160" s="93"/>
    </row>
    <row r="161" spans="1:52" x14ac:dyDescent="0.45">
      <c r="A161" s="571">
        <v>34</v>
      </c>
      <c r="B161" s="1370"/>
      <c r="C161" s="11"/>
      <c r="D161" s="103"/>
      <c r="E161" s="14"/>
      <c r="F161" s="89"/>
      <c r="G161" s="89"/>
      <c r="H161" s="23"/>
      <c r="I161" s="210"/>
      <c r="J161" s="15"/>
      <c r="K161" s="26"/>
      <c r="L161" s="92"/>
      <c r="M161" s="92"/>
      <c r="N161" s="31"/>
      <c r="O161" s="92"/>
      <c r="P161" s="92"/>
      <c r="Q161" s="31"/>
      <c r="R161" s="92"/>
      <c r="S161" s="92"/>
      <c r="T161" s="31"/>
      <c r="U161" s="92"/>
      <c r="V161" s="92"/>
      <c r="W161" s="31"/>
      <c r="AA161" s="93"/>
      <c r="AB161" s="93"/>
      <c r="AC161" s="83"/>
      <c r="AD161" s="83"/>
      <c r="AE161" s="93"/>
      <c r="AF161" s="93"/>
      <c r="AG161" s="83"/>
      <c r="AH161" s="83"/>
      <c r="AI161" s="93"/>
      <c r="AJ161" s="93"/>
      <c r="AK161" s="83"/>
      <c r="AL161" s="83"/>
      <c r="AM161" s="93"/>
      <c r="AN161" s="93"/>
      <c r="AO161" s="83"/>
      <c r="AP161" s="83"/>
      <c r="AQ161" s="93"/>
      <c r="AR161" s="93"/>
      <c r="AS161" s="83"/>
      <c r="AT161" s="83"/>
      <c r="AU161" s="93"/>
      <c r="AV161" s="93"/>
      <c r="AW161" s="83"/>
      <c r="AX161" s="83"/>
      <c r="AY161" s="93"/>
      <c r="AZ161" s="93"/>
    </row>
    <row r="162" spans="1:52" x14ac:dyDescent="0.45">
      <c r="A162" s="571">
        <v>35</v>
      </c>
      <c r="B162" s="1370"/>
      <c r="C162" s="11"/>
      <c r="D162" s="103"/>
      <c r="E162" s="14"/>
      <c r="F162" s="89"/>
      <c r="G162" s="89"/>
      <c r="H162" s="23"/>
      <c r="I162" s="210"/>
      <c r="J162" s="15"/>
      <c r="K162" s="26"/>
      <c r="L162" s="92"/>
      <c r="M162" s="92"/>
      <c r="N162" s="31"/>
      <c r="O162" s="92"/>
      <c r="P162" s="92"/>
      <c r="Q162" s="31"/>
      <c r="R162" s="92"/>
      <c r="S162" s="92"/>
      <c r="T162" s="31"/>
      <c r="U162" s="92"/>
      <c r="V162" s="92"/>
      <c r="W162" s="31"/>
      <c r="AA162" s="93"/>
      <c r="AB162" s="93"/>
      <c r="AC162" s="83"/>
      <c r="AD162" s="83"/>
      <c r="AE162" s="93"/>
      <c r="AF162" s="93"/>
      <c r="AG162" s="83"/>
      <c r="AH162" s="83"/>
      <c r="AI162" s="93"/>
      <c r="AJ162" s="93"/>
      <c r="AK162" s="83"/>
      <c r="AL162" s="83"/>
      <c r="AM162" s="93"/>
      <c r="AN162" s="93"/>
      <c r="AO162" s="83"/>
      <c r="AP162" s="83"/>
      <c r="AQ162" s="93"/>
      <c r="AR162" s="93"/>
      <c r="AS162" s="83"/>
      <c r="AT162" s="83"/>
      <c r="AU162" s="93"/>
      <c r="AV162" s="93"/>
      <c r="AW162" s="83"/>
      <c r="AX162" s="83"/>
      <c r="AY162" s="93"/>
      <c r="AZ162" s="93"/>
    </row>
    <row r="163" spans="1:52" x14ac:dyDescent="0.45">
      <c r="A163" s="571">
        <v>36</v>
      </c>
      <c r="B163" s="1370"/>
      <c r="C163" s="11"/>
      <c r="D163" s="103"/>
      <c r="E163" s="14"/>
      <c r="F163" s="89"/>
      <c r="G163" s="89"/>
      <c r="H163" s="23"/>
      <c r="I163" s="210"/>
      <c r="J163" s="15"/>
      <c r="K163" s="26"/>
      <c r="L163" s="92"/>
      <c r="M163" s="92"/>
      <c r="N163" s="31"/>
      <c r="O163" s="92"/>
      <c r="P163" s="92"/>
      <c r="Q163" s="31"/>
      <c r="R163" s="92"/>
      <c r="S163" s="92"/>
      <c r="T163" s="31"/>
      <c r="U163" s="92"/>
      <c r="V163" s="92"/>
      <c r="W163" s="31"/>
      <c r="AA163" s="93"/>
      <c r="AB163" s="93"/>
      <c r="AC163" s="83"/>
      <c r="AD163" s="83"/>
      <c r="AE163" s="93"/>
      <c r="AF163" s="93"/>
      <c r="AG163" s="83"/>
      <c r="AH163" s="83"/>
      <c r="AI163" s="93"/>
      <c r="AJ163" s="93"/>
      <c r="AK163" s="83"/>
      <c r="AL163" s="83"/>
      <c r="AM163" s="93"/>
      <c r="AN163" s="93"/>
      <c r="AO163" s="83"/>
      <c r="AP163" s="83"/>
      <c r="AQ163" s="93"/>
      <c r="AR163" s="93"/>
      <c r="AS163" s="83"/>
      <c r="AT163" s="83"/>
      <c r="AU163" s="93"/>
      <c r="AV163" s="93"/>
      <c r="AW163" s="83"/>
      <c r="AX163" s="83"/>
      <c r="AY163" s="93"/>
      <c r="AZ163" s="93"/>
    </row>
    <row r="164" spans="1:52" x14ac:dyDescent="0.45">
      <c r="A164" s="571">
        <v>37</v>
      </c>
      <c r="B164" s="1371"/>
      <c r="C164" s="11"/>
      <c r="D164" s="103"/>
      <c r="E164" s="14"/>
      <c r="F164" s="89"/>
      <c r="G164" s="89"/>
      <c r="H164" s="23"/>
      <c r="I164" s="210"/>
      <c r="J164" s="15"/>
      <c r="K164" s="26"/>
      <c r="L164" s="92"/>
      <c r="M164" s="92"/>
      <c r="N164" s="31"/>
      <c r="O164" s="92"/>
      <c r="P164" s="92"/>
      <c r="Q164" s="31"/>
      <c r="R164" s="92"/>
      <c r="S164" s="92"/>
      <c r="T164" s="31"/>
      <c r="U164" s="92"/>
      <c r="V164" s="92"/>
      <c r="W164" s="31"/>
      <c r="AA164" s="93"/>
      <c r="AB164" s="93"/>
      <c r="AC164" s="83"/>
      <c r="AD164" s="83"/>
      <c r="AE164" s="93"/>
      <c r="AF164" s="93"/>
      <c r="AG164" s="83"/>
      <c r="AH164" s="83"/>
      <c r="AI164" s="93"/>
      <c r="AJ164" s="93"/>
      <c r="AK164" s="83"/>
      <c r="AL164" s="83"/>
      <c r="AM164" s="93"/>
      <c r="AN164" s="93"/>
      <c r="AO164" s="83"/>
      <c r="AP164" s="83"/>
      <c r="AQ164" s="93"/>
      <c r="AR164" s="93"/>
      <c r="AS164" s="83"/>
      <c r="AT164" s="83"/>
      <c r="AU164" s="93"/>
      <c r="AV164" s="93"/>
      <c r="AW164" s="83"/>
      <c r="AX164" s="83"/>
      <c r="AY164" s="93"/>
      <c r="AZ164" s="93"/>
    </row>
    <row r="165" spans="1:52" x14ac:dyDescent="0.45">
      <c r="C165" s="11"/>
      <c r="D165" s="103"/>
      <c r="E165" s="15"/>
      <c r="F165" s="89"/>
      <c r="G165" s="89"/>
      <c r="H165" s="23"/>
      <c r="I165" s="214"/>
      <c r="J165" s="215"/>
      <c r="K165" s="216"/>
      <c r="L165" s="92"/>
      <c r="M165" s="92"/>
      <c r="N165" s="31"/>
      <c r="O165" s="92"/>
      <c r="P165" s="92"/>
      <c r="Q165" s="31"/>
      <c r="R165" s="92"/>
      <c r="S165" s="92"/>
      <c r="T165" s="31"/>
      <c r="U165" s="92"/>
      <c r="V165" s="92"/>
      <c r="W165" s="31"/>
      <c r="AA165" s="93"/>
      <c r="AB165" s="93"/>
      <c r="AC165" s="83"/>
      <c r="AD165" s="83"/>
      <c r="AE165" s="93"/>
      <c r="AF165" s="93"/>
      <c r="AG165" s="83"/>
      <c r="AH165" s="83"/>
      <c r="AI165" s="93"/>
      <c r="AJ165" s="93"/>
      <c r="AK165" s="83"/>
      <c r="AL165" s="83"/>
      <c r="AM165" s="93"/>
      <c r="AN165" s="93"/>
      <c r="AO165" s="83"/>
      <c r="AP165" s="83"/>
      <c r="AQ165" s="93"/>
      <c r="AR165" s="93"/>
      <c r="AS165" s="83"/>
      <c r="AT165" s="83"/>
      <c r="AU165" s="93"/>
      <c r="AV165" s="93"/>
      <c r="AW165" s="83"/>
      <c r="AX165" s="83"/>
      <c r="AY165" s="93"/>
      <c r="AZ165" s="93"/>
    </row>
    <row r="166" spans="1:52" ht="15.75" x14ac:dyDescent="0.45">
      <c r="C166" s="9" t="s">
        <v>310</v>
      </c>
      <c r="D166" s="102"/>
      <c r="E166" s="9" t="s">
        <v>311</v>
      </c>
      <c r="F166" s="89"/>
      <c r="G166" s="89"/>
      <c r="H166" s="23"/>
      <c r="I166" s="92"/>
      <c r="J166" s="92"/>
      <c r="K166" s="31"/>
      <c r="L166" s="92"/>
      <c r="M166" s="92"/>
      <c r="N166" s="31"/>
      <c r="O166" s="92"/>
      <c r="P166" s="92"/>
      <c r="Q166" s="31"/>
      <c r="R166" s="92"/>
      <c r="S166" s="92"/>
      <c r="T166" s="31"/>
      <c r="U166" s="92"/>
      <c r="V166" s="92"/>
      <c r="W166" s="31"/>
      <c r="AA166" s="93"/>
      <c r="AB166" s="93"/>
      <c r="AC166" s="83"/>
      <c r="AD166" s="83"/>
      <c r="AE166" s="93"/>
      <c r="AF166" s="93"/>
      <c r="AG166" s="83"/>
      <c r="AH166" s="83"/>
      <c r="AI166" s="93"/>
      <c r="AJ166" s="93"/>
      <c r="AK166" s="83"/>
      <c r="AL166" s="83"/>
      <c r="AM166" s="93"/>
      <c r="AN166" s="93"/>
      <c r="AO166" s="83"/>
      <c r="AP166" s="83"/>
      <c r="AQ166" s="93"/>
      <c r="AR166" s="93"/>
      <c r="AS166" s="83"/>
      <c r="AT166" s="83"/>
      <c r="AU166" s="93"/>
      <c r="AV166" s="93"/>
      <c r="AW166" s="83"/>
      <c r="AX166" s="83"/>
      <c r="AY166" s="93"/>
      <c r="AZ166" s="93"/>
    </row>
    <row r="167" spans="1:52" x14ac:dyDescent="0.45">
      <c r="A167" s="571">
        <v>1</v>
      </c>
      <c r="B167" s="1383" t="s">
        <v>312</v>
      </c>
      <c r="C167" s="11" t="s">
        <v>313</v>
      </c>
      <c r="D167" s="103"/>
      <c r="E167" s="11" t="s">
        <v>314</v>
      </c>
      <c r="F167" s="89"/>
      <c r="G167" s="89"/>
      <c r="H167" s="23"/>
      <c r="I167" s="92"/>
      <c r="J167" s="92"/>
      <c r="K167" s="31"/>
      <c r="L167" s="92"/>
      <c r="M167" s="92"/>
      <c r="N167" s="31"/>
      <c r="O167" s="92"/>
      <c r="P167" s="92"/>
      <c r="Q167" s="31"/>
      <c r="R167" s="92"/>
      <c r="S167" s="92"/>
      <c r="T167" s="31"/>
      <c r="U167" s="92"/>
      <c r="V167" s="92"/>
      <c r="W167" s="31"/>
      <c r="AA167" s="93"/>
      <c r="AB167" s="93"/>
      <c r="AC167" s="83"/>
      <c r="AD167" s="83"/>
      <c r="AE167" s="93"/>
      <c r="AF167" s="93"/>
      <c r="AG167" s="83"/>
      <c r="AH167" s="83"/>
      <c r="AI167" s="93"/>
      <c r="AJ167" s="93"/>
      <c r="AK167" s="83"/>
      <c r="AL167" s="83"/>
      <c r="AM167" s="93"/>
      <c r="AN167" s="93"/>
      <c r="AO167" s="83"/>
      <c r="AP167" s="83"/>
      <c r="AQ167" s="93"/>
      <c r="AR167" s="93"/>
      <c r="AS167" s="83"/>
      <c r="AT167" s="83"/>
      <c r="AU167" s="93"/>
      <c r="AV167" s="93"/>
      <c r="AW167" s="83"/>
      <c r="AX167" s="83"/>
      <c r="AY167" s="93"/>
      <c r="AZ167" s="93"/>
    </row>
    <row r="168" spans="1:52" x14ac:dyDescent="0.45">
      <c r="A168" s="571">
        <v>2</v>
      </c>
      <c r="B168" s="1383"/>
      <c r="C168" s="91" t="s">
        <v>315</v>
      </c>
      <c r="D168" s="115"/>
      <c r="E168" s="11" t="s">
        <v>316</v>
      </c>
      <c r="F168" s="89"/>
      <c r="G168" s="89"/>
      <c r="H168" s="23"/>
      <c r="I168" s="92"/>
      <c r="J168" s="92"/>
      <c r="K168" s="31"/>
      <c r="L168" s="92"/>
      <c r="M168" s="92"/>
      <c r="N168" s="31"/>
      <c r="O168" s="92"/>
      <c r="P168" s="92"/>
      <c r="Q168" s="31"/>
      <c r="R168" s="92"/>
      <c r="S168" s="92"/>
      <c r="T168" s="31"/>
      <c r="U168" s="92"/>
      <c r="V168" s="92"/>
      <c r="W168" s="31"/>
      <c r="AA168" s="93"/>
      <c r="AB168" s="93"/>
      <c r="AC168" s="83"/>
      <c r="AD168" s="83"/>
      <c r="AE168" s="93"/>
      <c r="AF168" s="93"/>
      <c r="AG168" s="83"/>
      <c r="AH168" s="83"/>
      <c r="AI168" s="93"/>
      <c r="AJ168" s="93"/>
      <c r="AK168" s="83"/>
      <c r="AL168" s="83"/>
      <c r="AM168" s="93"/>
      <c r="AN168" s="93"/>
      <c r="AO168" s="83"/>
      <c r="AP168" s="83"/>
      <c r="AQ168" s="93"/>
      <c r="AR168" s="93"/>
      <c r="AS168" s="83"/>
      <c r="AT168" s="83"/>
      <c r="AU168" s="93"/>
      <c r="AV168" s="93"/>
      <c r="AW168" s="83"/>
      <c r="AX168" s="83"/>
      <c r="AY168" s="93"/>
      <c r="AZ168" s="93"/>
    </row>
    <row r="169" spans="1:52" x14ac:dyDescent="0.45">
      <c r="A169" s="571">
        <v>3</v>
      </c>
      <c r="B169" s="1383"/>
      <c r="C169" s="91" t="s">
        <v>317</v>
      </c>
      <c r="D169" s="115"/>
      <c r="E169" s="12" t="s">
        <v>266</v>
      </c>
      <c r="F169" s="89"/>
      <c r="G169" s="89"/>
      <c r="H169" s="23"/>
      <c r="I169" s="92"/>
      <c r="J169" s="92"/>
      <c r="K169" s="31"/>
      <c r="L169" s="92"/>
      <c r="M169" s="92"/>
      <c r="N169" s="31"/>
      <c r="O169" s="92"/>
      <c r="P169" s="92"/>
      <c r="Q169" s="31"/>
      <c r="R169" s="92"/>
      <c r="S169" s="92"/>
      <c r="T169" s="31"/>
      <c r="U169" s="92"/>
      <c r="V169" s="92"/>
      <c r="W169" s="31"/>
      <c r="AA169" s="93"/>
      <c r="AB169" s="93"/>
      <c r="AC169" s="83"/>
      <c r="AD169" s="83"/>
      <c r="AE169" s="93"/>
      <c r="AF169" s="93"/>
      <c r="AG169" s="83"/>
      <c r="AH169" s="83"/>
      <c r="AI169" s="93"/>
      <c r="AJ169" s="93"/>
      <c r="AK169" s="83"/>
      <c r="AL169" s="83"/>
      <c r="AM169" s="93"/>
      <c r="AN169" s="93"/>
      <c r="AO169" s="83"/>
      <c r="AP169" s="83"/>
      <c r="AQ169" s="93"/>
      <c r="AR169" s="93"/>
      <c r="AS169" s="83"/>
      <c r="AT169" s="83"/>
      <c r="AU169" s="93"/>
      <c r="AV169" s="93"/>
      <c r="AW169" s="83"/>
      <c r="AX169" s="83"/>
      <c r="AY169" s="93"/>
      <c r="AZ169" s="93"/>
    </row>
    <row r="170" spans="1:52" ht="18.75" customHeight="1" x14ac:dyDescent="0.45">
      <c r="A170" s="571">
        <v>4</v>
      </c>
      <c r="B170" s="1383"/>
      <c r="C170" s="91" t="s">
        <v>318</v>
      </c>
      <c r="D170" s="115"/>
      <c r="E170" s="116" t="s">
        <v>319</v>
      </c>
      <c r="F170" s="130">
        <f t="shared" ref="F170:H174" si="36">I170+L170+O170+R170+U170</f>
        <v>0</v>
      </c>
      <c r="G170" s="130">
        <f t="shared" si="36"/>
        <v>0</v>
      </c>
      <c r="H170" s="131">
        <f t="shared" si="36"/>
        <v>0</v>
      </c>
      <c r="I170" s="217"/>
      <c r="J170" s="217"/>
      <c r="K170" s="217"/>
      <c r="L170" s="218"/>
      <c r="M170" s="217"/>
      <c r="N170" s="217">
        <f>129537.72*0</f>
        <v>0</v>
      </c>
      <c r="O170" s="218"/>
      <c r="P170" s="217"/>
      <c r="Q170" s="217">
        <f>1816987.68*0</f>
        <v>0</v>
      </c>
      <c r="R170" s="218"/>
      <c r="S170" s="217"/>
      <c r="T170" s="217">
        <f>3861444.24*0</f>
        <v>0</v>
      </c>
      <c r="U170" s="218"/>
      <c r="V170" s="217"/>
      <c r="W170" s="217">
        <f>5589559.77*0</f>
        <v>0</v>
      </c>
      <c r="AA170" s="93"/>
      <c r="AB170" s="93"/>
      <c r="AC170" s="83"/>
      <c r="AD170" s="83"/>
      <c r="AE170" s="93"/>
      <c r="AF170" s="93"/>
      <c r="AG170" s="83"/>
      <c r="AH170" s="83"/>
      <c r="AI170" s="93"/>
      <c r="AJ170" s="93"/>
      <c r="AK170" s="83"/>
      <c r="AL170" s="83"/>
      <c r="AM170" s="93"/>
      <c r="AN170" s="93"/>
      <c r="AO170" s="83"/>
      <c r="AP170" s="83"/>
      <c r="AQ170" s="93"/>
      <c r="AR170" s="93"/>
      <c r="AS170" s="219" t="s">
        <v>320</v>
      </c>
      <c r="AT170" s="83"/>
      <c r="AU170" s="93"/>
      <c r="AV170" s="93"/>
      <c r="AW170" s="219" t="s">
        <v>321</v>
      </c>
      <c r="AX170" s="83"/>
      <c r="AY170" s="93"/>
      <c r="AZ170" s="93"/>
    </row>
    <row r="171" spans="1:52" x14ac:dyDescent="0.45">
      <c r="A171" s="571">
        <v>5</v>
      </c>
      <c r="B171" s="1383"/>
      <c r="C171" s="91" t="s">
        <v>322</v>
      </c>
      <c r="D171" s="115"/>
      <c r="E171" s="220" t="s">
        <v>1323</v>
      </c>
      <c r="F171" s="130">
        <f t="shared" si="36"/>
        <v>17923184</v>
      </c>
      <c r="G171" s="130">
        <f t="shared" si="36"/>
        <v>17604545</v>
      </c>
      <c r="H171" s="131">
        <f t="shared" si="36"/>
        <v>10717984</v>
      </c>
      <c r="I171" s="166">
        <v>5576064</v>
      </c>
      <c r="J171" s="166">
        <v>1243913</v>
      </c>
      <c r="K171" s="166">
        <v>313420</v>
      </c>
      <c r="L171" s="167">
        <v>157500</v>
      </c>
      <c r="M171" s="1004">
        <v>135000</v>
      </c>
      <c r="N171" s="1004">
        <v>0</v>
      </c>
      <c r="O171" s="167">
        <v>1522381</v>
      </c>
      <c r="P171" s="166">
        <v>2645202</v>
      </c>
      <c r="Q171" s="1004">
        <v>1475617</v>
      </c>
      <c r="R171" s="167">
        <v>10104396</v>
      </c>
      <c r="S171" s="166">
        <v>13221991</v>
      </c>
      <c r="T171" s="166">
        <v>8660989</v>
      </c>
      <c r="U171" s="133">
        <v>562843</v>
      </c>
      <c r="V171" s="132">
        <v>358439</v>
      </c>
      <c r="W171" s="1005">
        <v>267958</v>
      </c>
      <c r="AA171" s="93"/>
      <c r="AB171" s="93"/>
      <c r="AC171" s="83" t="s">
        <v>269</v>
      </c>
      <c r="AD171" s="83"/>
      <c r="AE171" s="93"/>
      <c r="AF171" s="93"/>
      <c r="AG171" s="83"/>
      <c r="AH171" s="83"/>
      <c r="AI171" s="93"/>
      <c r="AJ171" s="93"/>
      <c r="AK171" s="83"/>
      <c r="AL171" s="83"/>
      <c r="AM171" s="93"/>
      <c r="AN171" s="93"/>
      <c r="AO171" s="83"/>
      <c r="AP171" s="83"/>
      <c r="AQ171" s="93"/>
      <c r="AR171" s="93"/>
      <c r="AS171" s="83"/>
      <c r="AT171" s="83"/>
      <c r="AU171" s="93"/>
      <c r="AV171" s="93"/>
      <c r="AW171" s="83"/>
      <c r="AX171" s="83"/>
      <c r="AY171" s="93"/>
      <c r="AZ171" s="93"/>
    </row>
    <row r="172" spans="1:52" ht="18" customHeight="1" x14ac:dyDescent="0.45">
      <c r="A172" s="571">
        <v>6</v>
      </c>
      <c r="B172" s="1383"/>
      <c r="C172" s="91" t="s">
        <v>323</v>
      </c>
      <c r="D172" s="115"/>
      <c r="E172" s="116" t="s">
        <v>324</v>
      </c>
      <c r="F172" s="130">
        <f t="shared" si="36"/>
        <v>0</v>
      </c>
      <c r="G172" s="130">
        <f t="shared" si="36"/>
        <v>0</v>
      </c>
      <c r="H172" s="131">
        <f t="shared" si="36"/>
        <v>0</v>
      </c>
      <c r="I172" s="217"/>
      <c r="J172" s="217"/>
      <c r="K172" s="217"/>
      <c r="L172" s="218"/>
      <c r="M172" s="217"/>
      <c r="N172" s="217">
        <v>0</v>
      </c>
      <c r="O172" s="218"/>
      <c r="P172" s="217"/>
      <c r="Q172" s="217">
        <f>9299695.16*0</f>
        <v>0</v>
      </c>
      <c r="R172" s="218"/>
      <c r="S172" s="217"/>
      <c r="T172" s="217">
        <f>20484465.76*0</f>
        <v>0</v>
      </c>
      <c r="U172" s="218"/>
      <c r="V172" s="217"/>
      <c r="W172" s="217">
        <f>7528558.14*0</f>
        <v>0</v>
      </c>
      <c r="AA172" s="93"/>
      <c r="AB172" s="93"/>
      <c r="AC172" s="83"/>
      <c r="AD172" s="83"/>
      <c r="AE172" s="93"/>
      <c r="AF172" s="93"/>
      <c r="AG172" s="83"/>
      <c r="AH172" s="83"/>
      <c r="AI172" s="93"/>
      <c r="AJ172" s="93"/>
      <c r="AK172" s="83"/>
      <c r="AL172" s="83"/>
      <c r="AM172" s="93"/>
      <c r="AN172" s="93"/>
      <c r="AO172" s="83"/>
      <c r="AP172" s="83"/>
      <c r="AQ172" s="93"/>
      <c r="AR172" s="93"/>
      <c r="AS172" s="219" t="s">
        <v>320</v>
      </c>
      <c r="AT172" s="83"/>
      <c r="AU172" s="93"/>
      <c r="AV172" s="93"/>
      <c r="AW172" s="221" t="s">
        <v>321</v>
      </c>
      <c r="AX172" s="83"/>
      <c r="AY172" s="93"/>
      <c r="AZ172" s="93"/>
    </row>
    <row r="173" spans="1:52" ht="18.75" customHeight="1" x14ac:dyDescent="0.45">
      <c r="A173" s="571">
        <v>7</v>
      </c>
      <c r="B173" s="1383"/>
      <c r="C173" s="91" t="s">
        <v>325</v>
      </c>
      <c r="D173" s="222"/>
      <c r="E173" s="129" t="s">
        <v>326</v>
      </c>
      <c r="F173" s="130">
        <f t="shared" si="36"/>
        <v>13859201.850000001</v>
      </c>
      <c r="G173" s="130">
        <f t="shared" si="36"/>
        <v>16743145.24</v>
      </c>
      <c r="H173" s="131">
        <f t="shared" si="36"/>
        <v>14955497</v>
      </c>
      <c r="I173" s="217">
        <v>957180.92</v>
      </c>
      <c r="J173" s="217">
        <v>897187.48</v>
      </c>
      <c r="K173" s="217">
        <v>774351</v>
      </c>
      <c r="L173" s="218">
        <v>13742.9</v>
      </c>
      <c r="M173" s="217">
        <v>4031.2</v>
      </c>
      <c r="N173" s="217">
        <v>125</v>
      </c>
      <c r="O173" s="218">
        <v>459525.31</v>
      </c>
      <c r="P173" s="217">
        <v>206409.49</v>
      </c>
      <c r="Q173" s="217">
        <v>903268</v>
      </c>
      <c r="R173" s="218">
        <v>1945404.4</v>
      </c>
      <c r="S173" s="217">
        <v>2685322.5</v>
      </c>
      <c r="T173" s="217">
        <v>2280485</v>
      </c>
      <c r="U173" s="218">
        <f>10483348.32*1</f>
        <v>10483348.32</v>
      </c>
      <c r="V173" s="217">
        <f>12950194.57*1</f>
        <v>12950194.57</v>
      </c>
      <c r="W173" s="217">
        <v>10997268</v>
      </c>
      <c r="AA173" s="93"/>
      <c r="AB173" s="93"/>
      <c r="AC173" s="83" t="s">
        <v>327</v>
      </c>
      <c r="AD173" s="83"/>
      <c r="AE173" s="93"/>
      <c r="AF173" s="93"/>
      <c r="AG173" s="83" t="s">
        <v>327</v>
      </c>
      <c r="AH173" s="83"/>
      <c r="AI173" s="93"/>
      <c r="AJ173" s="93"/>
      <c r="AK173" s="83" t="s">
        <v>327</v>
      </c>
      <c r="AL173" s="83"/>
      <c r="AM173" s="93"/>
      <c r="AN173" s="93"/>
      <c r="AO173" s="83" t="s">
        <v>327</v>
      </c>
      <c r="AP173" s="83"/>
      <c r="AQ173" s="93"/>
      <c r="AR173" s="93"/>
      <c r="AS173" s="219" t="s">
        <v>328</v>
      </c>
      <c r="AT173" s="83"/>
      <c r="AU173" s="93"/>
      <c r="AV173" s="93"/>
      <c r="AW173" s="221" t="s">
        <v>328</v>
      </c>
      <c r="AX173" s="83"/>
      <c r="AY173" s="93"/>
      <c r="AZ173" s="93"/>
    </row>
    <row r="174" spans="1:52" x14ac:dyDescent="0.45">
      <c r="A174" s="571">
        <v>8</v>
      </c>
      <c r="B174" s="1383"/>
      <c r="C174" s="91" t="s">
        <v>329</v>
      </c>
      <c r="D174" s="115"/>
      <c r="E174" s="12" t="s">
        <v>330</v>
      </c>
      <c r="F174" s="130">
        <f t="shared" si="36"/>
        <v>31782385.850000001</v>
      </c>
      <c r="G174" s="130">
        <f t="shared" si="36"/>
        <v>34347690.240000002</v>
      </c>
      <c r="H174" s="131">
        <f t="shared" si="36"/>
        <v>25673481</v>
      </c>
      <c r="I174" s="223">
        <f t="shared" ref="I174:W174" si="37">SUM(I170:I173)</f>
        <v>6533244.9199999999</v>
      </c>
      <c r="J174" s="224">
        <f t="shared" si="37"/>
        <v>2141100.48</v>
      </c>
      <c r="K174" s="225">
        <f t="shared" si="37"/>
        <v>1087771</v>
      </c>
      <c r="L174" s="224">
        <f t="shared" si="37"/>
        <v>171242.9</v>
      </c>
      <c r="M174" s="224">
        <f t="shared" si="37"/>
        <v>139031.20000000001</v>
      </c>
      <c r="N174" s="225">
        <f t="shared" si="37"/>
        <v>125</v>
      </c>
      <c r="O174" s="224">
        <f t="shared" si="37"/>
        <v>1981906.31</v>
      </c>
      <c r="P174" s="224">
        <f t="shared" si="37"/>
        <v>2851611.49</v>
      </c>
      <c r="Q174" s="225">
        <f t="shared" si="37"/>
        <v>2378885</v>
      </c>
      <c r="R174" s="224">
        <f t="shared" si="37"/>
        <v>12049800.4</v>
      </c>
      <c r="S174" s="224">
        <f t="shared" si="37"/>
        <v>15907313.5</v>
      </c>
      <c r="T174" s="225">
        <f t="shared" si="37"/>
        <v>10941474</v>
      </c>
      <c r="U174" s="224">
        <f t="shared" si="37"/>
        <v>11046191.32</v>
      </c>
      <c r="V174" s="224">
        <f t="shared" si="37"/>
        <v>13308633.57</v>
      </c>
      <c r="W174" s="225">
        <f t="shared" si="37"/>
        <v>11265226</v>
      </c>
      <c r="AA174" s="93"/>
      <c r="AB174" s="93"/>
      <c r="AC174" s="83"/>
      <c r="AD174" s="83"/>
      <c r="AE174" s="93"/>
      <c r="AF174" s="93"/>
      <c r="AG174" s="83"/>
      <c r="AH174" s="83"/>
      <c r="AI174" s="93"/>
      <c r="AJ174" s="93"/>
      <c r="AK174" s="83"/>
      <c r="AL174" s="83"/>
      <c r="AM174" s="93"/>
      <c r="AN174" s="93"/>
      <c r="AO174" s="83"/>
      <c r="AP174" s="83"/>
      <c r="AQ174" s="93"/>
      <c r="AR174" s="93"/>
      <c r="AS174" s="83"/>
      <c r="AT174" s="83"/>
      <c r="AU174" s="93"/>
      <c r="AV174" s="93"/>
      <c r="AW174" s="83"/>
      <c r="AX174" s="83"/>
      <c r="AY174" s="93"/>
      <c r="AZ174" s="93"/>
    </row>
    <row r="175" spans="1:52" x14ac:dyDescent="0.45">
      <c r="A175" s="571">
        <v>9</v>
      </c>
      <c r="B175" s="1383"/>
      <c r="C175" s="91" t="s">
        <v>331</v>
      </c>
      <c r="D175" s="115"/>
      <c r="E175" s="12" t="s">
        <v>332</v>
      </c>
      <c r="F175" s="89"/>
      <c r="G175" s="89"/>
      <c r="H175" s="23"/>
      <c r="I175" s="226"/>
      <c r="J175" s="227"/>
      <c r="K175" s="228"/>
      <c r="L175" s="227"/>
      <c r="M175" s="227"/>
      <c r="N175" s="228"/>
      <c r="O175" s="227"/>
      <c r="P175" s="227"/>
      <c r="Q175" s="228"/>
      <c r="R175" s="227"/>
      <c r="S175" s="227"/>
      <c r="T175" s="228"/>
      <c r="U175" s="227"/>
      <c r="V175" s="227"/>
      <c r="W175" s="228"/>
      <c r="AA175" s="93"/>
      <c r="AB175" s="93"/>
      <c r="AC175" s="83"/>
      <c r="AD175" s="83"/>
      <c r="AE175" s="93"/>
      <c r="AF175" s="93"/>
      <c r="AG175" s="83"/>
      <c r="AH175" s="83"/>
      <c r="AI175" s="93"/>
      <c r="AJ175" s="93"/>
      <c r="AK175" s="83"/>
      <c r="AL175" s="83"/>
      <c r="AM175" s="93"/>
      <c r="AN175" s="93"/>
      <c r="AO175" s="83"/>
      <c r="AP175" s="83"/>
      <c r="AQ175" s="93"/>
      <c r="AR175" s="93"/>
      <c r="AS175" s="83"/>
      <c r="AT175" s="83"/>
      <c r="AU175" s="93"/>
      <c r="AV175" s="93"/>
      <c r="AW175" s="83"/>
      <c r="AX175" s="83"/>
      <c r="AY175" s="93"/>
      <c r="AZ175" s="93"/>
    </row>
    <row r="176" spans="1:52" x14ac:dyDescent="0.45">
      <c r="A176" s="571">
        <v>10</v>
      </c>
      <c r="B176" s="1383"/>
      <c r="C176" s="91" t="s">
        <v>333</v>
      </c>
      <c r="D176" s="115"/>
      <c r="E176" s="229" t="s">
        <v>334</v>
      </c>
      <c r="F176" s="89"/>
      <c r="G176" s="89"/>
      <c r="H176" s="23"/>
      <c r="I176" s="226"/>
      <c r="J176" s="227"/>
      <c r="K176" s="228"/>
      <c r="L176" s="227"/>
      <c r="M176" s="227"/>
      <c r="N176" s="228"/>
      <c r="O176" s="227"/>
      <c r="P176" s="227"/>
      <c r="Q176" s="228"/>
      <c r="R176" s="227"/>
      <c r="S176" s="227"/>
      <c r="T176" s="228"/>
      <c r="U176" s="227"/>
      <c r="V176" s="227"/>
      <c r="W176" s="228"/>
      <c r="AA176" s="93"/>
      <c r="AB176" s="93"/>
      <c r="AC176" s="83"/>
      <c r="AD176" s="83"/>
      <c r="AE176" s="93"/>
      <c r="AF176" s="93"/>
      <c r="AG176" s="83"/>
      <c r="AH176" s="83"/>
      <c r="AI176" s="93"/>
      <c r="AJ176" s="93"/>
      <c r="AK176" s="83"/>
      <c r="AL176" s="83"/>
      <c r="AM176" s="93"/>
      <c r="AN176" s="93"/>
      <c r="AO176" s="83"/>
      <c r="AP176" s="83"/>
      <c r="AQ176" s="93"/>
      <c r="AR176" s="93"/>
      <c r="AS176" s="83"/>
      <c r="AT176" s="83"/>
      <c r="AU176" s="93"/>
      <c r="AV176" s="93"/>
      <c r="AW176" s="83"/>
      <c r="AX176" s="83"/>
      <c r="AY176" s="93"/>
      <c r="AZ176" s="93"/>
    </row>
    <row r="177" spans="1:52" x14ac:dyDescent="0.45">
      <c r="A177" s="571">
        <v>11</v>
      </c>
      <c r="B177" s="1383"/>
      <c r="C177" s="91" t="s">
        <v>335</v>
      </c>
      <c r="D177" s="115"/>
      <c r="E177" s="116" t="s">
        <v>336</v>
      </c>
      <c r="F177" s="130">
        <f t="shared" ref="F177:H187" si="38">I177+L177+O177+R177+U177</f>
        <v>22201605.559999999</v>
      </c>
      <c r="G177" s="130">
        <f t="shared" si="38"/>
        <v>31875055.409999996</v>
      </c>
      <c r="H177" s="131">
        <f t="shared" si="38"/>
        <v>22219560.57</v>
      </c>
      <c r="I177" s="217">
        <v>1116065</v>
      </c>
      <c r="J177" s="217">
        <v>1590923</v>
      </c>
      <c r="K177" s="217">
        <v>108876</v>
      </c>
      <c r="L177" s="218"/>
      <c r="M177" s="217"/>
      <c r="N177" s="217"/>
      <c r="O177" s="218">
        <v>10736227.380000001</v>
      </c>
      <c r="P177" s="217">
        <v>20154498.489999998</v>
      </c>
      <c r="Q177" s="217">
        <v>9133854.3499999996</v>
      </c>
      <c r="R177" s="218">
        <v>10013066.199999999</v>
      </c>
      <c r="S177" s="217">
        <v>9988926.7400000002</v>
      </c>
      <c r="T177" s="217">
        <v>12776897.890000001</v>
      </c>
      <c r="U177" s="218">
        <v>336246.98</v>
      </c>
      <c r="V177" s="217">
        <v>140707.18000000002</v>
      </c>
      <c r="W177" s="217">
        <v>199932.33000000002</v>
      </c>
      <c r="AA177" s="93"/>
      <c r="AB177" s="93"/>
      <c r="AC177" s="83"/>
      <c r="AD177" s="83"/>
      <c r="AE177" s="93"/>
      <c r="AF177" s="93"/>
      <c r="AG177" s="83"/>
      <c r="AH177" s="83"/>
      <c r="AI177" s="93"/>
      <c r="AJ177" s="93"/>
      <c r="AK177" s="1384" t="s">
        <v>337</v>
      </c>
      <c r="AL177" s="83"/>
      <c r="AM177" s="93"/>
      <c r="AN177" s="93"/>
      <c r="AO177" s="1384" t="s">
        <v>337</v>
      </c>
      <c r="AP177" s="83"/>
      <c r="AQ177" s="93"/>
      <c r="AR177" s="93"/>
      <c r="AS177" s="1384" t="s">
        <v>337</v>
      </c>
      <c r="AT177" s="83"/>
      <c r="AU177" s="93"/>
      <c r="AV177" s="93"/>
      <c r="AW177" s="1385" t="s">
        <v>338</v>
      </c>
      <c r="AX177" s="83"/>
      <c r="AY177" s="93"/>
      <c r="AZ177" s="93"/>
    </row>
    <row r="178" spans="1:52" x14ac:dyDescent="0.45">
      <c r="A178" s="571">
        <v>12</v>
      </c>
      <c r="B178" s="1383"/>
      <c r="C178" s="91" t="s">
        <v>339</v>
      </c>
      <c r="D178" s="115"/>
      <c r="E178" s="116" t="s">
        <v>340</v>
      </c>
      <c r="F178" s="130">
        <f t="shared" si="38"/>
        <v>6109634.9890155438</v>
      </c>
      <c r="G178" s="130">
        <f t="shared" si="38"/>
        <v>10590648.855097087</v>
      </c>
      <c r="H178" s="131">
        <f t="shared" si="38"/>
        <v>8474087.8213630393</v>
      </c>
      <c r="I178" s="217">
        <v>1986493.629015544</v>
      </c>
      <c r="J178" s="217">
        <v>1396462.4550970874</v>
      </c>
      <c r="K178" s="217">
        <v>1083923.9213630406</v>
      </c>
      <c r="L178" s="218"/>
      <c r="M178" s="217"/>
      <c r="N178" s="217"/>
      <c r="O178" s="218">
        <v>2180158.14</v>
      </c>
      <c r="P178" s="217">
        <v>1848232.59</v>
      </c>
      <c r="Q178" s="217">
        <v>1727582.3</v>
      </c>
      <c r="R178" s="218">
        <v>1942983.22</v>
      </c>
      <c r="S178" s="217">
        <v>7345953.8099999996</v>
      </c>
      <c r="T178" s="217">
        <v>5662581.5999999996</v>
      </c>
      <c r="U178" s="218">
        <v>0</v>
      </c>
      <c r="V178" s="217">
        <v>0</v>
      </c>
      <c r="W178" s="217">
        <v>0</v>
      </c>
      <c r="AA178" s="93"/>
      <c r="AB178" s="93"/>
      <c r="AC178" s="83"/>
      <c r="AD178" s="83"/>
      <c r="AE178" s="93"/>
      <c r="AF178" s="93"/>
      <c r="AG178" s="83"/>
      <c r="AH178" s="83"/>
      <c r="AI178" s="93"/>
      <c r="AJ178" s="93"/>
      <c r="AK178" s="1385"/>
      <c r="AL178" s="83"/>
      <c r="AM178" s="93"/>
      <c r="AN178" s="93"/>
      <c r="AO178" s="1385"/>
      <c r="AP178" s="83"/>
      <c r="AQ178" s="93"/>
      <c r="AR178" s="93"/>
      <c r="AS178" s="1385"/>
      <c r="AT178" s="83"/>
      <c r="AU178" s="93"/>
      <c r="AV178" s="93"/>
      <c r="AW178" s="1385"/>
      <c r="AX178" s="83"/>
      <c r="AY178" s="93"/>
      <c r="AZ178" s="93"/>
    </row>
    <row r="179" spans="1:52" x14ac:dyDescent="0.45">
      <c r="A179" s="571">
        <v>13</v>
      </c>
      <c r="B179" s="1383"/>
      <c r="C179" s="91" t="s">
        <v>341</v>
      </c>
      <c r="D179" s="115"/>
      <c r="E179" s="116" t="s">
        <v>342</v>
      </c>
      <c r="F179" s="130">
        <f t="shared" si="38"/>
        <v>52103485.890000001</v>
      </c>
      <c r="G179" s="130">
        <f t="shared" si="38"/>
        <v>44466162.890000001</v>
      </c>
      <c r="H179" s="131">
        <f t="shared" si="38"/>
        <v>57423842.950000003</v>
      </c>
      <c r="I179" s="217"/>
      <c r="J179" s="217"/>
      <c r="K179" s="217"/>
      <c r="L179" s="218"/>
      <c r="M179" s="217"/>
      <c r="N179" s="217"/>
      <c r="O179" s="218">
        <v>29786126.449999999</v>
      </c>
      <c r="P179" s="217">
        <v>21565237.469999999</v>
      </c>
      <c r="Q179" s="217">
        <v>27062400.5</v>
      </c>
      <c r="R179" s="218">
        <v>21457726.75</v>
      </c>
      <c r="S179" s="217">
        <v>22270178.579999998</v>
      </c>
      <c r="T179" s="217">
        <v>30060642.490000002</v>
      </c>
      <c r="U179" s="218">
        <v>859632.69000000006</v>
      </c>
      <c r="V179" s="217">
        <v>630746.84</v>
      </c>
      <c r="W179" s="217">
        <v>300799.96000000002</v>
      </c>
      <c r="AA179" s="93"/>
      <c r="AB179" s="93"/>
      <c r="AC179" s="83"/>
      <c r="AD179" s="83"/>
      <c r="AE179" s="93"/>
      <c r="AF179" s="93"/>
      <c r="AG179" s="83"/>
      <c r="AH179" s="83"/>
      <c r="AI179" s="93"/>
      <c r="AJ179" s="93"/>
      <c r="AK179" s="1385"/>
      <c r="AL179" s="83"/>
      <c r="AM179" s="93"/>
      <c r="AN179" s="93"/>
      <c r="AO179" s="1385"/>
      <c r="AP179" s="83"/>
      <c r="AQ179" s="93"/>
      <c r="AR179" s="93"/>
      <c r="AS179" s="1385"/>
      <c r="AT179" s="83"/>
      <c r="AU179" s="93"/>
      <c r="AV179" s="93"/>
      <c r="AW179" s="1385"/>
      <c r="AX179" s="83"/>
      <c r="AY179" s="93"/>
      <c r="AZ179" s="93"/>
    </row>
    <row r="180" spans="1:52" x14ac:dyDescent="0.45">
      <c r="A180" s="571">
        <v>14</v>
      </c>
      <c r="B180" s="1383"/>
      <c r="C180" s="91" t="s">
        <v>343</v>
      </c>
      <c r="D180" s="115"/>
      <c r="E180" s="116" t="s">
        <v>344</v>
      </c>
      <c r="F180" s="130">
        <f t="shared" si="38"/>
        <v>882482.78</v>
      </c>
      <c r="G180" s="130">
        <f t="shared" si="38"/>
        <v>0</v>
      </c>
      <c r="H180" s="131">
        <f t="shared" si="38"/>
        <v>0</v>
      </c>
      <c r="I180" s="217"/>
      <c r="J180" s="217"/>
      <c r="K180" s="217"/>
      <c r="L180" s="218"/>
      <c r="M180" s="217"/>
      <c r="N180" s="217"/>
      <c r="O180" s="218">
        <v>276698.82</v>
      </c>
      <c r="P180" s="217">
        <v>0</v>
      </c>
      <c r="Q180" s="217">
        <v>0</v>
      </c>
      <c r="R180" s="218">
        <v>605783.96</v>
      </c>
      <c r="S180" s="217">
        <v>0</v>
      </c>
      <c r="T180" s="217">
        <v>0</v>
      </c>
      <c r="U180" s="218">
        <v>0</v>
      </c>
      <c r="V180" s="217">
        <v>0</v>
      </c>
      <c r="W180" s="217">
        <v>0</v>
      </c>
      <c r="AA180" s="93"/>
      <c r="AB180" s="93"/>
      <c r="AC180" s="83"/>
      <c r="AD180" s="83"/>
      <c r="AE180" s="93"/>
      <c r="AF180" s="93"/>
      <c r="AG180" s="83"/>
      <c r="AH180" s="83"/>
      <c r="AI180" s="93"/>
      <c r="AJ180" s="93"/>
      <c r="AK180" s="1386"/>
      <c r="AL180" s="83"/>
      <c r="AM180" s="93"/>
      <c r="AN180" s="93"/>
      <c r="AO180" s="1386"/>
      <c r="AP180" s="83"/>
      <c r="AQ180" s="93"/>
      <c r="AR180" s="93"/>
      <c r="AS180" s="1386"/>
      <c r="AT180" s="83"/>
      <c r="AU180" s="93"/>
      <c r="AV180" s="93"/>
      <c r="AW180" s="1385"/>
      <c r="AX180" s="83"/>
      <c r="AY180" s="93"/>
      <c r="AZ180" s="93"/>
    </row>
    <row r="181" spans="1:52" x14ac:dyDescent="0.45">
      <c r="A181" s="571">
        <v>15</v>
      </c>
      <c r="B181" s="1383"/>
      <c r="C181" s="91" t="s">
        <v>345</v>
      </c>
      <c r="D181" s="115"/>
      <c r="E181" s="230" t="s">
        <v>346</v>
      </c>
      <c r="F181" s="130">
        <f t="shared" si="38"/>
        <v>2858990</v>
      </c>
      <c r="G181" s="130">
        <f t="shared" si="38"/>
        <v>3028121</v>
      </c>
      <c r="H181" s="131">
        <f t="shared" si="38"/>
        <v>1025150</v>
      </c>
      <c r="I181" s="217">
        <v>2858990</v>
      </c>
      <c r="J181" s="217">
        <v>3028121</v>
      </c>
      <c r="K181" s="217">
        <v>1025150</v>
      </c>
      <c r="L181" s="218"/>
      <c r="M181" s="217"/>
      <c r="N181" s="217"/>
      <c r="O181" s="218"/>
      <c r="P181" s="217"/>
      <c r="Q181" s="217"/>
      <c r="R181" s="218"/>
      <c r="S181" s="217"/>
      <c r="T181" s="217"/>
      <c r="U181" s="218"/>
      <c r="V181" s="217"/>
      <c r="W181" s="217"/>
      <c r="AA181" s="93"/>
      <c r="AB181" s="93"/>
      <c r="AC181" s="83"/>
      <c r="AD181" s="83"/>
      <c r="AE181" s="93"/>
      <c r="AF181" s="93"/>
      <c r="AG181" s="83"/>
      <c r="AH181" s="83"/>
      <c r="AI181" s="93"/>
      <c r="AJ181" s="93"/>
      <c r="AK181" s="83"/>
      <c r="AL181" s="83"/>
      <c r="AM181" s="93"/>
      <c r="AN181" s="93"/>
      <c r="AO181" s="83"/>
      <c r="AP181" s="83"/>
      <c r="AQ181" s="93"/>
      <c r="AR181" s="93"/>
      <c r="AS181" s="83"/>
      <c r="AT181" s="83"/>
      <c r="AU181" s="93"/>
      <c r="AV181" s="93"/>
      <c r="AW181" s="83"/>
      <c r="AX181" s="83"/>
      <c r="AY181" s="93"/>
      <c r="AZ181" s="93"/>
    </row>
    <row r="182" spans="1:52" x14ac:dyDescent="0.45">
      <c r="A182" s="571">
        <v>16</v>
      </c>
      <c r="B182" s="1383"/>
      <c r="C182" s="91" t="s">
        <v>347</v>
      </c>
      <c r="D182" s="115"/>
      <c r="E182" s="230"/>
      <c r="F182" s="130">
        <f t="shared" si="38"/>
        <v>0</v>
      </c>
      <c r="G182" s="130">
        <f t="shared" si="38"/>
        <v>0</v>
      </c>
      <c r="H182" s="131">
        <f t="shared" si="38"/>
        <v>0</v>
      </c>
      <c r="I182" s="217"/>
      <c r="J182" s="217"/>
      <c r="K182" s="217"/>
      <c r="L182" s="218"/>
      <c r="M182" s="217"/>
      <c r="N182" s="217"/>
      <c r="O182" s="218"/>
      <c r="P182" s="217"/>
      <c r="Q182" s="217"/>
      <c r="R182" s="218"/>
      <c r="S182" s="217"/>
      <c r="T182" s="217"/>
      <c r="U182" s="218"/>
      <c r="V182" s="217"/>
      <c r="W182" s="217"/>
      <c r="AA182" s="93"/>
      <c r="AB182" s="93"/>
      <c r="AC182" s="83"/>
      <c r="AD182" s="83"/>
      <c r="AE182" s="93"/>
      <c r="AF182" s="93"/>
      <c r="AG182" s="83"/>
      <c r="AH182" s="83"/>
      <c r="AI182" s="93"/>
      <c r="AJ182" s="93"/>
      <c r="AK182" s="83"/>
      <c r="AL182" s="83"/>
      <c r="AM182" s="93"/>
      <c r="AN182" s="93"/>
      <c r="AO182" s="83"/>
      <c r="AP182" s="83"/>
      <c r="AQ182" s="93"/>
      <c r="AR182" s="93"/>
      <c r="AS182" s="83"/>
      <c r="AT182" s="83"/>
      <c r="AU182" s="93"/>
      <c r="AV182" s="93"/>
      <c r="AW182" s="83"/>
      <c r="AX182" s="83"/>
      <c r="AY182" s="93"/>
      <c r="AZ182" s="93"/>
    </row>
    <row r="183" spans="1:52" x14ac:dyDescent="0.45">
      <c r="A183" s="571">
        <v>17</v>
      </c>
      <c r="B183" s="1383"/>
      <c r="C183" s="91" t="s">
        <v>348</v>
      </c>
      <c r="D183" s="115"/>
      <c r="E183" s="230"/>
      <c r="F183" s="130">
        <f t="shared" si="38"/>
        <v>0</v>
      </c>
      <c r="G183" s="130">
        <f t="shared" si="38"/>
        <v>0</v>
      </c>
      <c r="H183" s="131">
        <f t="shared" si="38"/>
        <v>0</v>
      </c>
      <c r="I183" s="217"/>
      <c r="J183" s="217"/>
      <c r="K183" s="217"/>
      <c r="L183" s="218"/>
      <c r="M183" s="217"/>
      <c r="N183" s="217"/>
      <c r="O183" s="218"/>
      <c r="P183" s="217"/>
      <c r="Q183" s="217"/>
      <c r="R183" s="218"/>
      <c r="S183" s="217"/>
      <c r="T183" s="217"/>
      <c r="U183" s="218"/>
      <c r="V183" s="217"/>
      <c r="W183" s="217"/>
      <c r="AA183" s="93"/>
      <c r="AB183" s="93"/>
      <c r="AC183" s="83"/>
      <c r="AD183" s="83"/>
      <c r="AE183" s="93"/>
      <c r="AF183" s="93"/>
      <c r="AG183" s="83"/>
      <c r="AH183" s="83"/>
      <c r="AI183" s="93"/>
      <c r="AJ183" s="93"/>
      <c r="AK183" s="83"/>
      <c r="AL183" s="83"/>
      <c r="AM183" s="93"/>
      <c r="AN183" s="93"/>
      <c r="AO183" s="83"/>
      <c r="AP183" s="83"/>
      <c r="AQ183" s="93"/>
      <c r="AR183" s="93"/>
      <c r="AS183" s="83"/>
      <c r="AT183" s="83"/>
      <c r="AU183" s="93"/>
      <c r="AV183" s="93"/>
      <c r="AW183" s="83"/>
      <c r="AX183" s="83"/>
      <c r="AY183" s="93"/>
      <c r="AZ183" s="93"/>
    </row>
    <row r="184" spans="1:52" x14ac:dyDescent="0.45">
      <c r="A184" s="571">
        <v>18</v>
      </c>
      <c r="B184" s="1383"/>
      <c r="C184" s="91" t="s">
        <v>349</v>
      </c>
      <c r="D184" s="115"/>
      <c r="E184" s="230"/>
      <c r="F184" s="130">
        <f t="shared" si="38"/>
        <v>0</v>
      </c>
      <c r="G184" s="130">
        <f t="shared" si="38"/>
        <v>0</v>
      </c>
      <c r="H184" s="131">
        <f t="shared" si="38"/>
        <v>0</v>
      </c>
      <c r="I184" s="217"/>
      <c r="J184" s="217"/>
      <c r="K184" s="217"/>
      <c r="L184" s="218"/>
      <c r="M184" s="217"/>
      <c r="N184" s="217"/>
      <c r="O184" s="218"/>
      <c r="P184" s="217"/>
      <c r="Q184" s="217"/>
      <c r="R184" s="218"/>
      <c r="S184" s="217"/>
      <c r="T184" s="217"/>
      <c r="U184" s="218"/>
      <c r="V184" s="217"/>
      <c r="W184" s="217"/>
      <c r="AA184" s="93"/>
      <c r="AB184" s="93"/>
      <c r="AC184" s="83"/>
      <c r="AD184" s="83"/>
      <c r="AE184" s="93"/>
      <c r="AF184" s="93"/>
      <c r="AG184" s="83"/>
      <c r="AH184" s="83"/>
      <c r="AI184" s="93"/>
      <c r="AJ184" s="93"/>
      <c r="AK184" s="83"/>
      <c r="AL184" s="83"/>
      <c r="AM184" s="93"/>
      <c r="AN184" s="93"/>
      <c r="AO184" s="83"/>
      <c r="AP184" s="83"/>
      <c r="AQ184" s="93"/>
      <c r="AR184" s="93"/>
      <c r="AS184" s="83"/>
      <c r="AT184" s="83"/>
      <c r="AU184" s="93"/>
      <c r="AV184" s="93"/>
      <c r="AW184" s="83"/>
      <c r="AX184" s="83"/>
      <c r="AY184" s="93"/>
      <c r="AZ184" s="93"/>
    </row>
    <row r="185" spans="1:52" x14ac:dyDescent="0.45">
      <c r="A185" s="571">
        <v>19</v>
      </c>
      <c r="B185" s="1383"/>
      <c r="C185" s="91" t="s">
        <v>350</v>
      </c>
      <c r="D185" s="115"/>
      <c r="E185" s="230"/>
      <c r="F185" s="130">
        <f t="shared" si="38"/>
        <v>0</v>
      </c>
      <c r="G185" s="130">
        <f t="shared" si="38"/>
        <v>0</v>
      </c>
      <c r="H185" s="131">
        <f t="shared" si="38"/>
        <v>0</v>
      </c>
      <c r="I185" s="217"/>
      <c r="J185" s="217"/>
      <c r="K185" s="217"/>
      <c r="L185" s="218"/>
      <c r="M185" s="217"/>
      <c r="N185" s="217"/>
      <c r="O185" s="218"/>
      <c r="P185" s="217"/>
      <c r="Q185" s="217"/>
      <c r="R185" s="218"/>
      <c r="S185" s="217"/>
      <c r="T185" s="217"/>
      <c r="U185" s="218"/>
      <c r="V185" s="217"/>
      <c r="W185" s="217"/>
      <c r="AA185" s="93"/>
      <c r="AB185" s="93"/>
      <c r="AC185" s="83"/>
      <c r="AD185" s="83"/>
      <c r="AE185" s="93"/>
      <c r="AF185" s="93"/>
      <c r="AG185" s="83"/>
      <c r="AH185" s="83"/>
      <c r="AI185" s="93"/>
      <c r="AJ185" s="93"/>
      <c r="AK185" s="83"/>
      <c r="AL185" s="83"/>
      <c r="AM185" s="93"/>
      <c r="AN185" s="93"/>
      <c r="AO185" s="83"/>
      <c r="AP185" s="83"/>
      <c r="AQ185" s="93"/>
      <c r="AR185" s="93"/>
      <c r="AS185" s="83"/>
      <c r="AT185" s="83"/>
      <c r="AU185" s="93"/>
      <c r="AV185" s="93"/>
      <c r="AW185" s="83"/>
      <c r="AX185" s="83"/>
      <c r="AY185" s="93"/>
      <c r="AZ185" s="93"/>
    </row>
    <row r="186" spans="1:52" x14ac:dyDescent="0.45">
      <c r="A186" s="571">
        <v>20</v>
      </c>
      <c r="B186" s="1383"/>
      <c r="C186" s="91" t="s">
        <v>351</v>
      </c>
      <c r="D186" s="115"/>
      <c r="E186" s="230"/>
      <c r="F186" s="130">
        <f t="shared" si="38"/>
        <v>0</v>
      </c>
      <c r="G186" s="130">
        <f t="shared" si="38"/>
        <v>0</v>
      </c>
      <c r="H186" s="131">
        <f t="shared" si="38"/>
        <v>0</v>
      </c>
      <c r="I186" s="217"/>
      <c r="J186" s="217"/>
      <c r="K186" s="217"/>
      <c r="L186" s="218"/>
      <c r="M186" s="217"/>
      <c r="N186" s="217"/>
      <c r="O186" s="218"/>
      <c r="P186" s="217"/>
      <c r="Q186" s="217"/>
      <c r="R186" s="218"/>
      <c r="S186" s="217"/>
      <c r="T186" s="217"/>
      <c r="U186" s="218"/>
      <c r="V186" s="217"/>
      <c r="W186" s="217"/>
      <c r="AA186" s="93"/>
      <c r="AB186" s="93"/>
      <c r="AC186" s="83"/>
      <c r="AD186" s="83"/>
      <c r="AE186" s="93"/>
      <c r="AF186" s="93"/>
      <c r="AG186" s="83"/>
      <c r="AH186" s="83"/>
      <c r="AI186" s="93"/>
      <c r="AJ186" s="93"/>
      <c r="AK186" s="83"/>
      <c r="AL186" s="83"/>
      <c r="AM186" s="93"/>
      <c r="AN186" s="93"/>
      <c r="AO186" s="83"/>
      <c r="AP186" s="83"/>
      <c r="AQ186" s="93"/>
      <c r="AR186" s="93"/>
      <c r="AS186" s="83"/>
      <c r="AT186" s="83"/>
      <c r="AU186" s="93"/>
      <c r="AV186" s="93"/>
      <c r="AW186" s="83"/>
      <c r="AX186" s="83"/>
      <c r="AY186" s="93"/>
      <c r="AZ186" s="93"/>
    </row>
    <row r="187" spans="1:52" ht="18" customHeight="1" x14ac:dyDescent="0.45">
      <c r="A187" s="571">
        <v>21</v>
      </c>
      <c r="B187" s="1383"/>
      <c r="C187" s="91" t="s">
        <v>352</v>
      </c>
      <c r="D187" s="231" t="s">
        <v>353</v>
      </c>
      <c r="E187" s="232" t="s">
        <v>354</v>
      </c>
      <c r="F187" s="130">
        <f t="shared" si="38"/>
        <v>4419763.7609844562</v>
      </c>
      <c r="G187" s="130">
        <f t="shared" si="38"/>
        <v>5086874.4349029129</v>
      </c>
      <c r="H187" s="131">
        <f t="shared" si="38"/>
        <v>8884430.9686369598</v>
      </c>
      <c r="I187" s="217">
        <f>9680312.39-SUM(I177:I186)</f>
        <v>3718763.7609844562</v>
      </c>
      <c r="J187" s="217">
        <f>10401380.89-SUM(J177:J186)</f>
        <v>4385874.4349029129</v>
      </c>
      <c r="K187" s="233">
        <f>10401380.89-SUM(K177:K186)</f>
        <v>8183430.9686369598</v>
      </c>
      <c r="L187" s="218">
        <v>701000</v>
      </c>
      <c r="M187" s="234">
        <v>701000</v>
      </c>
      <c r="N187" s="233">
        <f>M187</f>
        <v>701000</v>
      </c>
      <c r="O187" s="218">
        <f>42979210.79*0</f>
        <v>0</v>
      </c>
      <c r="P187" s="217">
        <f>43567968.55*0</f>
        <v>0</v>
      </c>
      <c r="Q187" s="217">
        <f>37923837.15*0</f>
        <v>0</v>
      </c>
      <c r="R187" s="218">
        <f>34019560.13*0</f>
        <v>0</v>
      </c>
      <c r="S187" s="217">
        <f>39605059.13*0</f>
        <v>0</v>
      </c>
      <c r="T187" s="217">
        <f>48500121.98*0</f>
        <v>0</v>
      </c>
      <c r="U187" s="218">
        <f>1195879.67*0</f>
        <v>0</v>
      </c>
      <c r="V187" s="217">
        <f>771454.02*0</f>
        <v>0</v>
      </c>
      <c r="W187" s="217">
        <f>500732.39*0</f>
        <v>0</v>
      </c>
      <c r="AA187" s="93"/>
      <c r="AB187" s="93"/>
      <c r="AC187" s="83" t="s">
        <v>355</v>
      </c>
      <c r="AD187" s="83"/>
      <c r="AE187" s="93"/>
      <c r="AF187" s="93"/>
      <c r="AG187" s="83" t="s">
        <v>355</v>
      </c>
      <c r="AH187" s="83"/>
      <c r="AI187" s="93"/>
      <c r="AJ187" s="93"/>
      <c r="AK187" s="83" t="s">
        <v>356</v>
      </c>
      <c r="AL187" s="83"/>
      <c r="AM187" s="93"/>
      <c r="AN187" s="93"/>
      <c r="AO187" s="83" t="s">
        <v>356</v>
      </c>
      <c r="AP187" s="83"/>
      <c r="AQ187" s="93"/>
      <c r="AR187" s="93"/>
      <c r="AS187" s="83" t="s">
        <v>356</v>
      </c>
      <c r="AT187" s="83"/>
      <c r="AU187" s="93"/>
      <c r="AV187" s="93"/>
      <c r="AW187" s="83" t="s">
        <v>356</v>
      </c>
      <c r="AX187" s="83"/>
      <c r="AY187" s="93"/>
      <c r="AZ187" s="93"/>
    </row>
    <row r="188" spans="1:52" x14ac:dyDescent="0.45">
      <c r="A188" s="571">
        <v>22</v>
      </c>
      <c r="B188" s="1383"/>
      <c r="C188" s="91" t="s">
        <v>357</v>
      </c>
      <c r="D188" s="115"/>
      <c r="E188" s="235" t="s">
        <v>358</v>
      </c>
      <c r="F188" s="89"/>
      <c r="G188" s="89"/>
      <c r="H188" s="23"/>
      <c r="I188" s="236"/>
      <c r="J188" s="237"/>
      <c r="K188" s="238"/>
      <c r="L188" s="237"/>
      <c r="M188" s="237"/>
      <c r="N188" s="238"/>
      <c r="O188" s="237"/>
      <c r="P188" s="237"/>
      <c r="Q188" s="238"/>
      <c r="R188" s="237"/>
      <c r="S188" s="237"/>
      <c r="T188" s="238"/>
      <c r="U188" s="237"/>
      <c r="V188" s="237"/>
      <c r="W188" s="238"/>
      <c r="AA188" s="93"/>
      <c r="AB188" s="93"/>
      <c r="AC188" s="83"/>
      <c r="AD188" s="83"/>
      <c r="AE188" s="93"/>
      <c r="AF188" s="93"/>
      <c r="AG188" s="83"/>
      <c r="AH188" s="83"/>
      <c r="AI188" s="93"/>
      <c r="AJ188" s="93"/>
      <c r="AK188" s="83"/>
      <c r="AL188" s="83"/>
      <c r="AM188" s="93"/>
      <c r="AN188" s="93"/>
      <c r="AO188" s="83"/>
      <c r="AP188" s="83"/>
      <c r="AQ188" s="93"/>
      <c r="AR188" s="93"/>
      <c r="AS188" s="83"/>
      <c r="AT188" s="83"/>
      <c r="AU188" s="93"/>
      <c r="AV188" s="93"/>
      <c r="AW188" s="83"/>
      <c r="AX188" s="83"/>
      <c r="AY188" s="93"/>
      <c r="AZ188" s="93"/>
    </row>
    <row r="189" spans="1:52" ht="16.5" customHeight="1" x14ac:dyDescent="0.45">
      <c r="A189" s="571">
        <v>23</v>
      </c>
      <c r="B189" s="1383"/>
      <c r="C189" s="91" t="s">
        <v>359</v>
      </c>
      <c r="D189" s="115"/>
      <c r="E189" s="15" t="s">
        <v>360</v>
      </c>
      <c r="F189" s="130">
        <f t="shared" ref="F189:H194" si="39">I189+L189+O189+R189+U189</f>
        <v>37910921.333333336</v>
      </c>
      <c r="G189" s="130">
        <f t="shared" si="39"/>
        <v>41569180.733333334</v>
      </c>
      <c r="H189" s="131">
        <f t="shared" si="39"/>
        <v>45187736.799999997</v>
      </c>
      <c r="I189" s="217">
        <v>661237</v>
      </c>
      <c r="J189" s="217">
        <v>725043.85</v>
      </c>
      <c r="K189" s="217">
        <v>788158.2</v>
      </c>
      <c r="L189" s="217">
        <v>352659.73333333334</v>
      </c>
      <c r="M189" s="217">
        <v>386690.05333333334</v>
      </c>
      <c r="N189" s="217">
        <v>420351.04</v>
      </c>
      <c r="O189" s="217">
        <v>12445949.755555555</v>
      </c>
      <c r="P189" s="217">
        <v>13646936.465555556</v>
      </c>
      <c r="Q189" s="217">
        <v>14834888.786666667</v>
      </c>
      <c r="R189" s="217">
        <v>18830560.344444446</v>
      </c>
      <c r="S189" s="217">
        <v>20647637.639444444</v>
      </c>
      <c r="T189" s="217">
        <v>22444994.07333333</v>
      </c>
      <c r="U189" s="217">
        <v>5620514.5</v>
      </c>
      <c r="V189" s="217">
        <v>6162872.7249999996</v>
      </c>
      <c r="W189" s="217">
        <v>6699344.6999999993</v>
      </c>
      <c r="AA189" s="93"/>
      <c r="AB189" s="93"/>
      <c r="AC189" s="83"/>
      <c r="AD189" s="119" t="s">
        <v>361</v>
      </c>
      <c r="AE189" s="93"/>
      <c r="AF189" s="93"/>
      <c r="AG189" s="119" t="s">
        <v>362</v>
      </c>
      <c r="AH189" s="119" t="s">
        <v>363</v>
      </c>
      <c r="AI189" s="93"/>
      <c r="AJ189" s="93"/>
      <c r="AK189" s="83"/>
      <c r="AL189" s="119" t="s">
        <v>363</v>
      </c>
      <c r="AM189" s="93"/>
      <c r="AN189" s="93"/>
      <c r="AO189" s="83"/>
      <c r="AP189" s="119" t="s">
        <v>363</v>
      </c>
      <c r="AQ189" s="93"/>
      <c r="AR189" s="93"/>
      <c r="AS189" s="83"/>
      <c r="AT189" s="119" t="s">
        <v>363</v>
      </c>
      <c r="AU189" s="93"/>
      <c r="AV189" s="93"/>
      <c r="AW189" s="83"/>
      <c r="AX189" s="83"/>
      <c r="AY189" s="93"/>
      <c r="AZ189" s="93"/>
    </row>
    <row r="190" spans="1:52" x14ac:dyDescent="0.45">
      <c r="A190" s="571">
        <v>24</v>
      </c>
      <c r="B190" s="1383"/>
      <c r="C190" s="91" t="s">
        <v>364</v>
      </c>
      <c r="D190" s="115"/>
      <c r="E190" s="15" t="s">
        <v>365</v>
      </c>
      <c r="F190" s="130">
        <f t="shared" si="39"/>
        <v>0</v>
      </c>
      <c r="G190" s="130">
        <f t="shared" si="39"/>
        <v>0</v>
      </c>
      <c r="H190" s="131">
        <f t="shared" si="39"/>
        <v>0</v>
      </c>
      <c r="I190" s="217"/>
      <c r="J190" s="217"/>
      <c r="K190" s="217"/>
      <c r="L190" s="218"/>
      <c r="M190" s="217"/>
      <c r="N190" s="217"/>
      <c r="O190" s="218"/>
      <c r="P190" s="217"/>
      <c r="Q190" s="217"/>
      <c r="R190" s="218"/>
      <c r="S190" s="217"/>
      <c r="T190" s="217"/>
      <c r="U190" s="218"/>
      <c r="V190" s="217"/>
      <c r="W190" s="217"/>
      <c r="AA190" s="93"/>
      <c r="AB190" s="93"/>
      <c r="AC190" s="83"/>
      <c r="AD190" s="83"/>
      <c r="AE190" s="93"/>
      <c r="AF190" s="93"/>
      <c r="AG190" s="83"/>
      <c r="AH190" s="83"/>
      <c r="AI190" s="93"/>
      <c r="AJ190" s="93"/>
      <c r="AK190" s="83"/>
      <c r="AL190" s="83"/>
      <c r="AM190" s="93"/>
      <c r="AN190" s="93"/>
      <c r="AO190" s="83"/>
      <c r="AP190" s="83"/>
      <c r="AQ190" s="93"/>
      <c r="AR190" s="93"/>
      <c r="AS190" s="83"/>
      <c r="AT190" s="83"/>
      <c r="AU190" s="93"/>
      <c r="AV190" s="93"/>
      <c r="AW190" s="83"/>
      <c r="AX190" s="83"/>
      <c r="AY190" s="93"/>
      <c r="AZ190" s="93"/>
    </row>
    <row r="191" spans="1:52" x14ac:dyDescent="0.45">
      <c r="A191" s="571">
        <v>25</v>
      </c>
      <c r="B191" s="1383"/>
      <c r="C191" s="91" t="s">
        <v>366</v>
      </c>
      <c r="D191" s="115"/>
      <c r="E191" s="230"/>
      <c r="F191" s="130">
        <f t="shared" si="39"/>
        <v>0</v>
      </c>
      <c r="G191" s="130">
        <f t="shared" si="39"/>
        <v>0</v>
      </c>
      <c r="H191" s="131">
        <f t="shared" si="39"/>
        <v>0</v>
      </c>
      <c r="I191" s="217"/>
      <c r="J191" s="217"/>
      <c r="K191" s="217"/>
      <c r="L191" s="218"/>
      <c r="M191" s="217"/>
      <c r="N191" s="217"/>
      <c r="O191" s="218"/>
      <c r="P191" s="217"/>
      <c r="Q191" s="217"/>
      <c r="R191" s="218"/>
      <c r="S191" s="217"/>
      <c r="T191" s="217"/>
      <c r="U191" s="218"/>
      <c r="V191" s="217"/>
      <c r="W191" s="217"/>
      <c r="AA191" s="93"/>
      <c r="AB191" s="93"/>
      <c r="AC191" s="83"/>
      <c r="AD191" s="83"/>
      <c r="AE191" s="93"/>
      <c r="AF191" s="93"/>
      <c r="AG191" s="83"/>
      <c r="AH191" s="83"/>
      <c r="AI191" s="93"/>
      <c r="AJ191" s="93"/>
      <c r="AK191" s="83"/>
      <c r="AL191" s="83"/>
      <c r="AM191" s="93"/>
      <c r="AN191" s="93"/>
      <c r="AO191" s="83"/>
      <c r="AP191" s="83"/>
      <c r="AQ191" s="93"/>
      <c r="AR191" s="93"/>
      <c r="AS191" s="83"/>
      <c r="AT191" s="83"/>
      <c r="AU191" s="93"/>
      <c r="AV191" s="93"/>
      <c r="AW191" s="83"/>
      <c r="AX191" s="83"/>
      <c r="AY191" s="93"/>
      <c r="AZ191" s="93"/>
    </row>
    <row r="192" spans="1:52" x14ac:dyDescent="0.45">
      <c r="A192" s="571">
        <v>26</v>
      </c>
      <c r="B192" s="1383"/>
      <c r="C192" s="91" t="s">
        <v>367</v>
      </c>
      <c r="D192" s="115"/>
      <c r="E192" s="230"/>
      <c r="F192" s="130">
        <f t="shared" si="39"/>
        <v>0</v>
      </c>
      <c r="G192" s="130">
        <f t="shared" si="39"/>
        <v>0</v>
      </c>
      <c r="H192" s="131">
        <f t="shared" si="39"/>
        <v>0</v>
      </c>
      <c r="I192" s="217"/>
      <c r="J192" s="217"/>
      <c r="K192" s="217"/>
      <c r="L192" s="218"/>
      <c r="M192" s="217"/>
      <c r="N192" s="217"/>
      <c r="O192" s="218"/>
      <c r="P192" s="217"/>
      <c r="Q192" s="217"/>
      <c r="R192" s="218"/>
      <c r="S192" s="217"/>
      <c r="T192" s="217"/>
      <c r="U192" s="218"/>
      <c r="V192" s="217"/>
      <c r="W192" s="217"/>
      <c r="AA192" s="93"/>
      <c r="AB192" s="93"/>
      <c r="AC192" s="83"/>
      <c r="AD192" s="83"/>
      <c r="AE192" s="93"/>
      <c r="AF192" s="93"/>
      <c r="AG192" s="83"/>
      <c r="AH192" s="83"/>
      <c r="AI192" s="93"/>
      <c r="AJ192" s="93"/>
      <c r="AK192" s="83"/>
      <c r="AL192" s="83"/>
      <c r="AM192" s="93"/>
      <c r="AN192" s="93"/>
      <c r="AO192" s="83"/>
      <c r="AP192" s="83"/>
      <c r="AQ192" s="93"/>
      <c r="AR192" s="93"/>
      <c r="AS192" s="83"/>
      <c r="AT192" s="83"/>
      <c r="AU192" s="93"/>
      <c r="AV192" s="93"/>
      <c r="AW192" s="83"/>
      <c r="AX192" s="83"/>
      <c r="AY192" s="93"/>
      <c r="AZ192" s="93"/>
    </row>
    <row r="193" spans="1:52" x14ac:dyDescent="0.45">
      <c r="A193" s="571">
        <v>27</v>
      </c>
      <c r="B193" s="1383"/>
      <c r="C193" s="91" t="s">
        <v>368</v>
      </c>
      <c r="D193" s="115"/>
      <c r="E193" s="12" t="s">
        <v>369</v>
      </c>
      <c r="F193" s="130">
        <f t="shared" si="39"/>
        <v>126486884.31333335</v>
      </c>
      <c r="G193" s="130">
        <f t="shared" si="39"/>
        <v>136616043.32333332</v>
      </c>
      <c r="H193" s="131">
        <f t="shared" si="39"/>
        <v>143214809.11000001</v>
      </c>
      <c r="I193" s="236">
        <f t="shared" ref="I193:V193" si="40">SUM(I177:I187,I189:I192)</f>
        <v>10341549.390000001</v>
      </c>
      <c r="J193" s="237">
        <f t="shared" si="40"/>
        <v>11126424.74</v>
      </c>
      <c r="K193" s="238">
        <f t="shared" si="40"/>
        <v>11189539.09</v>
      </c>
      <c r="L193" s="237">
        <f t="shared" si="40"/>
        <v>1053659.7333333334</v>
      </c>
      <c r="M193" s="237">
        <f t="shared" si="40"/>
        <v>1087690.0533333332</v>
      </c>
      <c r="N193" s="238">
        <f t="shared" si="40"/>
        <v>1121351.04</v>
      </c>
      <c r="O193" s="237">
        <f t="shared" si="40"/>
        <v>55425160.545555554</v>
      </c>
      <c r="P193" s="237">
        <f t="shared" si="40"/>
        <v>57214905.015555553</v>
      </c>
      <c r="Q193" s="238">
        <f t="shared" si="40"/>
        <v>52758725.936666667</v>
      </c>
      <c r="R193" s="237">
        <f t="shared" si="40"/>
        <v>52850120.474444449</v>
      </c>
      <c r="S193" s="237">
        <f t="shared" si="40"/>
        <v>60252696.769444436</v>
      </c>
      <c r="T193" s="238">
        <f t="shared" si="40"/>
        <v>70945116.053333342</v>
      </c>
      <c r="U193" s="237">
        <f t="shared" si="40"/>
        <v>6816394.1699999999</v>
      </c>
      <c r="V193" s="237">
        <f t="shared" si="40"/>
        <v>6934326.7449999992</v>
      </c>
      <c r="W193" s="238">
        <f>SUM(W177:W187,W189:W192)</f>
        <v>7200076.9899999993</v>
      </c>
      <c r="AA193" s="93"/>
      <c r="AB193" s="93"/>
      <c r="AC193" s="83"/>
      <c r="AD193" s="83"/>
      <c r="AE193" s="93"/>
      <c r="AF193" s="93"/>
      <c r="AG193" s="83"/>
      <c r="AH193" s="83"/>
      <c r="AI193" s="93"/>
      <c r="AJ193" s="93"/>
      <c r="AK193" s="83"/>
      <c r="AL193" s="83"/>
      <c r="AM193" s="93"/>
      <c r="AN193" s="93"/>
      <c r="AO193" s="83"/>
      <c r="AP193" s="83"/>
      <c r="AQ193" s="93"/>
      <c r="AR193" s="93"/>
      <c r="AS193" s="83"/>
      <c r="AT193" s="83"/>
      <c r="AU193" s="93"/>
      <c r="AV193" s="93"/>
      <c r="AW193" s="83"/>
      <c r="AX193" s="83"/>
      <c r="AY193" s="93"/>
      <c r="AZ193" s="93"/>
    </row>
    <row r="194" spans="1:52" ht="14.65" thickBot="1" x14ac:dyDescent="0.5">
      <c r="A194" s="571">
        <v>28</v>
      </c>
      <c r="B194" s="1383"/>
      <c r="C194" s="91" t="s">
        <v>370</v>
      </c>
      <c r="D194" s="115"/>
      <c r="E194" s="239" t="s">
        <v>371</v>
      </c>
      <c r="F194" s="130">
        <f t="shared" si="39"/>
        <v>-94704498.463333338</v>
      </c>
      <c r="G194" s="130">
        <f t="shared" si="39"/>
        <v>-102268353.08333331</v>
      </c>
      <c r="H194" s="131">
        <f t="shared" si="39"/>
        <v>-117541328.11</v>
      </c>
      <c r="I194" s="240">
        <f t="shared" ref="I194:W194" si="41">I174-I193</f>
        <v>-3808304.4700000007</v>
      </c>
      <c r="J194" s="241">
        <f t="shared" si="41"/>
        <v>-8985324.2599999998</v>
      </c>
      <c r="K194" s="242">
        <f t="shared" si="41"/>
        <v>-10101768.09</v>
      </c>
      <c r="L194" s="241">
        <f t="shared" si="41"/>
        <v>-882416.83333333337</v>
      </c>
      <c r="M194" s="241">
        <f t="shared" si="41"/>
        <v>-948658.85333333327</v>
      </c>
      <c r="N194" s="242">
        <f t="shared" si="41"/>
        <v>-1121226.04</v>
      </c>
      <c r="O194" s="241">
        <f t="shared" si="41"/>
        <v>-53443254.235555552</v>
      </c>
      <c r="P194" s="241">
        <f t="shared" si="41"/>
        <v>-54363293.525555551</v>
      </c>
      <c r="Q194" s="242">
        <f t="shared" si="41"/>
        <v>-50379840.936666667</v>
      </c>
      <c r="R194" s="241">
        <f t="shared" si="41"/>
        <v>-40800320.07444445</v>
      </c>
      <c r="S194" s="241">
        <f t="shared" si="41"/>
        <v>-44345383.269444436</v>
      </c>
      <c r="T194" s="242">
        <f t="shared" si="41"/>
        <v>-60003642.053333342</v>
      </c>
      <c r="U194" s="241">
        <f t="shared" si="41"/>
        <v>4229797.1500000004</v>
      </c>
      <c r="V194" s="241">
        <f t="shared" si="41"/>
        <v>6374306.8250000011</v>
      </c>
      <c r="W194" s="242">
        <f t="shared" si="41"/>
        <v>4065149.0100000007</v>
      </c>
      <c r="AA194" s="93"/>
      <c r="AB194" s="93"/>
      <c r="AC194" s="83"/>
      <c r="AD194" s="83"/>
      <c r="AE194" s="93"/>
      <c r="AF194" s="93"/>
      <c r="AG194" s="83"/>
      <c r="AH194" s="83"/>
      <c r="AI194" s="93"/>
      <c r="AJ194" s="93"/>
      <c r="AK194" s="83"/>
      <c r="AL194" s="83"/>
      <c r="AM194" s="93"/>
      <c r="AN194" s="93"/>
      <c r="AO194" s="83"/>
      <c r="AP194" s="83"/>
      <c r="AQ194" s="93"/>
      <c r="AR194" s="93"/>
      <c r="AS194" s="83"/>
      <c r="AT194" s="83"/>
      <c r="AU194" s="93"/>
      <c r="AV194" s="93"/>
      <c r="AW194" s="83"/>
      <c r="AX194" s="83"/>
      <c r="AY194" s="93"/>
      <c r="AZ194" s="93"/>
    </row>
    <row r="195" spans="1:52" ht="14.65" thickTop="1" x14ac:dyDescent="0.45">
      <c r="A195" s="571">
        <v>29</v>
      </c>
      <c r="B195" s="1383"/>
      <c r="C195" s="91" t="s">
        <v>372</v>
      </c>
      <c r="D195" s="115"/>
      <c r="E195" s="91"/>
      <c r="F195" s="106">
        <f>F189/5160</f>
        <v>7347.0777777777785</v>
      </c>
      <c r="G195" s="106">
        <f>G189/5160</f>
        <v>8056.0427777777777</v>
      </c>
      <c r="H195" s="107">
        <f>H189/5160</f>
        <v>8757.3133333333335</v>
      </c>
      <c r="I195" s="91"/>
      <c r="J195" s="92"/>
      <c r="K195" s="243"/>
      <c r="L195" s="92"/>
      <c r="M195" s="92"/>
      <c r="N195" s="31"/>
      <c r="O195" s="92"/>
      <c r="P195" s="92"/>
      <c r="Q195" s="31"/>
      <c r="R195" s="92"/>
      <c r="S195" s="92"/>
      <c r="T195" s="31"/>
      <c r="U195" s="92"/>
      <c r="V195" s="92"/>
      <c r="W195" s="31"/>
      <c r="AA195" s="93"/>
      <c r="AB195" s="93"/>
      <c r="AC195" s="83"/>
      <c r="AD195" s="83"/>
      <c r="AE195" s="93"/>
      <c r="AF195" s="93"/>
      <c r="AG195" s="83"/>
      <c r="AH195" s="83"/>
      <c r="AI195" s="93"/>
      <c r="AJ195" s="93"/>
      <c r="AK195" s="83"/>
      <c r="AL195" s="83"/>
      <c r="AM195" s="93"/>
      <c r="AN195" s="93"/>
      <c r="AO195" s="83"/>
      <c r="AP195" s="83"/>
      <c r="AQ195" s="93"/>
      <c r="AR195" s="93"/>
      <c r="AS195" s="83"/>
      <c r="AT195" s="83"/>
      <c r="AU195" s="93"/>
      <c r="AV195" s="93"/>
      <c r="AW195" s="83"/>
      <c r="AX195" s="83"/>
      <c r="AY195" s="93"/>
      <c r="AZ195" s="93"/>
    </row>
    <row r="196" spans="1:52" x14ac:dyDescent="0.45">
      <c r="A196" s="571">
        <v>30</v>
      </c>
      <c r="B196" s="1383"/>
      <c r="C196" s="91" t="s">
        <v>373</v>
      </c>
      <c r="D196" s="115"/>
      <c r="E196" s="11" t="s">
        <v>374</v>
      </c>
      <c r="F196" s="89"/>
      <c r="G196" s="89"/>
      <c r="H196" s="23"/>
      <c r="I196" s="91"/>
      <c r="J196" s="92"/>
      <c r="K196" s="31"/>
      <c r="L196" s="92"/>
      <c r="M196" s="92"/>
      <c r="N196" s="31"/>
      <c r="O196" s="92"/>
      <c r="P196" s="92"/>
      <c r="Q196" s="31"/>
      <c r="R196" s="92"/>
      <c r="S196" s="92"/>
      <c r="T196" s="31"/>
      <c r="U196" s="92"/>
      <c r="V196" s="92"/>
      <c r="W196" s="31"/>
      <c r="AA196" s="93"/>
      <c r="AB196" s="93"/>
      <c r="AC196" s="83"/>
      <c r="AD196" s="83"/>
      <c r="AE196" s="93"/>
      <c r="AF196" s="93"/>
      <c r="AG196" s="83"/>
      <c r="AH196" s="83"/>
      <c r="AI196" s="93"/>
      <c r="AJ196" s="93"/>
      <c r="AK196" s="83"/>
      <c r="AL196" s="83"/>
      <c r="AM196" s="93"/>
      <c r="AN196" s="93"/>
      <c r="AO196" s="83"/>
      <c r="AP196" s="83"/>
      <c r="AQ196" s="93"/>
      <c r="AR196" s="93"/>
      <c r="AS196" s="83"/>
      <c r="AT196" s="83"/>
      <c r="AU196" s="93"/>
      <c r="AV196" s="93"/>
      <c r="AW196" s="83"/>
      <c r="AX196" s="83"/>
      <c r="AY196" s="93"/>
      <c r="AZ196" s="93"/>
    </row>
    <row r="197" spans="1:52" ht="23.25" customHeight="1" x14ac:dyDescent="0.45">
      <c r="A197" s="571">
        <v>31</v>
      </c>
      <c r="B197" s="1383"/>
      <c r="C197" s="91" t="s">
        <v>375</v>
      </c>
      <c r="D197" s="128" t="s">
        <v>376</v>
      </c>
      <c r="E197" s="91" t="s">
        <v>377</v>
      </c>
      <c r="F197" s="130">
        <f t="shared" ref="F197:H198" si="42">I197+L197+O197+R197+U197</f>
        <v>8327123.3300000001</v>
      </c>
      <c r="G197" s="130">
        <f t="shared" si="42"/>
        <v>11721078.289999999</v>
      </c>
      <c r="H197" s="131">
        <f t="shared" si="42"/>
        <v>9290522.7200000007</v>
      </c>
      <c r="I197" s="217">
        <v>103109.91</v>
      </c>
      <c r="J197" s="217">
        <v>699694.66999999993</v>
      </c>
      <c r="K197" s="217">
        <v>554558.53</v>
      </c>
      <c r="L197" s="218">
        <v>0</v>
      </c>
      <c r="M197" s="217">
        <v>0</v>
      </c>
      <c r="N197" s="217">
        <v>125.2</v>
      </c>
      <c r="O197" s="218">
        <v>165038.01</v>
      </c>
      <c r="P197" s="217">
        <v>71162.38</v>
      </c>
      <c r="Q197" s="217">
        <v>808054</v>
      </c>
      <c r="R197" s="218">
        <v>1137587.97</v>
      </c>
      <c r="S197" s="217">
        <v>1769057.1599999997</v>
      </c>
      <c r="T197" s="217">
        <v>1212636.4100000001</v>
      </c>
      <c r="U197" s="218">
        <v>6921387.4400000004</v>
      </c>
      <c r="V197" s="217">
        <v>9181164.0800000001</v>
      </c>
      <c r="W197" s="217">
        <v>6715148.580000001</v>
      </c>
      <c r="AA197" s="93"/>
      <c r="AB197" s="93"/>
      <c r="AC197" s="83"/>
      <c r="AD197" s="83"/>
      <c r="AE197" s="93"/>
      <c r="AF197" s="93"/>
      <c r="AG197" s="83"/>
      <c r="AH197" s="83"/>
      <c r="AI197" s="93"/>
      <c r="AJ197" s="93"/>
      <c r="AK197" s="83"/>
      <c r="AL197" s="83"/>
      <c r="AM197" s="93"/>
      <c r="AN197" s="93"/>
      <c r="AO197" s="83"/>
      <c r="AP197" s="83"/>
      <c r="AQ197" s="93"/>
      <c r="AR197" s="93"/>
      <c r="AS197" s="83" t="s">
        <v>256</v>
      </c>
      <c r="AT197" s="83"/>
      <c r="AU197" s="93"/>
      <c r="AV197" s="93"/>
      <c r="AW197" s="83"/>
      <c r="AX197" s="83"/>
      <c r="AY197" s="93"/>
      <c r="AZ197" s="93"/>
    </row>
    <row r="198" spans="1:52" ht="15.75" customHeight="1" x14ac:dyDescent="0.45">
      <c r="A198" s="571">
        <v>32</v>
      </c>
      <c r="B198" s="1383"/>
      <c r="C198" s="91" t="s">
        <v>378</v>
      </c>
      <c r="D198" s="128" t="s">
        <v>376</v>
      </c>
      <c r="E198" s="91" t="s">
        <v>379</v>
      </c>
      <c r="F198" s="130">
        <f t="shared" si="42"/>
        <v>5520618.4900000002</v>
      </c>
      <c r="G198" s="130">
        <f t="shared" si="42"/>
        <v>4874837.1400000006</v>
      </c>
      <c r="H198" s="131">
        <f t="shared" si="42"/>
        <v>5635103.0299999993</v>
      </c>
      <c r="I198" s="217">
        <v>883643.01000000013</v>
      </c>
      <c r="J198" s="217">
        <v>197492.81</v>
      </c>
      <c r="K198" s="217">
        <v>219792.4</v>
      </c>
      <c r="L198" s="218">
        <v>8057.1</v>
      </c>
      <c r="M198" s="217">
        <v>4013.2</v>
      </c>
      <c r="N198" s="217">
        <v>0</v>
      </c>
      <c r="O198" s="218">
        <v>245920.3</v>
      </c>
      <c r="P198" s="217">
        <v>80599.11</v>
      </c>
      <c r="Q198" s="217">
        <v>68874.049999999988</v>
      </c>
      <c r="R198" s="218">
        <v>841411.46</v>
      </c>
      <c r="S198" s="217">
        <v>925045.98</v>
      </c>
      <c r="T198" s="217">
        <v>1067847.6499999999</v>
      </c>
      <c r="U198" s="218">
        <v>3541586.62</v>
      </c>
      <c r="V198" s="217">
        <v>3667686.04</v>
      </c>
      <c r="W198" s="217">
        <v>4278588.93</v>
      </c>
      <c r="AA198" s="93"/>
      <c r="AB198" s="93"/>
      <c r="AC198" s="119" t="s">
        <v>380</v>
      </c>
      <c r="AD198" s="83"/>
      <c r="AE198" s="93"/>
      <c r="AF198" s="93"/>
      <c r="AG198" s="83"/>
      <c r="AH198" s="83"/>
      <c r="AI198" s="93"/>
      <c r="AJ198" s="93"/>
      <c r="AK198" s="83"/>
      <c r="AL198" s="83"/>
      <c r="AM198" s="93"/>
      <c r="AN198" s="93"/>
      <c r="AO198" s="83"/>
      <c r="AP198" s="83"/>
      <c r="AQ198" s="93"/>
      <c r="AR198" s="93"/>
      <c r="AS198" s="83" t="s">
        <v>256</v>
      </c>
      <c r="AT198" s="83"/>
      <c r="AU198" s="93"/>
      <c r="AV198" s="93"/>
      <c r="AW198" s="83"/>
      <c r="AX198" s="83"/>
      <c r="AY198" s="93"/>
      <c r="AZ198" s="93"/>
    </row>
    <row r="199" spans="1:52" x14ac:dyDescent="0.45">
      <c r="A199" s="571">
        <v>33</v>
      </c>
      <c r="B199" s="1383"/>
      <c r="C199" s="91" t="s">
        <v>381</v>
      </c>
      <c r="D199" s="115"/>
      <c r="E199" s="91"/>
      <c r="F199" s="106"/>
      <c r="G199" s="106"/>
      <c r="H199" s="107"/>
      <c r="I199" s="244"/>
      <c r="J199" s="92"/>
      <c r="K199" s="31"/>
      <c r="L199" s="92"/>
      <c r="M199" s="92"/>
      <c r="N199" s="31"/>
      <c r="O199" s="92"/>
      <c r="P199" s="92"/>
      <c r="Q199" s="31"/>
      <c r="R199" s="92"/>
      <c r="S199" s="92"/>
      <c r="T199" s="31"/>
      <c r="U199" s="92"/>
      <c r="V199" s="92"/>
      <c r="W199" s="31"/>
      <c r="AA199" s="93"/>
      <c r="AB199" s="93"/>
      <c r="AC199" s="83"/>
      <c r="AD199" s="83"/>
      <c r="AE199" s="93"/>
      <c r="AF199" s="93"/>
      <c r="AG199" s="83"/>
      <c r="AH199" s="83"/>
      <c r="AI199" s="93"/>
      <c r="AJ199" s="93"/>
      <c r="AK199" s="83"/>
      <c r="AL199" s="83"/>
      <c r="AM199" s="93"/>
      <c r="AN199" s="93"/>
      <c r="AO199" s="83"/>
      <c r="AP199" s="83"/>
      <c r="AQ199" s="93"/>
      <c r="AR199" s="93"/>
      <c r="AS199" s="83"/>
      <c r="AT199" s="83"/>
      <c r="AU199" s="93"/>
      <c r="AV199" s="93"/>
      <c r="AW199" s="83"/>
      <c r="AX199" s="83"/>
      <c r="AY199" s="93"/>
      <c r="AZ199" s="93"/>
    </row>
    <row r="200" spans="1:52" x14ac:dyDescent="0.45">
      <c r="A200" s="571">
        <v>34</v>
      </c>
      <c r="B200" s="1383"/>
      <c r="C200" s="91" t="s">
        <v>382</v>
      </c>
      <c r="D200" s="115"/>
      <c r="E200" s="11" t="s">
        <v>383</v>
      </c>
      <c r="F200" s="89"/>
      <c r="G200" s="89"/>
      <c r="H200" s="23"/>
      <c r="I200" s="91"/>
      <c r="J200" s="92"/>
      <c r="K200" s="31"/>
      <c r="L200" s="92"/>
      <c r="M200" s="92"/>
      <c r="N200" s="31"/>
      <c r="O200" s="92"/>
      <c r="P200" s="92"/>
      <c r="Q200" s="31"/>
      <c r="R200" s="92"/>
      <c r="S200" s="92"/>
      <c r="T200" s="31"/>
      <c r="U200" s="92"/>
      <c r="V200" s="92"/>
      <c r="W200" s="31"/>
      <c r="AA200" s="93"/>
      <c r="AB200" s="93"/>
      <c r="AC200" s="83"/>
      <c r="AD200" s="83"/>
      <c r="AE200" s="93"/>
      <c r="AF200" s="93"/>
      <c r="AG200" s="83"/>
      <c r="AH200" s="83"/>
      <c r="AI200" s="93"/>
      <c r="AJ200" s="93"/>
      <c r="AK200" s="83"/>
      <c r="AL200" s="83"/>
      <c r="AM200" s="93"/>
      <c r="AN200" s="93"/>
      <c r="AO200" s="83"/>
      <c r="AP200" s="83"/>
      <c r="AQ200" s="93"/>
      <c r="AR200" s="93"/>
      <c r="AS200" s="83"/>
      <c r="AT200" s="83"/>
      <c r="AU200" s="93"/>
      <c r="AV200" s="93"/>
      <c r="AW200" s="83"/>
      <c r="AX200" s="83"/>
      <c r="AY200" s="93"/>
      <c r="AZ200" s="93"/>
    </row>
    <row r="201" spans="1:52" ht="24" customHeight="1" x14ac:dyDescent="0.45">
      <c r="A201" s="571">
        <v>35</v>
      </c>
      <c r="B201" s="1383"/>
      <c r="C201" s="91" t="s">
        <v>384</v>
      </c>
      <c r="D201" s="128" t="s">
        <v>237</v>
      </c>
      <c r="E201" s="91" t="s">
        <v>385</v>
      </c>
      <c r="F201" s="130">
        <f t="shared" ref="F201:H202" si="43">I201+L201+O201+R201+U201</f>
        <v>0</v>
      </c>
      <c r="G201" s="130">
        <f t="shared" si="43"/>
        <v>1694887000</v>
      </c>
      <c r="H201" s="131">
        <f t="shared" si="43"/>
        <v>1977532000</v>
      </c>
      <c r="I201" s="217"/>
      <c r="J201" s="217"/>
      <c r="K201" s="217"/>
      <c r="L201" s="218"/>
      <c r="M201" s="217"/>
      <c r="N201" s="217"/>
      <c r="O201" s="218"/>
      <c r="P201" s="217"/>
      <c r="Q201" s="217"/>
      <c r="R201" s="218"/>
      <c r="S201" s="217"/>
      <c r="T201" s="217"/>
      <c r="U201" s="218"/>
      <c r="V201" s="217">
        <v>1694887000</v>
      </c>
      <c r="W201" s="217">
        <v>1977532000</v>
      </c>
      <c r="AA201" s="93"/>
      <c r="AB201" s="93"/>
      <c r="AC201" s="83"/>
      <c r="AD201" s="83"/>
      <c r="AE201" s="93"/>
      <c r="AF201" s="93"/>
      <c r="AG201" s="83"/>
      <c r="AH201" s="83"/>
      <c r="AI201" s="93"/>
      <c r="AJ201" s="93"/>
      <c r="AK201" s="83"/>
      <c r="AL201" s="83"/>
      <c r="AM201" s="93"/>
      <c r="AN201" s="93"/>
      <c r="AO201" s="83"/>
      <c r="AP201" s="83"/>
      <c r="AQ201" s="93"/>
      <c r="AR201" s="93"/>
      <c r="AS201" s="83"/>
      <c r="AT201" s="83"/>
      <c r="AU201" s="93"/>
      <c r="AV201" s="93"/>
      <c r="AW201" s="83"/>
      <c r="AX201" s="83"/>
      <c r="AY201" s="93"/>
      <c r="AZ201" s="93"/>
    </row>
    <row r="202" spans="1:52" ht="24" customHeight="1" x14ac:dyDescent="0.45">
      <c r="A202" s="571">
        <v>36</v>
      </c>
      <c r="B202" s="1383"/>
      <c r="C202" s="91" t="s">
        <v>386</v>
      </c>
      <c r="D202" s="128" t="s">
        <v>387</v>
      </c>
      <c r="E202" s="91" t="s">
        <v>19</v>
      </c>
      <c r="F202" s="130">
        <f t="shared" si="43"/>
        <v>0</v>
      </c>
      <c r="G202" s="130">
        <f t="shared" si="43"/>
        <v>0</v>
      </c>
      <c r="H202" s="131">
        <f t="shared" si="43"/>
        <v>96406987.640000001</v>
      </c>
      <c r="I202" s="217"/>
      <c r="J202" s="217"/>
      <c r="K202" s="217">
        <v>1018152.36</v>
      </c>
      <c r="L202" s="218"/>
      <c r="M202" s="217"/>
      <c r="N202" s="217">
        <v>1513477.1</v>
      </c>
      <c r="O202" s="218"/>
      <c r="P202" s="217"/>
      <c r="Q202" s="217">
        <v>31984426.030000001</v>
      </c>
      <c r="R202" s="218"/>
      <c r="S202" s="217"/>
      <c r="T202" s="217">
        <v>49690194.789999999</v>
      </c>
      <c r="U202" s="218"/>
      <c r="V202" s="217"/>
      <c r="W202" s="217">
        <v>12200737.359999999</v>
      </c>
      <c r="AA202" s="93"/>
      <c r="AB202" s="93"/>
      <c r="AC202" s="83"/>
      <c r="AD202" s="83"/>
      <c r="AE202" s="93"/>
      <c r="AF202" s="93"/>
      <c r="AG202" s="83"/>
      <c r="AH202" s="83"/>
      <c r="AI202" s="93"/>
      <c r="AJ202" s="93"/>
      <c r="AK202" s="83"/>
      <c r="AL202" s="83"/>
      <c r="AM202" s="93"/>
      <c r="AN202" s="93"/>
      <c r="AO202" s="83"/>
      <c r="AP202" s="83"/>
      <c r="AQ202" s="93"/>
      <c r="AR202" s="93"/>
      <c r="AS202" s="83"/>
      <c r="AT202" s="83"/>
      <c r="AU202" s="93"/>
      <c r="AV202" s="93"/>
      <c r="AW202" s="83"/>
      <c r="AX202" s="83"/>
      <c r="AY202" s="93"/>
      <c r="AZ202" s="93"/>
    </row>
    <row r="203" spans="1:52" x14ac:dyDescent="0.45">
      <c r="A203" s="571">
        <v>37</v>
      </c>
      <c r="B203" s="1383"/>
      <c r="C203" s="91" t="s">
        <v>388</v>
      </c>
      <c r="D203" s="115"/>
      <c r="E203" s="91"/>
      <c r="F203" s="89"/>
      <c r="G203" s="89"/>
      <c r="H203" s="23"/>
      <c r="I203" s="92"/>
      <c r="J203" s="92"/>
      <c r="K203" s="31"/>
      <c r="L203" s="92"/>
      <c r="M203" s="92"/>
      <c r="N203" s="31"/>
      <c r="O203" s="92"/>
      <c r="P203" s="92"/>
      <c r="Q203" s="31"/>
      <c r="R203" s="92"/>
      <c r="S203" s="92"/>
      <c r="T203" s="31"/>
      <c r="U203" s="92"/>
      <c r="V203" s="92"/>
      <c r="W203" s="31"/>
      <c r="AA203" s="93"/>
      <c r="AB203" s="93"/>
      <c r="AC203" s="83"/>
      <c r="AD203" s="83"/>
      <c r="AE203" s="93"/>
      <c r="AF203" s="93"/>
      <c r="AG203" s="83"/>
      <c r="AH203" s="83"/>
      <c r="AI203" s="93"/>
      <c r="AJ203" s="93"/>
      <c r="AK203" s="83"/>
      <c r="AL203" s="83"/>
      <c r="AM203" s="93"/>
      <c r="AN203" s="93"/>
      <c r="AO203" s="83"/>
      <c r="AP203" s="83"/>
      <c r="AQ203" s="93"/>
      <c r="AR203" s="93"/>
      <c r="AS203" s="83"/>
      <c r="AT203" s="83"/>
      <c r="AU203" s="93"/>
      <c r="AV203" s="93"/>
      <c r="AW203" s="83"/>
      <c r="AX203" s="83"/>
      <c r="AY203" s="93"/>
      <c r="AZ203" s="93"/>
    </row>
    <row r="204" spans="1:52" x14ac:dyDescent="0.45">
      <c r="A204" s="571">
        <v>38</v>
      </c>
      <c r="B204" s="1383"/>
      <c r="C204" s="91" t="s">
        <v>389</v>
      </c>
      <c r="D204" s="115"/>
      <c r="E204" s="11" t="s">
        <v>390</v>
      </c>
      <c r="F204" s="89"/>
      <c r="G204" s="89"/>
      <c r="H204" s="23"/>
      <c r="I204" s="91"/>
      <c r="J204" s="92"/>
      <c r="K204" s="31"/>
      <c r="L204" s="92"/>
      <c r="M204" s="92"/>
      <c r="N204" s="31"/>
      <c r="O204" s="92"/>
      <c r="P204" s="92"/>
      <c r="Q204" s="31"/>
      <c r="R204" s="92"/>
      <c r="S204" s="92"/>
      <c r="T204" s="31"/>
      <c r="U204" s="92"/>
      <c r="V204" s="92"/>
      <c r="W204" s="31"/>
      <c r="AA204" s="93"/>
      <c r="AB204" s="93"/>
      <c r="AC204" s="83"/>
      <c r="AD204" s="83"/>
      <c r="AE204" s="93"/>
      <c r="AF204" s="93"/>
      <c r="AG204" s="83"/>
      <c r="AH204" s="83"/>
      <c r="AI204" s="93"/>
      <c r="AJ204" s="93"/>
      <c r="AK204" s="83"/>
      <c r="AL204" s="83"/>
      <c r="AM204" s="93"/>
      <c r="AN204" s="93"/>
      <c r="AO204" s="83"/>
      <c r="AP204" s="83"/>
      <c r="AQ204" s="93"/>
      <c r="AR204" s="93"/>
      <c r="AS204" s="83"/>
      <c r="AT204" s="83"/>
      <c r="AU204" s="93"/>
      <c r="AV204" s="93"/>
      <c r="AW204" s="83"/>
      <c r="AX204" s="83"/>
      <c r="AY204" s="93"/>
      <c r="AZ204" s="93"/>
    </row>
    <row r="205" spans="1:52" ht="21.75" customHeight="1" x14ac:dyDescent="0.45">
      <c r="A205" s="571">
        <v>39</v>
      </c>
      <c r="B205" s="1383"/>
      <c r="C205" s="91" t="s">
        <v>391</v>
      </c>
      <c r="D205" s="231" t="s">
        <v>353</v>
      </c>
      <c r="E205" s="91" t="s">
        <v>392</v>
      </c>
      <c r="F205" s="130">
        <f t="shared" ref="F205:H207" si="44">I205+L205+O205+R205+U205</f>
        <v>13274959000</v>
      </c>
      <c r="G205" s="130">
        <f t="shared" si="44"/>
        <v>13316096000</v>
      </c>
      <c r="H205" s="131">
        <f t="shared" si="44"/>
        <v>13110097000</v>
      </c>
      <c r="I205" s="217">
        <v>2523803000</v>
      </c>
      <c r="J205" s="217">
        <v>2392718000</v>
      </c>
      <c r="K205" s="217">
        <v>2462372000</v>
      </c>
      <c r="L205" s="218">
        <v>1350936000</v>
      </c>
      <c r="M205" s="217">
        <v>1061756000</v>
      </c>
      <c r="N205" s="217">
        <v>1057284000</v>
      </c>
      <c r="O205" s="218">
        <v>4108399000</v>
      </c>
      <c r="P205" s="217">
        <v>4417641000</v>
      </c>
      <c r="Q205" s="217">
        <f>4071467000</f>
        <v>4071467000</v>
      </c>
      <c r="R205" s="218">
        <v>3332584000</v>
      </c>
      <c r="S205" s="217">
        <v>3509045000</v>
      </c>
      <c r="T205" s="217">
        <v>3543852000</v>
      </c>
      <c r="U205" s="218">
        <v>1959237000</v>
      </c>
      <c r="V205" s="217">
        <v>1934936000</v>
      </c>
      <c r="W205" s="217">
        <v>1975122000</v>
      </c>
      <c r="AA205" s="93"/>
      <c r="AB205" s="93"/>
      <c r="AC205" s="83" t="s">
        <v>393</v>
      </c>
      <c r="AD205" s="83"/>
      <c r="AE205" s="93"/>
      <c r="AF205" s="93"/>
      <c r="AG205" s="83" t="s">
        <v>393</v>
      </c>
      <c r="AH205" s="83"/>
      <c r="AI205" s="93"/>
      <c r="AJ205" s="93"/>
      <c r="AK205" s="83" t="s">
        <v>393</v>
      </c>
      <c r="AL205" s="83"/>
      <c r="AM205" s="93"/>
      <c r="AN205" s="93"/>
      <c r="AO205" s="83" t="s">
        <v>393</v>
      </c>
      <c r="AP205" s="83"/>
      <c r="AQ205" s="93"/>
      <c r="AR205" s="93"/>
      <c r="AS205" s="83" t="s">
        <v>393</v>
      </c>
      <c r="AT205" s="83"/>
      <c r="AU205" s="93"/>
      <c r="AV205" s="93"/>
      <c r="AW205" s="83" t="s">
        <v>393</v>
      </c>
      <c r="AX205" s="83"/>
      <c r="AY205" s="93"/>
      <c r="AZ205" s="93"/>
    </row>
    <row r="206" spans="1:52" ht="14.65" thickBot="1" x14ac:dyDescent="0.5">
      <c r="A206" s="571">
        <v>40</v>
      </c>
      <c r="B206" s="1383"/>
      <c r="C206" s="91" t="s">
        <v>394</v>
      </c>
      <c r="D206" s="115"/>
      <c r="E206" s="245" t="s">
        <v>395</v>
      </c>
      <c r="F206" s="130">
        <f t="shared" si="44"/>
        <v>12816294.93</v>
      </c>
      <c r="G206" s="130">
        <f t="shared" si="44"/>
        <v>11674321.920000002</v>
      </c>
      <c r="H206" s="131">
        <f t="shared" si="44"/>
        <v>11740395.810000002</v>
      </c>
      <c r="I206" s="246">
        <v>1522082.52</v>
      </c>
      <c r="J206" s="246">
        <v>445558.61</v>
      </c>
      <c r="K206" s="246">
        <v>342866.4</v>
      </c>
      <c r="L206" s="246">
        <v>190624.53</v>
      </c>
      <c r="M206" s="246">
        <v>134455.9</v>
      </c>
      <c r="N206" s="246">
        <v>129537.72</v>
      </c>
      <c r="O206" s="218">
        <v>2045100.72</v>
      </c>
      <c r="P206" s="217">
        <v>1952559.7300000004</v>
      </c>
      <c r="Q206" s="217">
        <v>1816987.6800000002</v>
      </c>
      <c r="R206" s="218">
        <v>3932955.96</v>
      </c>
      <c r="S206" s="217">
        <v>3890597.44</v>
      </c>
      <c r="T206" s="217">
        <v>3861444.2399999998</v>
      </c>
      <c r="U206" s="218">
        <v>5125531.1999999993</v>
      </c>
      <c r="V206" s="217">
        <v>5251150.2400000012</v>
      </c>
      <c r="W206" s="217">
        <v>5589559.7700000014</v>
      </c>
      <c r="AA206" s="93"/>
      <c r="AB206" s="93"/>
      <c r="AC206" s="119" t="s">
        <v>380</v>
      </c>
      <c r="AD206" s="83"/>
      <c r="AE206" s="93"/>
      <c r="AF206" s="93"/>
      <c r="AG206" s="83"/>
      <c r="AH206" s="83"/>
      <c r="AI206" s="93"/>
      <c r="AJ206" s="93"/>
      <c r="AK206" s="83"/>
      <c r="AL206" s="83"/>
      <c r="AM206" s="93"/>
      <c r="AN206" s="93"/>
      <c r="AO206" s="83"/>
      <c r="AP206" s="83"/>
      <c r="AQ206" s="93"/>
      <c r="AR206" s="93"/>
      <c r="AS206" s="83"/>
      <c r="AT206" s="83"/>
      <c r="AU206" s="93"/>
      <c r="AV206" s="93"/>
      <c r="AW206" s="83"/>
      <c r="AX206" s="83"/>
      <c r="AY206" s="93"/>
      <c r="AZ206" s="93"/>
    </row>
    <row r="207" spans="1:52" ht="14.65" thickTop="1" x14ac:dyDescent="0.45">
      <c r="A207" s="571">
        <v>41</v>
      </c>
      <c r="B207" s="1383"/>
      <c r="C207" s="91" t="s">
        <v>396</v>
      </c>
      <c r="D207" s="115"/>
      <c r="E207" s="245" t="s">
        <v>397</v>
      </c>
      <c r="F207" s="130">
        <f t="shared" si="44"/>
        <v>64493890.520000011</v>
      </c>
      <c r="G207" s="130">
        <f t="shared" si="44"/>
        <v>51803055.629999995</v>
      </c>
      <c r="H207" s="131">
        <f t="shared" si="44"/>
        <v>38707569.810000002</v>
      </c>
      <c r="I207" s="217">
        <v>1255258.96</v>
      </c>
      <c r="J207" s="217">
        <v>1310743.93</v>
      </c>
      <c r="K207" s="217">
        <v>1394850.75</v>
      </c>
      <c r="L207" s="218">
        <v>414</v>
      </c>
      <c r="M207" s="217">
        <v>414</v>
      </c>
      <c r="N207" s="217">
        <v>0</v>
      </c>
      <c r="O207" s="218">
        <v>11402647.120000001</v>
      </c>
      <c r="P207" s="217">
        <v>13067443.359999998</v>
      </c>
      <c r="Q207" s="217">
        <v>9299695.160000002</v>
      </c>
      <c r="R207" s="218">
        <v>32365503.15000001</v>
      </c>
      <c r="S207" s="217">
        <v>24561066.859999999</v>
      </c>
      <c r="T207" s="217">
        <v>20484465.760000002</v>
      </c>
      <c r="U207" s="218">
        <v>19470067.290000003</v>
      </c>
      <c r="V207" s="217">
        <v>12863387.479999999</v>
      </c>
      <c r="W207" s="217">
        <v>7528558.1400000006</v>
      </c>
      <c r="AA207" s="93"/>
      <c r="AB207" s="93"/>
      <c r="AC207" s="119" t="s">
        <v>380</v>
      </c>
      <c r="AD207" s="83"/>
      <c r="AE207" s="93"/>
      <c r="AF207" s="93"/>
      <c r="AG207" s="83"/>
      <c r="AH207" s="83"/>
      <c r="AI207" s="93"/>
      <c r="AJ207" s="93"/>
      <c r="AK207" s="83"/>
      <c r="AL207" s="83"/>
      <c r="AM207" s="93"/>
      <c r="AN207" s="93"/>
      <c r="AO207" s="83"/>
      <c r="AP207" s="83"/>
      <c r="AQ207" s="93"/>
      <c r="AR207" s="93"/>
      <c r="AS207" s="83"/>
      <c r="AT207" s="83"/>
      <c r="AU207" s="93"/>
      <c r="AV207" s="93"/>
      <c r="AW207" s="83"/>
      <c r="AX207" s="83"/>
      <c r="AY207" s="93"/>
      <c r="AZ207" s="93"/>
    </row>
    <row r="208" spans="1:52" x14ac:dyDescent="0.45">
      <c r="A208" s="571">
        <v>42</v>
      </c>
      <c r="B208" s="1383"/>
      <c r="C208" s="91" t="s">
        <v>398</v>
      </c>
      <c r="D208" s="115"/>
      <c r="E208" s="91"/>
      <c r="F208" s="89"/>
      <c r="G208" s="89"/>
      <c r="H208" s="23"/>
      <c r="I208" s="92"/>
      <c r="J208" s="92"/>
      <c r="K208" s="31"/>
      <c r="L208" s="92"/>
      <c r="M208" s="92"/>
      <c r="N208" s="31"/>
      <c r="O208" s="92"/>
      <c r="P208" s="92"/>
      <c r="Q208" s="31"/>
      <c r="R208" s="92"/>
      <c r="S208" s="92"/>
      <c r="T208" s="31"/>
      <c r="U208" s="92"/>
      <c r="V208" s="92"/>
      <c r="W208" s="31"/>
      <c r="AA208" s="93"/>
      <c r="AB208" s="93"/>
      <c r="AC208" s="83"/>
      <c r="AD208" s="83"/>
      <c r="AE208" s="93"/>
      <c r="AF208" s="93"/>
      <c r="AG208" s="83"/>
      <c r="AH208" s="83"/>
      <c r="AI208" s="93"/>
      <c r="AJ208" s="93"/>
      <c r="AK208" s="83"/>
      <c r="AL208" s="83"/>
      <c r="AM208" s="93"/>
      <c r="AN208" s="93"/>
      <c r="AO208" s="83"/>
      <c r="AP208" s="83"/>
      <c r="AQ208" s="93"/>
      <c r="AR208" s="93"/>
      <c r="AS208" s="83"/>
      <c r="AT208" s="83"/>
      <c r="AU208" s="93"/>
      <c r="AV208" s="93"/>
      <c r="AW208" s="83"/>
      <c r="AX208" s="83"/>
      <c r="AY208" s="93"/>
      <c r="AZ208" s="93"/>
    </row>
    <row r="209" spans="1:52" x14ac:dyDescent="0.45">
      <c r="A209" s="571">
        <v>43</v>
      </c>
      <c r="B209" s="1383"/>
      <c r="C209" s="91" t="s">
        <v>399</v>
      </c>
      <c r="D209" s="115"/>
      <c r="E209" s="11" t="s">
        <v>400</v>
      </c>
      <c r="F209" s="247"/>
      <c r="G209" s="247"/>
      <c r="H209" s="248"/>
      <c r="I209" s="247"/>
      <c r="J209" s="247"/>
      <c r="K209" s="248"/>
      <c r="L209" s="247"/>
      <c r="M209" s="247"/>
      <c r="N209" s="248"/>
      <c r="O209" s="247"/>
      <c r="P209" s="247"/>
      <c r="Q209" s="248"/>
      <c r="R209" s="247"/>
      <c r="S209" s="247"/>
      <c r="T209" s="248"/>
      <c r="U209" s="247"/>
      <c r="V209" s="247"/>
      <c r="W209" s="248"/>
      <c r="AA209" s="93"/>
      <c r="AB209" s="93"/>
      <c r="AC209" s="83"/>
      <c r="AD209" s="83"/>
      <c r="AE209" s="93"/>
      <c r="AF209" s="93"/>
      <c r="AG209" s="83"/>
      <c r="AH209" s="83"/>
      <c r="AI209" s="93"/>
      <c r="AJ209" s="93"/>
      <c r="AK209" s="83"/>
      <c r="AL209" s="83"/>
      <c r="AM209" s="93"/>
      <c r="AN209" s="93"/>
      <c r="AO209" s="83"/>
      <c r="AP209" s="83"/>
      <c r="AQ209" s="93"/>
      <c r="AR209" s="93"/>
      <c r="AS209" s="83"/>
      <c r="AT209" s="83"/>
      <c r="AU209" s="93"/>
      <c r="AV209" s="93"/>
      <c r="AW209" s="83"/>
      <c r="AX209" s="83"/>
      <c r="AY209" s="93"/>
      <c r="AZ209" s="93"/>
    </row>
    <row r="210" spans="1:52" x14ac:dyDescent="0.45">
      <c r="A210" s="571">
        <v>44</v>
      </c>
      <c r="B210" s="1383"/>
      <c r="C210" s="91" t="s">
        <v>401</v>
      </c>
      <c r="D210" s="115">
        <v>1</v>
      </c>
      <c r="E210" s="87" t="s">
        <v>402</v>
      </c>
      <c r="F210" s="247">
        <f>IF(F207&lt;&gt;0,F197/F207,0)</f>
        <v>0.12911491713184367</v>
      </c>
      <c r="G210" s="247">
        <f>IF(G207&lt;&gt;0,G197/G207,0)</f>
        <v>0.2262622956784065</v>
      </c>
      <c r="H210" s="248">
        <f>IF(H207&lt;&gt;0,H197/H207,0)</f>
        <v>0.24001823843768713</v>
      </c>
      <c r="I210" s="249">
        <f t="shared" ref="I210:W210" si="45">IF(I207&lt;&gt;0,I197/I207,0)</f>
        <v>8.2142341369943306E-2</v>
      </c>
      <c r="J210" s="247">
        <f t="shared" si="45"/>
        <v>0.53381492294990063</v>
      </c>
      <c r="K210" s="248">
        <f t="shared" si="45"/>
        <v>0.39757553272276625</v>
      </c>
      <c r="L210" s="247">
        <f t="shared" si="45"/>
        <v>0</v>
      </c>
      <c r="M210" s="247">
        <f t="shared" si="45"/>
        <v>0</v>
      </c>
      <c r="N210" s="248">
        <f t="shared" si="45"/>
        <v>0</v>
      </c>
      <c r="O210" s="247">
        <f t="shared" si="45"/>
        <v>1.4473657586976172E-2</v>
      </c>
      <c r="P210" s="247">
        <f t="shared" si="45"/>
        <v>5.4457768087850366E-3</v>
      </c>
      <c r="Q210" s="248">
        <f t="shared" si="45"/>
        <v>8.6890375017410773E-2</v>
      </c>
      <c r="R210" s="247">
        <f t="shared" si="45"/>
        <v>3.5148162681969602E-2</v>
      </c>
      <c r="S210" s="247">
        <f t="shared" si="45"/>
        <v>7.2026885887480532E-2</v>
      </c>
      <c r="T210" s="248">
        <f t="shared" si="45"/>
        <v>5.9197853837512041E-2</v>
      </c>
      <c r="U210" s="247">
        <f t="shared" si="45"/>
        <v>0.35548862450798441</v>
      </c>
      <c r="V210" s="247">
        <f t="shared" si="45"/>
        <v>0.71374387922892613</v>
      </c>
      <c r="W210" s="248">
        <f t="shared" si="45"/>
        <v>0.89195679373474301</v>
      </c>
      <c r="AA210" s="93"/>
      <c r="AB210" s="93"/>
      <c r="AC210" s="83"/>
      <c r="AD210" s="83"/>
      <c r="AE210" s="93"/>
      <c r="AF210" s="93"/>
      <c r="AG210" s="83"/>
      <c r="AH210" s="83"/>
      <c r="AI210" s="93"/>
      <c r="AJ210" s="93"/>
      <c r="AK210" s="83"/>
      <c r="AL210" s="83"/>
      <c r="AM210" s="93"/>
      <c r="AN210" s="93"/>
      <c r="AO210" s="83"/>
      <c r="AP210" s="83"/>
      <c r="AQ210" s="93"/>
      <c r="AR210" s="93"/>
      <c r="AS210" s="83" t="s">
        <v>403</v>
      </c>
      <c r="AT210" s="83"/>
      <c r="AU210" s="93"/>
      <c r="AV210" s="93"/>
      <c r="AW210" s="83"/>
      <c r="AX210" s="83"/>
      <c r="AY210" s="93"/>
      <c r="AZ210" s="93"/>
    </row>
    <row r="211" spans="1:52" x14ac:dyDescent="0.45">
      <c r="A211" s="571">
        <v>45</v>
      </c>
      <c r="B211" s="1383"/>
      <c r="C211" s="91" t="s">
        <v>404</v>
      </c>
      <c r="D211" s="115">
        <v>2</v>
      </c>
      <c r="E211" s="87" t="s">
        <v>405</v>
      </c>
      <c r="F211" s="247">
        <f>IF(F206&lt;&gt;0,F198/F206,0)</f>
        <v>0.43074995700024832</v>
      </c>
      <c r="G211" s="247">
        <f>IF(G206&lt;&gt;0,G198/G206,0)</f>
        <v>0.4175691893204192</v>
      </c>
      <c r="H211" s="248">
        <f>IF(H206&lt;&gt;0,H198/H206,0)</f>
        <v>0.4799755579961148</v>
      </c>
      <c r="I211" s="249">
        <f>IF(I206&lt;&gt;0,I198/I206,0)</f>
        <v>0.58054868799097703</v>
      </c>
      <c r="J211" s="247">
        <f t="shared" ref="J211:W211" si="46">IF(J206&lt;&gt;0,J198/J206,0)</f>
        <v>0.44324765713763226</v>
      </c>
      <c r="K211" s="248">
        <f t="shared" si="46"/>
        <v>0.64104385848248757</v>
      </c>
      <c r="L211" s="247">
        <f t="shared" si="46"/>
        <v>4.2266858310417869E-2</v>
      </c>
      <c r="M211" s="247">
        <f t="shared" si="46"/>
        <v>2.984770471210263E-2</v>
      </c>
      <c r="N211" s="248">
        <f t="shared" si="46"/>
        <v>0</v>
      </c>
      <c r="O211" s="247">
        <f t="shared" si="46"/>
        <v>0.12024850296859706</v>
      </c>
      <c r="P211" s="247">
        <f t="shared" si="46"/>
        <v>4.127869112613522E-2</v>
      </c>
      <c r="Q211" s="248">
        <f t="shared" si="46"/>
        <v>3.7905623003453709E-2</v>
      </c>
      <c r="R211" s="247">
        <f t="shared" si="46"/>
        <v>0.2139386935825236</v>
      </c>
      <c r="S211" s="247">
        <f t="shared" si="46"/>
        <v>0.23776450641986749</v>
      </c>
      <c r="T211" s="248">
        <f t="shared" si="46"/>
        <v>0.2765409995924219</v>
      </c>
      <c r="U211" s="247">
        <f t="shared" si="46"/>
        <v>0.69096967354330041</v>
      </c>
      <c r="V211" s="247">
        <f t="shared" si="46"/>
        <v>0.69845383818231777</v>
      </c>
      <c r="W211" s="248">
        <f t="shared" si="46"/>
        <v>0.76546080658513083</v>
      </c>
      <c r="AA211" s="93"/>
      <c r="AB211" s="93"/>
      <c r="AC211" s="83"/>
      <c r="AD211" s="83"/>
      <c r="AE211" s="93"/>
      <c r="AF211" s="93"/>
      <c r="AG211" s="83"/>
      <c r="AH211" s="83"/>
      <c r="AI211" s="93"/>
      <c r="AJ211" s="93"/>
      <c r="AK211" s="83"/>
      <c r="AL211" s="83"/>
      <c r="AM211" s="93"/>
      <c r="AN211" s="93"/>
      <c r="AO211" s="83"/>
      <c r="AP211" s="83"/>
      <c r="AQ211" s="93"/>
      <c r="AR211" s="93"/>
      <c r="AS211" s="83" t="s">
        <v>403</v>
      </c>
      <c r="AT211" s="83"/>
      <c r="AU211" s="93"/>
      <c r="AV211" s="93"/>
      <c r="AW211" s="83"/>
      <c r="AX211" s="83"/>
      <c r="AY211" s="93"/>
      <c r="AZ211" s="93"/>
    </row>
    <row r="212" spans="1:52" x14ac:dyDescent="0.45">
      <c r="A212" s="571">
        <v>46</v>
      </c>
      <c r="B212" s="1383"/>
      <c r="C212" s="91" t="s">
        <v>406</v>
      </c>
      <c r="D212" s="115">
        <v>3</v>
      </c>
      <c r="E212" s="87" t="s">
        <v>407</v>
      </c>
      <c r="F212" s="195">
        <f>IF(F$85&lt;&gt;0,F$86/F$85,0)</f>
        <v>3.7890504175688212E-2</v>
      </c>
      <c r="G212" s="195">
        <f>IF(G$85&lt;&gt;0,G$86/G$85,0)</f>
        <v>3.5734020998342234E-2</v>
      </c>
      <c r="H212" s="196">
        <f>IF(H$85&lt;&gt;0,H$86/H$85,0)</f>
        <v>3.8430744595676539E-2</v>
      </c>
      <c r="I212" s="250">
        <v>0.14444444444444443</v>
      </c>
      <c r="J212" s="195">
        <v>0.14772727272727273</v>
      </c>
      <c r="K212" s="196">
        <v>0.12048192771084337</v>
      </c>
      <c r="L212" s="195">
        <v>0</v>
      </c>
      <c r="M212" s="195">
        <v>0</v>
      </c>
      <c r="N212" s="196">
        <v>6.2086092715231786E-2</v>
      </c>
      <c r="O212" s="195">
        <v>1.2510425354462052E-2</v>
      </c>
      <c r="P212" s="195">
        <v>1.5290519877675841E-2</v>
      </c>
      <c r="Q212" s="196">
        <v>5.7553956834532375E-3</v>
      </c>
      <c r="R212" s="195">
        <v>2.1969295923769189E-2</v>
      </c>
      <c r="S212" s="195">
        <v>2.4288107202680067E-2</v>
      </c>
      <c r="T212" s="196">
        <v>6.2086092715231786E-2</v>
      </c>
      <c r="U212" s="195">
        <v>6.3957863054928524E-2</v>
      </c>
      <c r="V212" s="195">
        <v>5.6846267918932276E-2</v>
      </c>
      <c r="W212" s="196">
        <v>6.2086092715231786E-2</v>
      </c>
      <c r="AA212" s="93"/>
      <c r="AB212" s="93"/>
      <c r="AC212" s="83"/>
      <c r="AD212" s="83"/>
      <c r="AE212" s="93"/>
      <c r="AF212" s="93"/>
      <c r="AG212" s="83"/>
      <c r="AH212" s="83"/>
      <c r="AI212" s="93"/>
      <c r="AJ212" s="93"/>
      <c r="AK212" s="83"/>
      <c r="AL212" s="83"/>
      <c r="AM212" s="93"/>
      <c r="AN212" s="93"/>
      <c r="AO212" s="83"/>
      <c r="AP212" s="83"/>
      <c r="AQ212" s="93"/>
      <c r="AR212" s="93"/>
      <c r="AS212" s="83" t="s">
        <v>403</v>
      </c>
      <c r="AT212" s="83"/>
      <c r="AU212" s="93"/>
      <c r="AV212" s="93"/>
      <c r="AW212" s="83"/>
      <c r="AX212" s="83"/>
      <c r="AY212" s="93"/>
      <c r="AZ212" s="93"/>
    </row>
    <row r="213" spans="1:52" x14ac:dyDescent="0.45">
      <c r="A213" s="571">
        <v>47</v>
      </c>
      <c r="B213" s="1383"/>
      <c r="C213" s="91" t="s">
        <v>408</v>
      </c>
      <c r="D213" s="115">
        <v>4</v>
      </c>
      <c r="E213" s="87" t="s">
        <v>409</v>
      </c>
      <c r="F213" s="195">
        <f>IF(F$139&lt;&gt;0,F$140/F$139,0)</f>
        <v>0.30743887636552802</v>
      </c>
      <c r="G213" s="195">
        <f>IF(G$139&lt;&gt;0,G$140/G$139,0)</f>
        <v>0.28598200899550225</v>
      </c>
      <c r="H213" s="196">
        <f>IF(H$139&lt;&gt;0,H$140/H$139,0)</f>
        <v>0.3328814872192099</v>
      </c>
      <c r="I213" s="250">
        <v>0.73734939759036144</v>
      </c>
      <c r="J213" s="195">
        <v>0.4375</v>
      </c>
      <c r="K213" s="196">
        <v>0.54736842105263162</v>
      </c>
      <c r="L213" s="195">
        <v>0.82199546485260766</v>
      </c>
      <c r="M213" s="195">
        <v>0.83685446009389675</v>
      </c>
      <c r="N213" s="196">
        <v>0.83985765124555156</v>
      </c>
      <c r="O213" s="195">
        <v>6.9871159563924673E-2</v>
      </c>
      <c r="P213" s="195">
        <v>3.8461538461538464E-2</v>
      </c>
      <c r="Q213" s="196">
        <v>4.2381974248927042E-2</v>
      </c>
      <c r="R213" s="195">
        <v>0.82199546485260766</v>
      </c>
      <c r="S213" s="195">
        <v>0.83685446009389675</v>
      </c>
      <c r="T213" s="196">
        <v>0.83985765124555156</v>
      </c>
      <c r="U213" s="195">
        <v>0.82199546485260766</v>
      </c>
      <c r="V213" s="195">
        <v>0.83685446009389675</v>
      </c>
      <c r="W213" s="196">
        <v>0.83985765124555156</v>
      </c>
      <c r="AA213" s="93"/>
      <c r="AB213" s="93"/>
      <c r="AC213" s="83"/>
      <c r="AD213" s="83"/>
      <c r="AE213" s="93"/>
      <c r="AF213" s="93"/>
      <c r="AG213" s="83"/>
      <c r="AH213" s="83"/>
      <c r="AI213" s="93"/>
      <c r="AJ213" s="93"/>
      <c r="AK213" s="83"/>
      <c r="AL213" s="83"/>
      <c r="AM213" s="93"/>
      <c r="AN213" s="93"/>
      <c r="AO213" s="83"/>
      <c r="AP213" s="83"/>
      <c r="AQ213" s="93"/>
      <c r="AR213" s="93"/>
      <c r="AS213" s="83" t="s">
        <v>403</v>
      </c>
      <c r="AT213" s="83"/>
      <c r="AU213" s="93"/>
      <c r="AV213" s="93"/>
      <c r="AW213" s="83"/>
      <c r="AX213" s="83"/>
      <c r="AY213" s="93"/>
      <c r="AZ213" s="93"/>
    </row>
    <row r="214" spans="1:52" x14ac:dyDescent="0.45">
      <c r="A214" s="571">
        <v>48</v>
      </c>
      <c r="B214" s="1383"/>
      <c r="C214" s="91" t="s">
        <v>410</v>
      </c>
      <c r="D214" s="115">
        <v>5</v>
      </c>
      <c r="E214" s="129" t="s">
        <v>1334</v>
      </c>
      <c r="F214" s="251"/>
      <c r="G214" s="195">
        <f>IF(F$130&lt;&gt;0,G$130/F$130,0)</f>
        <v>0.73369537590465173</v>
      </c>
      <c r="H214" s="196">
        <f>IF(G$130&lt;&gt;0,H$130/G$130,0)</f>
        <v>58.305580012254282</v>
      </c>
      <c r="I214" s="252"/>
      <c r="J214" s="195">
        <f>IF(I$130&lt;&gt;0,J$130/I$130,0)</f>
        <v>0.73369537590465173</v>
      </c>
      <c r="K214" s="196">
        <f>IF(J$130&lt;&gt;0,K$130/J$130,0)</f>
        <v>0.61576389611397953</v>
      </c>
      <c r="L214" s="251"/>
      <c r="M214" s="195">
        <f>IF(L$130&lt;&gt;0,M$130/L$130,0)</f>
        <v>0</v>
      </c>
      <c r="N214" s="196">
        <f>IF(M$130&lt;&gt;0,N$130/M$130,0)</f>
        <v>0</v>
      </c>
      <c r="O214" s="251"/>
      <c r="P214" s="195">
        <f>IF(O$130&lt;&gt;0,P$130/O$130,0)</f>
        <v>0</v>
      </c>
      <c r="Q214" s="196">
        <f>IF(P$130&lt;&gt;0,Q$130/P$130,0)</f>
        <v>0</v>
      </c>
      <c r="R214" s="251"/>
      <c r="S214" s="195">
        <f>IF(R$130&lt;&gt;0,S$130/R$130,0)</f>
        <v>0</v>
      </c>
      <c r="T214" s="196">
        <f>IF(S$130&lt;&gt;0,T$130/S$130,0)</f>
        <v>0</v>
      </c>
      <c r="U214" s="251"/>
      <c r="V214" s="195">
        <f>IF(U$130&lt;&gt;0,V$130/U$130,0)</f>
        <v>0</v>
      </c>
      <c r="W214" s="196">
        <f>IF(V$130&lt;&gt;0,W$130/V$130,0)</f>
        <v>0</v>
      </c>
      <c r="AA214" s="93"/>
      <c r="AB214" s="93"/>
      <c r="AC214" s="83"/>
      <c r="AD214" s="83"/>
      <c r="AE214" s="93"/>
      <c r="AF214" s="93"/>
      <c r="AG214" s="83"/>
      <c r="AH214" s="83"/>
      <c r="AI214" s="93"/>
      <c r="AJ214" s="93"/>
      <c r="AK214" s="83"/>
      <c r="AL214" s="83"/>
      <c r="AM214" s="93"/>
      <c r="AN214" s="93"/>
      <c r="AO214" s="83"/>
      <c r="AP214" s="83"/>
      <c r="AQ214" s="93"/>
      <c r="AR214" s="93"/>
      <c r="AS214" s="83" t="s">
        <v>412</v>
      </c>
      <c r="AT214" s="83"/>
      <c r="AU214" s="93"/>
      <c r="AV214" s="93"/>
      <c r="AW214" s="83"/>
      <c r="AX214" s="83"/>
      <c r="AY214" s="93"/>
      <c r="AZ214" s="93"/>
    </row>
    <row r="215" spans="1:52" ht="16.5" customHeight="1" x14ac:dyDescent="0.45">
      <c r="A215" s="571">
        <v>49</v>
      </c>
      <c r="B215" s="1383"/>
      <c r="C215" s="91" t="s">
        <v>413</v>
      </c>
      <c r="D215" s="138" t="s">
        <v>414</v>
      </c>
      <c r="E215" s="116" t="s">
        <v>415</v>
      </c>
      <c r="F215" s="247">
        <f>IF(COUNTA(I215,L215,O215,R215,U215)&gt;0,SUM(I215,L215,O215,R215,U215)/COUNTA(I215,L215,O215,R215,U215),0)</f>
        <v>0</v>
      </c>
      <c r="G215" s="247">
        <f>IF(COUNTA(J215,M215,P215,S215,V215)&gt;0,SUM(J215,M215,P215,S215,V215)/COUNTA(J215,M215,P215,S215,V215),0)</f>
        <v>0</v>
      </c>
      <c r="H215" s="248">
        <f>IF(COUNTA(K215,N215,Q215,T215,W215)&gt;0,SUM(K215,N215,Q215,T215,W215)/COUNTA(K215,N215,Q215,T215,W215),0)</f>
        <v>0</v>
      </c>
      <c r="I215" s="253"/>
      <c r="J215" s="253"/>
      <c r="K215" s="253"/>
      <c r="L215" s="253"/>
      <c r="M215" s="253"/>
      <c r="N215" s="253"/>
      <c r="O215" s="253"/>
      <c r="P215" s="253"/>
      <c r="Q215" s="253"/>
      <c r="R215" s="253"/>
      <c r="S215" s="253"/>
      <c r="T215" s="253"/>
      <c r="U215" s="253"/>
      <c r="V215" s="253"/>
      <c r="W215" s="253"/>
      <c r="AA215" s="93"/>
      <c r="AB215" s="93"/>
      <c r="AC215" s="83"/>
      <c r="AD215" s="83"/>
      <c r="AE215" s="93"/>
      <c r="AF215" s="93"/>
      <c r="AG215" s="83"/>
      <c r="AH215" s="83"/>
      <c r="AI215" s="93"/>
      <c r="AJ215" s="93"/>
      <c r="AK215" s="83"/>
      <c r="AL215" s="83"/>
      <c r="AM215" s="93"/>
      <c r="AN215" s="93"/>
      <c r="AO215" s="83"/>
      <c r="AP215" s="83"/>
      <c r="AQ215" s="93"/>
      <c r="AR215" s="93"/>
      <c r="AS215" s="83"/>
      <c r="AT215" s="83"/>
      <c r="AU215" s="93"/>
      <c r="AV215" s="93"/>
      <c r="AW215" s="83"/>
      <c r="AX215" s="83"/>
      <c r="AY215" s="93"/>
      <c r="AZ215" s="93"/>
    </row>
    <row r="216" spans="1:52" x14ac:dyDescent="0.45">
      <c r="A216" s="571">
        <v>50</v>
      </c>
      <c r="B216" s="1383"/>
      <c r="C216" s="91" t="s">
        <v>416</v>
      </c>
      <c r="D216" s="115">
        <v>7</v>
      </c>
      <c r="E216" s="129" t="s">
        <v>1387</v>
      </c>
      <c r="F216" s="247">
        <f>IF(F174&lt;&gt;0,F193/F174,0)</f>
        <v>3.9797793944828515</v>
      </c>
      <c r="G216" s="247">
        <f>IF(G174&lt;&gt;0,G193/G174,0)</f>
        <v>3.9774448403588876</v>
      </c>
      <c r="H216" s="248">
        <f>IF(H174&lt;&gt;0,H193/H174,0)</f>
        <v>5.5783167506580043</v>
      </c>
      <c r="I216" s="249">
        <f t="shared" ref="I216:W216" si="47">IF(I174&lt;&gt;0,I193/I174,0)</f>
        <v>1.5829116337490683</v>
      </c>
      <c r="J216" s="247">
        <f t="shared" si="47"/>
        <v>5.1965915863976644</v>
      </c>
      <c r="K216" s="248">
        <f t="shared" si="47"/>
        <v>10.286667956766635</v>
      </c>
      <c r="L216" s="247">
        <f t="shared" si="47"/>
        <v>6.1530126699170209</v>
      </c>
      <c r="M216" s="247">
        <f t="shared" si="47"/>
        <v>7.8233522643358695</v>
      </c>
      <c r="N216" s="248">
        <f t="shared" si="47"/>
        <v>8970.8083200000001</v>
      </c>
      <c r="O216" s="247">
        <f t="shared" si="47"/>
        <v>27.965580545306178</v>
      </c>
      <c r="P216" s="247">
        <f t="shared" si="47"/>
        <v>20.064060344894862</v>
      </c>
      <c r="Q216" s="248">
        <f t="shared" si="47"/>
        <v>22.177921983057889</v>
      </c>
      <c r="R216" s="247">
        <f t="shared" si="47"/>
        <v>4.3859747647309115</v>
      </c>
      <c r="S216" s="247">
        <f t="shared" si="47"/>
        <v>3.7877355450022678</v>
      </c>
      <c r="T216" s="248">
        <f t="shared" si="47"/>
        <v>6.4840547126770431</v>
      </c>
      <c r="U216" s="247">
        <f t="shared" si="47"/>
        <v>0.61708094423988302</v>
      </c>
      <c r="V216" s="247">
        <f t="shared" si="47"/>
        <v>0.52103972271287047</v>
      </c>
      <c r="W216" s="248">
        <f t="shared" si="47"/>
        <v>0.63914181482022636</v>
      </c>
      <c r="AA216" s="93"/>
      <c r="AB216" s="93"/>
      <c r="AC216" s="83"/>
      <c r="AD216" s="83"/>
      <c r="AE216" s="93"/>
      <c r="AF216" s="93"/>
      <c r="AG216" s="83"/>
      <c r="AH216" s="83"/>
      <c r="AI216" s="93"/>
      <c r="AJ216" s="93"/>
      <c r="AK216" s="83"/>
      <c r="AL216" s="83"/>
      <c r="AM216" s="93"/>
      <c r="AN216" s="93"/>
      <c r="AO216" s="83"/>
      <c r="AP216" s="83"/>
      <c r="AQ216" s="93"/>
      <c r="AR216" s="93"/>
      <c r="AS216" s="83"/>
      <c r="AT216" s="83"/>
      <c r="AU216" s="93"/>
      <c r="AV216" s="93"/>
      <c r="AW216" s="83"/>
      <c r="AX216" s="83"/>
      <c r="AY216" s="93"/>
      <c r="AZ216" s="93"/>
    </row>
    <row r="217" spans="1:52" x14ac:dyDescent="0.45">
      <c r="A217" s="571">
        <v>51</v>
      </c>
      <c r="B217" s="1383"/>
      <c r="C217" s="91" t="s">
        <v>418</v>
      </c>
      <c r="D217" s="115">
        <v>8</v>
      </c>
      <c r="E217" s="13" t="s">
        <v>419</v>
      </c>
      <c r="F217" s="247">
        <f>IF(F193&lt;&gt;0,F179/F193,0)</f>
        <v>0.41192797318755381</v>
      </c>
      <c r="G217" s="247">
        <f>IF(G193&lt;&gt;0,G179/G193,0)</f>
        <v>0.32548273107837405</v>
      </c>
      <c r="H217" s="248">
        <f>IF(H193&lt;&gt;0,H179/H193,0)</f>
        <v>0.40096302405356743</v>
      </c>
      <c r="I217" s="249">
        <f t="shared" ref="I217:W217" si="48">IF(I193&lt;&gt;0,I179/I193,0)</f>
        <v>0</v>
      </c>
      <c r="J217" s="247">
        <f t="shared" si="48"/>
        <v>0</v>
      </c>
      <c r="K217" s="248">
        <f t="shared" si="48"/>
        <v>0</v>
      </c>
      <c r="L217" s="247">
        <f t="shared" si="48"/>
        <v>0</v>
      </c>
      <c r="M217" s="247">
        <f t="shared" si="48"/>
        <v>0</v>
      </c>
      <c r="N217" s="248">
        <f t="shared" si="48"/>
        <v>0</v>
      </c>
      <c r="O217" s="247">
        <f t="shared" si="48"/>
        <v>0.53741164043210865</v>
      </c>
      <c r="P217" s="247">
        <f t="shared" si="48"/>
        <v>0.37691642525906238</v>
      </c>
      <c r="Q217" s="248">
        <f t="shared" si="48"/>
        <v>0.51294643719195587</v>
      </c>
      <c r="R217" s="247">
        <f t="shared" si="48"/>
        <v>0.40601093351103773</v>
      </c>
      <c r="S217" s="247">
        <f t="shared" si="48"/>
        <v>0.36961297624928435</v>
      </c>
      <c r="T217" s="248">
        <f t="shared" si="48"/>
        <v>0.42371686963485639</v>
      </c>
      <c r="U217" s="247">
        <f t="shared" si="48"/>
        <v>0.12611252644152768</v>
      </c>
      <c r="V217" s="247">
        <f t="shared" si="48"/>
        <v>9.0960069116270068E-2</v>
      </c>
      <c r="W217" s="248">
        <f t="shared" si="48"/>
        <v>4.1777325494959751E-2</v>
      </c>
      <c r="AA217" s="93"/>
      <c r="AB217" s="93"/>
      <c r="AC217" s="83"/>
      <c r="AD217" s="83"/>
      <c r="AE217" s="93"/>
      <c r="AF217" s="93"/>
      <c r="AG217" s="83"/>
      <c r="AH217" s="83"/>
      <c r="AI217" s="93"/>
      <c r="AJ217" s="93"/>
      <c r="AK217" s="83"/>
      <c r="AL217" s="83"/>
      <c r="AM217" s="93"/>
      <c r="AN217" s="93"/>
      <c r="AO217" s="83"/>
      <c r="AP217" s="83"/>
      <c r="AQ217" s="93"/>
      <c r="AR217" s="93"/>
      <c r="AS217" s="83"/>
      <c r="AT217" s="83"/>
      <c r="AU217" s="93"/>
      <c r="AV217" s="93"/>
      <c r="AW217" s="83"/>
      <c r="AX217" s="83"/>
      <c r="AY217" s="93"/>
      <c r="AZ217" s="93"/>
    </row>
    <row r="218" spans="1:52" x14ac:dyDescent="0.45">
      <c r="A218" s="571">
        <v>52</v>
      </c>
      <c r="B218" s="1383"/>
      <c r="C218" s="91" t="s">
        <v>420</v>
      </c>
      <c r="D218" s="115">
        <v>9</v>
      </c>
      <c r="E218" s="91" t="s">
        <v>421</v>
      </c>
      <c r="F218" s="255">
        <f>IF(F$33&lt;&gt;0,F179/F$33,0)</f>
        <v>221716.96123404257</v>
      </c>
      <c r="G218" s="255">
        <f>IF(G$33&lt;&gt;0,G179/G$33,0)</f>
        <v>342047.40684615384</v>
      </c>
      <c r="H218" s="256">
        <f>IF(H$33&lt;&gt;0,H179/H$33,0)</f>
        <v>11128.651734496125</v>
      </c>
      <c r="I218" s="254">
        <f t="shared" ref="I218:W218" si="49">IF(I$33&lt;&gt;0,I179/I$33,0)</f>
        <v>0</v>
      </c>
      <c r="J218" s="255">
        <f t="shared" si="49"/>
        <v>0</v>
      </c>
      <c r="K218" s="256">
        <f t="shared" si="49"/>
        <v>0</v>
      </c>
      <c r="L218" s="254">
        <f t="shared" si="49"/>
        <v>0</v>
      </c>
      <c r="M218" s="255">
        <f t="shared" si="49"/>
        <v>0</v>
      </c>
      <c r="N218" s="256">
        <f t="shared" si="49"/>
        <v>0</v>
      </c>
      <c r="O218" s="254">
        <f t="shared" si="49"/>
        <v>0</v>
      </c>
      <c r="P218" s="255">
        <f t="shared" si="49"/>
        <v>0</v>
      </c>
      <c r="Q218" s="256">
        <f t="shared" si="49"/>
        <v>15975.443034238489</v>
      </c>
      <c r="R218" s="254">
        <f t="shared" si="49"/>
        <v>0</v>
      </c>
      <c r="S218" s="255">
        <f t="shared" si="49"/>
        <v>0</v>
      </c>
      <c r="T218" s="256">
        <f t="shared" si="49"/>
        <v>11728.693909481077</v>
      </c>
      <c r="U218" s="254">
        <f t="shared" si="49"/>
        <v>0</v>
      </c>
      <c r="V218" s="255">
        <f t="shared" si="49"/>
        <v>0</v>
      </c>
      <c r="W218" s="256">
        <f t="shared" si="49"/>
        <v>393.2025620915033</v>
      </c>
      <c r="AA218" s="93"/>
      <c r="AB218" s="93"/>
      <c r="AC218" s="83"/>
      <c r="AD218" s="83"/>
      <c r="AE218" s="93"/>
      <c r="AF218" s="93"/>
      <c r="AG218" s="83"/>
      <c r="AH218" s="83"/>
      <c r="AI218" s="93"/>
      <c r="AJ218" s="93"/>
      <c r="AK218" s="83"/>
      <c r="AL218" s="83"/>
      <c r="AM218" s="93"/>
      <c r="AN218" s="93"/>
      <c r="AO218" s="83"/>
      <c r="AP218" s="83"/>
      <c r="AQ218" s="93"/>
      <c r="AR218" s="93"/>
      <c r="AS218" s="83"/>
      <c r="AT218" s="83"/>
      <c r="AU218" s="93"/>
      <c r="AV218" s="93"/>
      <c r="AW218" s="83"/>
      <c r="AX218" s="83"/>
      <c r="AY218" s="93"/>
      <c r="AZ218" s="93"/>
    </row>
    <row r="219" spans="1:52" x14ac:dyDescent="0.45">
      <c r="A219" s="571">
        <v>53</v>
      </c>
      <c r="B219" s="1383"/>
      <c r="C219" s="91" t="s">
        <v>422</v>
      </c>
      <c r="D219" s="115">
        <v>10</v>
      </c>
      <c r="E219" s="257" t="s">
        <v>423</v>
      </c>
      <c r="F219" s="258">
        <v>5.6283986361087817E-3</v>
      </c>
      <c r="G219" s="258">
        <v>5.8277379008081645E-3</v>
      </c>
      <c r="H219" s="259">
        <f>IF(H205&lt;&gt;0,-H194/H205,0)</f>
        <v>8.965710025639017E-3</v>
      </c>
      <c r="I219" s="258">
        <v>3.4563440450780035E-3</v>
      </c>
      <c r="J219" s="258">
        <v>3.9721327001343244E-3</v>
      </c>
      <c r="K219" s="258"/>
      <c r="L219" s="258">
        <v>5.0872661621275913E-4</v>
      </c>
      <c r="M219" s="258">
        <v>-3.7967291920177517E-6</v>
      </c>
      <c r="N219" s="258">
        <v>0</v>
      </c>
      <c r="O219" s="258">
        <v>1.0349453760455107E-2</v>
      </c>
      <c r="P219" s="258">
        <v>9.8155461387650095E-3</v>
      </c>
      <c r="Q219" s="258">
        <v>0</v>
      </c>
      <c r="R219" s="258">
        <v>9.6244102864323916E-3</v>
      </c>
      <c r="S219" s="258">
        <v>1.0521306118901294E-2</v>
      </c>
      <c r="T219" s="258">
        <v>0</v>
      </c>
      <c r="U219" s="258">
        <v>-4.7403497637090357E-3</v>
      </c>
      <c r="V219" s="258">
        <v>-6.2941309428322179E-3</v>
      </c>
      <c r="W219" s="258">
        <v>0</v>
      </c>
      <c r="AA219" s="93"/>
      <c r="AB219" s="93"/>
      <c r="AC219" s="83" t="s">
        <v>424</v>
      </c>
      <c r="AD219" s="83"/>
      <c r="AE219" s="93"/>
      <c r="AF219" s="93"/>
      <c r="AG219" s="83" t="s">
        <v>424</v>
      </c>
      <c r="AH219" s="83"/>
      <c r="AI219" s="93"/>
      <c r="AJ219" s="93"/>
      <c r="AK219" s="83" t="s">
        <v>424</v>
      </c>
      <c r="AL219" s="83"/>
      <c r="AM219" s="93"/>
      <c r="AN219" s="93"/>
      <c r="AO219" s="83" t="s">
        <v>424</v>
      </c>
      <c r="AP219" s="83"/>
      <c r="AQ219" s="93"/>
      <c r="AR219" s="93"/>
      <c r="AS219" s="83" t="s">
        <v>424</v>
      </c>
      <c r="AT219" s="83"/>
      <c r="AU219" s="93"/>
      <c r="AV219" s="93"/>
      <c r="AW219" s="83" t="s">
        <v>424</v>
      </c>
      <c r="AX219" s="83"/>
      <c r="AY219" s="93"/>
      <c r="AZ219" s="93"/>
    </row>
    <row r="220" spans="1:52" x14ac:dyDescent="0.45">
      <c r="A220" s="571">
        <v>54</v>
      </c>
      <c r="B220" s="1383"/>
      <c r="C220" s="91" t="s">
        <v>425</v>
      </c>
      <c r="D220" s="115">
        <v>11</v>
      </c>
      <c r="E220" s="91" t="s">
        <v>426</v>
      </c>
      <c r="F220" s="261">
        <f>IF(F205&lt;&gt;0,-F194/F205,0)</f>
        <v>7.1340708821272698E-3</v>
      </c>
      <c r="G220" s="261">
        <f>IF(G205&lt;&gt;0,-G194/G205,0)</f>
        <v>7.6800552566858417E-3</v>
      </c>
      <c r="H220" s="262">
        <f>IF(H205&lt;&gt;0,-H194/H205,0)</f>
        <v>8.965710025639017E-3</v>
      </c>
      <c r="I220" s="263">
        <f>IF(I205&lt;&gt;0,-I194/I205,0)</f>
        <v>1.5089547282414676E-3</v>
      </c>
      <c r="J220" s="263">
        <f t="shared" ref="J220:W220" si="50">IF(J205&lt;&gt;0,-J194/J205,0)</f>
        <v>3.7552792514621448E-3</v>
      </c>
      <c r="K220" s="264">
        <f t="shared" si="50"/>
        <v>4.1024540930452427E-3</v>
      </c>
      <c r="L220" s="263">
        <f>IF(L205&lt;&gt;0,-L194/L205,0)</f>
        <v>6.5318922090560423E-4</v>
      </c>
      <c r="M220" s="263">
        <f t="shared" si="50"/>
        <v>8.9348103833021271E-4</v>
      </c>
      <c r="N220" s="264">
        <f t="shared" si="50"/>
        <v>1.0604776389314507E-3</v>
      </c>
      <c r="O220" s="263">
        <f>IF(O205&lt;&gt;0,-O194/O205,0)</f>
        <v>1.3008292095182467E-2</v>
      </c>
      <c r="P220" s="263">
        <f t="shared" si="50"/>
        <v>1.2305955491982159E-2</v>
      </c>
      <c r="Q220" s="264">
        <f t="shared" si="50"/>
        <v>1.2373879227479104E-2</v>
      </c>
      <c r="R220" s="263">
        <f>IF(R205&lt;&gt;0,-R194/R205,0)</f>
        <v>1.224284821461198E-2</v>
      </c>
      <c r="S220" s="263">
        <f t="shared" si="50"/>
        <v>1.2637450722189209E-2</v>
      </c>
      <c r="T220" s="264">
        <f t="shared" si="50"/>
        <v>1.6931757323198977E-2</v>
      </c>
      <c r="U220" s="263">
        <f>IF(U205&lt;&gt;0,-U194/U205,0)</f>
        <v>-2.158900199414364E-3</v>
      </c>
      <c r="V220" s="263">
        <f t="shared" si="50"/>
        <v>-3.2943243730025186E-3</v>
      </c>
      <c r="W220" s="264">
        <f t="shared" si="50"/>
        <v>-2.0581761582322512E-3</v>
      </c>
      <c r="AA220" s="93"/>
      <c r="AB220" s="93"/>
      <c r="AC220" s="83"/>
      <c r="AD220" s="83"/>
      <c r="AE220" s="93"/>
      <c r="AF220" s="93"/>
      <c r="AG220" s="83"/>
      <c r="AH220" s="83"/>
      <c r="AI220" s="93"/>
      <c r="AJ220" s="93"/>
      <c r="AK220" s="83"/>
      <c r="AL220" s="83"/>
      <c r="AM220" s="93"/>
      <c r="AN220" s="93"/>
      <c r="AO220" s="83"/>
      <c r="AP220" s="83"/>
      <c r="AQ220" s="93"/>
      <c r="AR220" s="93"/>
      <c r="AS220" s="83"/>
      <c r="AT220" s="83"/>
      <c r="AU220" s="93"/>
      <c r="AV220" s="93"/>
      <c r="AW220" s="83"/>
      <c r="AX220" s="83"/>
      <c r="AY220" s="93"/>
      <c r="AZ220" s="93"/>
    </row>
    <row r="221" spans="1:52" x14ac:dyDescent="0.45">
      <c r="A221" s="571">
        <v>55</v>
      </c>
      <c r="B221" s="1383"/>
      <c r="C221" s="91" t="s">
        <v>427</v>
      </c>
      <c r="D221" s="115">
        <v>12</v>
      </c>
      <c r="E221" s="257" t="s">
        <v>428</v>
      </c>
      <c r="F221" s="265">
        <f t="shared" ref="F221:W221" si="51">F74/F73</f>
        <v>1.3501498573366593E-3</v>
      </c>
      <c r="G221" s="265">
        <f t="shared" si="51"/>
        <v>1.3220500212674947E-3</v>
      </c>
      <c r="H221" s="266">
        <f>H74/H73</f>
        <v>8.1753659030898095E-4</v>
      </c>
      <c r="I221" s="261">
        <f t="shared" si="51"/>
        <v>2.2093895601201837E-3</v>
      </c>
      <c r="J221" s="265">
        <f t="shared" si="51"/>
        <v>5.1987446911838338E-4</v>
      </c>
      <c r="K221" s="266">
        <f t="shared" si="51"/>
        <v>1.2728377353218767E-4</v>
      </c>
      <c r="L221" s="265">
        <f t="shared" si="51"/>
        <v>1.165858338218835E-4</v>
      </c>
      <c r="M221" s="265">
        <f t="shared" si="51"/>
        <v>1.2714785694641707E-4</v>
      </c>
      <c r="N221" s="266">
        <f t="shared" si="51"/>
        <v>0</v>
      </c>
      <c r="O221" s="265">
        <f t="shared" si="51"/>
        <v>3.7055334693636134E-4</v>
      </c>
      <c r="P221" s="265">
        <f t="shared" si="51"/>
        <v>5.987815669041464E-4</v>
      </c>
      <c r="Q221" s="266">
        <f t="shared" si="51"/>
        <v>3.6242882479460109E-4</v>
      </c>
      <c r="R221" s="265">
        <f t="shared" si="51"/>
        <v>3.032000393688501E-3</v>
      </c>
      <c r="S221" s="265">
        <f t="shared" si="51"/>
        <v>3.7679741924084758E-3</v>
      </c>
      <c r="T221" s="266">
        <f t="shared" si="51"/>
        <v>2.443947715649525E-3</v>
      </c>
      <c r="U221" s="265">
        <f t="shared" si="51"/>
        <v>2.8727662860593178E-4</v>
      </c>
      <c r="V221" s="265">
        <f t="shared" si="51"/>
        <v>1.8524592027850017E-4</v>
      </c>
      <c r="W221" s="266">
        <f t="shared" si="51"/>
        <v>1.356665562937378E-4</v>
      </c>
      <c r="AA221" s="93"/>
      <c r="AB221" s="93"/>
      <c r="AC221" s="83"/>
      <c r="AD221" s="83"/>
      <c r="AE221" s="93"/>
      <c r="AF221" s="93"/>
      <c r="AG221" s="83"/>
      <c r="AH221" s="83"/>
      <c r="AI221" s="93"/>
      <c r="AJ221" s="93"/>
      <c r="AK221" s="83"/>
      <c r="AL221" s="83"/>
      <c r="AM221" s="93"/>
      <c r="AN221" s="93"/>
      <c r="AO221" s="83"/>
      <c r="AP221" s="83"/>
      <c r="AQ221" s="93"/>
      <c r="AR221" s="93"/>
      <c r="AS221" s="83"/>
      <c r="AT221" s="83"/>
      <c r="AU221" s="93"/>
      <c r="AV221" s="93"/>
      <c r="AW221" s="83"/>
      <c r="AX221" s="83"/>
      <c r="AY221" s="93"/>
      <c r="AZ221" s="93"/>
    </row>
    <row r="222" spans="1:52" x14ac:dyDescent="0.45">
      <c r="A222" s="571">
        <v>56</v>
      </c>
      <c r="B222" s="1383"/>
      <c r="C222" s="91" t="s">
        <v>429</v>
      </c>
      <c r="D222" s="115">
        <v>13</v>
      </c>
      <c r="E222" s="257" t="s">
        <v>430</v>
      </c>
      <c r="F222" s="116"/>
      <c r="G222" s="116"/>
      <c r="H222" s="267">
        <f>IF(H206&lt;&gt;0,H130/H206,0)</f>
        <v>8.2115620410245764</v>
      </c>
      <c r="I222" s="116"/>
      <c r="J222" s="116"/>
      <c r="K222" s="267">
        <f>IF(K206&lt;&gt;0,K130/K206,0)</f>
        <v>2.969529822694787</v>
      </c>
      <c r="L222" s="116"/>
      <c r="M222" s="116"/>
      <c r="N222" s="267">
        <f>IF(N206&lt;&gt;0,N130/N206,0)</f>
        <v>11.683678699918449</v>
      </c>
      <c r="O222" s="116"/>
      <c r="P222" s="116"/>
      <c r="Q222" s="267">
        <f>IF(Q206&lt;&gt;0,Q130/Q206,0)</f>
        <v>17.602995541499762</v>
      </c>
      <c r="R222" s="116"/>
      <c r="S222" s="116"/>
      <c r="T222" s="267">
        <f>IF(T206&lt;&gt;0,T130/T206,0)</f>
        <v>12.868293053481981</v>
      </c>
      <c r="U222" s="116"/>
      <c r="V222" s="116"/>
      <c r="W222" s="267">
        <f>IF(W206&lt;&gt;0,W130/W206,0)</f>
        <v>2.182772501241184</v>
      </c>
      <c r="AA222" s="93"/>
      <c r="AB222" s="93"/>
      <c r="AC222" s="83"/>
      <c r="AD222" s="83"/>
      <c r="AE222" s="93"/>
      <c r="AF222" s="93"/>
      <c r="AG222" s="83"/>
      <c r="AH222" s="83"/>
      <c r="AI222" s="93"/>
      <c r="AJ222" s="93"/>
      <c r="AK222" s="83"/>
      <c r="AL222" s="83"/>
      <c r="AM222" s="93"/>
      <c r="AN222" s="93"/>
      <c r="AO222" s="83"/>
      <c r="AP222" s="83"/>
      <c r="AQ222" s="93"/>
      <c r="AR222" s="93"/>
      <c r="AS222" s="83"/>
      <c r="AT222" s="83"/>
      <c r="AU222" s="93"/>
      <c r="AV222" s="93"/>
      <c r="AW222" s="83"/>
      <c r="AX222" s="83"/>
      <c r="AY222" s="93"/>
      <c r="AZ222" s="93"/>
    </row>
    <row r="223" spans="1:52" x14ac:dyDescent="0.45">
      <c r="A223" s="571">
        <v>57</v>
      </c>
      <c r="B223" s="268"/>
      <c r="C223" s="91" t="s">
        <v>431</v>
      </c>
      <c r="D223" s="115">
        <v>14</v>
      </c>
      <c r="E223" s="257" t="s">
        <v>432</v>
      </c>
      <c r="F223" s="89"/>
      <c r="G223" s="89"/>
      <c r="H223" s="228">
        <f>IF(H$50&lt;&gt;0,H193/H$50/12,0)</f>
        <v>2312.9006639211889</v>
      </c>
      <c r="I223" s="92"/>
      <c r="J223" s="92"/>
      <c r="K223" s="228">
        <f>IF(K$50&lt;&gt;0,K193/K$50/12,0)</f>
        <v>10360.684342592593</v>
      </c>
      <c r="L223" s="92"/>
      <c r="M223" s="92"/>
      <c r="N223" s="228">
        <f>IF(N$50&lt;&gt;0,N193/N$50/12,0)</f>
        <v>1946.79</v>
      </c>
      <c r="O223" s="92"/>
      <c r="P223" s="92"/>
      <c r="Q223" s="228">
        <f>IF(Q$50&lt;&gt;0,Q193/Q$50/12,0)</f>
        <v>2595.3721928702612</v>
      </c>
      <c r="R223" s="92"/>
      <c r="S223" s="92"/>
      <c r="T223" s="228">
        <f>IF(T$50&lt;&gt;0,T193/T$50/12,0)</f>
        <v>2306.7081562405169</v>
      </c>
      <c r="U223" s="92"/>
      <c r="V223" s="92"/>
      <c r="W223" s="228">
        <f>IF(W$50&lt;&gt;0,W193/W$50/12,0)</f>
        <v>784.32211220043564</v>
      </c>
      <c r="AA223" s="93"/>
      <c r="AB223" s="93"/>
      <c r="AC223" s="83"/>
      <c r="AD223" s="83"/>
      <c r="AE223" s="93"/>
      <c r="AF223" s="93"/>
      <c r="AG223" s="83"/>
      <c r="AH223" s="83"/>
      <c r="AI223" s="93"/>
      <c r="AJ223" s="93"/>
      <c r="AK223" s="83"/>
      <c r="AL223" s="83"/>
      <c r="AM223" s="93"/>
      <c r="AN223" s="93"/>
      <c r="AO223" s="83"/>
      <c r="AP223" s="83"/>
      <c r="AQ223" s="93"/>
      <c r="AR223" s="93"/>
      <c r="AS223" s="83"/>
      <c r="AT223" s="83"/>
      <c r="AU223" s="93"/>
      <c r="AV223" s="93"/>
      <c r="AW223" s="83"/>
      <c r="AX223" s="83"/>
      <c r="AY223" s="93"/>
      <c r="AZ223" s="93"/>
    </row>
    <row r="224" spans="1:52" x14ac:dyDescent="0.45">
      <c r="A224" s="571">
        <v>58</v>
      </c>
      <c r="B224" s="268"/>
      <c r="C224" s="91" t="s">
        <v>433</v>
      </c>
      <c r="D224" s="115">
        <v>15</v>
      </c>
      <c r="E224" s="257" t="s">
        <v>1400</v>
      </c>
      <c r="F224" s="89"/>
      <c r="G224" s="89"/>
      <c r="H224" s="228">
        <f>IF(H$50&lt;&gt;0,H194/H$50/12,0)</f>
        <v>-1898.2772627583979</v>
      </c>
      <c r="I224" s="92"/>
      <c r="J224" s="92"/>
      <c r="K224" s="228">
        <f>IF(K$50&lt;&gt;0,K194/K$50/12,0)</f>
        <v>-9353.4889722222215</v>
      </c>
      <c r="L224" s="92"/>
      <c r="M224" s="92"/>
      <c r="N224" s="228">
        <f>IF(N$50&lt;&gt;0,N194/N$50/12,0)</f>
        <v>-1946.5729861111113</v>
      </c>
      <c r="O224" s="92"/>
      <c r="P224" s="92"/>
      <c r="Q224" s="228">
        <f>IF(Q$50&lt;&gt;0,Q194/Q$50/12,0)</f>
        <v>-2478.3471535156764</v>
      </c>
      <c r="R224" s="92"/>
      <c r="S224" s="92"/>
      <c r="T224" s="228">
        <f>IF(T$50&lt;&gt;0,T194/T$50/12,0)</f>
        <v>-1950.9572783630299</v>
      </c>
      <c r="U224" s="92"/>
      <c r="V224" s="92"/>
      <c r="W224" s="228">
        <f>IF(W$50&lt;&gt;0,W194/W$50/12,0)</f>
        <v>442.82668954248373</v>
      </c>
      <c r="AA224" s="93"/>
      <c r="AB224" s="93"/>
      <c r="AC224" s="83"/>
      <c r="AD224" s="83"/>
      <c r="AE224" s="93"/>
      <c r="AF224" s="93"/>
      <c r="AG224" s="83"/>
      <c r="AH224" s="83"/>
      <c r="AI224" s="93"/>
      <c r="AJ224" s="93"/>
      <c r="AK224" s="83"/>
      <c r="AL224" s="83"/>
      <c r="AM224" s="93"/>
      <c r="AN224" s="93"/>
      <c r="AO224" s="83"/>
      <c r="AP224" s="83"/>
      <c r="AQ224" s="93"/>
      <c r="AR224" s="93"/>
      <c r="AS224" s="83"/>
      <c r="AT224" s="83"/>
      <c r="AU224" s="93"/>
      <c r="AV224" s="93"/>
      <c r="AW224" s="83"/>
      <c r="AX224" s="83"/>
      <c r="AY224" s="93"/>
      <c r="AZ224" s="93"/>
    </row>
    <row r="225" spans="1:52" x14ac:dyDescent="0.45">
      <c r="A225" s="571">
        <v>59</v>
      </c>
      <c r="B225" s="268"/>
      <c r="C225" s="91" t="s">
        <v>434</v>
      </c>
      <c r="D225" s="115"/>
      <c r="E225" s="257" t="s">
        <v>1308</v>
      </c>
      <c r="F225" s="247">
        <f>IF(F207&lt;&gt;0,F197/F207,0)</f>
        <v>0.12911491713184367</v>
      </c>
      <c r="G225" s="197">
        <f t="shared" ref="G225:W225" si="52">IF(G207&lt;&gt;0,G197/G207,0)</f>
        <v>0.2262622956784065</v>
      </c>
      <c r="H225" s="266">
        <f t="shared" si="52"/>
        <v>0.24001823843768713</v>
      </c>
      <c r="I225" s="757">
        <f t="shared" si="52"/>
        <v>8.2142341369943306E-2</v>
      </c>
      <c r="J225" s="757">
        <f t="shared" si="52"/>
        <v>0.53381492294990063</v>
      </c>
      <c r="K225" s="266">
        <f t="shared" si="52"/>
        <v>0.39757553272276625</v>
      </c>
      <c r="L225" s="757">
        <f t="shared" si="52"/>
        <v>0</v>
      </c>
      <c r="M225" s="757">
        <f t="shared" si="52"/>
        <v>0</v>
      </c>
      <c r="N225" s="266">
        <f t="shared" si="52"/>
        <v>0</v>
      </c>
      <c r="O225" s="757">
        <f t="shared" si="52"/>
        <v>1.4473657586976172E-2</v>
      </c>
      <c r="P225" s="757">
        <f t="shared" si="52"/>
        <v>5.4457768087850366E-3</v>
      </c>
      <c r="Q225" s="266">
        <f t="shared" si="52"/>
        <v>8.6890375017410773E-2</v>
      </c>
      <c r="R225" s="757">
        <f t="shared" si="52"/>
        <v>3.5148162681969602E-2</v>
      </c>
      <c r="S225" s="757">
        <f t="shared" si="52"/>
        <v>7.2026885887480532E-2</v>
      </c>
      <c r="T225" s="266">
        <f t="shared" si="52"/>
        <v>5.9197853837512041E-2</v>
      </c>
      <c r="U225" s="757">
        <f t="shared" si="52"/>
        <v>0.35548862450798441</v>
      </c>
      <c r="V225" s="757">
        <f t="shared" si="52"/>
        <v>0.71374387922892613</v>
      </c>
      <c r="W225" s="266">
        <f t="shared" si="52"/>
        <v>0.89195679373474301</v>
      </c>
      <c r="AA225" s="93"/>
      <c r="AB225" s="93"/>
      <c r="AC225" s="83"/>
      <c r="AD225" s="83"/>
      <c r="AE225" s="93"/>
      <c r="AF225" s="93"/>
      <c r="AG225" s="83"/>
      <c r="AH225" s="83"/>
      <c r="AI225" s="93"/>
      <c r="AJ225" s="93"/>
      <c r="AK225" s="83"/>
      <c r="AL225" s="83"/>
      <c r="AM225" s="93"/>
      <c r="AN225" s="93"/>
      <c r="AO225" s="83"/>
      <c r="AP225" s="83"/>
      <c r="AQ225" s="93"/>
      <c r="AR225" s="93"/>
      <c r="AS225" s="83"/>
      <c r="AT225" s="83"/>
      <c r="AU225" s="93"/>
      <c r="AV225" s="93"/>
      <c r="AW225" s="83"/>
      <c r="AX225" s="83"/>
      <c r="AY225" s="93"/>
      <c r="AZ225" s="93"/>
    </row>
    <row r="226" spans="1:52" x14ac:dyDescent="0.45">
      <c r="A226" s="571">
        <v>60</v>
      </c>
      <c r="B226" s="268"/>
      <c r="C226" s="91" t="s">
        <v>435</v>
      </c>
      <c r="D226" s="115"/>
      <c r="E226" s="257"/>
      <c r="F226" s="89"/>
      <c r="G226" s="89"/>
      <c r="H226" s="228"/>
      <c r="I226" s="92"/>
      <c r="J226" s="92"/>
      <c r="K226" s="228"/>
      <c r="L226" s="92"/>
      <c r="M226" s="92"/>
      <c r="N226" s="228"/>
      <c r="O226" s="92"/>
      <c r="P226" s="92"/>
      <c r="Q226" s="228"/>
      <c r="R226" s="92"/>
      <c r="S226" s="92"/>
      <c r="T226" s="228"/>
      <c r="U226" s="92"/>
      <c r="V226" s="92"/>
      <c r="W226" s="228"/>
      <c r="AA226" s="93"/>
      <c r="AB226" s="93"/>
      <c r="AC226" s="83"/>
      <c r="AD226" s="83"/>
      <c r="AE226" s="93"/>
      <c r="AF226" s="93"/>
      <c r="AG226" s="83"/>
      <c r="AH226" s="83"/>
      <c r="AI226" s="93"/>
      <c r="AJ226" s="93"/>
      <c r="AK226" s="83"/>
      <c r="AL226" s="83"/>
      <c r="AM226" s="93"/>
      <c r="AN226" s="93"/>
      <c r="AO226" s="83"/>
      <c r="AP226" s="83"/>
      <c r="AQ226" s="93"/>
      <c r="AR226" s="93"/>
      <c r="AS226" s="83"/>
      <c r="AT226" s="83"/>
      <c r="AU226" s="93"/>
      <c r="AV226" s="93"/>
      <c r="AW226" s="83"/>
      <c r="AX226" s="83"/>
      <c r="AY226" s="93"/>
      <c r="AZ226" s="93"/>
    </row>
    <row r="227" spans="1:52" x14ac:dyDescent="0.45">
      <c r="B227" s="268"/>
      <c r="C227" s="91"/>
      <c r="D227" s="115"/>
      <c r="E227" s="257"/>
      <c r="F227" s="89"/>
      <c r="G227" s="89"/>
      <c r="H227" s="228"/>
      <c r="I227" s="92"/>
      <c r="J227" s="92"/>
      <c r="K227" s="228"/>
      <c r="L227" s="92"/>
      <c r="M227" s="92"/>
      <c r="N227" s="228"/>
      <c r="O227" s="92"/>
      <c r="P227" s="92"/>
      <c r="Q227" s="228"/>
      <c r="R227" s="92"/>
      <c r="S227" s="92"/>
      <c r="T227" s="228"/>
      <c r="U227" s="92"/>
      <c r="V227" s="92"/>
      <c r="W227" s="228"/>
      <c r="AA227" s="93"/>
      <c r="AB227" s="93"/>
      <c r="AC227" s="83"/>
      <c r="AD227" s="83"/>
      <c r="AE227" s="93"/>
      <c r="AF227" s="93"/>
      <c r="AG227" s="83"/>
      <c r="AH227" s="83"/>
      <c r="AI227" s="93"/>
      <c r="AJ227" s="93"/>
      <c r="AK227" s="83"/>
      <c r="AL227" s="83"/>
      <c r="AM227" s="93"/>
      <c r="AN227" s="93"/>
      <c r="AO227" s="83"/>
      <c r="AP227" s="83"/>
      <c r="AQ227" s="93"/>
      <c r="AR227" s="93"/>
      <c r="AS227" s="83"/>
      <c r="AT227" s="83"/>
      <c r="AU227" s="93"/>
      <c r="AV227" s="93"/>
      <c r="AW227" s="83"/>
      <c r="AX227" s="83"/>
      <c r="AY227" s="93"/>
      <c r="AZ227" s="93"/>
    </row>
    <row r="228" spans="1:52" x14ac:dyDescent="0.45">
      <c r="B228" s="268"/>
      <c r="C228" s="91"/>
      <c r="D228" s="115"/>
      <c r="E228" s="257"/>
      <c r="F228" s="89"/>
      <c r="G228" s="89"/>
      <c r="H228" s="228"/>
      <c r="I228" s="92"/>
      <c r="J228" s="92"/>
      <c r="K228" s="228"/>
      <c r="L228" s="92"/>
      <c r="M228" s="92"/>
      <c r="N228" s="228"/>
      <c r="O228" s="92"/>
      <c r="P228" s="92"/>
      <c r="Q228" s="228"/>
      <c r="R228" s="92"/>
      <c r="S228" s="92"/>
      <c r="T228" s="228"/>
      <c r="U228" s="92"/>
      <c r="V228" s="92"/>
      <c r="W228" s="228"/>
      <c r="AA228" s="93"/>
      <c r="AB228" s="93"/>
      <c r="AC228" s="83"/>
      <c r="AD228" s="83"/>
      <c r="AE228" s="93"/>
      <c r="AF228" s="93"/>
      <c r="AG228" s="83"/>
      <c r="AH228" s="83"/>
      <c r="AI228" s="93"/>
      <c r="AJ228" s="93"/>
      <c r="AK228" s="83"/>
      <c r="AL228" s="83"/>
      <c r="AM228" s="93"/>
      <c r="AN228" s="93"/>
      <c r="AO228" s="83"/>
      <c r="AP228" s="83"/>
      <c r="AQ228" s="93"/>
      <c r="AR228" s="93"/>
      <c r="AS228" s="83"/>
      <c r="AT228" s="83"/>
      <c r="AU228" s="93"/>
      <c r="AV228" s="93"/>
      <c r="AW228" s="83"/>
      <c r="AX228" s="83"/>
      <c r="AY228" s="93"/>
      <c r="AZ228" s="93"/>
    </row>
    <row r="229" spans="1:52" outlineLevel="1" x14ac:dyDescent="0.45">
      <c r="B229" s="1387" t="s">
        <v>436</v>
      </c>
      <c r="C229" s="91" t="s">
        <v>433</v>
      </c>
      <c r="D229" s="103"/>
      <c r="E229" s="11" t="s">
        <v>437</v>
      </c>
      <c r="F229" s="89"/>
      <c r="G229" s="89"/>
      <c r="H229" s="23"/>
      <c r="I229" s="91"/>
      <c r="J229" s="92"/>
      <c r="K229" s="31"/>
      <c r="L229" s="92"/>
      <c r="M229" s="92"/>
      <c r="N229" s="31"/>
      <c r="O229" s="92"/>
      <c r="P229" s="92"/>
      <c r="Q229" s="31"/>
      <c r="R229" s="92"/>
      <c r="S229" s="92"/>
      <c r="T229" s="31"/>
      <c r="U229" s="92"/>
      <c r="V229" s="92"/>
      <c r="W229" s="31"/>
      <c r="AA229" s="93"/>
      <c r="AB229" s="93"/>
      <c r="AC229" s="83"/>
      <c r="AD229" s="83"/>
      <c r="AE229" s="93"/>
      <c r="AF229" s="93"/>
      <c r="AG229" s="83"/>
      <c r="AH229" s="83"/>
      <c r="AI229" s="93"/>
      <c r="AJ229" s="93"/>
      <c r="AK229" s="83"/>
      <c r="AL229" s="83"/>
      <c r="AM229" s="93"/>
      <c r="AN229" s="93"/>
      <c r="AO229" s="83"/>
      <c r="AP229" s="83"/>
      <c r="AQ229" s="93"/>
      <c r="AR229" s="93"/>
      <c r="AS229" s="83"/>
      <c r="AT229" s="83"/>
      <c r="AU229" s="93"/>
      <c r="AV229" s="93"/>
      <c r="AW229" s="83"/>
      <c r="AX229" s="83"/>
      <c r="AY229" s="93"/>
      <c r="AZ229" s="93"/>
    </row>
    <row r="230" spans="1:52" outlineLevel="1" x14ac:dyDescent="0.45">
      <c r="B230" s="1387"/>
      <c r="C230" s="91" t="s">
        <v>434</v>
      </c>
      <c r="D230" s="103"/>
      <c r="E230" s="11" t="s">
        <v>316</v>
      </c>
      <c r="F230" s="89"/>
      <c r="G230" s="89"/>
      <c r="H230" s="23"/>
      <c r="I230" s="91"/>
      <c r="J230" s="92"/>
      <c r="K230" s="31"/>
      <c r="L230" s="92"/>
      <c r="M230" s="92"/>
      <c r="N230" s="31"/>
      <c r="O230" s="92"/>
      <c r="P230" s="92"/>
      <c r="Q230" s="31"/>
      <c r="R230" s="92"/>
      <c r="S230" s="92"/>
      <c r="T230" s="31"/>
      <c r="U230" s="92"/>
      <c r="V230" s="92"/>
      <c r="W230" s="31"/>
      <c r="AA230" s="93"/>
      <c r="AB230" s="93"/>
      <c r="AC230" s="83"/>
      <c r="AD230" s="83"/>
      <c r="AE230" s="93"/>
      <c r="AF230" s="93"/>
      <c r="AG230" s="83"/>
      <c r="AH230" s="83"/>
      <c r="AI230" s="93"/>
      <c r="AJ230" s="93"/>
      <c r="AK230" s="83"/>
      <c r="AL230" s="83"/>
      <c r="AM230" s="93"/>
      <c r="AN230" s="93"/>
      <c r="AO230" s="83"/>
      <c r="AP230" s="83"/>
      <c r="AQ230" s="93"/>
      <c r="AR230" s="93"/>
      <c r="AS230" s="83"/>
      <c r="AT230" s="83"/>
      <c r="AU230" s="93"/>
      <c r="AV230" s="93"/>
      <c r="AW230" s="83"/>
      <c r="AX230" s="83"/>
      <c r="AY230" s="93"/>
      <c r="AZ230" s="93"/>
    </row>
    <row r="231" spans="1:52" outlineLevel="1" x14ac:dyDescent="0.45">
      <c r="B231" s="1387"/>
      <c r="C231" s="91" t="s">
        <v>435</v>
      </c>
      <c r="D231" s="115"/>
      <c r="E231" s="12" t="s">
        <v>266</v>
      </c>
      <c r="F231" s="89"/>
      <c r="G231" s="89"/>
      <c r="H231" s="23"/>
      <c r="I231" s="207"/>
      <c r="J231" s="89"/>
      <c r="K231" s="23"/>
      <c r="L231" s="92"/>
      <c r="M231" s="92"/>
      <c r="N231" s="31"/>
      <c r="O231" s="92"/>
      <c r="P231" s="92"/>
      <c r="Q231" s="31"/>
      <c r="R231" s="92"/>
      <c r="S231" s="92"/>
      <c r="T231" s="31"/>
      <c r="U231" s="92"/>
      <c r="V231" s="92"/>
      <c r="W231" s="31"/>
      <c r="AA231" s="93"/>
      <c r="AB231" s="93"/>
      <c r="AC231" s="83"/>
      <c r="AD231" s="83"/>
      <c r="AE231" s="93"/>
      <c r="AF231" s="93"/>
      <c r="AG231" s="83"/>
      <c r="AH231" s="83"/>
      <c r="AI231" s="93"/>
      <c r="AJ231" s="93"/>
      <c r="AK231" s="83"/>
      <c r="AL231" s="83"/>
      <c r="AM231" s="93"/>
      <c r="AN231" s="93"/>
      <c r="AO231" s="83"/>
      <c r="AP231" s="83"/>
      <c r="AQ231" s="93"/>
      <c r="AR231" s="93"/>
      <c r="AS231" s="83"/>
      <c r="AT231" s="83"/>
      <c r="AU231" s="93"/>
      <c r="AV231" s="93"/>
      <c r="AW231" s="83"/>
      <c r="AX231" s="83"/>
      <c r="AY231" s="93"/>
      <c r="AZ231" s="93"/>
    </row>
    <row r="232" spans="1:52" ht="42.75" outlineLevel="1" x14ac:dyDescent="0.45">
      <c r="B232" s="1387"/>
      <c r="C232" s="91" t="s">
        <v>438</v>
      </c>
      <c r="D232" s="269" t="s">
        <v>439</v>
      </c>
      <c r="E232" s="116" t="s">
        <v>319</v>
      </c>
      <c r="F232" s="130">
        <f t="shared" ref="F232:H236" si="53">I232+L232+O232+R232+U232</f>
        <v>1380744</v>
      </c>
      <c r="G232" s="130">
        <f t="shared" si="53"/>
        <v>1012908</v>
      </c>
      <c r="H232" s="131">
        <f t="shared" si="53"/>
        <v>485616</v>
      </c>
      <c r="I232" s="217">
        <f>(90+88+203)*302*12</f>
        <v>1380744</v>
      </c>
      <c r="J232" s="217">
        <f>(90+88+203/2)*302*12</f>
        <v>1012908</v>
      </c>
      <c r="K232" s="217">
        <f>(90+88/2)*302*12</f>
        <v>485616</v>
      </c>
      <c r="L232" s="218"/>
      <c r="M232" s="217"/>
      <c r="N232" s="217"/>
      <c r="O232" s="218"/>
      <c r="P232" s="217"/>
      <c r="Q232" s="217"/>
      <c r="R232" s="218"/>
      <c r="S232" s="217"/>
      <c r="T232" s="217"/>
      <c r="U232" s="218"/>
      <c r="V232" s="217"/>
      <c r="W232" s="217"/>
      <c r="AA232" s="93"/>
      <c r="AB232" s="93"/>
      <c r="AC232" s="83"/>
      <c r="AD232" s="83"/>
      <c r="AE232" s="93"/>
      <c r="AF232" s="93"/>
      <c r="AG232" s="83"/>
      <c r="AH232" s="83"/>
      <c r="AI232" s="93"/>
      <c r="AJ232" s="93"/>
      <c r="AK232" s="83"/>
      <c r="AL232" s="83"/>
      <c r="AM232" s="93"/>
      <c r="AN232" s="93"/>
      <c r="AO232" s="83"/>
      <c r="AP232" s="83"/>
      <c r="AQ232" s="93"/>
      <c r="AR232" s="93"/>
      <c r="AS232" s="83"/>
      <c r="AT232" s="83"/>
      <c r="AU232" s="93"/>
      <c r="AV232" s="93"/>
      <c r="AW232" s="83"/>
      <c r="AX232" s="83"/>
      <c r="AY232" s="93"/>
      <c r="AZ232" s="93"/>
    </row>
    <row r="233" spans="1:52" ht="57" outlineLevel="1" x14ac:dyDescent="0.45">
      <c r="B233" s="1387"/>
      <c r="C233" s="91" t="s">
        <v>440</v>
      </c>
      <c r="D233" s="270" t="s">
        <v>441</v>
      </c>
      <c r="E233" s="129" t="s">
        <v>233</v>
      </c>
      <c r="F233" s="130">
        <f t="shared" si="53"/>
        <v>0</v>
      </c>
      <c r="G233" s="130">
        <f t="shared" si="53"/>
        <v>0</v>
      </c>
      <c r="H233" s="131">
        <f t="shared" si="53"/>
        <v>0</v>
      </c>
      <c r="I233" s="217"/>
      <c r="J233" s="217"/>
      <c r="K233" s="217"/>
      <c r="L233" s="218"/>
      <c r="M233" s="217"/>
      <c r="N233" s="217"/>
      <c r="O233" s="218"/>
      <c r="P233" s="217"/>
      <c r="Q233" s="217"/>
      <c r="R233" s="218"/>
      <c r="S233" s="217"/>
      <c r="T233" s="217"/>
      <c r="U233" s="218"/>
      <c r="V233" s="217"/>
      <c r="W233" s="217"/>
      <c r="AA233" s="93"/>
      <c r="AB233" s="93"/>
      <c r="AC233" s="83"/>
      <c r="AD233" s="83"/>
      <c r="AE233" s="93"/>
      <c r="AF233" s="93"/>
      <c r="AG233" s="83"/>
      <c r="AH233" s="83"/>
      <c r="AI233" s="93"/>
      <c r="AJ233" s="93"/>
      <c r="AK233" s="83"/>
      <c r="AL233" s="83"/>
      <c r="AM233" s="93"/>
      <c r="AN233" s="93"/>
      <c r="AO233" s="83"/>
      <c r="AP233" s="83"/>
      <c r="AQ233" s="93"/>
      <c r="AR233" s="93"/>
      <c r="AS233" s="83"/>
      <c r="AT233" s="83"/>
      <c r="AU233" s="93"/>
      <c r="AV233" s="93"/>
      <c r="AW233" s="83"/>
      <c r="AX233" s="83"/>
      <c r="AY233" s="93"/>
      <c r="AZ233" s="93"/>
    </row>
    <row r="234" spans="1:52" outlineLevel="1" x14ac:dyDescent="0.45">
      <c r="B234" s="1387"/>
      <c r="C234" s="91" t="s">
        <v>442</v>
      </c>
      <c r="D234" s="83"/>
      <c r="E234" s="116" t="s">
        <v>324</v>
      </c>
      <c r="F234" s="130">
        <f t="shared" si="53"/>
        <v>92538</v>
      </c>
      <c r="G234" s="130">
        <f t="shared" si="53"/>
        <v>676761</v>
      </c>
      <c r="H234" s="131">
        <f t="shared" si="53"/>
        <v>542465</v>
      </c>
      <c r="I234" s="217">
        <v>92538</v>
      </c>
      <c r="J234" s="217">
        <v>676761</v>
      </c>
      <c r="K234" s="217">
        <v>542465</v>
      </c>
      <c r="L234" s="218"/>
      <c r="M234" s="217"/>
      <c r="N234" s="217"/>
      <c r="O234" s="218"/>
      <c r="P234" s="217"/>
      <c r="Q234" s="217"/>
      <c r="R234" s="218"/>
      <c r="S234" s="217"/>
      <c r="T234" s="217"/>
      <c r="U234" s="218"/>
      <c r="V234" s="217"/>
      <c r="W234" s="217"/>
      <c r="AA234" s="93"/>
      <c r="AB234" s="93"/>
      <c r="AC234" s="83"/>
      <c r="AD234" s="83"/>
      <c r="AE234" s="93"/>
      <c r="AF234" s="93"/>
      <c r="AG234" s="83"/>
      <c r="AH234" s="83"/>
      <c r="AI234" s="93"/>
      <c r="AJ234" s="93"/>
      <c r="AK234" s="83"/>
      <c r="AL234" s="83"/>
      <c r="AM234" s="93"/>
      <c r="AN234" s="93"/>
      <c r="AO234" s="83"/>
      <c r="AP234" s="83"/>
      <c r="AQ234" s="93"/>
      <c r="AR234" s="93"/>
      <c r="AS234" s="83"/>
      <c r="AT234" s="83"/>
      <c r="AU234" s="93"/>
      <c r="AV234" s="93"/>
      <c r="AW234" s="83"/>
      <c r="AX234" s="83"/>
      <c r="AY234" s="93"/>
      <c r="AZ234" s="93"/>
    </row>
    <row r="235" spans="1:52" outlineLevel="1" x14ac:dyDescent="0.45">
      <c r="B235" s="1387"/>
      <c r="C235" s="91" t="s">
        <v>443</v>
      </c>
      <c r="D235" s="271"/>
      <c r="E235" s="116" t="s">
        <v>444</v>
      </c>
      <c r="F235" s="130">
        <f t="shared" si="53"/>
        <v>0</v>
      </c>
      <c r="G235" s="130">
        <f t="shared" si="53"/>
        <v>0</v>
      </c>
      <c r="H235" s="131">
        <f t="shared" si="53"/>
        <v>0</v>
      </c>
      <c r="I235" s="217"/>
      <c r="J235" s="217"/>
      <c r="K235" s="217"/>
      <c r="L235" s="218"/>
      <c r="M235" s="217"/>
      <c r="N235" s="217"/>
      <c r="O235" s="218"/>
      <c r="P235" s="217"/>
      <c r="Q235" s="217"/>
      <c r="R235" s="218"/>
      <c r="S235" s="217"/>
      <c r="T235" s="217"/>
      <c r="U235" s="218"/>
      <c r="V235" s="217"/>
      <c r="W235" s="217"/>
      <c r="AA235" s="93"/>
      <c r="AB235" s="93"/>
      <c r="AC235" s="83"/>
      <c r="AD235" s="83"/>
      <c r="AE235" s="93"/>
      <c r="AF235" s="93"/>
      <c r="AG235" s="83"/>
      <c r="AH235" s="83"/>
      <c r="AI235" s="93"/>
      <c r="AJ235" s="93"/>
      <c r="AK235" s="83"/>
      <c r="AL235" s="83"/>
      <c r="AM235" s="93"/>
      <c r="AN235" s="93"/>
      <c r="AO235" s="83"/>
      <c r="AP235" s="83"/>
      <c r="AQ235" s="93"/>
      <c r="AR235" s="93"/>
      <c r="AS235" s="83"/>
      <c r="AT235" s="83"/>
      <c r="AU235" s="93"/>
      <c r="AV235" s="93"/>
      <c r="AW235" s="83"/>
      <c r="AX235" s="83"/>
      <c r="AY235" s="93"/>
      <c r="AZ235" s="93"/>
    </row>
    <row r="236" spans="1:52" outlineLevel="1" x14ac:dyDescent="0.45">
      <c r="B236" s="1387"/>
      <c r="C236" s="91" t="s">
        <v>445</v>
      </c>
      <c r="D236" s="115"/>
      <c r="E236" s="12" t="s">
        <v>330</v>
      </c>
      <c r="F236" s="130">
        <f t="shared" si="53"/>
        <v>1473282</v>
      </c>
      <c r="G236" s="130">
        <f t="shared" si="53"/>
        <v>1689669</v>
      </c>
      <c r="H236" s="131">
        <f t="shared" si="53"/>
        <v>1028081</v>
      </c>
      <c r="I236" s="223">
        <f t="shared" ref="I236:W236" si="54">SUM(I232:I235)</f>
        <v>1473282</v>
      </c>
      <c r="J236" s="224">
        <f t="shared" si="54"/>
        <v>1689669</v>
      </c>
      <c r="K236" s="225">
        <f t="shared" si="54"/>
        <v>1028081</v>
      </c>
      <c r="L236" s="224">
        <f t="shared" si="54"/>
        <v>0</v>
      </c>
      <c r="M236" s="224">
        <f t="shared" si="54"/>
        <v>0</v>
      </c>
      <c r="N236" s="225">
        <f t="shared" si="54"/>
        <v>0</v>
      </c>
      <c r="O236" s="224">
        <f t="shared" si="54"/>
        <v>0</v>
      </c>
      <c r="P236" s="224">
        <f t="shared" si="54"/>
        <v>0</v>
      </c>
      <c r="Q236" s="225">
        <f t="shared" si="54"/>
        <v>0</v>
      </c>
      <c r="R236" s="224">
        <f t="shared" si="54"/>
        <v>0</v>
      </c>
      <c r="S236" s="224">
        <f t="shared" si="54"/>
        <v>0</v>
      </c>
      <c r="T236" s="225">
        <f t="shared" si="54"/>
        <v>0</v>
      </c>
      <c r="U236" s="224">
        <f t="shared" si="54"/>
        <v>0</v>
      </c>
      <c r="V236" s="224">
        <f t="shared" si="54"/>
        <v>0</v>
      </c>
      <c r="W236" s="225">
        <f t="shared" si="54"/>
        <v>0</v>
      </c>
      <c r="AA236" s="93"/>
      <c r="AB236" s="93"/>
      <c r="AC236" s="83"/>
      <c r="AD236" s="83"/>
      <c r="AE236" s="93"/>
      <c r="AF236" s="93"/>
      <c r="AG236" s="83"/>
      <c r="AH236" s="83"/>
      <c r="AI236" s="93"/>
      <c r="AJ236" s="93"/>
      <c r="AK236" s="83"/>
      <c r="AL236" s="83"/>
      <c r="AM236" s="93"/>
      <c r="AN236" s="93"/>
      <c r="AO236" s="83"/>
      <c r="AP236" s="83"/>
      <c r="AQ236" s="93"/>
      <c r="AR236" s="93"/>
      <c r="AS236" s="83"/>
      <c r="AT236" s="83"/>
      <c r="AU236" s="93"/>
      <c r="AV236" s="93"/>
      <c r="AW236" s="83"/>
      <c r="AX236" s="83"/>
      <c r="AY236" s="93"/>
      <c r="AZ236" s="93"/>
    </row>
    <row r="237" spans="1:52" outlineLevel="1" x14ac:dyDescent="0.45">
      <c r="B237" s="1387"/>
      <c r="C237" s="91" t="s">
        <v>446</v>
      </c>
      <c r="D237" s="115"/>
      <c r="E237" s="12" t="s">
        <v>332</v>
      </c>
      <c r="F237" s="89"/>
      <c r="G237" s="89"/>
      <c r="H237" s="23"/>
      <c r="I237" s="226"/>
      <c r="J237" s="227"/>
      <c r="K237" s="228"/>
      <c r="L237" s="227"/>
      <c r="M237" s="227"/>
      <c r="N237" s="228"/>
      <c r="O237" s="227"/>
      <c r="P237" s="227"/>
      <c r="Q237" s="228"/>
      <c r="R237" s="227"/>
      <c r="S237" s="227"/>
      <c r="T237" s="228"/>
      <c r="U237" s="227"/>
      <c r="V237" s="227"/>
      <c r="W237" s="228"/>
      <c r="AA237" s="93"/>
      <c r="AB237" s="93"/>
      <c r="AC237" s="83"/>
      <c r="AD237" s="83"/>
      <c r="AE237" s="93"/>
      <c r="AF237" s="93"/>
      <c r="AG237" s="83"/>
      <c r="AH237" s="83"/>
      <c r="AI237" s="93"/>
      <c r="AJ237" s="93"/>
      <c r="AK237" s="83"/>
      <c r="AL237" s="83"/>
      <c r="AM237" s="93"/>
      <c r="AN237" s="93"/>
      <c r="AO237" s="83"/>
      <c r="AP237" s="83"/>
      <c r="AQ237" s="93"/>
      <c r="AR237" s="93"/>
      <c r="AS237" s="83"/>
      <c r="AT237" s="83"/>
      <c r="AU237" s="93"/>
      <c r="AV237" s="93"/>
      <c r="AW237" s="83"/>
      <c r="AX237" s="83"/>
      <c r="AY237" s="93"/>
      <c r="AZ237" s="93"/>
    </row>
    <row r="238" spans="1:52" outlineLevel="1" x14ac:dyDescent="0.45">
      <c r="B238" s="1387"/>
      <c r="C238" s="91" t="s">
        <v>447</v>
      </c>
      <c r="D238" s="115"/>
      <c r="E238" s="229" t="s">
        <v>334</v>
      </c>
      <c r="F238" s="89"/>
      <c r="G238" s="89"/>
      <c r="H238" s="23"/>
      <c r="I238" s="226"/>
      <c r="J238" s="227"/>
      <c r="K238" s="228"/>
      <c r="L238" s="227"/>
      <c r="M238" s="227"/>
      <c r="N238" s="228"/>
      <c r="O238" s="227"/>
      <c r="P238" s="227"/>
      <c r="Q238" s="228"/>
      <c r="R238" s="227"/>
      <c r="S238" s="227"/>
      <c r="T238" s="228"/>
      <c r="U238" s="227"/>
      <c r="V238" s="227"/>
      <c r="W238" s="228"/>
      <c r="AA238" s="93"/>
      <c r="AB238" s="93"/>
      <c r="AC238" s="83"/>
      <c r="AD238" s="83"/>
      <c r="AE238" s="93"/>
      <c r="AF238" s="93"/>
      <c r="AG238" s="83"/>
      <c r="AH238" s="83"/>
      <c r="AI238" s="93"/>
      <c r="AJ238" s="93"/>
      <c r="AK238" s="83"/>
      <c r="AL238" s="83"/>
      <c r="AM238" s="93"/>
      <c r="AN238" s="93"/>
      <c r="AO238" s="83"/>
      <c r="AP238" s="83"/>
      <c r="AQ238" s="93"/>
      <c r="AR238" s="93"/>
      <c r="AS238" s="83"/>
      <c r="AT238" s="83"/>
      <c r="AU238" s="93"/>
      <c r="AV238" s="93"/>
      <c r="AW238" s="83"/>
      <c r="AX238" s="83"/>
      <c r="AY238" s="93"/>
      <c r="AZ238" s="93"/>
    </row>
    <row r="239" spans="1:52" outlineLevel="1" x14ac:dyDescent="0.45">
      <c r="B239" s="1387"/>
      <c r="C239" s="91" t="s">
        <v>448</v>
      </c>
      <c r="D239" s="115"/>
      <c r="E239" s="116" t="s">
        <v>336</v>
      </c>
      <c r="F239" s="130">
        <f t="shared" ref="F239:H249" si="55">I239+L239+O239+R239+U239</f>
        <v>21085540.559999999</v>
      </c>
      <c r="G239" s="130">
        <f t="shared" si="55"/>
        <v>30284132.409999996</v>
      </c>
      <c r="H239" s="131">
        <f t="shared" si="55"/>
        <v>22110684.57</v>
      </c>
      <c r="I239" s="217"/>
      <c r="J239" s="217"/>
      <c r="K239" s="217"/>
      <c r="L239" s="218"/>
      <c r="M239" s="217"/>
      <c r="N239" s="217"/>
      <c r="O239" s="218">
        <v>10736227.380000001</v>
      </c>
      <c r="P239" s="217">
        <v>20154498.489999998</v>
      </c>
      <c r="Q239" s="217">
        <v>9133854.3499999996</v>
      </c>
      <c r="R239" s="218">
        <v>10013066.199999999</v>
      </c>
      <c r="S239" s="217">
        <v>9988926.7400000002</v>
      </c>
      <c r="T239" s="217">
        <v>12776897.890000001</v>
      </c>
      <c r="U239" s="218">
        <v>336246.98</v>
      </c>
      <c r="V239" s="217">
        <v>140707.18000000002</v>
      </c>
      <c r="W239" s="217">
        <v>199932.33000000002</v>
      </c>
      <c r="AA239" s="93"/>
      <c r="AB239" s="93"/>
      <c r="AC239" s="83"/>
      <c r="AD239" s="83"/>
      <c r="AE239" s="93"/>
      <c r="AF239" s="93"/>
      <c r="AG239" s="83"/>
      <c r="AH239" s="83"/>
      <c r="AI239" s="93"/>
      <c r="AJ239" s="93"/>
      <c r="AK239" s="83"/>
      <c r="AL239" s="83"/>
      <c r="AM239" s="93"/>
      <c r="AN239" s="93"/>
      <c r="AO239" s="83"/>
      <c r="AP239" s="83"/>
      <c r="AQ239" s="93"/>
      <c r="AR239" s="93"/>
      <c r="AS239" s="1384" t="s">
        <v>337</v>
      </c>
      <c r="AT239" s="83"/>
      <c r="AU239" s="93"/>
      <c r="AV239" s="93"/>
      <c r="AW239" s="1385" t="s">
        <v>338</v>
      </c>
      <c r="AX239" s="83"/>
      <c r="AY239" s="93"/>
      <c r="AZ239" s="93"/>
    </row>
    <row r="240" spans="1:52" outlineLevel="1" x14ac:dyDescent="0.45">
      <c r="B240" s="1387"/>
      <c r="C240" s="91" t="s">
        <v>449</v>
      </c>
      <c r="D240" s="115"/>
      <c r="E240" s="116" t="s">
        <v>340</v>
      </c>
      <c r="F240" s="130">
        <f t="shared" si="55"/>
        <v>4123141.3600000003</v>
      </c>
      <c r="G240" s="130">
        <f t="shared" si="55"/>
        <v>9194186.4000000004</v>
      </c>
      <c r="H240" s="131">
        <f t="shared" si="55"/>
        <v>7390163.8999999994</v>
      </c>
      <c r="I240" s="217"/>
      <c r="J240" s="217"/>
      <c r="K240" s="217"/>
      <c r="L240" s="218"/>
      <c r="M240" s="217"/>
      <c r="N240" s="217"/>
      <c r="O240" s="218">
        <v>2180158.14</v>
      </c>
      <c r="P240" s="217">
        <v>1848232.59</v>
      </c>
      <c r="Q240" s="217">
        <v>1727582.3</v>
      </c>
      <c r="R240" s="218">
        <v>1942983.22</v>
      </c>
      <c r="S240" s="217">
        <v>7345953.8099999996</v>
      </c>
      <c r="T240" s="217">
        <v>5662581.5999999996</v>
      </c>
      <c r="U240" s="218">
        <v>0</v>
      </c>
      <c r="V240" s="217">
        <v>0</v>
      </c>
      <c r="W240" s="217">
        <v>0</v>
      </c>
      <c r="AA240" s="93"/>
      <c r="AB240" s="93"/>
      <c r="AC240" s="83"/>
      <c r="AD240" s="83"/>
      <c r="AE240" s="93"/>
      <c r="AF240" s="93"/>
      <c r="AG240" s="83"/>
      <c r="AH240" s="83"/>
      <c r="AI240" s="93"/>
      <c r="AJ240" s="93"/>
      <c r="AK240" s="83"/>
      <c r="AL240" s="83"/>
      <c r="AM240" s="93"/>
      <c r="AN240" s="93"/>
      <c r="AO240" s="83"/>
      <c r="AP240" s="83"/>
      <c r="AQ240" s="93"/>
      <c r="AR240" s="93"/>
      <c r="AS240" s="1385"/>
      <c r="AT240" s="83"/>
      <c r="AU240" s="93"/>
      <c r="AV240" s="93"/>
      <c r="AW240" s="1385"/>
      <c r="AX240" s="83"/>
      <c r="AY240" s="93"/>
      <c r="AZ240" s="93"/>
    </row>
    <row r="241" spans="2:52" outlineLevel="1" x14ac:dyDescent="0.45">
      <c r="B241" s="1387"/>
      <c r="C241" s="91" t="s">
        <v>450</v>
      </c>
      <c r="D241" s="115"/>
      <c r="E241" s="116" t="s">
        <v>342</v>
      </c>
      <c r="F241" s="130">
        <f t="shared" si="55"/>
        <v>52103485.890000001</v>
      </c>
      <c r="G241" s="130">
        <f t="shared" si="55"/>
        <v>44466162.890000001</v>
      </c>
      <c r="H241" s="131">
        <f t="shared" si="55"/>
        <v>57423842.950000003</v>
      </c>
      <c r="I241" s="217"/>
      <c r="J241" s="217"/>
      <c r="K241" s="217"/>
      <c r="L241" s="218"/>
      <c r="M241" s="217"/>
      <c r="N241" s="217"/>
      <c r="O241" s="218">
        <v>29786126.449999999</v>
      </c>
      <c r="P241" s="217">
        <v>21565237.469999999</v>
      </c>
      <c r="Q241" s="217">
        <v>27062400.5</v>
      </c>
      <c r="R241" s="218">
        <v>21457726.75</v>
      </c>
      <c r="S241" s="217">
        <v>22270178.579999998</v>
      </c>
      <c r="T241" s="217">
        <v>30060642.490000002</v>
      </c>
      <c r="U241" s="218">
        <v>859632.69000000006</v>
      </c>
      <c r="V241" s="217">
        <v>630746.84</v>
      </c>
      <c r="W241" s="217">
        <v>300799.96000000002</v>
      </c>
      <c r="AA241" s="93"/>
      <c r="AB241" s="93"/>
      <c r="AC241" s="83"/>
      <c r="AD241" s="83"/>
      <c r="AE241" s="93"/>
      <c r="AF241" s="93"/>
      <c r="AG241" s="83"/>
      <c r="AH241" s="83"/>
      <c r="AI241" s="93"/>
      <c r="AJ241" s="93"/>
      <c r="AK241" s="83"/>
      <c r="AL241" s="83"/>
      <c r="AM241" s="93"/>
      <c r="AN241" s="93"/>
      <c r="AO241" s="83"/>
      <c r="AP241" s="83"/>
      <c r="AQ241" s="93"/>
      <c r="AR241" s="93"/>
      <c r="AS241" s="1385"/>
      <c r="AT241" s="83"/>
      <c r="AU241" s="93"/>
      <c r="AV241" s="93"/>
      <c r="AW241" s="1385"/>
      <c r="AX241" s="83"/>
      <c r="AY241" s="93"/>
      <c r="AZ241" s="93"/>
    </row>
    <row r="242" spans="2:52" outlineLevel="1" x14ac:dyDescent="0.45">
      <c r="B242" s="1387"/>
      <c r="C242" s="91" t="s">
        <v>451</v>
      </c>
      <c r="D242" s="115"/>
      <c r="E242" s="116" t="s">
        <v>344</v>
      </c>
      <c r="F242" s="130">
        <f t="shared" si="55"/>
        <v>882482.78</v>
      </c>
      <c r="G242" s="130">
        <f t="shared" si="55"/>
        <v>0</v>
      </c>
      <c r="H242" s="131">
        <f t="shared" si="55"/>
        <v>0</v>
      </c>
      <c r="I242" s="217"/>
      <c r="J242" s="217"/>
      <c r="K242" s="217"/>
      <c r="L242" s="218"/>
      <c r="M242" s="217"/>
      <c r="N242" s="217"/>
      <c r="O242" s="218">
        <v>276698.82</v>
      </c>
      <c r="P242" s="217">
        <v>0</v>
      </c>
      <c r="Q242" s="217">
        <v>0</v>
      </c>
      <c r="R242" s="218">
        <v>605783.96</v>
      </c>
      <c r="S242" s="217">
        <v>0</v>
      </c>
      <c r="T242" s="217">
        <v>0</v>
      </c>
      <c r="U242" s="218">
        <v>0</v>
      </c>
      <c r="V242" s="217">
        <v>0</v>
      </c>
      <c r="W242" s="217">
        <v>0</v>
      </c>
      <c r="AA242" s="93"/>
      <c r="AB242" s="93"/>
      <c r="AC242" s="83"/>
      <c r="AD242" s="83"/>
      <c r="AE242" s="93"/>
      <c r="AF242" s="93"/>
      <c r="AG242" s="83"/>
      <c r="AH242" s="83"/>
      <c r="AI242" s="93"/>
      <c r="AJ242" s="93"/>
      <c r="AK242" s="83"/>
      <c r="AL242" s="83"/>
      <c r="AM242" s="93"/>
      <c r="AN242" s="93"/>
      <c r="AO242" s="83"/>
      <c r="AP242" s="83"/>
      <c r="AQ242" s="93"/>
      <c r="AR242" s="93"/>
      <c r="AS242" s="1386"/>
      <c r="AT242" s="83"/>
      <c r="AU242" s="93"/>
      <c r="AV242" s="93"/>
      <c r="AW242" s="1385"/>
      <c r="AX242" s="83"/>
      <c r="AY242" s="93"/>
      <c r="AZ242" s="93"/>
    </row>
    <row r="243" spans="2:52" outlineLevel="1" x14ac:dyDescent="0.45">
      <c r="B243" s="1387"/>
      <c r="C243" s="91" t="s">
        <v>452</v>
      </c>
      <c r="D243" s="115"/>
      <c r="E243" s="230"/>
      <c r="F243" s="130">
        <f t="shared" si="55"/>
        <v>0</v>
      </c>
      <c r="G243" s="130">
        <f t="shared" si="55"/>
        <v>0</v>
      </c>
      <c r="H243" s="131">
        <f t="shared" si="55"/>
        <v>0</v>
      </c>
      <c r="I243" s="217"/>
      <c r="J243" s="217"/>
      <c r="K243" s="217"/>
      <c r="L243" s="218"/>
      <c r="M243" s="217"/>
      <c r="N243" s="217"/>
      <c r="O243" s="218"/>
      <c r="P243" s="217"/>
      <c r="Q243" s="217"/>
      <c r="R243" s="218"/>
      <c r="S243" s="217"/>
      <c r="T243" s="217"/>
      <c r="U243" s="218"/>
      <c r="V243" s="217"/>
      <c r="W243" s="217"/>
      <c r="AA243" s="93"/>
      <c r="AB243" s="93"/>
      <c r="AC243" s="83"/>
      <c r="AD243" s="83"/>
      <c r="AE243" s="93"/>
      <c r="AF243" s="93"/>
      <c r="AG243" s="83"/>
      <c r="AH243" s="83"/>
      <c r="AI243" s="93"/>
      <c r="AJ243" s="93"/>
      <c r="AK243" s="83"/>
      <c r="AL243" s="83"/>
      <c r="AM243" s="93"/>
      <c r="AN243" s="93"/>
      <c r="AO243" s="83"/>
      <c r="AP243" s="83"/>
      <c r="AQ243" s="93"/>
      <c r="AR243" s="93"/>
      <c r="AS243" s="83"/>
      <c r="AT243" s="83"/>
      <c r="AU243" s="93"/>
      <c r="AV243" s="93"/>
      <c r="AW243" s="83"/>
      <c r="AX243" s="83"/>
      <c r="AY243" s="93"/>
      <c r="AZ243" s="93"/>
    </row>
    <row r="244" spans="2:52" outlineLevel="1" x14ac:dyDescent="0.45">
      <c r="B244" s="1387"/>
      <c r="C244" s="91" t="s">
        <v>453</v>
      </c>
      <c r="D244" s="115"/>
      <c r="E244" s="230"/>
      <c r="F244" s="130">
        <f t="shared" si="55"/>
        <v>0</v>
      </c>
      <c r="G244" s="130">
        <f t="shared" si="55"/>
        <v>0</v>
      </c>
      <c r="H244" s="131">
        <f t="shared" si="55"/>
        <v>0</v>
      </c>
      <c r="I244" s="217"/>
      <c r="J244" s="217"/>
      <c r="K244" s="217"/>
      <c r="L244" s="218"/>
      <c r="M244" s="217"/>
      <c r="N244" s="217"/>
      <c r="O244" s="218"/>
      <c r="P244" s="217"/>
      <c r="Q244" s="217"/>
      <c r="R244" s="218"/>
      <c r="S244" s="217"/>
      <c r="T244" s="217"/>
      <c r="U244" s="218"/>
      <c r="V244" s="217"/>
      <c r="W244" s="217"/>
      <c r="AA244" s="93"/>
      <c r="AB244" s="93"/>
      <c r="AC244" s="83"/>
      <c r="AD244" s="83"/>
      <c r="AE244" s="93"/>
      <c r="AF244" s="93"/>
      <c r="AG244" s="83"/>
      <c r="AH244" s="83"/>
      <c r="AI244" s="93"/>
      <c r="AJ244" s="93"/>
      <c r="AK244" s="83"/>
      <c r="AL244" s="83"/>
      <c r="AM244" s="93"/>
      <c r="AN244" s="93"/>
      <c r="AO244" s="83"/>
      <c r="AP244" s="83"/>
      <c r="AQ244" s="93"/>
      <c r="AR244" s="93"/>
      <c r="AS244" s="83"/>
      <c r="AT244" s="83"/>
      <c r="AU244" s="93"/>
      <c r="AV244" s="93"/>
      <c r="AW244" s="83"/>
      <c r="AX244" s="83"/>
      <c r="AY244" s="93"/>
      <c r="AZ244" s="93"/>
    </row>
    <row r="245" spans="2:52" outlineLevel="1" x14ac:dyDescent="0.45">
      <c r="B245" s="1387"/>
      <c r="C245" s="91" t="s">
        <v>454</v>
      </c>
      <c r="D245" s="115"/>
      <c r="E245" s="230"/>
      <c r="F245" s="130">
        <f t="shared" si="55"/>
        <v>0</v>
      </c>
      <c r="G245" s="130">
        <f t="shared" si="55"/>
        <v>0</v>
      </c>
      <c r="H245" s="131">
        <f t="shared" si="55"/>
        <v>0</v>
      </c>
      <c r="I245" s="217"/>
      <c r="J245" s="217"/>
      <c r="K245" s="217"/>
      <c r="L245" s="218"/>
      <c r="M245" s="217"/>
      <c r="N245" s="217"/>
      <c r="O245" s="218"/>
      <c r="P245" s="217"/>
      <c r="Q245" s="217"/>
      <c r="R245" s="218"/>
      <c r="S245" s="217"/>
      <c r="T245" s="217"/>
      <c r="U245" s="218"/>
      <c r="V245" s="217"/>
      <c r="W245" s="217"/>
      <c r="AA245" s="93"/>
      <c r="AB245" s="93"/>
      <c r="AC245" s="83"/>
      <c r="AD245" s="83"/>
      <c r="AE245" s="93"/>
      <c r="AF245" s="93"/>
      <c r="AG245" s="83"/>
      <c r="AH245" s="83"/>
      <c r="AI245" s="93"/>
      <c r="AJ245" s="93"/>
      <c r="AK245" s="83"/>
      <c r="AL245" s="83"/>
      <c r="AM245" s="93"/>
      <c r="AN245" s="93"/>
      <c r="AO245" s="83"/>
      <c r="AP245" s="83"/>
      <c r="AQ245" s="93"/>
      <c r="AR245" s="93"/>
      <c r="AS245" s="83"/>
      <c r="AT245" s="83"/>
      <c r="AU245" s="93"/>
      <c r="AV245" s="93"/>
      <c r="AW245" s="83"/>
      <c r="AX245" s="83"/>
      <c r="AY245" s="93"/>
      <c r="AZ245" s="93"/>
    </row>
    <row r="246" spans="2:52" outlineLevel="1" x14ac:dyDescent="0.45">
      <c r="B246" s="1387"/>
      <c r="C246" s="91" t="s">
        <v>455</v>
      </c>
      <c r="D246" s="115"/>
      <c r="E246" s="230"/>
      <c r="F246" s="130">
        <f t="shared" si="55"/>
        <v>0</v>
      </c>
      <c r="G246" s="130">
        <f t="shared" si="55"/>
        <v>0</v>
      </c>
      <c r="H246" s="131">
        <f t="shared" si="55"/>
        <v>0</v>
      </c>
      <c r="I246" s="217"/>
      <c r="J246" s="217"/>
      <c r="K246" s="217"/>
      <c r="L246" s="218"/>
      <c r="M246" s="217"/>
      <c r="N246" s="217"/>
      <c r="O246" s="218"/>
      <c r="P246" s="217"/>
      <c r="Q246" s="217"/>
      <c r="R246" s="218"/>
      <c r="S246" s="217"/>
      <c r="T246" s="217"/>
      <c r="U246" s="218"/>
      <c r="V246" s="217"/>
      <c r="W246" s="217"/>
      <c r="AA246" s="93"/>
      <c r="AB246" s="93"/>
      <c r="AC246" s="83"/>
      <c r="AD246" s="83"/>
      <c r="AE246" s="93"/>
      <c r="AF246" s="93"/>
      <c r="AG246" s="83"/>
      <c r="AH246" s="83"/>
      <c r="AI246" s="93"/>
      <c r="AJ246" s="93"/>
      <c r="AK246" s="83"/>
      <c r="AL246" s="83"/>
      <c r="AM246" s="93"/>
      <c r="AN246" s="93"/>
      <c r="AO246" s="83"/>
      <c r="AP246" s="83"/>
      <c r="AQ246" s="93"/>
      <c r="AR246" s="93"/>
      <c r="AS246" s="83"/>
      <c r="AT246" s="83"/>
      <c r="AU246" s="93"/>
      <c r="AV246" s="93"/>
      <c r="AW246" s="83"/>
      <c r="AX246" s="83"/>
      <c r="AY246" s="93"/>
      <c r="AZ246" s="93"/>
    </row>
    <row r="247" spans="2:52" outlineLevel="1" x14ac:dyDescent="0.45">
      <c r="B247" s="1387"/>
      <c r="C247" s="91" t="s">
        <v>456</v>
      </c>
      <c r="D247" s="115"/>
      <c r="E247" s="230"/>
      <c r="F247" s="130">
        <f t="shared" si="55"/>
        <v>0</v>
      </c>
      <c r="G247" s="130">
        <f t="shared" si="55"/>
        <v>0</v>
      </c>
      <c r="H247" s="131">
        <f t="shared" si="55"/>
        <v>0</v>
      </c>
      <c r="I247" s="217"/>
      <c r="J247" s="217"/>
      <c r="K247" s="217"/>
      <c r="L247" s="218"/>
      <c r="M247" s="217"/>
      <c r="N247" s="217"/>
      <c r="O247" s="218"/>
      <c r="P247" s="217"/>
      <c r="Q247" s="217"/>
      <c r="R247" s="218"/>
      <c r="S247" s="217"/>
      <c r="T247" s="217"/>
      <c r="U247" s="218"/>
      <c r="V247" s="217"/>
      <c r="W247" s="217"/>
      <c r="AA247" s="93"/>
      <c r="AB247" s="93"/>
      <c r="AC247" s="83"/>
      <c r="AD247" s="83"/>
      <c r="AE247" s="93"/>
      <c r="AF247" s="93"/>
      <c r="AG247" s="83"/>
      <c r="AH247" s="83"/>
      <c r="AI247" s="93"/>
      <c r="AJ247" s="93"/>
      <c r="AK247" s="83"/>
      <c r="AL247" s="83"/>
      <c r="AM247" s="93"/>
      <c r="AN247" s="93"/>
      <c r="AO247" s="83"/>
      <c r="AP247" s="83"/>
      <c r="AQ247" s="93"/>
      <c r="AR247" s="93"/>
      <c r="AS247" s="83"/>
      <c r="AT247" s="83"/>
      <c r="AU247" s="93"/>
      <c r="AV247" s="93"/>
      <c r="AW247" s="83"/>
      <c r="AX247" s="83"/>
      <c r="AY247" s="93"/>
      <c r="AZ247" s="93"/>
    </row>
    <row r="248" spans="2:52" outlineLevel="1" x14ac:dyDescent="0.45">
      <c r="B248" s="1387"/>
      <c r="C248" s="91" t="s">
        <v>457</v>
      </c>
      <c r="D248" s="115"/>
      <c r="E248" s="230"/>
      <c r="F248" s="130">
        <f t="shared" si="55"/>
        <v>0</v>
      </c>
      <c r="G248" s="130">
        <f t="shared" si="55"/>
        <v>0</v>
      </c>
      <c r="H248" s="131">
        <f t="shared" si="55"/>
        <v>0</v>
      </c>
      <c r="I248" s="217"/>
      <c r="J248" s="217"/>
      <c r="K248" s="217"/>
      <c r="L248" s="218"/>
      <c r="M248" s="217"/>
      <c r="N248" s="217"/>
      <c r="O248" s="218"/>
      <c r="P248" s="217"/>
      <c r="Q248" s="217"/>
      <c r="R248" s="218"/>
      <c r="S248" s="217"/>
      <c r="T248" s="217"/>
      <c r="U248" s="218"/>
      <c r="V248" s="217"/>
      <c r="W248" s="217"/>
      <c r="AA248" s="93"/>
      <c r="AB248" s="93"/>
      <c r="AC248" s="83"/>
      <c r="AD248" s="83"/>
      <c r="AE248" s="93"/>
      <c r="AF248" s="93"/>
      <c r="AG248" s="83"/>
      <c r="AH248" s="83"/>
      <c r="AI248" s="93"/>
      <c r="AJ248" s="93"/>
      <c r="AK248" s="83"/>
      <c r="AL248" s="83"/>
      <c r="AM248" s="93"/>
      <c r="AN248" s="93"/>
      <c r="AO248" s="83"/>
      <c r="AP248" s="83"/>
      <c r="AQ248" s="93"/>
      <c r="AR248" s="93"/>
      <c r="AS248" s="83"/>
      <c r="AT248" s="83"/>
      <c r="AU248" s="93"/>
      <c r="AV248" s="93"/>
      <c r="AW248" s="83"/>
      <c r="AX248" s="83"/>
      <c r="AY248" s="93"/>
      <c r="AZ248" s="93"/>
    </row>
    <row r="249" spans="2:52" outlineLevel="1" x14ac:dyDescent="0.45">
      <c r="B249" s="1387"/>
      <c r="C249" s="91" t="s">
        <v>458</v>
      </c>
      <c r="D249" s="115"/>
      <c r="E249" s="230" t="s">
        <v>459</v>
      </c>
      <c r="F249" s="130">
        <f t="shared" si="55"/>
        <v>10381312.390000001</v>
      </c>
      <c r="G249" s="130">
        <f t="shared" si="55"/>
        <v>11102380.890000001</v>
      </c>
      <c r="H249" s="131">
        <f t="shared" si="55"/>
        <v>701000</v>
      </c>
      <c r="I249" s="217">
        <v>9680312.3900000006</v>
      </c>
      <c r="J249" s="217">
        <v>10401380.890000001</v>
      </c>
      <c r="K249" s="217"/>
      <c r="L249" s="218">
        <v>701000</v>
      </c>
      <c r="M249" s="234">
        <v>701000</v>
      </c>
      <c r="N249" s="233">
        <f>M249</f>
        <v>701000</v>
      </c>
      <c r="O249" s="218"/>
      <c r="P249" s="217"/>
      <c r="Q249" s="217"/>
      <c r="R249" s="218"/>
      <c r="S249" s="217"/>
      <c r="T249" s="217"/>
      <c r="U249" s="218"/>
      <c r="V249" s="217"/>
      <c r="W249" s="217"/>
      <c r="AA249" s="93"/>
      <c r="AB249" s="93"/>
      <c r="AC249" s="83"/>
      <c r="AD249" s="83"/>
      <c r="AE249" s="93"/>
      <c r="AF249" s="93"/>
      <c r="AG249" s="83"/>
      <c r="AH249" s="83"/>
      <c r="AI249" s="93"/>
      <c r="AJ249" s="93"/>
      <c r="AK249" s="83"/>
      <c r="AL249" s="83"/>
      <c r="AM249" s="93"/>
      <c r="AN249" s="93"/>
      <c r="AO249" s="83"/>
      <c r="AP249" s="83"/>
      <c r="AQ249" s="93"/>
      <c r="AR249" s="93"/>
      <c r="AS249" s="83"/>
      <c r="AT249" s="83"/>
      <c r="AU249" s="93"/>
      <c r="AV249" s="93"/>
      <c r="AW249" s="83"/>
      <c r="AX249" s="83"/>
      <c r="AY249" s="93"/>
      <c r="AZ249" s="93"/>
    </row>
    <row r="250" spans="2:52" outlineLevel="1" x14ac:dyDescent="0.45">
      <c r="B250" s="1387"/>
      <c r="C250" s="91" t="s">
        <v>460</v>
      </c>
      <c r="D250" s="115"/>
      <c r="E250" s="235" t="s">
        <v>358</v>
      </c>
      <c r="F250" s="89"/>
      <c r="G250" s="89"/>
      <c r="H250" s="23"/>
      <c r="I250" s="236"/>
      <c r="J250" s="237"/>
      <c r="K250" s="238"/>
      <c r="L250" s="237"/>
      <c r="M250" s="237"/>
      <c r="N250" s="238"/>
      <c r="O250" s="237"/>
      <c r="P250" s="237"/>
      <c r="Q250" s="238"/>
      <c r="R250" s="237"/>
      <c r="S250" s="237"/>
      <c r="T250" s="238"/>
      <c r="U250" s="237"/>
      <c r="V250" s="237"/>
      <c r="W250" s="238"/>
      <c r="AA250" s="93"/>
      <c r="AB250" s="93"/>
      <c r="AC250" s="83"/>
      <c r="AD250" s="83"/>
      <c r="AE250" s="93"/>
      <c r="AF250" s="93"/>
      <c r="AG250" s="83"/>
      <c r="AH250" s="83"/>
      <c r="AI250" s="93"/>
      <c r="AJ250" s="93"/>
      <c r="AK250" s="83"/>
      <c r="AL250" s="83"/>
      <c r="AM250" s="93"/>
      <c r="AN250" s="93"/>
      <c r="AO250" s="83"/>
      <c r="AP250" s="83"/>
      <c r="AQ250" s="93"/>
      <c r="AR250" s="93"/>
      <c r="AS250" s="83"/>
      <c r="AT250" s="83"/>
      <c r="AU250" s="93"/>
      <c r="AV250" s="93"/>
      <c r="AW250" s="83"/>
      <c r="AX250" s="83"/>
      <c r="AY250" s="93"/>
      <c r="AZ250" s="93"/>
    </row>
    <row r="251" spans="2:52" outlineLevel="1" x14ac:dyDescent="0.45">
      <c r="B251" s="1387"/>
      <c r="C251" s="91" t="s">
        <v>461</v>
      </c>
      <c r="D251" s="115"/>
      <c r="E251" s="15" t="s">
        <v>360</v>
      </c>
      <c r="F251" s="130">
        <f t="shared" ref="F251:H256" si="56">I251+L251+O251+R251+U251</f>
        <v>0</v>
      </c>
      <c r="G251" s="130">
        <f t="shared" si="56"/>
        <v>0</v>
      </c>
      <c r="H251" s="131">
        <f t="shared" si="56"/>
        <v>0</v>
      </c>
      <c r="I251" s="217"/>
      <c r="J251" s="272"/>
      <c r="K251" s="272"/>
      <c r="L251" s="218"/>
      <c r="M251" s="272"/>
      <c r="N251" s="272"/>
      <c r="O251" s="218"/>
      <c r="P251" s="272"/>
      <c r="Q251" s="272"/>
      <c r="R251" s="218"/>
      <c r="S251" s="272"/>
      <c r="T251" s="272"/>
      <c r="U251" s="218"/>
      <c r="V251" s="272"/>
      <c r="W251" s="272"/>
      <c r="AA251" s="93"/>
      <c r="AB251" s="93"/>
      <c r="AC251" s="83"/>
      <c r="AD251" s="83"/>
      <c r="AE251" s="93"/>
      <c r="AF251" s="93"/>
      <c r="AG251" s="83"/>
      <c r="AH251" s="83"/>
      <c r="AI251" s="93"/>
      <c r="AJ251" s="93"/>
      <c r="AK251" s="83"/>
      <c r="AL251" s="83"/>
      <c r="AM251" s="93"/>
      <c r="AN251" s="93"/>
      <c r="AO251" s="83"/>
      <c r="AP251" s="83"/>
      <c r="AQ251" s="93"/>
      <c r="AR251" s="93"/>
      <c r="AS251" s="83"/>
      <c r="AT251" s="83"/>
      <c r="AU251" s="93"/>
      <c r="AV251" s="93"/>
      <c r="AW251" s="83"/>
      <c r="AX251" s="83"/>
      <c r="AY251" s="93"/>
      <c r="AZ251" s="93"/>
    </row>
    <row r="252" spans="2:52" outlineLevel="1" x14ac:dyDescent="0.45">
      <c r="B252" s="1387"/>
      <c r="C252" s="91" t="s">
        <v>462</v>
      </c>
      <c r="D252" s="115"/>
      <c r="E252" s="15" t="s">
        <v>365</v>
      </c>
      <c r="F252" s="130">
        <f t="shared" si="56"/>
        <v>0</v>
      </c>
      <c r="G252" s="130">
        <f t="shared" si="56"/>
        <v>0</v>
      </c>
      <c r="H252" s="131">
        <f t="shared" si="56"/>
        <v>0</v>
      </c>
      <c r="I252" s="217"/>
      <c r="J252" s="217"/>
      <c r="K252" s="217"/>
      <c r="L252" s="218"/>
      <c r="M252" s="217"/>
      <c r="N252" s="217"/>
      <c r="O252" s="218"/>
      <c r="P252" s="217"/>
      <c r="Q252" s="217"/>
      <c r="R252" s="218"/>
      <c r="S252" s="217"/>
      <c r="T252" s="217"/>
      <c r="U252" s="218"/>
      <c r="V252" s="217"/>
      <c r="W252" s="217"/>
      <c r="AA252" s="93"/>
      <c r="AB252" s="93"/>
      <c r="AC252" s="83"/>
      <c r="AD252" s="83"/>
      <c r="AE252" s="93"/>
      <c r="AF252" s="93"/>
      <c r="AG252" s="83"/>
      <c r="AH252" s="83"/>
      <c r="AI252" s="93"/>
      <c r="AJ252" s="93"/>
      <c r="AK252" s="83"/>
      <c r="AL252" s="83"/>
      <c r="AM252" s="93"/>
      <c r="AN252" s="93"/>
      <c r="AO252" s="83"/>
      <c r="AP252" s="83"/>
      <c r="AQ252" s="93"/>
      <c r="AR252" s="93"/>
      <c r="AS252" s="83"/>
      <c r="AT252" s="83"/>
      <c r="AU252" s="93"/>
      <c r="AV252" s="93"/>
      <c r="AW252" s="83"/>
      <c r="AX252" s="83"/>
      <c r="AY252" s="93"/>
      <c r="AZ252" s="93"/>
    </row>
    <row r="253" spans="2:52" outlineLevel="1" x14ac:dyDescent="0.45">
      <c r="B253" s="1387"/>
      <c r="C253" s="91" t="s">
        <v>463</v>
      </c>
      <c r="D253" s="115"/>
      <c r="E253" s="230"/>
      <c r="F253" s="130">
        <f t="shared" si="56"/>
        <v>0</v>
      </c>
      <c r="G253" s="130">
        <f t="shared" si="56"/>
        <v>0</v>
      </c>
      <c r="H253" s="131">
        <f t="shared" si="56"/>
        <v>0</v>
      </c>
      <c r="I253" s="217"/>
      <c r="J253" s="217"/>
      <c r="K253" s="217"/>
      <c r="L253" s="218"/>
      <c r="M253" s="217"/>
      <c r="N253" s="217"/>
      <c r="O253" s="218"/>
      <c r="P253" s="217"/>
      <c r="Q253" s="217"/>
      <c r="R253" s="218"/>
      <c r="S253" s="217"/>
      <c r="T253" s="217"/>
      <c r="U253" s="218"/>
      <c r="V253" s="217"/>
      <c r="W253" s="217"/>
      <c r="AA253" s="93"/>
      <c r="AB253" s="93"/>
      <c r="AC253" s="83"/>
      <c r="AD253" s="83"/>
      <c r="AE253" s="93"/>
      <c r="AF253" s="93"/>
      <c r="AG253" s="83"/>
      <c r="AH253" s="83"/>
      <c r="AI253" s="93"/>
      <c r="AJ253" s="93"/>
      <c r="AK253" s="83"/>
      <c r="AL253" s="83"/>
      <c r="AM253" s="93"/>
      <c r="AN253" s="93"/>
      <c r="AO253" s="83"/>
      <c r="AP253" s="83"/>
      <c r="AQ253" s="93"/>
      <c r="AR253" s="93"/>
      <c r="AS253" s="83"/>
      <c r="AT253" s="83"/>
      <c r="AU253" s="93"/>
      <c r="AV253" s="93"/>
      <c r="AW253" s="83"/>
      <c r="AX253" s="83"/>
      <c r="AY253" s="93"/>
      <c r="AZ253" s="93"/>
    </row>
    <row r="254" spans="2:52" outlineLevel="1" x14ac:dyDescent="0.45">
      <c r="B254" s="1387"/>
      <c r="C254" s="91" t="s">
        <v>464</v>
      </c>
      <c r="D254" s="115"/>
      <c r="E254" s="230"/>
      <c r="F254" s="130">
        <f t="shared" si="56"/>
        <v>0</v>
      </c>
      <c r="G254" s="130">
        <f t="shared" si="56"/>
        <v>0</v>
      </c>
      <c r="H254" s="131">
        <f t="shared" si="56"/>
        <v>0</v>
      </c>
      <c r="I254" s="217"/>
      <c r="J254" s="217"/>
      <c r="K254" s="217"/>
      <c r="L254" s="218"/>
      <c r="M254" s="217"/>
      <c r="N254" s="217"/>
      <c r="O254" s="218"/>
      <c r="P254" s="217"/>
      <c r="Q254" s="217"/>
      <c r="R254" s="218"/>
      <c r="S254" s="217"/>
      <c r="T254" s="217"/>
      <c r="U254" s="218"/>
      <c r="V254" s="217"/>
      <c r="W254" s="217"/>
      <c r="AA254" s="93"/>
      <c r="AB254" s="93"/>
      <c r="AC254" s="83"/>
      <c r="AD254" s="83"/>
      <c r="AE254" s="93"/>
      <c r="AF254" s="93"/>
      <c r="AG254" s="83"/>
      <c r="AH254" s="83"/>
      <c r="AI254" s="93"/>
      <c r="AJ254" s="93"/>
      <c r="AK254" s="83"/>
      <c r="AL254" s="83"/>
      <c r="AM254" s="93"/>
      <c r="AN254" s="93"/>
      <c r="AO254" s="83"/>
      <c r="AP254" s="83"/>
      <c r="AQ254" s="93"/>
      <c r="AR254" s="93"/>
      <c r="AS254" s="83"/>
      <c r="AT254" s="83"/>
      <c r="AU254" s="93"/>
      <c r="AV254" s="93"/>
      <c r="AW254" s="83"/>
      <c r="AX254" s="83"/>
      <c r="AY254" s="93"/>
      <c r="AZ254" s="93"/>
    </row>
    <row r="255" spans="2:52" outlineLevel="1" x14ac:dyDescent="0.45">
      <c r="B255" s="1387"/>
      <c r="C255" s="91" t="s">
        <v>465</v>
      </c>
      <c r="D255" s="115"/>
      <c r="E255" s="12" t="s">
        <v>466</v>
      </c>
      <c r="F255" s="130">
        <f t="shared" si="56"/>
        <v>88575962.980000004</v>
      </c>
      <c r="G255" s="130">
        <f t="shared" si="56"/>
        <v>95046862.589999989</v>
      </c>
      <c r="H255" s="131">
        <f t="shared" si="56"/>
        <v>87625691.420000002</v>
      </c>
      <c r="I255" s="236">
        <f t="shared" ref="I255:W255" si="57">SUM(I239:I249,I251:I254)</f>
        <v>9680312.3900000006</v>
      </c>
      <c r="J255" s="237">
        <f t="shared" si="57"/>
        <v>10401380.890000001</v>
      </c>
      <c r="K255" s="238">
        <f t="shared" si="57"/>
        <v>0</v>
      </c>
      <c r="L255" s="237">
        <f t="shared" si="57"/>
        <v>701000</v>
      </c>
      <c r="M255" s="237">
        <f t="shared" si="57"/>
        <v>701000</v>
      </c>
      <c r="N255" s="238">
        <f t="shared" si="57"/>
        <v>701000</v>
      </c>
      <c r="O255" s="237">
        <f t="shared" si="57"/>
        <v>42979210.789999999</v>
      </c>
      <c r="P255" s="237">
        <f t="shared" si="57"/>
        <v>43567968.549999997</v>
      </c>
      <c r="Q255" s="238">
        <f t="shared" si="57"/>
        <v>37923837.149999999</v>
      </c>
      <c r="R255" s="237">
        <f t="shared" si="57"/>
        <v>34019560.130000003</v>
      </c>
      <c r="S255" s="237">
        <f t="shared" si="57"/>
        <v>39605059.129999995</v>
      </c>
      <c r="T255" s="238">
        <f t="shared" si="57"/>
        <v>48500121.980000004</v>
      </c>
      <c r="U255" s="237">
        <f t="shared" si="57"/>
        <v>1195879.67</v>
      </c>
      <c r="V255" s="237">
        <f t="shared" si="57"/>
        <v>771454.02</v>
      </c>
      <c r="W255" s="238">
        <f t="shared" si="57"/>
        <v>500732.29000000004</v>
      </c>
      <c r="AA255" s="93"/>
      <c r="AB255" s="93"/>
      <c r="AC255" s="83"/>
      <c r="AD255" s="83"/>
      <c r="AE255" s="93"/>
      <c r="AF255" s="93"/>
      <c r="AG255" s="83"/>
      <c r="AH255" s="83"/>
      <c r="AI255" s="93"/>
      <c r="AJ255" s="93"/>
      <c r="AK255" s="83"/>
      <c r="AL255" s="83"/>
      <c r="AM255" s="93"/>
      <c r="AN255" s="93"/>
      <c r="AO255" s="83"/>
      <c r="AP255" s="83"/>
      <c r="AQ255" s="93"/>
      <c r="AR255" s="93"/>
      <c r="AS255" s="83"/>
      <c r="AT255" s="83"/>
      <c r="AU255" s="93"/>
      <c r="AV255" s="93"/>
      <c r="AW255" s="83"/>
      <c r="AX255" s="83"/>
      <c r="AY255" s="93"/>
      <c r="AZ255" s="93"/>
    </row>
    <row r="256" spans="2:52" ht="14.65" outlineLevel="1" thickBot="1" x14ac:dyDescent="0.5">
      <c r="B256" s="1387"/>
      <c r="C256" s="91" t="s">
        <v>467</v>
      </c>
      <c r="D256" s="115"/>
      <c r="E256" s="169" t="s">
        <v>371</v>
      </c>
      <c r="F256" s="130">
        <f t="shared" si="56"/>
        <v>-87102680.980000004</v>
      </c>
      <c r="G256" s="130">
        <f t="shared" si="56"/>
        <v>-93357193.589999989</v>
      </c>
      <c r="H256" s="131">
        <f t="shared" si="56"/>
        <v>-86597610.420000002</v>
      </c>
      <c r="I256" s="240">
        <f t="shared" ref="I256:W256" si="58">I236-I255</f>
        <v>-8207030.3900000006</v>
      </c>
      <c r="J256" s="241">
        <f t="shared" si="58"/>
        <v>-8711711.8900000006</v>
      </c>
      <c r="K256" s="242">
        <f t="shared" si="58"/>
        <v>1028081</v>
      </c>
      <c r="L256" s="241">
        <f t="shared" si="58"/>
        <v>-701000</v>
      </c>
      <c r="M256" s="241">
        <f t="shared" si="58"/>
        <v>-701000</v>
      </c>
      <c r="N256" s="242">
        <f t="shared" si="58"/>
        <v>-701000</v>
      </c>
      <c r="O256" s="241">
        <f t="shared" si="58"/>
        <v>-42979210.789999999</v>
      </c>
      <c r="P256" s="241">
        <f t="shared" si="58"/>
        <v>-43567968.549999997</v>
      </c>
      <c r="Q256" s="242">
        <f t="shared" si="58"/>
        <v>-37923837.149999999</v>
      </c>
      <c r="R256" s="241">
        <f t="shared" si="58"/>
        <v>-34019560.130000003</v>
      </c>
      <c r="S256" s="241">
        <f t="shared" si="58"/>
        <v>-39605059.129999995</v>
      </c>
      <c r="T256" s="242">
        <f t="shared" si="58"/>
        <v>-48500121.980000004</v>
      </c>
      <c r="U256" s="241">
        <f t="shared" si="58"/>
        <v>-1195879.67</v>
      </c>
      <c r="V256" s="241">
        <f t="shared" si="58"/>
        <v>-771454.02</v>
      </c>
      <c r="W256" s="242">
        <f t="shared" si="58"/>
        <v>-500732.29000000004</v>
      </c>
      <c r="AA256" s="93"/>
      <c r="AB256" s="93"/>
      <c r="AC256" s="83"/>
      <c r="AD256" s="83"/>
      <c r="AE256" s="93"/>
      <c r="AF256" s="93"/>
      <c r="AG256" s="83"/>
      <c r="AH256" s="83"/>
      <c r="AI256" s="93"/>
      <c r="AJ256" s="93"/>
      <c r="AK256" s="83"/>
      <c r="AL256" s="83"/>
      <c r="AM256" s="93"/>
      <c r="AN256" s="93"/>
      <c r="AO256" s="83"/>
      <c r="AP256" s="83"/>
      <c r="AQ256" s="93"/>
      <c r="AR256" s="93"/>
      <c r="AS256" s="83"/>
      <c r="AT256" s="83"/>
      <c r="AU256" s="93"/>
      <c r="AV256" s="93"/>
      <c r="AW256" s="83"/>
      <c r="AX256" s="83"/>
      <c r="AY256" s="93"/>
      <c r="AZ256" s="93"/>
    </row>
    <row r="257" spans="2:52" ht="14.65" outlineLevel="1" thickTop="1" x14ac:dyDescent="0.45">
      <c r="B257" s="1387"/>
      <c r="C257" s="91" t="s">
        <v>468</v>
      </c>
      <c r="D257" s="115"/>
      <c r="E257" s="91"/>
      <c r="F257" s="89"/>
      <c r="G257" s="89"/>
      <c r="H257" s="23"/>
      <c r="I257" s="91"/>
      <c r="J257" s="92"/>
      <c r="K257" s="31"/>
      <c r="L257" s="92"/>
      <c r="M257" s="92"/>
      <c r="N257" s="31"/>
      <c r="O257" s="92"/>
      <c r="P257" s="92"/>
      <c r="Q257" s="31"/>
      <c r="R257" s="92"/>
      <c r="S257" s="92"/>
      <c r="T257" s="31"/>
      <c r="U257" s="92"/>
      <c r="V257" s="92"/>
      <c r="W257" s="31"/>
      <c r="AA257" s="93"/>
      <c r="AB257" s="93"/>
      <c r="AC257" s="83"/>
      <c r="AD257" s="83"/>
      <c r="AE257" s="93"/>
      <c r="AF257" s="93"/>
      <c r="AG257" s="83"/>
      <c r="AH257" s="83"/>
      <c r="AI257" s="93"/>
      <c r="AJ257" s="93"/>
      <c r="AK257" s="83"/>
      <c r="AL257" s="83"/>
      <c r="AM257" s="93"/>
      <c r="AN257" s="93"/>
      <c r="AO257" s="83"/>
      <c r="AP257" s="83"/>
      <c r="AQ257" s="93"/>
      <c r="AR257" s="93"/>
      <c r="AS257" s="83"/>
      <c r="AT257" s="83"/>
      <c r="AU257" s="93"/>
      <c r="AV257" s="93"/>
      <c r="AW257" s="83"/>
      <c r="AX257" s="83"/>
      <c r="AY257" s="93"/>
      <c r="AZ257" s="93"/>
    </row>
    <row r="258" spans="2:52" outlineLevel="1" x14ac:dyDescent="0.45">
      <c r="B258" s="1387"/>
      <c r="C258" s="91" t="s">
        <v>469</v>
      </c>
      <c r="D258" s="115"/>
      <c r="E258" s="11" t="s">
        <v>374</v>
      </c>
      <c r="F258" s="89"/>
      <c r="G258" s="89"/>
      <c r="H258" s="23"/>
      <c r="I258" s="91"/>
      <c r="J258" s="92"/>
      <c r="K258" s="31"/>
      <c r="L258" s="92"/>
      <c r="M258" s="92"/>
      <c r="N258" s="31"/>
      <c r="O258" s="92"/>
      <c r="P258" s="92"/>
      <c r="Q258" s="31"/>
      <c r="R258" s="92"/>
      <c r="S258" s="92"/>
      <c r="T258" s="31"/>
      <c r="U258" s="92"/>
      <c r="V258" s="92"/>
      <c r="W258" s="31"/>
      <c r="AA258" s="93"/>
      <c r="AB258" s="93"/>
      <c r="AC258" s="83"/>
      <c r="AD258" s="83"/>
      <c r="AE258" s="93"/>
      <c r="AF258" s="93"/>
      <c r="AG258" s="83"/>
      <c r="AH258" s="83"/>
      <c r="AI258" s="93"/>
      <c r="AJ258" s="93"/>
      <c r="AK258" s="83"/>
      <c r="AL258" s="83"/>
      <c r="AM258" s="93"/>
      <c r="AN258" s="93"/>
      <c r="AO258" s="83"/>
      <c r="AP258" s="83"/>
      <c r="AQ258" s="93"/>
      <c r="AR258" s="93"/>
      <c r="AS258" s="83"/>
      <c r="AT258" s="83"/>
      <c r="AU258" s="93"/>
      <c r="AV258" s="93"/>
      <c r="AW258" s="83"/>
      <c r="AX258" s="83"/>
      <c r="AY258" s="93"/>
      <c r="AZ258" s="93"/>
    </row>
    <row r="259" spans="2:52" ht="42.75" outlineLevel="1" x14ac:dyDescent="0.45">
      <c r="B259" s="1387"/>
      <c r="C259" s="91" t="s">
        <v>470</v>
      </c>
      <c r="D259" s="128" t="s">
        <v>439</v>
      </c>
      <c r="E259" s="91" t="s">
        <v>377</v>
      </c>
      <c r="F259" s="130">
        <f t="shared" ref="F259:H260" si="59">I259+L259+O259+R259+U259</f>
        <v>0</v>
      </c>
      <c r="G259" s="130">
        <f t="shared" si="59"/>
        <v>0</v>
      </c>
      <c r="H259" s="131">
        <f t="shared" si="59"/>
        <v>0</v>
      </c>
      <c r="I259" s="217"/>
      <c r="J259" s="217"/>
      <c r="K259" s="217"/>
      <c r="L259" s="218"/>
      <c r="M259" s="217"/>
      <c r="N259" s="217"/>
      <c r="O259" s="218"/>
      <c r="P259" s="217"/>
      <c r="Q259" s="217"/>
      <c r="R259" s="218"/>
      <c r="S259" s="217"/>
      <c r="T259" s="217"/>
      <c r="U259" s="218"/>
      <c r="V259" s="217"/>
      <c r="W259" s="217"/>
      <c r="AA259" s="93"/>
      <c r="AB259" s="93"/>
      <c r="AC259" s="83"/>
      <c r="AD259" s="83"/>
      <c r="AE259" s="93"/>
      <c r="AF259" s="93"/>
      <c r="AG259" s="83"/>
      <c r="AH259" s="83"/>
      <c r="AI259" s="93"/>
      <c r="AJ259" s="93"/>
      <c r="AK259" s="83"/>
      <c r="AL259" s="83"/>
      <c r="AM259" s="93"/>
      <c r="AN259" s="93"/>
      <c r="AO259" s="83"/>
      <c r="AP259" s="83"/>
      <c r="AQ259" s="93"/>
      <c r="AR259" s="93"/>
      <c r="AS259" s="83"/>
      <c r="AT259" s="83"/>
      <c r="AU259" s="93"/>
      <c r="AV259" s="93"/>
      <c r="AW259" s="83"/>
      <c r="AX259" s="83"/>
      <c r="AY259" s="93"/>
      <c r="AZ259" s="93"/>
    </row>
    <row r="260" spans="2:52" ht="42.75" outlineLevel="1" x14ac:dyDescent="0.45">
      <c r="B260" s="1387"/>
      <c r="C260" s="91" t="s">
        <v>471</v>
      </c>
      <c r="D260" s="128" t="s">
        <v>439</v>
      </c>
      <c r="E260" s="91" t="s">
        <v>379</v>
      </c>
      <c r="F260" s="130">
        <f t="shared" si="59"/>
        <v>0</v>
      </c>
      <c r="G260" s="130">
        <f t="shared" si="59"/>
        <v>0</v>
      </c>
      <c r="H260" s="131">
        <f t="shared" si="59"/>
        <v>0</v>
      </c>
      <c r="I260" s="217"/>
      <c r="J260" s="217"/>
      <c r="K260" s="217"/>
      <c r="L260" s="218"/>
      <c r="M260" s="217"/>
      <c r="N260" s="217"/>
      <c r="O260" s="218"/>
      <c r="P260" s="217"/>
      <c r="Q260" s="217"/>
      <c r="R260" s="218"/>
      <c r="S260" s="217"/>
      <c r="T260" s="217"/>
      <c r="U260" s="218"/>
      <c r="V260" s="217"/>
      <c r="W260" s="217"/>
      <c r="AA260" s="93"/>
      <c r="AB260" s="93"/>
      <c r="AC260" s="83"/>
      <c r="AD260" s="83"/>
      <c r="AE260" s="93"/>
      <c r="AF260" s="93"/>
      <c r="AG260" s="83"/>
      <c r="AH260" s="83"/>
      <c r="AI260" s="93"/>
      <c r="AJ260" s="93"/>
      <c r="AK260" s="83"/>
      <c r="AL260" s="83"/>
      <c r="AM260" s="93"/>
      <c r="AN260" s="93"/>
      <c r="AO260" s="83"/>
      <c r="AP260" s="83"/>
      <c r="AQ260" s="93"/>
      <c r="AR260" s="93"/>
      <c r="AS260" s="83"/>
      <c r="AT260" s="83"/>
      <c r="AU260" s="93"/>
      <c r="AV260" s="93"/>
      <c r="AW260" s="83"/>
      <c r="AX260" s="83"/>
      <c r="AY260" s="93"/>
      <c r="AZ260" s="93"/>
    </row>
    <row r="261" spans="2:52" outlineLevel="1" x14ac:dyDescent="0.45">
      <c r="B261" s="1387"/>
      <c r="C261" s="91" t="s">
        <v>472</v>
      </c>
      <c r="D261" s="115"/>
      <c r="E261" s="91"/>
      <c r="F261" s="89"/>
      <c r="G261" s="89"/>
      <c r="H261" s="23"/>
      <c r="I261" s="91"/>
      <c r="J261" s="92"/>
      <c r="K261" s="31"/>
      <c r="L261" s="92"/>
      <c r="M261" s="92"/>
      <c r="N261" s="31"/>
      <c r="O261" s="92"/>
      <c r="P261" s="92"/>
      <c r="Q261" s="31"/>
      <c r="R261" s="92"/>
      <c r="S261" s="92"/>
      <c r="T261" s="31"/>
      <c r="U261" s="92"/>
      <c r="V261" s="92"/>
      <c r="W261" s="31"/>
      <c r="AA261" s="93"/>
      <c r="AB261" s="93"/>
      <c r="AC261" s="83"/>
      <c r="AD261" s="83"/>
      <c r="AE261" s="93"/>
      <c r="AF261" s="93"/>
      <c r="AG261" s="83"/>
      <c r="AH261" s="83"/>
      <c r="AI261" s="93"/>
      <c r="AJ261" s="93"/>
      <c r="AK261" s="83"/>
      <c r="AL261" s="83"/>
      <c r="AM261" s="93"/>
      <c r="AN261" s="93"/>
      <c r="AO261" s="83"/>
      <c r="AP261" s="83"/>
      <c r="AQ261" s="93"/>
      <c r="AR261" s="93"/>
      <c r="AS261" s="83"/>
      <c r="AT261" s="83"/>
      <c r="AU261" s="93"/>
      <c r="AV261" s="93"/>
      <c r="AW261" s="83"/>
      <c r="AX261" s="83"/>
      <c r="AY261" s="93"/>
      <c r="AZ261" s="93"/>
    </row>
    <row r="262" spans="2:52" outlineLevel="1" x14ac:dyDescent="0.45">
      <c r="B262" s="1387"/>
      <c r="C262" s="91" t="s">
        <v>473</v>
      </c>
      <c r="D262" s="103"/>
      <c r="E262" s="11" t="s">
        <v>383</v>
      </c>
      <c r="F262" s="89"/>
      <c r="G262" s="89"/>
      <c r="H262" s="23"/>
      <c r="I262" s="91"/>
      <c r="J262" s="92"/>
      <c r="K262" s="31"/>
      <c r="L262" s="92"/>
      <c r="M262" s="92"/>
      <c r="N262" s="31"/>
      <c r="O262" s="92"/>
      <c r="P262" s="92"/>
      <c r="Q262" s="31"/>
      <c r="R262" s="92"/>
      <c r="S262" s="92"/>
      <c r="T262" s="31"/>
      <c r="U262" s="92"/>
      <c r="V262" s="92"/>
      <c r="W262" s="31"/>
      <c r="AA262" s="93"/>
      <c r="AB262" s="93"/>
      <c r="AC262" s="83"/>
      <c r="AD262" s="83"/>
      <c r="AE262" s="93"/>
      <c r="AF262" s="93"/>
      <c r="AG262" s="83"/>
      <c r="AH262" s="83"/>
      <c r="AI262" s="93"/>
      <c r="AJ262" s="93"/>
      <c r="AK262" s="83"/>
      <c r="AL262" s="83"/>
      <c r="AM262" s="93"/>
      <c r="AN262" s="93"/>
      <c r="AO262" s="83"/>
      <c r="AP262" s="83"/>
      <c r="AQ262" s="93"/>
      <c r="AR262" s="93"/>
      <c r="AS262" s="83"/>
      <c r="AT262" s="83"/>
      <c r="AU262" s="93"/>
      <c r="AV262" s="93"/>
      <c r="AW262" s="83"/>
      <c r="AX262" s="83"/>
      <c r="AY262" s="93"/>
      <c r="AZ262" s="93"/>
    </row>
    <row r="263" spans="2:52" ht="42.75" outlineLevel="1" x14ac:dyDescent="0.45">
      <c r="B263" s="1387"/>
      <c r="C263" s="91" t="s">
        <v>474</v>
      </c>
      <c r="D263" s="128" t="s">
        <v>439</v>
      </c>
      <c r="E263" s="91" t="s">
        <v>475</v>
      </c>
      <c r="F263" s="130">
        <f t="shared" ref="F263:H264" si="60">I263+L263+O263+R263+U263</f>
        <v>0</v>
      </c>
      <c r="G263" s="130">
        <f t="shared" si="60"/>
        <v>1694887000</v>
      </c>
      <c r="H263" s="131">
        <f t="shared" si="60"/>
        <v>1977532000</v>
      </c>
      <c r="I263" s="217"/>
      <c r="J263" s="217"/>
      <c r="K263" s="217"/>
      <c r="L263" s="218"/>
      <c r="M263" s="217"/>
      <c r="N263" s="217"/>
      <c r="O263" s="218"/>
      <c r="P263" s="217"/>
      <c r="Q263" s="217"/>
      <c r="R263" s="218"/>
      <c r="S263" s="217"/>
      <c r="T263" s="217"/>
      <c r="U263" s="218"/>
      <c r="V263" s="217">
        <v>1694887000</v>
      </c>
      <c r="W263" s="217">
        <v>1977532000</v>
      </c>
      <c r="AA263" s="93"/>
      <c r="AB263" s="93"/>
      <c r="AC263" s="83"/>
      <c r="AD263" s="83"/>
      <c r="AE263" s="93"/>
      <c r="AF263" s="93"/>
      <c r="AG263" s="83"/>
      <c r="AH263" s="83"/>
      <c r="AI263" s="93"/>
      <c r="AJ263" s="93"/>
      <c r="AK263" s="83"/>
      <c r="AL263" s="83"/>
      <c r="AM263" s="93"/>
      <c r="AN263" s="93"/>
      <c r="AO263" s="83"/>
      <c r="AP263" s="83"/>
      <c r="AQ263" s="93"/>
      <c r="AR263" s="93"/>
      <c r="AS263" s="83"/>
      <c r="AT263" s="83"/>
      <c r="AU263" s="93"/>
      <c r="AV263" s="93"/>
      <c r="AW263" s="83"/>
      <c r="AX263" s="83"/>
      <c r="AY263" s="93"/>
      <c r="AZ263" s="93"/>
    </row>
    <row r="264" spans="2:52" ht="42.75" outlineLevel="1" x14ac:dyDescent="0.45">
      <c r="B264" s="1387"/>
      <c r="C264" s="91" t="s">
        <v>476</v>
      </c>
      <c r="D264" s="128" t="s">
        <v>439</v>
      </c>
      <c r="E264" s="91" t="s">
        <v>19</v>
      </c>
      <c r="F264" s="130">
        <f t="shared" si="60"/>
        <v>0</v>
      </c>
      <c r="G264" s="130">
        <f t="shared" si="60"/>
        <v>1457000</v>
      </c>
      <c r="H264" s="131">
        <f t="shared" si="60"/>
        <v>4613000</v>
      </c>
      <c r="I264" s="217"/>
      <c r="J264" s="217"/>
      <c r="K264" s="217"/>
      <c r="L264" s="218"/>
      <c r="M264" s="217"/>
      <c r="N264" s="217"/>
      <c r="O264" s="218"/>
      <c r="P264" s="217"/>
      <c r="Q264" s="217"/>
      <c r="R264" s="218"/>
      <c r="S264" s="217"/>
      <c r="T264" s="217"/>
      <c r="U264" s="218"/>
      <c r="V264" s="217">
        <v>1457000</v>
      </c>
      <c r="W264" s="217">
        <v>4613000</v>
      </c>
      <c r="AA264" s="93"/>
      <c r="AB264" s="93"/>
      <c r="AC264" s="83"/>
      <c r="AD264" s="83"/>
      <c r="AE264" s="93"/>
      <c r="AF264" s="93"/>
      <c r="AG264" s="83"/>
      <c r="AH264" s="83"/>
      <c r="AI264" s="93"/>
      <c r="AJ264" s="93"/>
      <c r="AK264" s="83"/>
      <c r="AL264" s="83"/>
      <c r="AM264" s="93"/>
      <c r="AN264" s="93"/>
      <c r="AO264" s="83"/>
      <c r="AP264" s="83"/>
      <c r="AQ264" s="93"/>
      <c r="AR264" s="93"/>
      <c r="AS264" s="83"/>
      <c r="AT264" s="83"/>
      <c r="AU264" s="93"/>
      <c r="AV264" s="93"/>
      <c r="AW264" s="83"/>
      <c r="AX264" s="83"/>
      <c r="AY264" s="93"/>
      <c r="AZ264" s="93"/>
    </row>
    <row r="265" spans="2:52" outlineLevel="1" x14ac:dyDescent="0.45">
      <c r="B265" s="1387"/>
      <c r="C265" s="91" t="s">
        <v>477</v>
      </c>
      <c r="D265" s="115"/>
      <c r="E265" s="91"/>
      <c r="F265" s="89"/>
      <c r="G265" s="89"/>
      <c r="H265" s="23"/>
      <c r="I265" s="91"/>
      <c r="J265" s="92"/>
      <c r="K265" s="31"/>
      <c r="L265" s="92"/>
      <c r="M265" s="92"/>
      <c r="N265" s="31"/>
      <c r="O265" s="92"/>
      <c r="P265" s="92"/>
      <c r="Q265" s="31"/>
      <c r="R265" s="92"/>
      <c r="S265" s="92"/>
      <c r="T265" s="31"/>
      <c r="U265" s="92"/>
      <c r="V265" s="92"/>
      <c r="W265" s="31"/>
      <c r="AA265" s="93"/>
      <c r="AB265" s="93"/>
      <c r="AC265" s="83"/>
      <c r="AD265" s="83"/>
      <c r="AE265" s="93"/>
      <c r="AF265" s="93"/>
      <c r="AG265" s="83"/>
      <c r="AH265" s="83"/>
      <c r="AI265" s="93"/>
      <c r="AJ265" s="93"/>
      <c r="AK265" s="83"/>
      <c r="AL265" s="83"/>
      <c r="AM265" s="93"/>
      <c r="AN265" s="93"/>
      <c r="AO265" s="83"/>
      <c r="AP265" s="83"/>
      <c r="AQ265" s="93"/>
      <c r="AR265" s="93"/>
      <c r="AS265" s="83"/>
      <c r="AT265" s="83"/>
      <c r="AU265" s="93"/>
      <c r="AV265" s="93"/>
      <c r="AW265" s="83"/>
      <c r="AX265" s="83"/>
      <c r="AY265" s="93"/>
      <c r="AZ265" s="93"/>
    </row>
    <row r="266" spans="2:52" outlineLevel="1" x14ac:dyDescent="0.45">
      <c r="B266" s="1387"/>
      <c r="C266" s="91" t="s">
        <v>478</v>
      </c>
      <c r="D266" s="115"/>
      <c r="E266" s="11" t="s">
        <v>479</v>
      </c>
      <c r="F266" s="89"/>
      <c r="G266" s="89"/>
      <c r="H266" s="23"/>
      <c r="I266" s="91"/>
      <c r="J266" s="92"/>
      <c r="K266" s="31"/>
      <c r="L266" s="92"/>
      <c r="M266" s="92"/>
      <c r="N266" s="31"/>
      <c r="O266" s="92"/>
      <c r="P266" s="92"/>
      <c r="Q266" s="31"/>
      <c r="R266" s="92"/>
      <c r="S266" s="92"/>
      <c r="T266" s="31"/>
      <c r="U266" s="92"/>
      <c r="V266" s="92"/>
      <c r="W266" s="31"/>
      <c r="AA266" s="93"/>
      <c r="AB266" s="93"/>
      <c r="AC266" s="83"/>
      <c r="AD266" s="83"/>
      <c r="AE266" s="93"/>
      <c r="AF266" s="93"/>
      <c r="AG266" s="83"/>
      <c r="AH266" s="83"/>
      <c r="AI266" s="93"/>
      <c r="AJ266" s="93"/>
      <c r="AK266" s="83"/>
      <c r="AL266" s="83"/>
      <c r="AM266" s="93"/>
      <c r="AN266" s="93"/>
      <c r="AO266" s="83"/>
      <c r="AP266" s="83"/>
      <c r="AQ266" s="93"/>
      <c r="AR266" s="93"/>
      <c r="AS266" s="83"/>
      <c r="AT266" s="83"/>
      <c r="AU266" s="93"/>
      <c r="AV266" s="93"/>
      <c r="AW266" s="83"/>
      <c r="AX266" s="83"/>
      <c r="AY266" s="93"/>
      <c r="AZ266" s="93"/>
    </row>
    <row r="267" spans="2:52" outlineLevel="1" x14ac:dyDescent="0.45">
      <c r="B267" s="1387"/>
      <c r="C267" s="91" t="s">
        <v>480</v>
      </c>
      <c r="D267" s="115"/>
      <c r="E267" s="91" t="s">
        <v>392</v>
      </c>
      <c r="F267" s="130">
        <f>I267+L267+O267+R267+U267</f>
        <v>13274959000</v>
      </c>
      <c r="G267" s="130">
        <f>J267+M267+P267+S267+V267</f>
        <v>13316096000</v>
      </c>
      <c r="H267" s="131">
        <f>K267+N267+Q267+T267+W267</f>
        <v>0</v>
      </c>
      <c r="I267" s="217">
        <v>2523803000</v>
      </c>
      <c r="J267" s="217">
        <v>2392718000</v>
      </c>
      <c r="K267" s="217"/>
      <c r="L267" s="218">
        <v>1350936000</v>
      </c>
      <c r="M267" s="217">
        <v>1061756000</v>
      </c>
      <c r="N267" s="217"/>
      <c r="O267" s="218">
        <v>4108399000</v>
      </c>
      <c r="P267" s="217">
        <v>4417641000</v>
      </c>
      <c r="Q267" s="217"/>
      <c r="R267" s="218">
        <v>3332584000</v>
      </c>
      <c r="S267" s="217">
        <v>3509045000</v>
      </c>
      <c r="T267" s="217"/>
      <c r="U267" s="218">
        <v>1959237000</v>
      </c>
      <c r="V267" s="217">
        <v>1934936000</v>
      </c>
      <c r="W267" s="217"/>
      <c r="AA267" s="93"/>
      <c r="AB267" s="93"/>
      <c r="AC267" s="83" t="s">
        <v>393</v>
      </c>
      <c r="AD267" s="83"/>
      <c r="AE267" s="93"/>
      <c r="AF267" s="93"/>
      <c r="AG267" s="83" t="s">
        <v>393</v>
      </c>
      <c r="AH267" s="83"/>
      <c r="AI267" s="93"/>
      <c r="AJ267" s="93"/>
      <c r="AK267" s="83" t="s">
        <v>393</v>
      </c>
      <c r="AL267" s="83"/>
      <c r="AM267" s="93"/>
      <c r="AN267" s="93"/>
      <c r="AO267" s="83" t="s">
        <v>393</v>
      </c>
      <c r="AP267" s="83"/>
      <c r="AQ267" s="93"/>
      <c r="AR267" s="93"/>
      <c r="AS267" s="83" t="s">
        <v>393</v>
      </c>
      <c r="AT267" s="83"/>
      <c r="AU267" s="93"/>
      <c r="AV267" s="93"/>
      <c r="AW267" s="83" t="s">
        <v>393</v>
      </c>
      <c r="AX267" s="83"/>
      <c r="AY267" s="93"/>
      <c r="AZ267" s="93"/>
    </row>
    <row r="268" spans="2:52" outlineLevel="1" x14ac:dyDescent="0.45">
      <c r="B268" s="1387"/>
      <c r="C268" s="91" t="s">
        <v>481</v>
      </c>
      <c r="D268" s="115"/>
      <c r="E268" s="91"/>
      <c r="F268" s="89"/>
      <c r="G268" s="89"/>
      <c r="H268" s="23"/>
      <c r="I268" s="91"/>
      <c r="J268" s="92"/>
      <c r="K268" s="31"/>
      <c r="L268" s="92"/>
      <c r="M268" s="92"/>
      <c r="N268" s="31"/>
      <c r="O268" s="92"/>
      <c r="P268" s="92"/>
      <c r="Q268" s="31"/>
      <c r="R268" s="92"/>
      <c r="S268" s="92"/>
      <c r="T268" s="31"/>
      <c r="U268" s="92"/>
      <c r="V268" s="92"/>
      <c r="W268" s="31"/>
      <c r="AA268" s="93"/>
      <c r="AB268" s="93"/>
      <c r="AC268" s="83"/>
      <c r="AD268" s="83"/>
      <c r="AE268" s="93"/>
      <c r="AF268" s="93"/>
      <c r="AG268" s="83"/>
      <c r="AH268" s="83"/>
      <c r="AI268" s="93"/>
      <c r="AJ268" s="93"/>
      <c r="AK268" s="83"/>
      <c r="AL268" s="83"/>
      <c r="AM268" s="93"/>
      <c r="AN268" s="93"/>
      <c r="AO268" s="83"/>
      <c r="AP268" s="83"/>
      <c r="AQ268" s="93"/>
      <c r="AR268" s="93"/>
      <c r="AS268" s="83"/>
      <c r="AT268" s="83"/>
      <c r="AU268" s="93"/>
      <c r="AV268" s="93"/>
      <c r="AW268" s="83"/>
      <c r="AX268" s="83"/>
      <c r="AY268" s="93"/>
      <c r="AZ268" s="93"/>
    </row>
    <row r="269" spans="2:52" outlineLevel="1" x14ac:dyDescent="0.45">
      <c r="B269" s="1387"/>
      <c r="C269" s="91" t="s">
        <v>482</v>
      </c>
      <c r="D269" s="115"/>
      <c r="E269" s="91"/>
      <c r="F269" s="89"/>
      <c r="G269" s="89"/>
      <c r="H269" s="23"/>
      <c r="I269" s="91"/>
      <c r="J269" s="92"/>
      <c r="K269" s="31"/>
      <c r="L269" s="92"/>
      <c r="M269" s="92"/>
      <c r="N269" s="31"/>
      <c r="O269" s="92"/>
      <c r="P269" s="92"/>
      <c r="Q269" s="31"/>
      <c r="R269" s="92"/>
      <c r="S269" s="92"/>
      <c r="T269" s="31"/>
      <c r="U269" s="92"/>
      <c r="V269" s="92"/>
      <c r="W269" s="31"/>
      <c r="AA269" s="93"/>
      <c r="AB269" s="93"/>
      <c r="AC269" s="83"/>
      <c r="AD269" s="83"/>
      <c r="AE269" s="93"/>
      <c r="AF269" s="93"/>
      <c r="AG269" s="83"/>
      <c r="AH269" s="83"/>
      <c r="AI269" s="93"/>
      <c r="AJ269" s="93"/>
      <c r="AK269" s="83"/>
      <c r="AL269" s="83"/>
      <c r="AM269" s="93"/>
      <c r="AN269" s="93"/>
      <c r="AO269" s="83"/>
      <c r="AP269" s="83"/>
      <c r="AQ269" s="93"/>
      <c r="AR269" s="93"/>
      <c r="AS269" s="83"/>
      <c r="AT269" s="83"/>
      <c r="AU269" s="93"/>
      <c r="AV269" s="93"/>
      <c r="AW269" s="83"/>
      <c r="AX269" s="83"/>
      <c r="AY269" s="93"/>
      <c r="AZ269" s="93"/>
    </row>
    <row r="270" spans="2:52" outlineLevel="1" x14ac:dyDescent="0.45">
      <c r="B270" s="1387"/>
      <c r="C270" s="91" t="s">
        <v>483</v>
      </c>
      <c r="D270" s="115"/>
      <c r="E270" s="91"/>
      <c r="F270" s="89"/>
      <c r="G270" s="89"/>
      <c r="H270" s="23"/>
      <c r="I270" s="91"/>
      <c r="J270" s="92"/>
      <c r="K270" s="31"/>
      <c r="L270" s="92"/>
      <c r="M270" s="92"/>
      <c r="N270" s="31"/>
      <c r="O270" s="92"/>
      <c r="P270" s="92"/>
      <c r="Q270" s="31"/>
      <c r="R270" s="92"/>
      <c r="S270" s="92"/>
      <c r="T270" s="31"/>
      <c r="U270" s="92"/>
      <c r="V270" s="92"/>
      <c r="W270" s="31"/>
      <c r="AA270" s="93"/>
      <c r="AB270" s="93"/>
      <c r="AC270" s="83"/>
      <c r="AD270" s="83"/>
      <c r="AE270" s="93"/>
      <c r="AF270" s="93"/>
      <c r="AG270" s="83"/>
      <c r="AH270" s="83"/>
      <c r="AI270" s="93"/>
      <c r="AJ270" s="93"/>
      <c r="AK270" s="83"/>
      <c r="AL270" s="83"/>
      <c r="AM270" s="93"/>
      <c r="AN270" s="93"/>
      <c r="AO270" s="83"/>
      <c r="AP270" s="83"/>
      <c r="AQ270" s="93"/>
      <c r="AR270" s="93"/>
      <c r="AS270" s="83"/>
      <c r="AT270" s="83"/>
      <c r="AU270" s="93"/>
      <c r="AV270" s="93"/>
      <c r="AW270" s="83"/>
      <c r="AX270" s="83"/>
      <c r="AY270" s="93"/>
      <c r="AZ270" s="93"/>
    </row>
    <row r="271" spans="2:52" outlineLevel="1" x14ac:dyDescent="0.45">
      <c r="B271" s="1387"/>
      <c r="C271" s="91" t="s">
        <v>484</v>
      </c>
      <c r="D271" s="115"/>
      <c r="E271" s="11" t="s">
        <v>400</v>
      </c>
      <c r="F271" s="89"/>
      <c r="G271" s="89"/>
      <c r="H271" s="23"/>
      <c r="I271" s="91"/>
      <c r="J271" s="92"/>
      <c r="K271" s="31"/>
      <c r="L271" s="92"/>
      <c r="M271" s="92"/>
      <c r="N271" s="31"/>
      <c r="O271" s="92"/>
      <c r="P271" s="92"/>
      <c r="Q271" s="31"/>
      <c r="R271" s="92"/>
      <c r="S271" s="92"/>
      <c r="T271" s="31"/>
      <c r="U271" s="92"/>
      <c r="V271" s="92"/>
      <c r="W271" s="31"/>
      <c r="AA271" s="93"/>
      <c r="AB271" s="93"/>
      <c r="AC271" s="83"/>
      <c r="AD271" s="83"/>
      <c r="AE271" s="93"/>
      <c r="AF271" s="93"/>
      <c r="AG271" s="83"/>
      <c r="AH271" s="83"/>
      <c r="AI271" s="93"/>
      <c r="AJ271" s="93"/>
      <c r="AK271" s="83"/>
      <c r="AL271" s="83"/>
      <c r="AM271" s="93"/>
      <c r="AN271" s="93"/>
      <c r="AO271" s="83"/>
      <c r="AP271" s="83"/>
      <c r="AQ271" s="93"/>
      <c r="AR271" s="93"/>
      <c r="AS271" s="83"/>
      <c r="AT271" s="83"/>
      <c r="AU271" s="93"/>
      <c r="AV271" s="93"/>
      <c r="AW271" s="83"/>
      <c r="AX271" s="83"/>
      <c r="AY271" s="93"/>
      <c r="AZ271" s="93"/>
    </row>
    <row r="272" spans="2:52" outlineLevel="1" x14ac:dyDescent="0.45">
      <c r="B272" s="1387"/>
      <c r="C272" s="91" t="s">
        <v>485</v>
      </c>
      <c r="D272" s="115">
        <v>1</v>
      </c>
      <c r="E272" s="87" t="s">
        <v>402</v>
      </c>
      <c r="F272" s="89"/>
      <c r="G272" s="89"/>
      <c r="H272" s="23"/>
      <c r="I272" s="249">
        <f>IF(I234&lt;&gt;0,I259/I234,0)</f>
        <v>0</v>
      </c>
      <c r="J272" s="247">
        <f>IF(J235&lt;&gt;0,J260/J235,0)</f>
        <v>0</v>
      </c>
      <c r="K272" s="248">
        <f>IF(K235&lt;&gt;0,K260/K235,0)</f>
        <v>0</v>
      </c>
      <c r="L272" s="92"/>
      <c r="M272" s="92"/>
      <c r="N272" s="31"/>
      <c r="O272" s="92"/>
      <c r="P272" s="92"/>
      <c r="Q272" s="31"/>
      <c r="R272" s="92"/>
      <c r="S272" s="92"/>
      <c r="T272" s="31"/>
      <c r="U272" s="92"/>
      <c r="V272" s="92"/>
      <c r="W272" s="31"/>
      <c r="AA272" s="93"/>
      <c r="AB272" s="93"/>
      <c r="AC272" s="83"/>
      <c r="AD272" s="83"/>
      <c r="AE272" s="93"/>
      <c r="AF272" s="93"/>
      <c r="AG272" s="83"/>
      <c r="AH272" s="83"/>
      <c r="AI272" s="93"/>
      <c r="AJ272" s="93"/>
      <c r="AK272" s="83"/>
      <c r="AL272" s="83"/>
      <c r="AM272" s="93"/>
      <c r="AN272" s="93"/>
      <c r="AO272" s="83"/>
      <c r="AP272" s="83"/>
      <c r="AQ272" s="93"/>
      <c r="AR272" s="93"/>
      <c r="AS272" s="83"/>
      <c r="AT272" s="83"/>
      <c r="AU272" s="93"/>
      <c r="AV272" s="93"/>
      <c r="AW272" s="83"/>
      <c r="AX272" s="83"/>
      <c r="AY272" s="93"/>
      <c r="AZ272" s="93"/>
    </row>
    <row r="273" spans="2:52" outlineLevel="1" x14ac:dyDescent="0.45">
      <c r="B273" s="1387"/>
      <c r="C273" s="91" t="s">
        <v>486</v>
      </c>
      <c r="D273" s="115">
        <v>2</v>
      </c>
      <c r="E273" s="87" t="s">
        <v>405</v>
      </c>
      <c r="F273" s="89"/>
      <c r="G273" s="89"/>
      <c r="H273" s="23"/>
      <c r="I273" s="249">
        <f>IF(I232&lt;&gt;0,I260/I232,0)</f>
        <v>0</v>
      </c>
      <c r="J273" s="247">
        <f>IF(J233&lt;&gt;0,J261/J233,0)</f>
        <v>0</v>
      </c>
      <c r="K273" s="248">
        <f>IF(K233&lt;&gt;0,K260/K233,0)</f>
        <v>0</v>
      </c>
      <c r="L273" s="92"/>
      <c r="M273" s="92"/>
      <c r="N273" s="31"/>
      <c r="O273" s="92"/>
      <c r="P273" s="92"/>
      <c r="Q273" s="31"/>
      <c r="R273" s="92"/>
      <c r="S273" s="92"/>
      <c r="T273" s="31"/>
      <c r="U273" s="92"/>
      <c r="V273" s="92"/>
      <c r="W273" s="31"/>
      <c r="AA273" s="93"/>
      <c r="AB273" s="93"/>
      <c r="AC273" s="83"/>
      <c r="AD273" s="83"/>
      <c r="AE273" s="93"/>
      <c r="AF273" s="93"/>
      <c r="AG273" s="83"/>
      <c r="AH273" s="83"/>
      <c r="AI273" s="93"/>
      <c r="AJ273" s="93"/>
      <c r="AK273" s="83"/>
      <c r="AL273" s="83"/>
      <c r="AM273" s="93"/>
      <c r="AN273" s="93"/>
      <c r="AO273" s="83"/>
      <c r="AP273" s="83"/>
      <c r="AQ273" s="93"/>
      <c r="AR273" s="93"/>
      <c r="AS273" s="83"/>
      <c r="AT273" s="83"/>
      <c r="AU273" s="93"/>
      <c r="AV273" s="93"/>
      <c r="AW273" s="83"/>
      <c r="AX273" s="83"/>
      <c r="AY273" s="93"/>
      <c r="AZ273" s="93"/>
    </row>
    <row r="274" spans="2:52" outlineLevel="1" x14ac:dyDescent="0.45">
      <c r="B274" s="1387"/>
      <c r="C274" s="91" t="s">
        <v>487</v>
      </c>
      <c r="D274" s="115">
        <v>3</v>
      </c>
      <c r="E274" s="87" t="s">
        <v>407</v>
      </c>
      <c r="F274" s="195">
        <f>IF(F$85&lt;&gt;0,F$86/F$85,0)</f>
        <v>3.7890504175688212E-2</v>
      </c>
      <c r="G274" s="195">
        <f>IF(G$85&lt;&gt;0,G$86/G$85,0)</f>
        <v>3.5734020998342234E-2</v>
      </c>
      <c r="H274" s="196">
        <f>IF(H$85&lt;&gt;0,H$86/H$85,0)</f>
        <v>3.8430744595676539E-2</v>
      </c>
      <c r="I274" s="250">
        <f>IF(I$85&lt;&gt;0,I$86/I$85,0)</f>
        <v>0.10743801652892562</v>
      </c>
      <c r="J274" s="195">
        <f t="shared" ref="J274:W274" si="61">IF(J$85&lt;&gt;0,J$86/J$85,0)</f>
        <v>0.12605042016806722</v>
      </c>
      <c r="K274" s="196">
        <f t="shared" si="61"/>
        <v>0.11504424778761062</v>
      </c>
      <c r="L274" s="195">
        <f t="shared" si="61"/>
        <v>0</v>
      </c>
      <c r="M274" s="195">
        <f t="shared" si="61"/>
        <v>0</v>
      </c>
      <c r="N274" s="196">
        <f t="shared" si="61"/>
        <v>0</v>
      </c>
      <c r="O274" s="195">
        <f t="shared" si="61"/>
        <v>7.3394495412844041E-3</v>
      </c>
      <c r="P274" s="195">
        <f t="shared" si="61"/>
        <v>8.0459770114942528E-3</v>
      </c>
      <c r="Q274" s="196">
        <f t="shared" si="61"/>
        <v>6.9444444444444441E-3</v>
      </c>
      <c r="R274" s="195">
        <f t="shared" si="61"/>
        <v>2.0463320463320462E-2</v>
      </c>
      <c r="S274" s="195">
        <f t="shared" si="61"/>
        <v>2.36318407960199E-2</v>
      </c>
      <c r="T274" s="196">
        <f t="shared" si="61"/>
        <v>2.8169014084507043E-2</v>
      </c>
      <c r="U274" s="195">
        <f t="shared" si="61"/>
        <v>6.4165103189493436E-2</v>
      </c>
      <c r="V274" s="195">
        <f t="shared" si="61"/>
        <v>5.6706114398422089E-2</v>
      </c>
      <c r="W274" s="196">
        <f t="shared" si="61"/>
        <v>6.1881188118811881E-2</v>
      </c>
      <c r="AA274" s="93"/>
      <c r="AB274" s="93"/>
      <c r="AC274" s="83"/>
      <c r="AD274" s="83"/>
      <c r="AE274" s="93"/>
      <c r="AF274" s="93"/>
      <c r="AG274" s="83"/>
      <c r="AH274" s="83"/>
      <c r="AI274" s="93"/>
      <c r="AJ274" s="93"/>
      <c r="AK274" s="83"/>
      <c r="AL274" s="83"/>
      <c r="AM274" s="93"/>
      <c r="AN274" s="93"/>
      <c r="AO274" s="83"/>
      <c r="AP274" s="83"/>
      <c r="AQ274" s="93"/>
      <c r="AR274" s="93"/>
      <c r="AS274" s="83"/>
      <c r="AT274" s="83"/>
      <c r="AU274" s="93"/>
      <c r="AV274" s="93"/>
      <c r="AW274" s="83"/>
      <c r="AX274" s="83"/>
      <c r="AY274" s="93"/>
      <c r="AZ274" s="93"/>
    </row>
    <row r="275" spans="2:52" outlineLevel="1" x14ac:dyDescent="0.45">
      <c r="B275" s="1387"/>
      <c r="C275" s="91" t="s">
        <v>488</v>
      </c>
      <c r="D275" s="115">
        <v>4</v>
      </c>
      <c r="E275" s="87" t="s">
        <v>409</v>
      </c>
      <c r="F275" s="195">
        <f>IF(F$139&lt;&gt;0,F$140/F$139,0)</f>
        <v>0.30743887636552802</v>
      </c>
      <c r="G275" s="195">
        <f>IF(G$139&lt;&gt;0,G$140/G$139,0)</f>
        <v>0.28598200899550225</v>
      </c>
      <c r="H275" s="196">
        <f>IF(H$139&lt;&gt;0,H$140/H$139,0)</f>
        <v>0.3328814872192099</v>
      </c>
      <c r="I275" s="250">
        <f>IF(I$139&lt;&gt;0,I$140/I$139,0)</f>
        <v>0.74698795180722888</v>
      </c>
      <c r="J275" s="195">
        <f t="shared" ref="J275:W275" si="62">IF(J$139&lt;&gt;0,J$140/J$139,0)</f>
        <v>0.4375</v>
      </c>
      <c r="K275" s="196">
        <f t="shared" si="62"/>
        <v>0.54736842105263162</v>
      </c>
      <c r="L275" s="195">
        <f t="shared" si="62"/>
        <v>9.5238095238095233E-2</v>
      </c>
      <c r="M275" s="195">
        <f t="shared" si="62"/>
        <v>3.125E-2</v>
      </c>
      <c r="N275" s="196">
        <f t="shared" si="62"/>
        <v>0</v>
      </c>
      <c r="O275" s="195">
        <f t="shared" si="62"/>
        <v>6.4215148188803514E-2</v>
      </c>
      <c r="P275" s="195">
        <f t="shared" si="62"/>
        <v>4.1759465478841871E-2</v>
      </c>
      <c r="Q275" s="196">
        <f t="shared" si="62"/>
        <v>4.6690307328605199E-2</v>
      </c>
      <c r="R275" s="195">
        <f t="shared" si="62"/>
        <v>0.23907956318252729</v>
      </c>
      <c r="S275" s="195">
        <f t="shared" si="62"/>
        <v>0.27137096774193548</v>
      </c>
      <c r="T275" s="196">
        <f t="shared" si="62"/>
        <v>0.35398230088495575</v>
      </c>
      <c r="U275" s="195">
        <f t="shared" si="62"/>
        <v>0.82199546485260766</v>
      </c>
      <c r="V275" s="195">
        <f t="shared" si="62"/>
        <v>0.83685446009389675</v>
      </c>
      <c r="W275" s="196">
        <f t="shared" si="62"/>
        <v>0.83985765124555156</v>
      </c>
      <c r="AA275" s="93"/>
      <c r="AB275" s="93"/>
      <c r="AC275" s="83"/>
      <c r="AD275" s="83"/>
      <c r="AE275" s="93"/>
      <c r="AF275" s="93"/>
      <c r="AG275" s="83"/>
      <c r="AH275" s="83"/>
      <c r="AI275" s="93"/>
      <c r="AJ275" s="93"/>
      <c r="AK275" s="83"/>
      <c r="AL275" s="83"/>
      <c r="AM275" s="93"/>
      <c r="AN275" s="93"/>
      <c r="AO275" s="83"/>
      <c r="AP275" s="83"/>
      <c r="AQ275" s="93"/>
      <c r="AR275" s="93"/>
      <c r="AS275" s="83"/>
      <c r="AT275" s="83"/>
      <c r="AU275" s="93"/>
      <c r="AV275" s="93"/>
      <c r="AW275" s="83"/>
      <c r="AX275" s="83"/>
      <c r="AY275" s="93"/>
      <c r="AZ275" s="93"/>
    </row>
    <row r="276" spans="2:52" outlineLevel="1" x14ac:dyDescent="0.45">
      <c r="B276" s="1387"/>
      <c r="C276" s="91" t="s">
        <v>489</v>
      </c>
      <c r="D276" s="115">
        <v>5</v>
      </c>
      <c r="E276" s="116" t="s">
        <v>411</v>
      </c>
      <c r="F276" s="251"/>
      <c r="G276" s="195">
        <f>IF(F$130&lt;&gt;0,G$130/F$130,0)</f>
        <v>0.73369537590465173</v>
      </c>
      <c r="H276" s="196">
        <f>IF(G$130&lt;&gt;0,H$130/G$130,0)</f>
        <v>58.305580012254282</v>
      </c>
      <c r="I276" s="252"/>
      <c r="J276" s="195">
        <f>IF(I$130&lt;&gt;0,J$130/I$130,0)</f>
        <v>0.73369537590465173</v>
      </c>
      <c r="K276" s="196">
        <f>IF(J$130&lt;&gt;0,K$130/J$130,0)</f>
        <v>0.61576389611397953</v>
      </c>
      <c r="L276" s="251"/>
      <c r="M276" s="195">
        <f>IF(L$130&lt;&gt;0,M$130/L$130,0)</f>
        <v>0</v>
      </c>
      <c r="N276" s="196">
        <f>IF(M$130&lt;&gt;0,N$130/M$130,0)</f>
        <v>0</v>
      </c>
      <c r="O276" s="251"/>
      <c r="P276" s="195">
        <f>IF(O$130&lt;&gt;0,P$130/O$130,0)</f>
        <v>0</v>
      </c>
      <c r="Q276" s="196">
        <f>IF(P$130&lt;&gt;0,Q$130/P$130,0)</f>
        <v>0</v>
      </c>
      <c r="R276" s="251"/>
      <c r="S276" s="195">
        <f>IF(R$130&lt;&gt;0,S$130/R$130,0)</f>
        <v>0</v>
      </c>
      <c r="T276" s="196">
        <f>IF(S$130&lt;&gt;0,T$130/S$130,0)</f>
        <v>0</v>
      </c>
      <c r="U276" s="251"/>
      <c r="V276" s="195">
        <f>IF(U$130&lt;&gt;0,V$130/U$130,0)</f>
        <v>0</v>
      </c>
      <c r="W276" s="196">
        <f>IF(V$130&lt;&gt;0,W$130/V$130,0)</f>
        <v>0</v>
      </c>
      <c r="AA276" s="93"/>
      <c r="AB276" s="93"/>
      <c r="AC276" s="83"/>
      <c r="AD276" s="83"/>
      <c r="AE276" s="93"/>
      <c r="AF276" s="93"/>
      <c r="AG276" s="83"/>
      <c r="AH276" s="83"/>
      <c r="AI276" s="93"/>
      <c r="AJ276" s="93"/>
      <c r="AK276" s="83"/>
      <c r="AL276" s="83"/>
      <c r="AM276" s="93"/>
      <c r="AN276" s="93"/>
      <c r="AO276" s="83"/>
      <c r="AP276" s="83"/>
      <c r="AQ276" s="93"/>
      <c r="AR276" s="93"/>
      <c r="AS276" s="83" t="s">
        <v>490</v>
      </c>
      <c r="AT276" s="83"/>
      <c r="AU276" s="93"/>
      <c r="AV276" s="93"/>
      <c r="AW276" s="83"/>
      <c r="AX276" s="83"/>
      <c r="AY276" s="93"/>
      <c r="AZ276" s="93"/>
    </row>
    <row r="277" spans="2:52" outlineLevel="1" x14ac:dyDescent="0.45">
      <c r="B277" s="1387"/>
      <c r="C277" s="91" t="s">
        <v>491</v>
      </c>
      <c r="D277" s="115">
        <v>6</v>
      </c>
      <c r="E277" s="116" t="s">
        <v>415</v>
      </c>
      <c r="F277" s="247">
        <f>IF(COUNTA(I277,L277,O277,R277,U277)&gt;0,SUM(I277,L277,O277,R277,U277)/COUNTA(I277,L277,O277,R277,U277),0)</f>
        <v>0</v>
      </c>
      <c r="G277" s="247">
        <f>IF(COUNTA(J277,M277,P277,S277,V277)&gt;0,SUM(J277,M277,P277,S277,V277)/COUNTA(J277,M277,P277,S277,V277),0)</f>
        <v>0</v>
      </c>
      <c r="H277" s="248">
        <f>IF(COUNTA(K277,N277,Q277,T277,W277)&gt;0,SUM(K277,N277,Q277,T277,W277)/COUNTA(K277,N277,Q277,T277,W277),0)</f>
        <v>0</v>
      </c>
      <c r="I277" s="273"/>
      <c r="J277" s="273"/>
      <c r="K277" s="273"/>
      <c r="L277" s="273"/>
      <c r="M277" s="273"/>
      <c r="N277" s="273"/>
      <c r="O277" s="273"/>
      <c r="P277" s="273"/>
      <c r="Q277" s="273"/>
      <c r="R277" s="273"/>
      <c r="S277" s="273"/>
      <c r="T277" s="273"/>
      <c r="U277" s="273"/>
      <c r="V277" s="273"/>
      <c r="W277" s="273"/>
      <c r="AA277" s="93"/>
      <c r="AB277" s="93"/>
      <c r="AC277" s="83"/>
      <c r="AD277" s="83"/>
      <c r="AE277" s="93"/>
      <c r="AF277" s="93"/>
      <c r="AG277" s="83"/>
      <c r="AH277" s="83"/>
      <c r="AI277" s="93"/>
      <c r="AJ277" s="93"/>
      <c r="AK277" s="83"/>
      <c r="AL277" s="83"/>
      <c r="AM277" s="93"/>
      <c r="AN277" s="93"/>
      <c r="AO277" s="83"/>
      <c r="AP277" s="83"/>
      <c r="AQ277" s="93"/>
      <c r="AR277" s="93"/>
      <c r="AS277" s="83"/>
      <c r="AT277" s="83"/>
      <c r="AU277" s="93"/>
      <c r="AV277" s="93"/>
      <c r="AW277" s="83"/>
      <c r="AX277" s="83"/>
      <c r="AY277" s="93"/>
      <c r="AZ277" s="93"/>
    </row>
    <row r="278" spans="2:52" outlineLevel="1" x14ac:dyDescent="0.45">
      <c r="B278" s="1387"/>
      <c r="C278" s="91" t="s">
        <v>492</v>
      </c>
      <c r="D278" s="115">
        <v>7</v>
      </c>
      <c r="E278" s="116" t="s">
        <v>417</v>
      </c>
      <c r="F278" s="247">
        <f>IF(F236&lt;&gt;0,F255/F236,0)</f>
        <v>60.12152661880075</v>
      </c>
      <c r="G278" s="247">
        <f>IF(G236&lt;&gt;0,G255/G236,0)</f>
        <v>56.251764452090903</v>
      </c>
      <c r="H278" s="248">
        <f>IF(H236&lt;&gt;0,H255/H236,0)</f>
        <v>85.232283662474075</v>
      </c>
      <c r="I278" s="249">
        <f t="shared" ref="I278:W278" si="63">IF(I236&lt;&gt;0,I255/I236,0)</f>
        <v>6.5705767056137256</v>
      </c>
      <c r="J278" s="247">
        <f t="shared" si="63"/>
        <v>6.1558689246236993</v>
      </c>
      <c r="K278" s="248">
        <f t="shared" si="63"/>
        <v>0</v>
      </c>
      <c r="L278" s="247">
        <f t="shared" si="63"/>
        <v>0</v>
      </c>
      <c r="M278" s="247">
        <f t="shared" si="63"/>
        <v>0</v>
      </c>
      <c r="N278" s="248">
        <f t="shared" si="63"/>
        <v>0</v>
      </c>
      <c r="O278" s="247">
        <f t="shared" si="63"/>
        <v>0</v>
      </c>
      <c r="P278" s="247">
        <f t="shared" si="63"/>
        <v>0</v>
      </c>
      <c r="Q278" s="248">
        <f t="shared" si="63"/>
        <v>0</v>
      </c>
      <c r="R278" s="247">
        <f t="shared" si="63"/>
        <v>0</v>
      </c>
      <c r="S278" s="247">
        <f t="shared" si="63"/>
        <v>0</v>
      </c>
      <c r="T278" s="248">
        <f t="shared" si="63"/>
        <v>0</v>
      </c>
      <c r="U278" s="247">
        <f t="shared" si="63"/>
        <v>0</v>
      </c>
      <c r="V278" s="247">
        <f t="shared" si="63"/>
        <v>0</v>
      </c>
      <c r="W278" s="248">
        <f t="shared" si="63"/>
        <v>0</v>
      </c>
      <c r="AA278" s="93"/>
      <c r="AB278" s="93"/>
      <c r="AC278" s="83"/>
      <c r="AD278" s="83"/>
      <c r="AE278" s="93"/>
      <c r="AF278" s="93"/>
      <c r="AG278" s="83"/>
      <c r="AH278" s="83"/>
      <c r="AI278" s="93"/>
      <c r="AJ278" s="93"/>
      <c r="AK278" s="83"/>
      <c r="AL278" s="83"/>
      <c r="AM278" s="93"/>
      <c r="AN278" s="93"/>
      <c r="AO278" s="83"/>
      <c r="AP278" s="83"/>
      <c r="AQ278" s="93"/>
      <c r="AR278" s="93"/>
      <c r="AS278" s="83"/>
      <c r="AT278" s="83"/>
      <c r="AU278" s="93"/>
      <c r="AV278" s="93"/>
      <c r="AW278" s="83"/>
      <c r="AX278" s="83"/>
      <c r="AY278" s="93"/>
      <c r="AZ278" s="93"/>
    </row>
    <row r="279" spans="2:52" outlineLevel="1" x14ac:dyDescent="0.45">
      <c r="B279" s="1387"/>
      <c r="C279" s="91" t="s">
        <v>493</v>
      </c>
      <c r="D279" s="115">
        <v>8</v>
      </c>
      <c r="E279" s="13" t="s">
        <v>419</v>
      </c>
      <c r="F279" s="247">
        <f>IF(F255&lt;&gt;0,F241/F255,0)</f>
        <v>0.58823504861883014</v>
      </c>
      <c r="G279" s="247">
        <f>IF(G255&lt;&gt;0,G241/G255,0)</f>
        <v>0.46783409444888241</v>
      </c>
      <c r="H279" s="248">
        <f>IF(H255&lt;&gt;0,H241/H255,0)</f>
        <v>0.65533112514640179</v>
      </c>
      <c r="I279" s="249">
        <f t="shared" ref="I279:W279" si="64">IF(I255&lt;&gt;0,I241/I255,0)</f>
        <v>0</v>
      </c>
      <c r="J279" s="247">
        <f t="shared" si="64"/>
        <v>0</v>
      </c>
      <c r="K279" s="248">
        <f t="shared" si="64"/>
        <v>0</v>
      </c>
      <c r="L279" s="247">
        <f t="shared" si="64"/>
        <v>0</v>
      </c>
      <c r="M279" s="247">
        <f t="shared" si="64"/>
        <v>0</v>
      </c>
      <c r="N279" s="248">
        <f t="shared" si="64"/>
        <v>0</v>
      </c>
      <c r="O279" s="247">
        <f t="shared" si="64"/>
        <v>0.69303567707507452</v>
      </c>
      <c r="P279" s="247">
        <f t="shared" si="64"/>
        <v>0.4949791828198517</v>
      </c>
      <c r="Q279" s="248">
        <f t="shared" si="64"/>
        <v>0.71359868973596208</v>
      </c>
      <c r="R279" s="247">
        <f t="shared" si="64"/>
        <v>0.63074674299147082</v>
      </c>
      <c r="S279" s="247">
        <f t="shared" si="64"/>
        <v>0.5623064090600185</v>
      </c>
      <c r="T279" s="248">
        <f t="shared" si="64"/>
        <v>0.61980550280669622</v>
      </c>
      <c r="U279" s="247">
        <f t="shared" si="64"/>
        <v>0.71882875139101587</v>
      </c>
      <c r="V279" s="247">
        <f t="shared" si="64"/>
        <v>0.81760782061904347</v>
      </c>
      <c r="W279" s="248">
        <f t="shared" si="64"/>
        <v>0.60072011733055997</v>
      </c>
      <c r="AA279" s="93"/>
      <c r="AB279" s="93"/>
      <c r="AC279" s="83"/>
      <c r="AD279" s="83"/>
      <c r="AE279" s="93"/>
      <c r="AF279" s="93"/>
      <c r="AG279" s="83"/>
      <c r="AH279" s="83"/>
      <c r="AI279" s="93"/>
      <c r="AJ279" s="93"/>
      <c r="AK279" s="83"/>
      <c r="AL279" s="83"/>
      <c r="AM279" s="93"/>
      <c r="AN279" s="93"/>
      <c r="AO279" s="83"/>
      <c r="AP279" s="83"/>
      <c r="AQ279" s="93"/>
      <c r="AR279" s="93"/>
      <c r="AS279" s="83"/>
      <c r="AT279" s="83"/>
      <c r="AU279" s="93"/>
      <c r="AV279" s="93"/>
      <c r="AW279" s="83"/>
      <c r="AX279" s="83"/>
      <c r="AY279" s="93"/>
      <c r="AZ279" s="93"/>
    </row>
    <row r="280" spans="2:52" outlineLevel="1" x14ac:dyDescent="0.45">
      <c r="B280" s="1387"/>
      <c r="C280" s="91" t="s">
        <v>494</v>
      </c>
      <c r="D280" s="115">
        <v>9</v>
      </c>
      <c r="E280" s="13" t="s">
        <v>421</v>
      </c>
      <c r="F280" s="254">
        <f>IF(F$33&lt;&gt;0,F241/F$33,0)</f>
        <v>221716.96123404257</v>
      </c>
      <c r="G280" s="255">
        <f>IF(G$33&lt;&gt;0,G241/G$33,0)</f>
        <v>342047.40684615384</v>
      </c>
      <c r="H280" s="256">
        <f>IF(H$33&lt;&gt;0,H241/H$33,0)</f>
        <v>11128.651734496125</v>
      </c>
      <c r="I280" s="254">
        <f t="shared" ref="I280:W280" si="65">IF(I$33&lt;&gt;0,I241/I$33,0)</f>
        <v>0</v>
      </c>
      <c r="J280" s="255">
        <f t="shared" si="65"/>
        <v>0</v>
      </c>
      <c r="K280" s="256">
        <f t="shared" si="65"/>
        <v>0</v>
      </c>
      <c r="L280" s="254">
        <f t="shared" si="65"/>
        <v>0</v>
      </c>
      <c r="M280" s="255">
        <f t="shared" si="65"/>
        <v>0</v>
      </c>
      <c r="N280" s="256">
        <f t="shared" si="65"/>
        <v>0</v>
      </c>
      <c r="O280" s="254">
        <f t="shared" si="65"/>
        <v>0</v>
      </c>
      <c r="P280" s="255">
        <f t="shared" si="65"/>
        <v>0</v>
      </c>
      <c r="Q280" s="256">
        <f t="shared" si="65"/>
        <v>15975.443034238489</v>
      </c>
      <c r="R280" s="254">
        <f t="shared" si="65"/>
        <v>0</v>
      </c>
      <c r="S280" s="255">
        <f t="shared" si="65"/>
        <v>0</v>
      </c>
      <c r="T280" s="256">
        <f t="shared" si="65"/>
        <v>11728.693909481077</v>
      </c>
      <c r="U280" s="254">
        <f t="shared" si="65"/>
        <v>0</v>
      </c>
      <c r="V280" s="255">
        <f t="shared" si="65"/>
        <v>0</v>
      </c>
      <c r="W280" s="256">
        <f t="shared" si="65"/>
        <v>393.2025620915033</v>
      </c>
      <c r="AA280" s="93"/>
      <c r="AB280" s="93"/>
      <c r="AC280" s="83"/>
      <c r="AD280" s="83"/>
      <c r="AE280" s="93"/>
      <c r="AF280" s="93"/>
      <c r="AG280" s="83"/>
      <c r="AH280" s="83"/>
      <c r="AI280" s="93"/>
      <c r="AJ280" s="93"/>
      <c r="AK280" s="83"/>
      <c r="AL280" s="83"/>
      <c r="AM280" s="93"/>
      <c r="AN280" s="93"/>
      <c r="AO280" s="83"/>
      <c r="AP280" s="83"/>
      <c r="AQ280" s="93"/>
      <c r="AR280" s="93"/>
      <c r="AS280" s="83"/>
      <c r="AT280" s="83"/>
      <c r="AU280" s="93"/>
      <c r="AV280" s="93"/>
      <c r="AW280" s="83"/>
      <c r="AX280" s="83"/>
      <c r="AY280" s="93"/>
      <c r="AZ280" s="93"/>
    </row>
    <row r="281" spans="2:52" outlineLevel="1" x14ac:dyDescent="0.45">
      <c r="B281" s="1387"/>
      <c r="C281" s="91" t="s">
        <v>495</v>
      </c>
      <c r="D281" s="115">
        <v>10</v>
      </c>
      <c r="E281" s="13" t="s">
        <v>496</v>
      </c>
      <c r="F281" s="258">
        <v>5.6283986361087817E-3</v>
      </c>
      <c r="G281" s="258">
        <v>5.8277379008081645E-3</v>
      </c>
      <c r="H281" s="259">
        <f>IF(H267&lt;&gt;0,-H256/H267,0)</f>
        <v>0</v>
      </c>
      <c r="I281" s="258">
        <v>3.4563440450780035E-3</v>
      </c>
      <c r="J281" s="258">
        <v>3.9721327001343244E-3</v>
      </c>
      <c r="K281" s="258"/>
      <c r="L281" s="258">
        <v>5.0872661621275913E-4</v>
      </c>
      <c r="M281" s="258">
        <v>-3.7967291920177517E-6</v>
      </c>
      <c r="N281" s="258">
        <v>0</v>
      </c>
      <c r="O281" s="258">
        <v>1.0349453760455107E-2</v>
      </c>
      <c r="P281" s="258">
        <v>9.8155461387650095E-3</v>
      </c>
      <c r="Q281" s="258">
        <v>0</v>
      </c>
      <c r="R281" s="258">
        <v>9.6244102864323916E-3</v>
      </c>
      <c r="S281" s="258">
        <v>1.0521306118901294E-2</v>
      </c>
      <c r="T281" s="258">
        <v>0</v>
      </c>
      <c r="U281" s="258">
        <v>-4.7403497637090357E-3</v>
      </c>
      <c r="V281" s="258">
        <v>-6.2941309428322179E-3</v>
      </c>
      <c r="W281" s="258">
        <v>0</v>
      </c>
      <c r="AA281" s="93"/>
      <c r="AB281" s="93"/>
      <c r="AC281" s="83" t="s">
        <v>424</v>
      </c>
      <c r="AD281" s="83"/>
      <c r="AE281" s="93"/>
      <c r="AF281" s="93"/>
      <c r="AG281" s="83" t="s">
        <v>424</v>
      </c>
      <c r="AH281" s="83"/>
      <c r="AI281" s="93"/>
      <c r="AJ281" s="93"/>
      <c r="AK281" s="83" t="s">
        <v>424</v>
      </c>
      <c r="AL281" s="83"/>
      <c r="AM281" s="93"/>
      <c r="AN281" s="93"/>
      <c r="AO281" s="83" t="s">
        <v>424</v>
      </c>
      <c r="AP281" s="83"/>
      <c r="AQ281" s="93"/>
      <c r="AR281" s="93"/>
      <c r="AS281" s="83" t="s">
        <v>424</v>
      </c>
      <c r="AT281" s="83"/>
      <c r="AU281" s="93"/>
      <c r="AV281" s="93"/>
      <c r="AW281" s="83" t="s">
        <v>424</v>
      </c>
      <c r="AX281" s="83"/>
      <c r="AY281" s="93"/>
      <c r="AZ281" s="93"/>
    </row>
    <row r="282" spans="2:52" outlineLevel="1" x14ac:dyDescent="0.45">
      <c r="B282" s="1387"/>
      <c r="C282" s="91" t="s">
        <v>497</v>
      </c>
      <c r="D282" s="115">
        <v>11</v>
      </c>
      <c r="E282" s="13" t="s">
        <v>426</v>
      </c>
      <c r="F282" s="260">
        <f>IF(F267&lt;&gt;0,-F256/F267,0)</f>
        <v>6.5614274951809647E-3</v>
      </c>
      <c r="G282" s="261">
        <f>IF(G267&lt;&gt;0,-G256/G267,0)</f>
        <v>7.0108531502025813E-3</v>
      </c>
      <c r="H282" s="262">
        <f>IF(H267&lt;&gt;0,-H256/H267,0)</f>
        <v>0</v>
      </c>
      <c r="I282" s="263">
        <f t="shared" ref="I282:W282" si="66">IF(I267&lt;&gt;0,-I256/I267,0)</f>
        <v>3.2518506357271152E-3</v>
      </c>
      <c r="J282" s="263">
        <f t="shared" si="66"/>
        <v>3.6409271339121452E-3</v>
      </c>
      <c r="K282" s="264">
        <f t="shared" si="66"/>
        <v>0</v>
      </c>
      <c r="L282" s="263">
        <f t="shared" si="66"/>
        <v>5.1889948894692274E-4</v>
      </c>
      <c r="M282" s="263">
        <f t="shared" si="66"/>
        <v>6.6022702014398792E-4</v>
      </c>
      <c r="N282" s="264">
        <f t="shared" si="66"/>
        <v>0</v>
      </c>
      <c r="O282" s="263">
        <f t="shared" si="66"/>
        <v>1.0461303975100762E-2</v>
      </c>
      <c r="P282" s="263">
        <f t="shared" si="66"/>
        <v>9.8622700554436178E-3</v>
      </c>
      <c r="Q282" s="264">
        <f t="shared" si="66"/>
        <v>0</v>
      </c>
      <c r="R282" s="263">
        <f t="shared" si="66"/>
        <v>1.0208162834005085E-2</v>
      </c>
      <c r="S282" s="263">
        <f t="shared" si="66"/>
        <v>1.1286563475247537E-2</v>
      </c>
      <c r="T282" s="264">
        <f t="shared" si="66"/>
        <v>0</v>
      </c>
      <c r="U282" s="263">
        <f t="shared" si="66"/>
        <v>6.1038030110701258E-4</v>
      </c>
      <c r="V282" s="263">
        <f t="shared" si="66"/>
        <v>3.9869743495392097E-4</v>
      </c>
      <c r="W282" s="264">
        <f t="shared" si="66"/>
        <v>0</v>
      </c>
      <c r="AA282" s="93"/>
      <c r="AB282" s="93"/>
      <c r="AC282" s="83"/>
      <c r="AD282" s="83"/>
      <c r="AE282" s="93"/>
      <c r="AF282" s="93"/>
      <c r="AG282" s="83"/>
      <c r="AH282" s="83"/>
      <c r="AI282" s="93"/>
      <c r="AJ282" s="93"/>
      <c r="AK282" s="83"/>
      <c r="AL282" s="83"/>
      <c r="AM282" s="93"/>
      <c r="AN282" s="93"/>
      <c r="AO282" s="83"/>
      <c r="AP282" s="83"/>
      <c r="AQ282" s="93"/>
      <c r="AR282" s="93"/>
      <c r="AS282" s="83"/>
      <c r="AT282" s="83"/>
      <c r="AU282" s="93"/>
      <c r="AV282" s="93"/>
      <c r="AW282" s="83"/>
      <c r="AX282" s="83"/>
      <c r="AY282" s="93"/>
      <c r="AZ282" s="93"/>
    </row>
    <row r="283" spans="2:52" outlineLevel="1" x14ac:dyDescent="0.45">
      <c r="B283" s="1387"/>
      <c r="C283" s="91" t="s">
        <v>498</v>
      </c>
      <c r="D283" s="115"/>
      <c r="E283" s="91"/>
      <c r="F283" s="89"/>
      <c r="G283" s="89"/>
      <c r="H283" s="23"/>
      <c r="I283" s="91"/>
      <c r="J283" s="92"/>
      <c r="K283" s="31"/>
      <c r="L283" s="92"/>
      <c r="M283" s="92"/>
      <c r="N283" s="31"/>
      <c r="O283" s="92"/>
      <c r="P283" s="92"/>
      <c r="Q283" s="31"/>
      <c r="R283" s="92"/>
      <c r="S283" s="92"/>
      <c r="T283" s="31"/>
      <c r="U283" s="92"/>
      <c r="V283" s="92"/>
      <c r="W283" s="31"/>
      <c r="AA283" s="93"/>
      <c r="AB283" s="93"/>
      <c r="AC283" s="83"/>
      <c r="AD283" s="83"/>
      <c r="AE283" s="93"/>
      <c r="AF283" s="93"/>
      <c r="AG283" s="83"/>
      <c r="AH283" s="83"/>
      <c r="AI283" s="93"/>
      <c r="AJ283" s="93"/>
      <c r="AK283" s="83"/>
      <c r="AL283" s="83"/>
      <c r="AM283" s="93"/>
      <c r="AN283" s="93"/>
      <c r="AO283" s="83"/>
      <c r="AP283" s="83"/>
      <c r="AQ283" s="93"/>
      <c r="AR283" s="93"/>
      <c r="AS283" s="83"/>
      <c r="AT283" s="83"/>
      <c r="AU283" s="93"/>
      <c r="AV283" s="93"/>
      <c r="AW283" s="83"/>
      <c r="AX283" s="83"/>
      <c r="AY283" s="93"/>
      <c r="AZ283" s="93"/>
    </row>
    <row r="284" spans="2:52" outlineLevel="1" x14ac:dyDescent="0.45">
      <c r="B284" s="1387"/>
      <c r="C284" s="91" t="s">
        <v>499</v>
      </c>
      <c r="D284" s="115"/>
      <c r="E284" s="91"/>
      <c r="F284" s="89"/>
      <c r="G284" s="89"/>
      <c r="H284" s="23"/>
      <c r="I284" s="91"/>
      <c r="J284" s="92"/>
      <c r="K284" s="31"/>
      <c r="L284" s="92"/>
      <c r="M284" s="92"/>
      <c r="N284" s="31"/>
      <c r="O284" s="92"/>
      <c r="P284" s="92"/>
      <c r="Q284" s="31"/>
      <c r="R284" s="92"/>
      <c r="S284" s="92"/>
      <c r="T284" s="31"/>
      <c r="U284" s="92"/>
      <c r="V284" s="92"/>
      <c r="W284" s="31"/>
      <c r="AA284" s="93"/>
      <c r="AB284" s="93"/>
      <c r="AC284" s="83"/>
      <c r="AD284" s="83"/>
      <c r="AE284" s="93"/>
      <c r="AF284" s="93"/>
      <c r="AG284" s="83"/>
      <c r="AH284" s="83"/>
      <c r="AI284" s="93"/>
      <c r="AJ284" s="93"/>
      <c r="AK284" s="83"/>
      <c r="AL284" s="83"/>
      <c r="AM284" s="93"/>
      <c r="AN284" s="93"/>
      <c r="AO284" s="83"/>
      <c r="AP284" s="83"/>
      <c r="AQ284" s="93"/>
      <c r="AR284" s="93"/>
      <c r="AS284" s="83"/>
      <c r="AT284" s="83"/>
      <c r="AU284" s="93"/>
      <c r="AV284" s="93"/>
      <c r="AW284" s="83"/>
      <c r="AX284" s="83"/>
      <c r="AY284" s="93"/>
      <c r="AZ284" s="93"/>
    </row>
    <row r="285" spans="2:52" x14ac:dyDescent="0.45">
      <c r="B285" s="268"/>
      <c r="C285" s="91"/>
      <c r="D285" s="115"/>
      <c r="E285" s="91"/>
      <c r="F285" s="89"/>
      <c r="G285" s="89"/>
      <c r="H285" s="23"/>
      <c r="I285" s="91"/>
      <c r="J285" s="92"/>
      <c r="K285" s="31"/>
      <c r="L285" s="92"/>
      <c r="M285" s="92"/>
      <c r="N285" s="31"/>
      <c r="O285" s="92"/>
      <c r="P285" s="92"/>
      <c r="Q285" s="31"/>
      <c r="R285" s="92"/>
      <c r="S285" s="92"/>
      <c r="T285" s="31"/>
      <c r="U285" s="92"/>
      <c r="V285" s="92"/>
      <c r="W285" s="31"/>
      <c r="AA285" s="93"/>
      <c r="AB285" s="93"/>
      <c r="AC285" s="83"/>
      <c r="AD285" s="83"/>
      <c r="AE285" s="93"/>
      <c r="AF285" s="93"/>
      <c r="AG285" s="83"/>
      <c r="AH285" s="83"/>
      <c r="AI285" s="93"/>
      <c r="AJ285" s="93"/>
      <c r="AK285" s="83"/>
      <c r="AL285" s="83"/>
      <c r="AM285" s="93"/>
      <c r="AN285" s="93"/>
      <c r="AO285" s="83"/>
      <c r="AP285" s="83"/>
      <c r="AQ285" s="93"/>
      <c r="AR285" s="93"/>
      <c r="AS285" s="83"/>
      <c r="AT285" s="83"/>
      <c r="AU285" s="93"/>
      <c r="AV285" s="93"/>
      <c r="AW285" s="83"/>
      <c r="AX285" s="83"/>
      <c r="AY285" s="93"/>
      <c r="AZ285" s="93"/>
    </row>
    <row r="286" spans="2:52" ht="28.5" outlineLevel="1" x14ac:dyDescent="0.45">
      <c r="B286" s="1388" t="s">
        <v>500</v>
      </c>
      <c r="C286" s="11" t="s">
        <v>501</v>
      </c>
      <c r="D286" s="103"/>
      <c r="E286" s="11" t="s">
        <v>502</v>
      </c>
      <c r="F286" s="89"/>
      <c r="G286" s="89"/>
      <c r="H286" s="23"/>
      <c r="I286" s="91"/>
      <c r="J286" s="92"/>
      <c r="K286" s="31"/>
      <c r="L286" s="92"/>
      <c r="M286" s="92"/>
      <c r="N286" s="31"/>
      <c r="O286" s="92"/>
      <c r="P286" s="92"/>
      <c r="Q286" s="31"/>
      <c r="R286" s="92"/>
      <c r="S286" s="92"/>
      <c r="T286" s="31"/>
      <c r="U286" s="92"/>
      <c r="V286" s="92"/>
      <c r="W286" s="31"/>
      <c r="AA286" s="93"/>
      <c r="AB286" s="93"/>
      <c r="AC286" s="119" t="s">
        <v>503</v>
      </c>
      <c r="AD286" s="119" t="s">
        <v>504</v>
      </c>
      <c r="AE286" s="93"/>
      <c r="AF286" s="93"/>
      <c r="AG286" s="83"/>
      <c r="AH286" s="83"/>
      <c r="AI286" s="93"/>
      <c r="AJ286" s="93"/>
      <c r="AK286" s="83"/>
      <c r="AL286" s="83"/>
      <c r="AM286" s="93"/>
      <c r="AN286" s="93"/>
      <c r="AO286" s="83"/>
      <c r="AP286" s="83"/>
      <c r="AQ286" s="93"/>
      <c r="AR286" s="93"/>
      <c r="AS286" s="83"/>
      <c r="AT286" s="83"/>
      <c r="AU286" s="93"/>
      <c r="AV286" s="93"/>
      <c r="AW286" s="83"/>
      <c r="AX286" s="83"/>
      <c r="AY286" s="93"/>
      <c r="AZ286" s="93"/>
    </row>
    <row r="287" spans="2:52" outlineLevel="1" x14ac:dyDescent="0.45">
      <c r="B287" s="1389"/>
      <c r="C287" s="91" t="s">
        <v>505</v>
      </c>
      <c r="D287" s="87"/>
      <c r="E287" s="11" t="s">
        <v>316</v>
      </c>
      <c r="F287" s="89"/>
      <c r="G287" s="89"/>
      <c r="H287" s="23"/>
      <c r="I287" s="207"/>
      <c r="J287" s="89"/>
      <c r="K287" s="23"/>
      <c r="L287" s="92"/>
      <c r="M287" s="92"/>
      <c r="N287" s="31"/>
      <c r="O287" s="92"/>
      <c r="P287" s="92"/>
      <c r="Q287" s="31"/>
      <c r="R287" s="92"/>
      <c r="S287" s="92"/>
      <c r="T287" s="31"/>
      <c r="U287" s="92"/>
      <c r="V287" s="92"/>
      <c r="W287" s="31"/>
      <c r="AA287" s="93"/>
      <c r="AB287" s="93"/>
      <c r="AC287" s="83"/>
      <c r="AD287" s="83"/>
      <c r="AE287" s="93"/>
      <c r="AF287" s="93"/>
      <c r="AG287" s="83"/>
      <c r="AH287" s="83"/>
      <c r="AI287" s="93"/>
      <c r="AJ287" s="93"/>
      <c r="AK287" s="83"/>
      <c r="AL287" s="83"/>
      <c r="AM287" s="93"/>
      <c r="AN287" s="93"/>
      <c r="AO287" s="83"/>
      <c r="AP287" s="83"/>
      <c r="AQ287" s="93"/>
      <c r="AR287" s="93"/>
      <c r="AS287" s="83"/>
      <c r="AT287" s="83"/>
      <c r="AU287" s="93"/>
      <c r="AV287" s="93"/>
      <c r="AW287" s="83"/>
      <c r="AX287" s="83"/>
      <c r="AY287" s="93"/>
      <c r="AZ287" s="93"/>
    </row>
    <row r="288" spans="2:52" ht="42.75" outlineLevel="1" x14ac:dyDescent="0.45">
      <c r="B288" s="1389"/>
      <c r="C288" s="91" t="s">
        <v>506</v>
      </c>
      <c r="D288" s="128" t="s">
        <v>507</v>
      </c>
      <c r="E288" s="116" t="s">
        <v>319</v>
      </c>
      <c r="F288" s="130">
        <f t="shared" ref="F288:H292" si="67">I288+L288+O288+R288+U288</f>
        <v>75177457.329999998</v>
      </c>
      <c r="G288" s="130">
        <f t="shared" si="67"/>
        <v>79777013.180000007</v>
      </c>
      <c r="H288" s="131">
        <f t="shared" si="67"/>
        <v>86686240.230000004</v>
      </c>
      <c r="I288" s="217"/>
      <c r="J288" s="217"/>
      <c r="K288" s="217"/>
      <c r="L288" s="218">
        <v>233189.52</v>
      </c>
      <c r="M288" s="218">
        <v>46435.4</v>
      </c>
      <c r="N288" s="217">
        <v>105335.85</v>
      </c>
      <c r="O288" s="217">
        <v>2224339.81</v>
      </c>
      <c r="P288" s="217">
        <v>1857069.78</v>
      </c>
      <c r="Q288" s="217">
        <v>3243775.38</v>
      </c>
      <c r="R288" s="218"/>
      <c r="S288" s="217"/>
      <c r="T288" s="217"/>
      <c r="U288" s="218">
        <v>72719928</v>
      </c>
      <c r="V288" s="217">
        <v>77873508</v>
      </c>
      <c r="W288" s="217">
        <v>83337129</v>
      </c>
      <c r="AA288" s="93"/>
      <c r="AB288" s="93"/>
      <c r="AC288" s="83"/>
      <c r="AD288" s="83"/>
      <c r="AE288" s="93"/>
      <c r="AF288" s="93"/>
      <c r="AG288" s="83"/>
      <c r="AH288" s="83"/>
      <c r="AI288" s="93"/>
      <c r="AJ288" s="93"/>
      <c r="AK288" s="83"/>
      <c r="AL288" s="83"/>
      <c r="AM288" s="93"/>
      <c r="AN288" s="93"/>
      <c r="AO288" s="83"/>
      <c r="AP288" s="83"/>
      <c r="AQ288" s="93"/>
      <c r="AR288" s="93"/>
      <c r="AS288" s="83"/>
      <c r="AT288" s="83"/>
      <c r="AU288" s="93"/>
      <c r="AV288" s="93"/>
      <c r="AW288" s="83"/>
      <c r="AX288" s="83"/>
      <c r="AY288" s="93"/>
      <c r="AZ288" s="93"/>
    </row>
    <row r="289" spans="2:52" outlineLevel="1" x14ac:dyDescent="0.45">
      <c r="B289" s="1389"/>
      <c r="C289" s="91" t="s">
        <v>508</v>
      </c>
      <c r="D289" s="128"/>
      <c r="E289" s="116" t="s">
        <v>509</v>
      </c>
      <c r="F289" s="130">
        <f t="shared" si="67"/>
        <v>2227471413</v>
      </c>
      <c r="G289" s="130">
        <f t="shared" si="67"/>
        <v>2165040350.7399998</v>
      </c>
      <c r="H289" s="131">
        <f t="shared" si="67"/>
        <v>2225862507.9000001</v>
      </c>
      <c r="I289" s="217"/>
      <c r="J289" s="217"/>
      <c r="K289" s="217"/>
      <c r="L289" s="218"/>
      <c r="M289" s="218"/>
      <c r="N289" s="217"/>
      <c r="O289" s="217">
        <v>11474413</v>
      </c>
      <c r="P289" s="217">
        <v>13710017.74</v>
      </c>
      <c r="Q289" s="217">
        <v>14984507.9</v>
      </c>
      <c r="R289" s="218"/>
      <c r="S289" s="217"/>
      <c r="T289" s="217"/>
      <c r="U289" s="218">
        <v>2215997000</v>
      </c>
      <c r="V289" s="217">
        <v>2151330333</v>
      </c>
      <c r="W289" s="217">
        <v>2210878000</v>
      </c>
      <c r="AA289" s="93"/>
      <c r="AB289" s="93"/>
      <c r="AC289" s="83"/>
      <c r="AD289" s="83"/>
      <c r="AE289" s="93"/>
      <c r="AF289" s="93"/>
      <c r="AG289" s="83"/>
      <c r="AH289" s="83"/>
      <c r="AI289" s="93"/>
      <c r="AJ289" s="93"/>
      <c r="AK289" s="83"/>
      <c r="AL289" s="83"/>
      <c r="AM289" s="93"/>
      <c r="AN289" s="93"/>
      <c r="AO289" s="83"/>
      <c r="AP289" s="83"/>
      <c r="AQ289" s="93"/>
      <c r="AR289" s="93"/>
      <c r="AS289" s="83"/>
      <c r="AT289" s="83"/>
      <c r="AU289" s="93"/>
      <c r="AV289" s="93"/>
      <c r="AW289" s="83"/>
      <c r="AX289" s="83"/>
      <c r="AY289" s="93"/>
      <c r="AZ289" s="93"/>
    </row>
    <row r="290" spans="2:52" outlineLevel="1" x14ac:dyDescent="0.45">
      <c r="B290" s="1389"/>
      <c r="C290" s="91" t="s">
        <v>510</v>
      </c>
      <c r="D290" s="128"/>
      <c r="E290" s="116" t="s">
        <v>324</v>
      </c>
      <c r="F290" s="130">
        <f t="shared" si="67"/>
        <v>123009881.41</v>
      </c>
      <c r="G290" s="130">
        <f t="shared" si="67"/>
        <v>212413876.16999999</v>
      </c>
      <c r="H290" s="131">
        <f t="shared" si="67"/>
        <v>141727990.06</v>
      </c>
      <c r="I290" s="217"/>
      <c r="J290" s="217"/>
      <c r="K290" s="217"/>
      <c r="L290" s="218">
        <v>0</v>
      </c>
      <c r="M290" s="218">
        <v>232500</v>
      </c>
      <c r="N290" s="217">
        <v>0</v>
      </c>
      <c r="O290" s="217">
        <v>4738178.41</v>
      </c>
      <c r="P290" s="217">
        <v>4223820.17</v>
      </c>
      <c r="Q290" s="217">
        <v>5362825.0599999996</v>
      </c>
      <c r="R290" s="218"/>
      <c r="S290" s="217"/>
      <c r="T290" s="217"/>
      <c r="U290" s="218">
        <v>118271703</v>
      </c>
      <c r="V290" s="217">
        <v>207957556</v>
      </c>
      <c r="W290" s="217">
        <v>136365165</v>
      </c>
      <c r="AA290" s="93"/>
      <c r="AB290" s="93"/>
      <c r="AC290" s="83"/>
      <c r="AD290" s="83"/>
      <c r="AE290" s="93"/>
      <c r="AF290" s="93"/>
      <c r="AG290" s="83"/>
      <c r="AH290" s="83"/>
      <c r="AI290" s="93"/>
      <c r="AJ290" s="93"/>
      <c r="AK290" s="83"/>
      <c r="AL290" s="83"/>
      <c r="AM290" s="93"/>
      <c r="AN290" s="93"/>
      <c r="AO290" s="83"/>
      <c r="AP290" s="83"/>
      <c r="AQ290" s="93"/>
      <c r="AR290" s="93"/>
      <c r="AS290" s="83"/>
      <c r="AT290" s="83"/>
      <c r="AU290" s="93"/>
      <c r="AV290" s="93"/>
      <c r="AW290" s="83"/>
      <c r="AX290" s="83"/>
      <c r="AY290" s="93"/>
      <c r="AZ290" s="93"/>
    </row>
    <row r="291" spans="2:52" outlineLevel="1" x14ac:dyDescent="0.45">
      <c r="B291" s="1389"/>
      <c r="C291" s="91" t="s">
        <v>511</v>
      </c>
      <c r="D291" s="128"/>
      <c r="E291" s="116" t="s">
        <v>444</v>
      </c>
      <c r="F291" s="130">
        <f t="shared" si="67"/>
        <v>0</v>
      </c>
      <c r="G291" s="130">
        <f t="shared" si="67"/>
        <v>0</v>
      </c>
      <c r="H291" s="131">
        <f t="shared" si="67"/>
        <v>0</v>
      </c>
      <c r="I291" s="217"/>
      <c r="J291" s="217"/>
      <c r="K291" s="217"/>
      <c r="L291" s="218"/>
      <c r="M291" s="218"/>
      <c r="N291" s="217"/>
      <c r="O291" s="218"/>
      <c r="P291" s="217"/>
      <c r="Q291" s="217"/>
      <c r="R291" s="218"/>
      <c r="S291" s="217"/>
      <c r="T291" s="217"/>
      <c r="U291" s="218"/>
      <c r="V291" s="217"/>
      <c r="W291" s="217"/>
      <c r="AA291" s="93"/>
      <c r="AB291" s="93"/>
      <c r="AC291" s="83"/>
      <c r="AD291" s="83"/>
      <c r="AE291" s="93"/>
      <c r="AF291" s="93"/>
      <c r="AG291" s="83"/>
      <c r="AH291" s="83"/>
      <c r="AI291" s="93"/>
      <c r="AJ291" s="93"/>
      <c r="AK291" s="83"/>
      <c r="AL291" s="83"/>
      <c r="AM291" s="93"/>
      <c r="AN291" s="93"/>
      <c r="AO291" s="83"/>
      <c r="AP291" s="83"/>
      <c r="AQ291" s="93"/>
      <c r="AR291" s="93"/>
      <c r="AS291" s="83"/>
      <c r="AT291" s="83"/>
      <c r="AU291" s="93"/>
      <c r="AV291" s="93"/>
      <c r="AW291" s="83"/>
      <c r="AX291" s="83"/>
      <c r="AY291" s="93"/>
      <c r="AZ291" s="93"/>
    </row>
    <row r="292" spans="2:52" outlineLevel="1" x14ac:dyDescent="0.45">
      <c r="B292" s="1389"/>
      <c r="C292" s="91" t="s">
        <v>512</v>
      </c>
      <c r="D292" s="115"/>
      <c r="E292" s="12" t="s">
        <v>330</v>
      </c>
      <c r="F292" s="130">
        <f t="shared" si="67"/>
        <v>2425658751.7399998</v>
      </c>
      <c r="G292" s="130">
        <f t="shared" si="67"/>
        <v>2457231240.0900002</v>
      </c>
      <c r="H292" s="131">
        <f t="shared" si="67"/>
        <v>2454276738.1900001</v>
      </c>
      <c r="I292" s="223">
        <f t="shared" ref="I292:W292" si="68">SUM(I288:I291)</f>
        <v>0</v>
      </c>
      <c r="J292" s="224">
        <f t="shared" si="68"/>
        <v>0</v>
      </c>
      <c r="K292" s="225">
        <f t="shared" si="68"/>
        <v>0</v>
      </c>
      <c r="L292" s="224">
        <f t="shared" si="68"/>
        <v>233189.52</v>
      </c>
      <c r="M292" s="224">
        <f t="shared" si="68"/>
        <v>278935.40000000002</v>
      </c>
      <c r="N292" s="225">
        <f t="shared" si="68"/>
        <v>105335.85</v>
      </c>
      <c r="O292" s="224">
        <f>SUM(O288:O291)</f>
        <v>18436931.219999999</v>
      </c>
      <c r="P292" s="224">
        <f t="shared" si="68"/>
        <v>19790907.689999998</v>
      </c>
      <c r="Q292" s="225">
        <f t="shared" si="68"/>
        <v>23591108.34</v>
      </c>
      <c r="R292" s="224">
        <f t="shared" si="68"/>
        <v>0</v>
      </c>
      <c r="S292" s="224">
        <f t="shared" si="68"/>
        <v>0</v>
      </c>
      <c r="T292" s="225">
        <f t="shared" si="68"/>
        <v>0</v>
      </c>
      <c r="U292" s="224">
        <f t="shared" si="68"/>
        <v>2406988631</v>
      </c>
      <c r="V292" s="224">
        <f t="shared" si="68"/>
        <v>2437161397</v>
      </c>
      <c r="W292" s="225">
        <f t="shared" si="68"/>
        <v>2430580294</v>
      </c>
      <c r="AA292" s="93"/>
      <c r="AB292" s="93"/>
      <c r="AC292" s="83"/>
      <c r="AD292" s="83"/>
      <c r="AE292" s="93"/>
      <c r="AF292" s="93"/>
      <c r="AG292" s="83"/>
      <c r="AH292" s="83"/>
      <c r="AI292" s="93"/>
      <c r="AJ292" s="93"/>
      <c r="AK292" s="83"/>
      <c r="AL292" s="83"/>
      <c r="AM292" s="93"/>
      <c r="AN292" s="93"/>
      <c r="AO292" s="83"/>
      <c r="AP292" s="83"/>
      <c r="AQ292" s="93"/>
      <c r="AR292" s="93"/>
      <c r="AS292" s="83"/>
      <c r="AT292" s="83"/>
      <c r="AU292" s="93"/>
      <c r="AV292" s="93"/>
      <c r="AW292" s="83"/>
      <c r="AX292" s="83"/>
      <c r="AY292" s="93"/>
      <c r="AZ292" s="93"/>
    </row>
    <row r="293" spans="2:52" outlineLevel="1" x14ac:dyDescent="0.45">
      <c r="B293" s="1389"/>
      <c r="C293" s="91" t="s">
        <v>513</v>
      </c>
      <c r="D293" s="115"/>
      <c r="E293" s="12" t="s">
        <v>332</v>
      </c>
      <c r="F293" s="89"/>
      <c r="G293" s="89"/>
      <c r="H293" s="23"/>
      <c r="I293" s="226"/>
      <c r="J293" s="227"/>
      <c r="K293" s="228"/>
      <c r="L293" s="227"/>
      <c r="M293" s="227"/>
      <c r="N293" s="228"/>
      <c r="O293" s="227"/>
      <c r="P293" s="227"/>
      <c r="Q293" s="228"/>
      <c r="R293" s="227"/>
      <c r="S293" s="227"/>
      <c r="T293" s="228"/>
      <c r="U293" s="227"/>
      <c r="V293" s="227"/>
      <c r="W293" s="228"/>
      <c r="AA293" s="93"/>
      <c r="AB293" s="93"/>
      <c r="AC293" s="83"/>
      <c r="AD293" s="83"/>
      <c r="AE293" s="93"/>
      <c r="AF293" s="93"/>
      <c r="AG293" s="83"/>
      <c r="AH293" s="83"/>
      <c r="AI293" s="93"/>
      <c r="AJ293" s="93"/>
      <c r="AK293" s="83"/>
      <c r="AL293" s="83"/>
      <c r="AM293" s="93"/>
      <c r="AN293" s="93"/>
      <c r="AO293" s="83"/>
      <c r="AP293" s="83"/>
      <c r="AQ293" s="93"/>
      <c r="AR293" s="93"/>
      <c r="AS293" s="83"/>
      <c r="AT293" s="83"/>
      <c r="AU293" s="93"/>
      <c r="AV293" s="93"/>
      <c r="AW293" s="83"/>
      <c r="AX293" s="83"/>
      <c r="AY293" s="93"/>
      <c r="AZ293" s="93"/>
    </row>
    <row r="294" spans="2:52" outlineLevel="1" x14ac:dyDescent="0.45">
      <c r="B294" s="1389"/>
      <c r="C294" s="91" t="s">
        <v>514</v>
      </c>
      <c r="D294" s="115"/>
      <c r="E294" s="229" t="s">
        <v>334</v>
      </c>
      <c r="F294" s="89"/>
      <c r="G294" s="89"/>
      <c r="H294" s="23"/>
      <c r="I294" s="226"/>
      <c r="J294" s="227"/>
      <c r="K294" s="228"/>
      <c r="L294" s="227"/>
      <c r="M294" s="227"/>
      <c r="N294" s="228"/>
      <c r="O294" s="227"/>
      <c r="P294" s="227"/>
      <c r="Q294" s="228"/>
      <c r="R294" s="227"/>
      <c r="S294" s="227"/>
      <c r="T294" s="228"/>
      <c r="U294" s="227"/>
      <c r="V294" s="227"/>
      <c r="W294" s="228"/>
      <c r="AA294" s="93"/>
      <c r="AB294" s="93"/>
      <c r="AC294" s="83"/>
      <c r="AD294" s="83"/>
      <c r="AE294" s="93"/>
      <c r="AF294" s="93"/>
      <c r="AG294" s="83"/>
      <c r="AH294" s="83"/>
      <c r="AI294" s="93"/>
      <c r="AJ294" s="93"/>
      <c r="AK294" s="83"/>
      <c r="AL294" s="83"/>
      <c r="AM294" s="93"/>
      <c r="AN294" s="93"/>
      <c r="AO294" s="83"/>
      <c r="AP294" s="83"/>
      <c r="AQ294" s="93"/>
      <c r="AR294" s="93"/>
      <c r="AS294" s="83"/>
      <c r="AT294" s="83"/>
      <c r="AU294" s="93"/>
      <c r="AV294" s="93"/>
      <c r="AW294" s="83"/>
      <c r="AX294" s="83"/>
      <c r="AY294" s="93"/>
      <c r="AZ294" s="93"/>
    </row>
    <row r="295" spans="2:52" ht="42.75" outlineLevel="1" x14ac:dyDescent="0.45">
      <c r="B295" s="1389"/>
      <c r="C295" s="91" t="s">
        <v>515</v>
      </c>
      <c r="D295" s="128" t="s">
        <v>507</v>
      </c>
      <c r="E295" s="116" t="s">
        <v>336</v>
      </c>
      <c r="F295" s="130">
        <f t="shared" ref="F295:H296" si="69">I295+L295+O295+R295+U295</f>
        <v>0</v>
      </c>
      <c r="G295" s="130">
        <f t="shared" si="69"/>
        <v>0</v>
      </c>
      <c r="H295" s="131">
        <f t="shared" si="69"/>
        <v>0</v>
      </c>
      <c r="I295" s="217"/>
      <c r="J295" s="217"/>
      <c r="K295" s="217"/>
      <c r="L295" s="218"/>
      <c r="M295" s="217"/>
      <c r="N295" s="217"/>
      <c r="O295" s="218"/>
      <c r="P295" s="217"/>
      <c r="Q295" s="217"/>
      <c r="R295" s="218"/>
      <c r="S295" s="217"/>
      <c r="T295" s="217"/>
      <c r="U295" s="218"/>
      <c r="V295" s="217"/>
      <c r="W295" s="217"/>
      <c r="AA295" s="93"/>
      <c r="AB295" s="93"/>
      <c r="AC295" s="83"/>
      <c r="AD295" s="83"/>
      <c r="AE295" s="93"/>
      <c r="AF295" s="93"/>
      <c r="AG295" s="83"/>
      <c r="AH295" s="83"/>
      <c r="AI295" s="93"/>
      <c r="AJ295" s="93"/>
      <c r="AK295" s="83"/>
      <c r="AL295" s="83"/>
      <c r="AM295" s="93"/>
      <c r="AN295" s="93"/>
      <c r="AO295" s="83"/>
      <c r="AP295" s="83"/>
      <c r="AQ295" s="93"/>
      <c r="AR295" s="93"/>
      <c r="AS295" s="83"/>
      <c r="AT295" s="83"/>
      <c r="AU295" s="93"/>
      <c r="AV295" s="93"/>
      <c r="AW295" s="83"/>
      <c r="AX295" s="83"/>
      <c r="AY295" s="93"/>
      <c r="AZ295" s="93"/>
    </row>
    <row r="296" spans="2:52" outlineLevel="1" x14ac:dyDescent="0.45">
      <c r="B296" s="1389"/>
      <c r="C296" s="91" t="s">
        <v>516</v>
      </c>
      <c r="D296" s="128"/>
      <c r="E296" s="116" t="s">
        <v>340</v>
      </c>
      <c r="F296" s="130">
        <f t="shared" si="69"/>
        <v>0</v>
      </c>
      <c r="G296" s="130">
        <f t="shared" si="69"/>
        <v>0</v>
      </c>
      <c r="H296" s="131">
        <f t="shared" si="69"/>
        <v>0</v>
      </c>
      <c r="I296" s="217"/>
      <c r="J296" s="217"/>
      <c r="K296" s="217"/>
      <c r="L296" s="218"/>
      <c r="M296" s="217"/>
      <c r="N296" s="217"/>
      <c r="O296" s="218"/>
      <c r="P296" s="217"/>
      <c r="Q296" s="217"/>
      <c r="R296" s="218"/>
      <c r="S296" s="217"/>
      <c r="T296" s="217"/>
      <c r="U296" s="218"/>
      <c r="V296" s="217"/>
      <c r="W296" s="217"/>
      <c r="AA296" s="93"/>
      <c r="AB296" s="93"/>
      <c r="AC296" s="83"/>
      <c r="AD296" s="83"/>
      <c r="AE296" s="93"/>
      <c r="AF296" s="93"/>
      <c r="AG296" s="83"/>
      <c r="AH296" s="83"/>
      <c r="AI296" s="93"/>
      <c r="AJ296" s="93"/>
      <c r="AK296" s="83"/>
      <c r="AL296" s="83"/>
      <c r="AM296" s="93"/>
      <c r="AN296" s="93"/>
      <c r="AO296" s="83"/>
      <c r="AP296" s="83"/>
      <c r="AQ296" s="93"/>
      <c r="AR296" s="93"/>
      <c r="AS296" s="83"/>
      <c r="AT296" s="83"/>
      <c r="AU296" s="93"/>
      <c r="AV296" s="93"/>
      <c r="AW296" s="83"/>
      <c r="AX296" s="83"/>
      <c r="AY296" s="93"/>
      <c r="AZ296" s="93"/>
    </row>
    <row r="297" spans="2:52" outlineLevel="1" x14ac:dyDescent="0.45">
      <c r="B297" s="1389"/>
      <c r="C297" s="91" t="s">
        <v>517</v>
      </c>
      <c r="D297" s="128"/>
      <c r="E297" s="116" t="s">
        <v>342</v>
      </c>
      <c r="F297" s="130">
        <f t="shared" ref="F297:F305" si="70">I297+L297+O297+R297+U297</f>
        <v>0</v>
      </c>
      <c r="G297" s="130">
        <f t="shared" ref="G297:G305" si="71">J297+M297+P297+S297+V297</f>
        <v>0</v>
      </c>
      <c r="H297" s="131">
        <f t="shared" ref="H297:H305" si="72">K297+N297+Q297+T297+W297</f>
        <v>0</v>
      </c>
      <c r="I297" s="217"/>
      <c r="J297" s="217"/>
      <c r="K297" s="217"/>
      <c r="L297" s="218"/>
      <c r="M297" s="230"/>
      <c r="N297" s="217"/>
      <c r="O297" s="218"/>
      <c r="P297" s="217"/>
      <c r="Q297" s="217"/>
      <c r="R297" s="218"/>
      <c r="S297" s="217"/>
      <c r="T297" s="217"/>
      <c r="U297" s="218"/>
      <c r="V297" s="217"/>
      <c r="W297" s="217"/>
      <c r="AA297" s="93"/>
      <c r="AB297" s="93"/>
      <c r="AC297" s="83"/>
      <c r="AD297" s="83"/>
      <c r="AE297" s="93"/>
      <c r="AF297" s="93"/>
      <c r="AG297" s="83"/>
      <c r="AH297" s="83"/>
      <c r="AI297" s="93"/>
      <c r="AJ297" s="93"/>
      <c r="AK297" s="83"/>
      <c r="AL297" s="83"/>
      <c r="AM297" s="93"/>
      <c r="AN297" s="93"/>
      <c r="AO297" s="83"/>
      <c r="AP297" s="83"/>
      <c r="AQ297" s="93"/>
      <c r="AR297" s="93"/>
      <c r="AS297" s="83"/>
      <c r="AT297" s="83"/>
      <c r="AU297" s="93"/>
      <c r="AV297" s="93"/>
      <c r="AW297" s="83"/>
      <c r="AX297" s="83"/>
      <c r="AY297" s="93"/>
      <c r="AZ297" s="93"/>
    </row>
    <row r="298" spans="2:52" outlineLevel="1" x14ac:dyDescent="0.45">
      <c r="B298" s="1389"/>
      <c r="C298" s="91" t="s">
        <v>518</v>
      </c>
      <c r="D298" s="128"/>
      <c r="E298" s="116" t="s">
        <v>344</v>
      </c>
      <c r="F298" s="130">
        <f t="shared" si="70"/>
        <v>1983077832.1700001</v>
      </c>
      <c r="G298" s="130">
        <f t="shared" si="71"/>
        <v>1989183848.3199999</v>
      </c>
      <c r="H298" s="131">
        <f t="shared" si="72"/>
        <v>1981334731</v>
      </c>
      <c r="I298" s="217"/>
      <c r="J298" s="217"/>
      <c r="K298" s="217"/>
      <c r="L298" s="218"/>
      <c r="M298" s="230"/>
      <c r="N298" s="275"/>
      <c r="O298" s="217">
        <v>3654481.17</v>
      </c>
      <c r="P298" s="217">
        <v>8365983.3200000003</v>
      </c>
      <c r="Q298" s="217">
        <v>1637</v>
      </c>
      <c r="R298" s="218"/>
      <c r="S298" s="217"/>
      <c r="T298" s="217"/>
      <c r="U298" s="218">
        <v>1979423351</v>
      </c>
      <c r="V298" s="217">
        <v>1980817865</v>
      </c>
      <c r="W298" s="217">
        <v>1981333094</v>
      </c>
      <c r="AA298" s="93"/>
      <c r="AB298" s="93"/>
      <c r="AC298" s="83"/>
      <c r="AD298" s="83"/>
      <c r="AE298" s="93"/>
      <c r="AF298" s="93"/>
      <c r="AG298" s="83"/>
      <c r="AH298" s="83"/>
      <c r="AI298" s="93"/>
      <c r="AJ298" s="93"/>
      <c r="AK298" s="83"/>
      <c r="AL298" s="83"/>
      <c r="AM298" s="93"/>
      <c r="AN298" s="93"/>
      <c r="AO298" s="83"/>
      <c r="AP298" s="83"/>
      <c r="AQ298" s="93"/>
      <c r="AR298" s="93"/>
      <c r="AS298" s="83"/>
      <c r="AT298" s="83"/>
      <c r="AU298" s="93"/>
      <c r="AV298" s="93"/>
      <c r="AW298" s="83"/>
      <c r="AX298" s="83"/>
      <c r="AY298" s="93"/>
      <c r="AZ298" s="93"/>
    </row>
    <row r="299" spans="2:52" outlineLevel="1" x14ac:dyDescent="0.45">
      <c r="B299" s="1389"/>
      <c r="C299" s="91" t="s">
        <v>519</v>
      </c>
      <c r="D299" s="128"/>
      <c r="E299" s="232" t="s">
        <v>520</v>
      </c>
      <c r="F299" s="130">
        <f t="shared" si="70"/>
        <v>592461608.19000006</v>
      </c>
      <c r="G299" s="130">
        <f t="shared" si="71"/>
        <v>569082253.5</v>
      </c>
      <c r="H299" s="131">
        <f t="shared" si="72"/>
        <v>550378253.52999997</v>
      </c>
      <c r="I299" s="217"/>
      <c r="J299" s="217"/>
      <c r="K299" s="217"/>
      <c r="L299" s="218"/>
      <c r="M299" s="274"/>
      <c r="N299" s="217"/>
      <c r="O299" s="217">
        <v>207508254.19</v>
      </c>
      <c r="P299" s="217">
        <v>184128899.5</v>
      </c>
      <c r="Q299" s="217">
        <v>165424899.53</v>
      </c>
      <c r="R299" s="218"/>
      <c r="S299" s="217"/>
      <c r="T299" s="217"/>
      <c r="U299" s="218">
        <v>384953354</v>
      </c>
      <c r="V299" s="217">
        <v>384953354</v>
      </c>
      <c r="W299" s="217">
        <v>384953354</v>
      </c>
      <c r="AA299" s="93"/>
      <c r="AB299" s="93"/>
      <c r="AC299" s="83"/>
      <c r="AD299" s="83"/>
      <c r="AE299" s="93"/>
      <c r="AF299" s="93"/>
      <c r="AG299" s="83"/>
      <c r="AH299" s="83"/>
      <c r="AI299" s="93"/>
      <c r="AJ299" s="93"/>
      <c r="AK299" s="83"/>
      <c r="AL299" s="83"/>
      <c r="AM299" s="93"/>
      <c r="AN299" s="93"/>
      <c r="AO299" s="83"/>
      <c r="AP299" s="83"/>
      <c r="AQ299" s="93"/>
      <c r="AR299" s="93"/>
      <c r="AS299" s="83"/>
      <c r="AT299" s="83"/>
      <c r="AU299" s="93"/>
      <c r="AV299" s="93"/>
      <c r="AW299" s="83"/>
      <c r="AX299" s="83"/>
      <c r="AY299" s="93"/>
      <c r="AZ299" s="93"/>
    </row>
    <row r="300" spans="2:52" outlineLevel="1" x14ac:dyDescent="0.45">
      <c r="B300" s="1389"/>
      <c r="C300" s="91" t="s">
        <v>521</v>
      </c>
      <c r="D300" s="128"/>
      <c r="E300" s="232" t="s">
        <v>522</v>
      </c>
      <c r="F300" s="130">
        <f t="shared" si="70"/>
        <v>174225775</v>
      </c>
      <c r="G300" s="130">
        <f t="shared" si="71"/>
        <v>18549813</v>
      </c>
      <c r="H300" s="131">
        <f t="shared" si="72"/>
        <v>58283413.850000001</v>
      </c>
      <c r="I300" s="217"/>
      <c r="J300" s="217"/>
      <c r="K300" s="217"/>
      <c r="L300" s="218"/>
      <c r="M300" s="217"/>
      <c r="N300" s="217"/>
      <c r="O300" s="217">
        <v>414479</v>
      </c>
      <c r="P300" s="217">
        <v>65040</v>
      </c>
      <c r="Q300" s="217">
        <v>3515464.85</v>
      </c>
      <c r="R300" s="218"/>
      <c r="S300" s="217"/>
      <c r="T300" s="217"/>
      <c r="U300" s="218">
        <v>173811296</v>
      </c>
      <c r="V300" s="217">
        <v>18484773</v>
      </c>
      <c r="W300" s="217">
        <v>54767949</v>
      </c>
      <c r="AA300" s="93"/>
      <c r="AB300" s="93"/>
      <c r="AC300" s="83"/>
      <c r="AD300" s="83"/>
      <c r="AE300" s="93"/>
      <c r="AF300" s="93"/>
      <c r="AG300" s="83"/>
      <c r="AH300" s="83"/>
      <c r="AI300" s="93"/>
      <c r="AJ300" s="93"/>
      <c r="AK300" s="83"/>
      <c r="AL300" s="83"/>
      <c r="AM300" s="93"/>
      <c r="AN300" s="93"/>
      <c r="AO300" s="83"/>
      <c r="AP300" s="83"/>
      <c r="AQ300" s="93"/>
      <c r="AR300" s="93"/>
      <c r="AS300" s="83"/>
      <c r="AT300" s="83"/>
      <c r="AU300" s="93"/>
      <c r="AV300" s="93"/>
      <c r="AW300" s="83"/>
      <c r="AX300" s="83"/>
      <c r="AY300" s="93"/>
      <c r="AZ300" s="93"/>
    </row>
    <row r="301" spans="2:52" outlineLevel="1" x14ac:dyDescent="0.45">
      <c r="B301" s="1389"/>
      <c r="C301" s="91" t="s">
        <v>523</v>
      </c>
      <c r="D301" s="128"/>
      <c r="E301" s="232" t="s">
        <v>524</v>
      </c>
      <c r="F301" s="130">
        <f t="shared" si="70"/>
        <v>325044577</v>
      </c>
      <c r="G301" s="130">
        <f t="shared" si="71"/>
        <v>501052745</v>
      </c>
      <c r="H301" s="131">
        <f t="shared" si="72"/>
        <v>422845105</v>
      </c>
      <c r="I301" s="217"/>
      <c r="J301" s="217"/>
      <c r="K301" s="217"/>
      <c r="L301" s="218"/>
      <c r="M301" s="274"/>
      <c r="N301" s="217"/>
      <c r="O301" s="217">
        <v>56393400</v>
      </c>
      <c r="P301" s="217">
        <v>105954000</v>
      </c>
      <c r="Q301" s="217">
        <v>6904000</v>
      </c>
      <c r="R301" s="218"/>
      <c r="S301" s="217"/>
      <c r="T301" s="217"/>
      <c r="U301" s="218">
        <v>268651177</v>
      </c>
      <c r="V301" s="217">
        <v>395098745</v>
      </c>
      <c r="W301" s="217">
        <v>415941105</v>
      </c>
      <c r="AA301" s="93"/>
      <c r="AB301" s="93"/>
      <c r="AC301" s="83"/>
      <c r="AD301" s="83"/>
      <c r="AE301" s="93"/>
      <c r="AF301" s="93"/>
      <c r="AG301" s="83"/>
      <c r="AH301" s="83"/>
      <c r="AI301" s="93"/>
      <c r="AJ301" s="93"/>
      <c r="AK301" s="83"/>
      <c r="AL301" s="83"/>
      <c r="AM301" s="93"/>
      <c r="AN301" s="93"/>
      <c r="AO301" s="83"/>
      <c r="AP301" s="83"/>
      <c r="AQ301" s="93"/>
      <c r="AR301" s="93"/>
      <c r="AS301" s="83"/>
      <c r="AT301" s="83"/>
      <c r="AU301" s="93"/>
      <c r="AV301" s="93"/>
      <c r="AW301" s="83"/>
      <c r="AX301" s="83"/>
      <c r="AY301" s="93"/>
      <c r="AZ301" s="93"/>
    </row>
    <row r="302" spans="2:52" outlineLevel="1" x14ac:dyDescent="0.45">
      <c r="B302" s="1389"/>
      <c r="C302" s="91" t="s">
        <v>525</v>
      </c>
      <c r="D302" s="128"/>
      <c r="E302" s="232" t="s">
        <v>526</v>
      </c>
      <c r="F302" s="130">
        <f t="shared" si="70"/>
        <v>1197049.3400000001</v>
      </c>
      <c r="G302" s="130">
        <f t="shared" si="71"/>
        <v>1197049.3400000001</v>
      </c>
      <c r="H302" s="131">
        <f t="shared" si="72"/>
        <v>1132280.48</v>
      </c>
      <c r="I302" s="217"/>
      <c r="J302" s="217"/>
      <c r="K302" s="217"/>
      <c r="L302" s="218">
        <v>1197049.3400000001</v>
      </c>
      <c r="M302" s="217">
        <v>1197049.3400000001</v>
      </c>
      <c r="N302" s="217">
        <v>1132280.48</v>
      </c>
      <c r="O302" s="218"/>
      <c r="P302" s="217"/>
      <c r="Q302" s="217"/>
      <c r="R302" s="218"/>
      <c r="S302" s="217"/>
      <c r="T302" s="217"/>
      <c r="U302" s="218"/>
      <c r="V302" s="217"/>
      <c r="W302" s="217"/>
      <c r="AA302" s="93"/>
      <c r="AB302" s="93"/>
      <c r="AC302" s="83"/>
      <c r="AD302" s="83"/>
      <c r="AE302" s="93"/>
      <c r="AF302" s="93"/>
      <c r="AG302" s="83"/>
      <c r="AH302" s="83"/>
      <c r="AI302" s="93"/>
      <c r="AJ302" s="93"/>
      <c r="AK302" s="83"/>
      <c r="AL302" s="83"/>
      <c r="AM302" s="93"/>
      <c r="AN302" s="93"/>
      <c r="AO302" s="83"/>
      <c r="AP302" s="83"/>
      <c r="AQ302" s="93"/>
      <c r="AR302" s="93"/>
      <c r="AS302" s="83"/>
      <c r="AT302" s="83"/>
      <c r="AU302" s="93"/>
      <c r="AV302" s="93"/>
      <c r="AW302" s="83"/>
      <c r="AX302" s="83"/>
      <c r="AY302" s="93"/>
      <c r="AZ302" s="93"/>
    </row>
    <row r="303" spans="2:52" outlineLevel="1" x14ac:dyDescent="0.45">
      <c r="B303" s="1389"/>
      <c r="C303" s="91" t="s">
        <v>527</v>
      </c>
      <c r="D303" s="128"/>
      <c r="E303" s="230"/>
      <c r="F303" s="130">
        <f t="shared" si="70"/>
        <v>0</v>
      </c>
      <c r="G303" s="130">
        <f t="shared" si="71"/>
        <v>0</v>
      </c>
      <c r="H303" s="131">
        <f t="shared" si="72"/>
        <v>0</v>
      </c>
      <c r="I303" s="217"/>
      <c r="J303" s="217"/>
      <c r="K303" s="217"/>
      <c r="L303" s="218"/>
      <c r="M303" s="217"/>
      <c r="N303" s="217"/>
      <c r="O303" s="218"/>
      <c r="P303" s="217"/>
      <c r="Q303" s="217"/>
      <c r="R303" s="218"/>
      <c r="S303" s="217"/>
      <c r="T303" s="217"/>
      <c r="U303" s="218"/>
      <c r="V303" s="217"/>
      <c r="W303" s="217"/>
      <c r="AA303" s="93"/>
      <c r="AB303" s="93"/>
      <c r="AC303" s="83"/>
      <c r="AD303" s="83"/>
      <c r="AE303" s="93"/>
      <c r="AF303" s="93"/>
      <c r="AG303" s="83"/>
      <c r="AH303" s="83"/>
      <c r="AI303" s="93"/>
      <c r="AJ303" s="93"/>
      <c r="AK303" s="83"/>
      <c r="AL303" s="83"/>
      <c r="AM303" s="93"/>
      <c r="AN303" s="93"/>
      <c r="AO303" s="83"/>
      <c r="AP303" s="83"/>
      <c r="AQ303" s="93"/>
      <c r="AR303" s="93"/>
      <c r="AS303" s="83"/>
      <c r="AT303" s="83"/>
      <c r="AU303" s="93"/>
      <c r="AV303" s="93"/>
      <c r="AW303" s="83"/>
      <c r="AX303" s="83"/>
      <c r="AY303" s="93"/>
      <c r="AZ303" s="93"/>
    </row>
    <row r="304" spans="2:52" outlineLevel="1" x14ac:dyDescent="0.45">
      <c r="B304" s="1389"/>
      <c r="C304" s="91" t="s">
        <v>528</v>
      </c>
      <c r="D304" s="128"/>
      <c r="E304" s="230"/>
      <c r="F304" s="130">
        <f t="shared" si="70"/>
        <v>0</v>
      </c>
      <c r="G304" s="130">
        <f t="shared" si="71"/>
        <v>0</v>
      </c>
      <c r="H304" s="131">
        <f t="shared" si="72"/>
        <v>0</v>
      </c>
      <c r="I304" s="217"/>
      <c r="J304" s="217"/>
      <c r="K304" s="217"/>
      <c r="L304" s="218"/>
      <c r="M304" s="217"/>
      <c r="N304" s="217"/>
      <c r="O304" s="218"/>
      <c r="P304" s="217"/>
      <c r="Q304" s="217"/>
      <c r="R304" s="218"/>
      <c r="S304" s="217"/>
      <c r="T304" s="217"/>
      <c r="U304" s="218"/>
      <c r="V304" s="217"/>
      <c r="W304" s="217"/>
      <c r="AA304" s="93"/>
      <c r="AB304" s="93"/>
      <c r="AC304" s="83"/>
      <c r="AD304" s="83"/>
      <c r="AE304" s="93"/>
      <c r="AF304" s="93"/>
      <c r="AG304" s="83"/>
      <c r="AH304" s="83"/>
      <c r="AI304" s="93"/>
      <c r="AJ304" s="93"/>
      <c r="AK304" s="83"/>
      <c r="AL304" s="83"/>
      <c r="AM304" s="93"/>
      <c r="AN304" s="93"/>
      <c r="AO304" s="83"/>
      <c r="AP304" s="83"/>
      <c r="AQ304" s="93"/>
      <c r="AR304" s="93"/>
      <c r="AS304" s="83"/>
      <c r="AT304" s="83"/>
      <c r="AU304" s="93"/>
      <c r="AV304" s="93"/>
      <c r="AW304" s="83"/>
      <c r="AX304" s="83"/>
      <c r="AY304" s="93"/>
      <c r="AZ304" s="93"/>
    </row>
    <row r="305" spans="2:52" outlineLevel="1" x14ac:dyDescent="0.45">
      <c r="B305" s="1389"/>
      <c r="C305" s="91" t="s">
        <v>529</v>
      </c>
      <c r="D305" s="128"/>
      <c r="E305" s="230"/>
      <c r="F305" s="130">
        <f t="shared" si="70"/>
        <v>0</v>
      </c>
      <c r="G305" s="130">
        <f t="shared" si="71"/>
        <v>0</v>
      </c>
      <c r="H305" s="131">
        <f t="shared" si="72"/>
        <v>0</v>
      </c>
      <c r="I305" s="217"/>
      <c r="J305" s="217"/>
      <c r="K305" s="217"/>
      <c r="L305" s="218"/>
      <c r="M305" s="217"/>
      <c r="N305" s="217"/>
      <c r="O305" s="218"/>
      <c r="P305" s="217"/>
      <c r="Q305" s="217"/>
      <c r="R305" s="218"/>
      <c r="S305" s="217"/>
      <c r="T305" s="217"/>
      <c r="U305" s="218"/>
      <c r="V305" s="217"/>
      <c r="W305" s="217"/>
      <c r="AA305" s="93"/>
      <c r="AB305" s="93"/>
      <c r="AC305" s="83"/>
      <c r="AD305" s="83"/>
      <c r="AE305" s="93"/>
      <c r="AF305" s="93"/>
      <c r="AG305" s="83"/>
      <c r="AH305" s="83"/>
      <c r="AI305" s="93"/>
      <c r="AJ305" s="93"/>
      <c r="AK305" s="83"/>
      <c r="AL305" s="83"/>
      <c r="AM305" s="93"/>
      <c r="AN305" s="93"/>
      <c r="AO305" s="83"/>
      <c r="AP305" s="83"/>
      <c r="AQ305" s="93"/>
      <c r="AR305" s="93"/>
      <c r="AS305" s="83"/>
      <c r="AT305" s="83"/>
      <c r="AU305" s="93"/>
      <c r="AV305" s="93"/>
      <c r="AW305" s="83"/>
      <c r="AX305" s="83"/>
      <c r="AY305" s="93"/>
      <c r="AZ305" s="93"/>
    </row>
    <row r="306" spans="2:52" outlineLevel="1" x14ac:dyDescent="0.45">
      <c r="B306" s="1389"/>
      <c r="C306" s="91" t="s">
        <v>530</v>
      </c>
      <c r="D306" s="115"/>
      <c r="E306" s="235" t="s">
        <v>358</v>
      </c>
      <c r="F306" s="89"/>
      <c r="G306" s="89"/>
      <c r="H306" s="23"/>
      <c r="I306" s="236"/>
      <c r="J306" s="237"/>
      <c r="K306" s="238"/>
      <c r="L306" s="237"/>
      <c r="M306" s="237"/>
      <c r="N306" s="238"/>
      <c r="O306" s="237"/>
      <c r="P306" s="237"/>
      <c r="Q306" s="238"/>
      <c r="R306" s="237"/>
      <c r="S306" s="237"/>
      <c r="T306" s="238"/>
      <c r="U306" s="237"/>
      <c r="V306" s="237"/>
      <c r="W306" s="238"/>
      <c r="AA306" s="93"/>
      <c r="AB306" s="93"/>
      <c r="AC306" s="83"/>
      <c r="AD306" s="83"/>
      <c r="AE306" s="93"/>
      <c r="AF306" s="93"/>
      <c r="AG306" s="83"/>
      <c r="AH306" s="83"/>
      <c r="AI306" s="93"/>
      <c r="AJ306" s="93"/>
      <c r="AK306" s="83"/>
      <c r="AL306" s="83"/>
      <c r="AM306" s="93"/>
      <c r="AN306" s="93"/>
      <c r="AO306" s="83"/>
      <c r="AP306" s="83"/>
      <c r="AQ306" s="93"/>
      <c r="AR306" s="93"/>
      <c r="AS306" s="83"/>
      <c r="AT306" s="83"/>
      <c r="AU306" s="93"/>
      <c r="AV306" s="93"/>
      <c r="AW306" s="83"/>
      <c r="AX306" s="83"/>
      <c r="AY306" s="93"/>
      <c r="AZ306" s="93"/>
    </row>
    <row r="307" spans="2:52" ht="28.5" outlineLevel="1" x14ac:dyDescent="0.45">
      <c r="B307" s="1389"/>
      <c r="C307" s="91" t="s">
        <v>531</v>
      </c>
      <c r="D307" s="128"/>
      <c r="E307" s="15" t="s">
        <v>360</v>
      </c>
      <c r="F307" s="130">
        <f t="shared" ref="F307:H312" si="73">I307+L307+O307+R307+U307</f>
        <v>19223737</v>
      </c>
      <c r="G307" s="130">
        <f t="shared" si="73"/>
        <v>22133793.850000001</v>
      </c>
      <c r="H307" s="131">
        <f t="shared" si="73"/>
        <v>24919408.199999999</v>
      </c>
      <c r="I307" s="217">
        <v>19223737</v>
      </c>
      <c r="J307" s="272">
        <v>22133793.850000001</v>
      </c>
      <c r="K307" s="272">
        <v>24919408.199999999</v>
      </c>
      <c r="L307" s="218"/>
      <c r="M307" s="272"/>
      <c r="N307" s="272"/>
      <c r="O307" s="218"/>
      <c r="P307" s="272"/>
      <c r="Q307" s="272"/>
      <c r="R307" s="218"/>
      <c r="S307" s="272"/>
      <c r="T307" s="272"/>
      <c r="U307" s="218"/>
      <c r="V307" s="272"/>
      <c r="W307" s="272"/>
      <c r="AA307" s="93"/>
      <c r="AB307" s="93"/>
      <c r="AC307" s="83"/>
      <c r="AD307" s="119" t="s">
        <v>532</v>
      </c>
      <c r="AE307" s="93"/>
      <c r="AF307" s="93"/>
      <c r="AG307" s="83"/>
      <c r="AH307" s="119" t="s">
        <v>533</v>
      </c>
      <c r="AI307" s="93"/>
      <c r="AJ307" s="93"/>
      <c r="AK307" s="83"/>
      <c r="AL307" s="83"/>
      <c r="AM307" s="93"/>
      <c r="AN307" s="93"/>
      <c r="AO307" s="83"/>
      <c r="AP307" s="83"/>
      <c r="AQ307" s="93"/>
      <c r="AR307" s="93"/>
      <c r="AS307" s="83"/>
      <c r="AT307" s="83"/>
      <c r="AU307" s="93"/>
      <c r="AV307" s="93"/>
      <c r="AW307" s="83"/>
      <c r="AX307" s="83"/>
      <c r="AY307" s="93"/>
      <c r="AZ307" s="93"/>
    </row>
    <row r="308" spans="2:52" outlineLevel="1" x14ac:dyDescent="0.45">
      <c r="B308" s="1389"/>
      <c r="C308" s="91" t="s">
        <v>534</v>
      </c>
      <c r="D308" s="128"/>
      <c r="E308" s="15" t="s">
        <v>365</v>
      </c>
      <c r="F308" s="130">
        <f t="shared" si="73"/>
        <v>0</v>
      </c>
      <c r="G308" s="130">
        <f t="shared" si="73"/>
        <v>0</v>
      </c>
      <c r="H308" s="131">
        <f t="shared" si="73"/>
        <v>0</v>
      </c>
      <c r="I308" s="217"/>
      <c r="J308" s="217"/>
      <c r="K308" s="217"/>
      <c r="L308" s="218"/>
      <c r="M308" s="217"/>
      <c r="N308" s="217"/>
      <c r="O308" s="218"/>
      <c r="P308" s="217"/>
      <c r="Q308" s="217"/>
      <c r="R308" s="218"/>
      <c r="S308" s="217"/>
      <c r="T308" s="217"/>
      <c r="U308" s="218"/>
      <c r="V308" s="217"/>
      <c r="W308" s="217"/>
      <c r="AA308" s="93"/>
      <c r="AB308" s="93"/>
      <c r="AC308" s="83"/>
      <c r="AD308" s="83"/>
      <c r="AE308" s="93"/>
      <c r="AF308" s="93"/>
      <c r="AG308" s="83"/>
      <c r="AH308" s="83"/>
      <c r="AI308" s="93"/>
      <c r="AJ308" s="93"/>
      <c r="AK308" s="83"/>
      <c r="AL308" s="83"/>
      <c r="AM308" s="93"/>
      <c r="AN308" s="93"/>
      <c r="AO308" s="83"/>
      <c r="AP308" s="83"/>
      <c r="AQ308" s="93"/>
      <c r="AR308" s="93"/>
      <c r="AS308" s="83"/>
      <c r="AT308" s="83"/>
      <c r="AU308" s="93"/>
      <c r="AV308" s="93"/>
      <c r="AW308" s="83"/>
      <c r="AX308" s="83"/>
      <c r="AY308" s="93"/>
      <c r="AZ308" s="93"/>
    </row>
    <row r="309" spans="2:52" outlineLevel="1" x14ac:dyDescent="0.45">
      <c r="B309" s="1389"/>
      <c r="C309" s="91" t="s">
        <v>535</v>
      </c>
      <c r="D309" s="128"/>
      <c r="E309" s="230"/>
      <c r="F309" s="130">
        <f t="shared" si="73"/>
        <v>0</v>
      </c>
      <c r="G309" s="130">
        <f t="shared" si="73"/>
        <v>0</v>
      </c>
      <c r="H309" s="131">
        <f t="shared" si="73"/>
        <v>0</v>
      </c>
      <c r="I309" s="217"/>
      <c r="J309" s="217"/>
      <c r="K309" s="217"/>
      <c r="L309" s="218"/>
      <c r="M309" s="217"/>
      <c r="N309" s="217"/>
      <c r="O309" s="218"/>
      <c r="P309" s="217"/>
      <c r="Q309" s="217"/>
      <c r="R309" s="218"/>
      <c r="S309" s="217"/>
      <c r="T309" s="217"/>
      <c r="U309" s="218"/>
      <c r="V309" s="217"/>
      <c r="W309" s="217"/>
      <c r="AA309" s="93"/>
      <c r="AB309" s="93"/>
      <c r="AC309" s="83"/>
      <c r="AD309" s="83"/>
      <c r="AE309" s="93"/>
      <c r="AF309" s="93"/>
      <c r="AG309" s="83"/>
      <c r="AH309" s="83"/>
      <c r="AI309" s="93"/>
      <c r="AJ309" s="93"/>
      <c r="AK309" s="83"/>
      <c r="AL309" s="83"/>
      <c r="AM309" s="93"/>
      <c r="AN309" s="93"/>
      <c r="AO309" s="83"/>
      <c r="AP309" s="83"/>
      <c r="AQ309" s="93"/>
      <c r="AR309" s="93"/>
      <c r="AS309" s="83"/>
      <c r="AT309" s="83"/>
      <c r="AU309" s="93"/>
      <c r="AV309" s="93"/>
      <c r="AW309" s="83"/>
      <c r="AX309" s="83"/>
      <c r="AY309" s="93"/>
      <c r="AZ309" s="93"/>
    </row>
    <row r="310" spans="2:52" outlineLevel="1" x14ac:dyDescent="0.45">
      <c r="B310" s="1389"/>
      <c r="C310" s="91" t="s">
        <v>536</v>
      </c>
      <c r="D310" s="128"/>
      <c r="E310" s="230"/>
      <c r="F310" s="130">
        <f t="shared" si="73"/>
        <v>0</v>
      </c>
      <c r="G310" s="130">
        <f t="shared" si="73"/>
        <v>0</v>
      </c>
      <c r="H310" s="131">
        <f t="shared" si="73"/>
        <v>0</v>
      </c>
      <c r="I310" s="217"/>
      <c r="J310" s="217"/>
      <c r="K310" s="217"/>
      <c r="L310" s="218"/>
      <c r="M310" s="217"/>
      <c r="N310" s="217"/>
      <c r="O310" s="218"/>
      <c r="P310" s="217"/>
      <c r="Q310" s="217"/>
      <c r="R310" s="218"/>
      <c r="S310" s="217"/>
      <c r="T310" s="217"/>
      <c r="U310" s="218"/>
      <c r="V310" s="217"/>
      <c r="W310" s="217"/>
      <c r="AA310" s="93"/>
      <c r="AB310" s="93"/>
      <c r="AC310" s="83"/>
      <c r="AD310" s="83"/>
      <c r="AE310" s="93"/>
      <c r="AF310" s="93"/>
      <c r="AG310" s="83"/>
      <c r="AH310" s="83"/>
      <c r="AI310" s="93"/>
      <c r="AJ310" s="93"/>
      <c r="AK310" s="83"/>
      <c r="AL310" s="83"/>
      <c r="AM310" s="93"/>
      <c r="AN310" s="93"/>
      <c r="AO310" s="83"/>
      <c r="AP310" s="83"/>
      <c r="AQ310" s="93"/>
      <c r="AR310" s="93"/>
      <c r="AS310" s="83"/>
      <c r="AT310" s="83"/>
      <c r="AU310" s="93"/>
      <c r="AV310" s="93"/>
      <c r="AW310" s="83"/>
      <c r="AX310" s="83"/>
      <c r="AY310" s="93"/>
      <c r="AZ310" s="93"/>
    </row>
    <row r="311" spans="2:52" outlineLevel="1" x14ac:dyDescent="0.45">
      <c r="B311" s="1389"/>
      <c r="C311" s="91" t="s">
        <v>537</v>
      </c>
      <c r="D311" s="115"/>
      <c r="E311" s="12" t="s">
        <v>466</v>
      </c>
      <c r="F311" s="130">
        <f t="shared" si="73"/>
        <v>3095230578.6999998</v>
      </c>
      <c r="G311" s="130">
        <f t="shared" si="73"/>
        <v>3101199503.0100002</v>
      </c>
      <c r="H311" s="131">
        <f t="shared" si="73"/>
        <v>3038893192.0599999</v>
      </c>
      <c r="I311" s="236">
        <f t="shared" ref="I311:W311" si="74">SUM(I295:I305,I307:I310)</f>
        <v>19223737</v>
      </c>
      <c r="J311" s="237">
        <f t="shared" si="74"/>
        <v>22133793.850000001</v>
      </c>
      <c r="K311" s="238">
        <f t="shared" si="74"/>
        <v>24919408.199999999</v>
      </c>
      <c r="L311" s="237">
        <f t="shared" si="74"/>
        <v>1197049.3400000001</v>
      </c>
      <c r="M311" s="237">
        <f t="shared" si="74"/>
        <v>1197049.3400000001</v>
      </c>
      <c r="N311" s="238">
        <f t="shared" si="74"/>
        <v>1132280.48</v>
      </c>
      <c r="O311" s="237">
        <f t="shared" si="74"/>
        <v>267970614.35999998</v>
      </c>
      <c r="P311" s="237">
        <f t="shared" si="74"/>
        <v>298513922.81999999</v>
      </c>
      <c r="Q311" s="238">
        <f t="shared" si="74"/>
        <v>175846001.38</v>
      </c>
      <c r="R311" s="237">
        <f t="shared" si="74"/>
        <v>0</v>
      </c>
      <c r="S311" s="237">
        <f t="shared" si="74"/>
        <v>0</v>
      </c>
      <c r="T311" s="238">
        <f t="shared" si="74"/>
        <v>0</v>
      </c>
      <c r="U311" s="237">
        <f t="shared" si="74"/>
        <v>2806839178</v>
      </c>
      <c r="V311" s="237">
        <f t="shared" si="74"/>
        <v>2779354737</v>
      </c>
      <c r="W311" s="238">
        <f t="shared" si="74"/>
        <v>2836995502</v>
      </c>
      <c r="AA311" s="93"/>
      <c r="AB311" s="93"/>
      <c r="AC311" s="83"/>
      <c r="AD311" s="83"/>
      <c r="AE311" s="93"/>
      <c r="AF311" s="93"/>
      <c r="AG311" s="83"/>
      <c r="AH311" s="83"/>
      <c r="AI311" s="93"/>
      <c r="AJ311" s="93"/>
      <c r="AK311" s="83"/>
      <c r="AL311" s="83"/>
      <c r="AM311" s="93"/>
      <c r="AN311" s="93"/>
      <c r="AO311" s="83"/>
      <c r="AP311" s="83"/>
      <c r="AQ311" s="93"/>
      <c r="AR311" s="93"/>
      <c r="AS311" s="83"/>
      <c r="AT311" s="83"/>
      <c r="AU311" s="93"/>
      <c r="AV311" s="93"/>
      <c r="AW311" s="83"/>
      <c r="AX311" s="83"/>
      <c r="AY311" s="93"/>
      <c r="AZ311" s="93"/>
    </row>
    <row r="312" spans="2:52" ht="14.65" outlineLevel="1" thickBot="1" x14ac:dyDescent="0.5">
      <c r="B312" s="1389"/>
      <c r="C312" s="91" t="s">
        <v>538</v>
      </c>
      <c r="D312" s="115"/>
      <c r="E312" s="169" t="s">
        <v>371</v>
      </c>
      <c r="F312" s="130">
        <f t="shared" si="73"/>
        <v>-669571826.96000004</v>
      </c>
      <c r="G312" s="130">
        <f t="shared" si="73"/>
        <v>-643968262.92000008</v>
      </c>
      <c r="H312" s="131">
        <f t="shared" si="73"/>
        <v>-584616453.87</v>
      </c>
      <c r="I312" s="240">
        <f t="shared" ref="I312:W312" si="75">I292-I311</f>
        <v>-19223737</v>
      </c>
      <c r="J312" s="241">
        <f t="shared" si="75"/>
        <v>-22133793.850000001</v>
      </c>
      <c r="K312" s="242">
        <f t="shared" si="75"/>
        <v>-24919408.199999999</v>
      </c>
      <c r="L312" s="241">
        <f t="shared" si="75"/>
        <v>-963859.82000000007</v>
      </c>
      <c r="M312" s="241">
        <f t="shared" si="75"/>
        <v>-918113.94000000006</v>
      </c>
      <c r="N312" s="242">
        <f t="shared" si="75"/>
        <v>-1026944.63</v>
      </c>
      <c r="O312" s="241">
        <f t="shared" si="75"/>
        <v>-249533683.13999999</v>
      </c>
      <c r="P312" s="241">
        <f t="shared" si="75"/>
        <v>-278723015.13</v>
      </c>
      <c r="Q312" s="242">
        <f t="shared" si="75"/>
        <v>-152254893.03999999</v>
      </c>
      <c r="R312" s="241">
        <f t="shared" si="75"/>
        <v>0</v>
      </c>
      <c r="S312" s="241">
        <f t="shared" si="75"/>
        <v>0</v>
      </c>
      <c r="T312" s="242">
        <f t="shared" si="75"/>
        <v>0</v>
      </c>
      <c r="U312" s="241">
        <f t="shared" si="75"/>
        <v>-399850547</v>
      </c>
      <c r="V312" s="241">
        <f t="shared" si="75"/>
        <v>-342193340</v>
      </c>
      <c r="W312" s="242">
        <f t="shared" si="75"/>
        <v>-406415208</v>
      </c>
      <c r="AA312" s="93"/>
      <c r="AB312" s="93"/>
      <c r="AC312" s="83"/>
      <c r="AD312" s="83"/>
      <c r="AE312" s="93"/>
      <c r="AF312" s="93"/>
      <c r="AG312" s="83"/>
      <c r="AH312" s="83"/>
      <c r="AI312" s="93"/>
      <c r="AJ312" s="93"/>
      <c r="AK312" s="83"/>
      <c r="AL312" s="83"/>
      <c r="AM312" s="93"/>
      <c r="AN312" s="93"/>
      <c r="AO312" s="83"/>
      <c r="AP312" s="83"/>
      <c r="AQ312" s="93"/>
      <c r="AR312" s="93"/>
      <c r="AS312" s="83"/>
      <c r="AT312" s="83"/>
      <c r="AU312" s="93"/>
      <c r="AV312" s="93"/>
      <c r="AW312" s="83"/>
      <c r="AX312" s="83"/>
      <c r="AY312" s="93"/>
      <c r="AZ312" s="93"/>
    </row>
    <row r="313" spans="2:52" ht="14.65" outlineLevel="1" thickTop="1" x14ac:dyDescent="0.45">
      <c r="B313" s="1389"/>
      <c r="C313" s="91" t="s">
        <v>539</v>
      </c>
      <c r="D313" s="115"/>
      <c r="E313" s="91"/>
      <c r="F313" s="89"/>
      <c r="G313" s="89"/>
      <c r="H313" s="23"/>
      <c r="I313" s="91"/>
      <c r="J313" s="92"/>
      <c r="K313" s="31"/>
      <c r="L313" s="92"/>
      <c r="M313" s="92"/>
      <c r="N313" s="31"/>
      <c r="O313" s="92"/>
      <c r="P313" s="92"/>
      <c r="Q313" s="31"/>
      <c r="R313" s="92"/>
      <c r="S313" s="92"/>
      <c r="T313" s="31"/>
      <c r="U313" s="92"/>
      <c r="V313" s="92"/>
      <c r="W313" s="31"/>
      <c r="AA313" s="93"/>
      <c r="AB313" s="93"/>
      <c r="AC313" s="83"/>
      <c r="AD313" s="83"/>
      <c r="AE313" s="93"/>
      <c r="AF313" s="93"/>
      <c r="AG313" s="83"/>
      <c r="AH313" s="83"/>
      <c r="AI313" s="93"/>
      <c r="AJ313" s="93"/>
      <c r="AK313" s="83"/>
      <c r="AL313" s="83"/>
      <c r="AM313" s="93"/>
      <c r="AN313" s="93"/>
      <c r="AO313" s="83"/>
      <c r="AP313" s="83"/>
      <c r="AQ313" s="93"/>
      <c r="AR313" s="93"/>
      <c r="AS313" s="83"/>
      <c r="AT313" s="83"/>
      <c r="AU313" s="93"/>
      <c r="AV313" s="93"/>
      <c r="AW313" s="83"/>
      <c r="AX313" s="83"/>
      <c r="AY313" s="93"/>
      <c r="AZ313" s="93"/>
    </row>
    <row r="314" spans="2:52" outlineLevel="1" x14ac:dyDescent="0.45">
      <c r="B314" s="1389"/>
      <c r="C314" s="91" t="s">
        <v>540</v>
      </c>
      <c r="D314" s="115"/>
      <c r="E314" s="11" t="s">
        <v>374</v>
      </c>
      <c r="F314" s="89"/>
      <c r="G314" s="89"/>
      <c r="H314" s="23"/>
      <c r="I314" s="91"/>
      <c r="J314" s="92"/>
      <c r="K314" s="31"/>
      <c r="L314" s="92"/>
      <c r="M314" s="92"/>
      <c r="N314" s="31"/>
      <c r="O314" s="92"/>
      <c r="P314" s="92"/>
      <c r="Q314" s="31"/>
      <c r="R314" s="92"/>
      <c r="S314" s="92"/>
      <c r="T314" s="31"/>
      <c r="U314" s="92"/>
      <c r="V314" s="92"/>
      <c r="W314" s="31"/>
      <c r="AA314" s="93"/>
      <c r="AB314" s="93"/>
      <c r="AC314" s="83"/>
      <c r="AD314" s="83"/>
      <c r="AE314" s="93"/>
      <c r="AF314" s="93"/>
      <c r="AG314" s="83"/>
      <c r="AH314" s="83"/>
      <c r="AI314" s="93"/>
      <c r="AJ314" s="93"/>
      <c r="AK314" s="83"/>
      <c r="AL314" s="83"/>
      <c r="AM314" s="93"/>
      <c r="AN314" s="93"/>
      <c r="AO314" s="83"/>
      <c r="AP314" s="83"/>
      <c r="AQ314" s="93"/>
      <c r="AR314" s="93"/>
      <c r="AS314" s="83"/>
      <c r="AT314" s="83"/>
      <c r="AU314" s="93"/>
      <c r="AV314" s="93"/>
      <c r="AW314" s="83"/>
      <c r="AX314" s="83"/>
      <c r="AY314" s="93"/>
      <c r="AZ314" s="93"/>
    </row>
    <row r="315" spans="2:52" ht="42.75" outlineLevel="1" x14ac:dyDescent="0.45">
      <c r="B315" s="1389"/>
      <c r="C315" s="91" t="s">
        <v>541</v>
      </c>
      <c r="D315" s="128" t="s">
        <v>507</v>
      </c>
      <c r="E315" s="91" t="s">
        <v>377</v>
      </c>
      <c r="F315" s="130">
        <f t="shared" ref="F315:H316" si="76">I315+L315+O315+R315+U315</f>
        <v>0</v>
      </c>
      <c r="G315" s="130">
        <f t="shared" si="76"/>
        <v>0</v>
      </c>
      <c r="H315" s="131">
        <f t="shared" si="76"/>
        <v>0</v>
      </c>
      <c r="I315" s="217"/>
      <c r="J315" s="217"/>
      <c r="K315" s="217"/>
      <c r="L315" s="218"/>
      <c r="M315" s="217"/>
      <c r="N315" s="217"/>
      <c r="O315" s="218"/>
      <c r="P315" s="217"/>
      <c r="Q315" s="217"/>
      <c r="R315" s="218"/>
      <c r="S315" s="217"/>
      <c r="T315" s="217"/>
      <c r="U315" s="218"/>
      <c r="V315" s="217"/>
      <c r="W315" s="217"/>
      <c r="AA315" s="93"/>
      <c r="AB315" s="93"/>
      <c r="AC315" s="83"/>
      <c r="AD315" s="83"/>
      <c r="AE315" s="93"/>
      <c r="AF315" s="93"/>
      <c r="AG315" s="83"/>
      <c r="AH315" s="83"/>
      <c r="AI315" s="93"/>
      <c r="AJ315" s="93"/>
      <c r="AK315" s="83"/>
      <c r="AL315" s="83"/>
      <c r="AM315" s="93"/>
      <c r="AN315" s="93"/>
      <c r="AO315" s="83"/>
      <c r="AP315" s="83"/>
      <c r="AQ315" s="93"/>
      <c r="AR315" s="93"/>
      <c r="AS315" s="83"/>
      <c r="AT315" s="83"/>
      <c r="AU315" s="93"/>
      <c r="AV315" s="93"/>
      <c r="AW315" s="83"/>
      <c r="AX315" s="83"/>
      <c r="AY315" s="93"/>
      <c r="AZ315" s="93"/>
    </row>
    <row r="316" spans="2:52" outlineLevel="1" x14ac:dyDescent="0.45">
      <c r="B316" s="1389"/>
      <c r="C316" s="91" t="s">
        <v>542</v>
      </c>
      <c r="D316" s="128"/>
      <c r="E316" s="91" t="s">
        <v>379</v>
      </c>
      <c r="F316" s="130">
        <f t="shared" si="76"/>
        <v>0</v>
      </c>
      <c r="G316" s="130">
        <f t="shared" si="76"/>
        <v>0</v>
      </c>
      <c r="H316" s="131">
        <f t="shared" si="76"/>
        <v>0</v>
      </c>
      <c r="I316" s="217"/>
      <c r="J316" s="217"/>
      <c r="K316" s="217"/>
      <c r="L316" s="218"/>
      <c r="M316" s="217"/>
      <c r="N316" s="217"/>
      <c r="O316" s="218"/>
      <c r="P316" s="217"/>
      <c r="Q316" s="217"/>
      <c r="R316" s="218"/>
      <c r="S316" s="217"/>
      <c r="T316" s="217"/>
      <c r="U316" s="218"/>
      <c r="V316" s="217"/>
      <c r="W316" s="217"/>
      <c r="AA316" s="93"/>
      <c r="AB316" s="93"/>
      <c r="AC316" s="83"/>
      <c r="AD316" s="83"/>
      <c r="AE316" s="93"/>
      <c r="AF316" s="93"/>
      <c r="AG316" s="83"/>
      <c r="AH316" s="83"/>
      <c r="AI316" s="93"/>
      <c r="AJ316" s="93"/>
      <c r="AK316" s="83"/>
      <c r="AL316" s="83"/>
      <c r="AM316" s="93"/>
      <c r="AN316" s="93"/>
      <c r="AO316" s="83"/>
      <c r="AP316" s="83"/>
      <c r="AQ316" s="93"/>
      <c r="AR316" s="93"/>
      <c r="AS316" s="83"/>
      <c r="AT316" s="83"/>
      <c r="AU316" s="93"/>
      <c r="AV316" s="93"/>
      <c r="AW316" s="83"/>
      <c r="AX316" s="83"/>
      <c r="AY316" s="93"/>
      <c r="AZ316" s="93"/>
    </row>
    <row r="317" spans="2:52" outlineLevel="1" x14ac:dyDescent="0.45">
      <c r="B317" s="1389"/>
      <c r="C317" s="91" t="s">
        <v>543</v>
      </c>
      <c r="D317" s="115"/>
      <c r="E317" s="91"/>
      <c r="F317" s="89"/>
      <c r="G317" s="89"/>
      <c r="H317" s="23"/>
      <c r="I317" s="91"/>
      <c r="J317" s="92"/>
      <c r="K317" s="31"/>
      <c r="L317" s="92"/>
      <c r="M317" s="92"/>
      <c r="N317" s="31"/>
      <c r="O317" s="92"/>
      <c r="P317" s="92"/>
      <c r="Q317" s="31"/>
      <c r="R317" s="92"/>
      <c r="S317" s="92"/>
      <c r="T317" s="31"/>
      <c r="U317" s="92"/>
      <c r="V317" s="92"/>
      <c r="W317" s="31"/>
      <c r="AA317" s="93"/>
      <c r="AB317" s="93"/>
      <c r="AC317" s="83"/>
      <c r="AD317" s="83"/>
      <c r="AE317" s="93"/>
      <c r="AF317" s="93"/>
      <c r="AG317" s="83"/>
      <c r="AH317" s="83"/>
      <c r="AI317" s="93"/>
      <c r="AJ317" s="93"/>
      <c r="AK317" s="83"/>
      <c r="AL317" s="83"/>
      <c r="AM317" s="93"/>
      <c r="AN317" s="93"/>
      <c r="AO317" s="83"/>
      <c r="AP317" s="83"/>
      <c r="AQ317" s="93"/>
      <c r="AR317" s="93"/>
      <c r="AS317" s="83"/>
      <c r="AT317" s="83"/>
      <c r="AU317" s="93"/>
      <c r="AV317" s="93"/>
      <c r="AW317" s="83"/>
      <c r="AX317" s="83"/>
      <c r="AY317" s="93"/>
      <c r="AZ317" s="93"/>
    </row>
    <row r="318" spans="2:52" outlineLevel="1" x14ac:dyDescent="0.45">
      <c r="B318" s="1389"/>
      <c r="C318" s="91" t="s">
        <v>544</v>
      </c>
      <c r="D318" s="115"/>
      <c r="E318" s="11" t="s">
        <v>545</v>
      </c>
      <c r="F318" s="89"/>
      <c r="G318" s="89"/>
      <c r="H318" s="23"/>
      <c r="I318" s="91"/>
      <c r="J318" s="92"/>
      <c r="K318" s="31"/>
      <c r="L318" s="92"/>
      <c r="M318" s="92"/>
      <c r="N318" s="31"/>
      <c r="O318" s="92"/>
      <c r="P318" s="92"/>
      <c r="Q318" s="31"/>
      <c r="R318" s="92"/>
      <c r="S318" s="92"/>
      <c r="T318" s="31"/>
      <c r="U318" s="92"/>
      <c r="V318" s="92"/>
      <c r="W318" s="31"/>
      <c r="AA318" s="93"/>
      <c r="AB318" s="93"/>
      <c r="AC318" s="83"/>
      <c r="AD318" s="83"/>
      <c r="AE318" s="93"/>
      <c r="AF318" s="93"/>
      <c r="AG318" s="83"/>
      <c r="AH318" s="83"/>
      <c r="AI318" s="93"/>
      <c r="AJ318" s="93"/>
      <c r="AK318" s="83"/>
      <c r="AL318" s="83"/>
      <c r="AM318" s="93"/>
      <c r="AN318" s="93"/>
      <c r="AO318" s="83"/>
      <c r="AP318" s="83"/>
      <c r="AQ318" s="93"/>
      <c r="AR318" s="93"/>
      <c r="AS318" s="83"/>
      <c r="AT318" s="83"/>
      <c r="AU318" s="93"/>
      <c r="AV318" s="93"/>
      <c r="AW318" s="83"/>
      <c r="AX318" s="83"/>
      <c r="AY318" s="93"/>
      <c r="AZ318" s="93"/>
    </row>
    <row r="319" spans="2:52" ht="42.75" outlineLevel="1" x14ac:dyDescent="0.45">
      <c r="B319" s="1389"/>
      <c r="C319" s="91" t="s">
        <v>546</v>
      </c>
      <c r="D319" s="128" t="s">
        <v>507</v>
      </c>
      <c r="E319" s="91" t="s">
        <v>475</v>
      </c>
      <c r="F319" s="130">
        <f t="shared" ref="F319:H320" si="77">I319+L319+O319+R319+U319</f>
        <v>0</v>
      </c>
      <c r="G319" s="130">
        <f t="shared" si="77"/>
        <v>0</v>
      </c>
      <c r="H319" s="131">
        <f t="shared" si="77"/>
        <v>0</v>
      </c>
      <c r="I319" s="217"/>
      <c r="J319" s="217"/>
      <c r="K319" s="217"/>
      <c r="L319" s="218"/>
      <c r="M319" s="217"/>
      <c r="N319" s="217"/>
      <c r="O319" s="218"/>
      <c r="P319" s="217"/>
      <c r="Q319" s="217"/>
      <c r="R319" s="218"/>
      <c r="S319" s="217"/>
      <c r="T319" s="217"/>
      <c r="U319" s="218"/>
      <c r="V319" s="217"/>
      <c r="W319" s="217"/>
      <c r="AA319" s="93"/>
      <c r="AB319" s="93"/>
      <c r="AC319" s="83"/>
      <c r="AD319" s="83"/>
      <c r="AE319" s="93"/>
      <c r="AF319" s="93"/>
      <c r="AG319" s="83"/>
      <c r="AH319" s="83"/>
      <c r="AI319" s="93"/>
      <c r="AJ319" s="93"/>
      <c r="AK319" s="83"/>
      <c r="AL319" s="83"/>
      <c r="AM319" s="93"/>
      <c r="AN319" s="93"/>
      <c r="AO319" s="83"/>
      <c r="AP319" s="83"/>
      <c r="AQ319" s="93"/>
      <c r="AR319" s="93"/>
      <c r="AS319" s="83"/>
      <c r="AT319" s="83"/>
      <c r="AU319" s="93"/>
      <c r="AV319" s="93"/>
      <c r="AW319" s="83"/>
      <c r="AX319" s="83"/>
      <c r="AY319" s="93"/>
      <c r="AZ319" s="93"/>
    </row>
    <row r="320" spans="2:52" outlineLevel="1" x14ac:dyDescent="0.45">
      <c r="B320" s="1389"/>
      <c r="C320" s="91" t="s">
        <v>547</v>
      </c>
      <c r="D320" s="128"/>
      <c r="E320" s="91" t="s">
        <v>19</v>
      </c>
      <c r="F320" s="130">
        <f t="shared" si="77"/>
        <v>0</v>
      </c>
      <c r="G320" s="130">
        <f t="shared" si="77"/>
        <v>0</v>
      </c>
      <c r="H320" s="131">
        <f t="shared" si="77"/>
        <v>0</v>
      </c>
      <c r="I320" s="217"/>
      <c r="J320" s="217"/>
      <c r="K320" s="217"/>
      <c r="L320" s="218"/>
      <c r="M320" s="217"/>
      <c r="N320" s="217"/>
      <c r="O320" s="218"/>
      <c r="P320" s="217"/>
      <c r="Q320" s="217"/>
      <c r="R320" s="218"/>
      <c r="S320" s="217"/>
      <c r="T320" s="217"/>
      <c r="U320" s="218"/>
      <c r="V320" s="217"/>
      <c r="W320" s="217"/>
      <c r="AA320" s="93"/>
      <c r="AB320" s="93"/>
      <c r="AC320" s="83"/>
      <c r="AD320" s="83"/>
      <c r="AE320" s="93"/>
      <c r="AF320" s="93"/>
      <c r="AG320" s="83"/>
      <c r="AH320" s="83"/>
      <c r="AI320" s="93"/>
      <c r="AJ320" s="93"/>
      <c r="AK320" s="83"/>
      <c r="AL320" s="83"/>
      <c r="AM320" s="93"/>
      <c r="AN320" s="93"/>
      <c r="AO320" s="83"/>
      <c r="AP320" s="83"/>
      <c r="AQ320" s="93"/>
      <c r="AR320" s="93"/>
      <c r="AS320" s="83"/>
      <c r="AT320" s="83"/>
      <c r="AU320" s="93"/>
      <c r="AV320" s="93"/>
      <c r="AW320" s="83"/>
      <c r="AX320" s="83"/>
      <c r="AY320" s="93"/>
      <c r="AZ320" s="93"/>
    </row>
    <row r="321" spans="2:52" outlineLevel="1" x14ac:dyDescent="0.45">
      <c r="B321" s="1389"/>
      <c r="C321" s="91" t="s">
        <v>548</v>
      </c>
      <c r="D321" s="115"/>
      <c r="E321" s="91"/>
      <c r="F321" s="89"/>
      <c r="G321" s="89"/>
      <c r="H321" s="23"/>
      <c r="I321" s="91"/>
      <c r="J321" s="92"/>
      <c r="K321" s="31"/>
      <c r="L321" s="92"/>
      <c r="M321" s="92"/>
      <c r="N321" s="31"/>
      <c r="O321" s="92"/>
      <c r="P321" s="92"/>
      <c r="Q321" s="31"/>
      <c r="R321" s="92"/>
      <c r="S321" s="92"/>
      <c r="T321" s="31"/>
      <c r="U321" s="92"/>
      <c r="V321" s="92"/>
      <c r="W321" s="31"/>
      <c r="AA321" s="93"/>
      <c r="AB321" s="93"/>
      <c r="AC321" s="83"/>
      <c r="AD321" s="83"/>
      <c r="AE321" s="93"/>
      <c r="AF321" s="93"/>
      <c r="AG321" s="83"/>
      <c r="AH321" s="83"/>
      <c r="AI321" s="93"/>
      <c r="AJ321" s="93"/>
      <c r="AK321" s="83"/>
      <c r="AL321" s="83"/>
      <c r="AM321" s="93"/>
      <c r="AN321" s="93"/>
      <c r="AO321" s="83"/>
      <c r="AP321" s="83"/>
      <c r="AQ321" s="93"/>
      <c r="AR321" s="93"/>
      <c r="AS321" s="83"/>
      <c r="AT321" s="83"/>
      <c r="AU321" s="93"/>
      <c r="AV321" s="93"/>
      <c r="AW321" s="83"/>
      <c r="AX321" s="83"/>
      <c r="AY321" s="93"/>
      <c r="AZ321" s="93"/>
    </row>
    <row r="322" spans="2:52" outlineLevel="1" x14ac:dyDescent="0.45">
      <c r="B322" s="1389"/>
      <c r="C322" s="91" t="s">
        <v>549</v>
      </c>
      <c r="D322" s="115"/>
      <c r="E322" s="91"/>
      <c r="F322" s="89"/>
      <c r="G322" s="89"/>
      <c r="H322" s="23"/>
      <c r="I322" s="91"/>
      <c r="J322" s="92"/>
      <c r="K322" s="31"/>
      <c r="L322" s="92"/>
      <c r="M322" s="92"/>
      <c r="N322" s="31"/>
      <c r="O322" s="92"/>
      <c r="P322" s="92"/>
      <c r="Q322" s="31"/>
      <c r="R322" s="92"/>
      <c r="S322" s="92"/>
      <c r="T322" s="31"/>
      <c r="U322" s="92"/>
      <c r="V322" s="92"/>
      <c r="W322" s="31"/>
      <c r="AA322" s="93"/>
      <c r="AB322" s="93"/>
      <c r="AC322" s="83"/>
      <c r="AD322" s="83"/>
      <c r="AE322" s="93"/>
      <c r="AF322" s="93"/>
      <c r="AG322" s="83"/>
      <c r="AH322" s="83"/>
      <c r="AI322" s="93"/>
      <c r="AJ322" s="93"/>
      <c r="AK322" s="83"/>
      <c r="AL322" s="83"/>
      <c r="AM322" s="93"/>
      <c r="AN322" s="93"/>
      <c r="AO322" s="83"/>
      <c r="AP322" s="83"/>
      <c r="AQ322" s="93"/>
      <c r="AR322" s="93"/>
      <c r="AS322" s="83"/>
      <c r="AT322" s="83"/>
      <c r="AU322" s="93"/>
      <c r="AV322" s="93"/>
      <c r="AW322" s="83"/>
      <c r="AX322" s="83"/>
      <c r="AY322" s="93"/>
      <c r="AZ322" s="93"/>
    </row>
    <row r="323" spans="2:52" outlineLevel="1" x14ac:dyDescent="0.45">
      <c r="B323" s="1389"/>
      <c r="C323" s="91" t="s">
        <v>550</v>
      </c>
      <c r="D323" s="115"/>
      <c r="E323" s="11" t="s">
        <v>479</v>
      </c>
      <c r="F323" s="89"/>
      <c r="G323" s="89"/>
      <c r="H323" s="23"/>
      <c r="I323" s="91"/>
      <c r="J323" s="92"/>
      <c r="K323" s="31"/>
      <c r="L323" s="92"/>
      <c r="M323" s="92"/>
      <c r="N323" s="31"/>
      <c r="O323" s="92"/>
      <c r="P323" s="92"/>
      <c r="Q323" s="31"/>
      <c r="R323" s="92"/>
      <c r="S323" s="92"/>
      <c r="T323" s="31"/>
      <c r="U323" s="92"/>
      <c r="V323" s="92"/>
      <c r="W323" s="31"/>
      <c r="AA323" s="93"/>
      <c r="AB323" s="93"/>
      <c r="AC323" s="83"/>
      <c r="AD323" s="83"/>
      <c r="AE323" s="93"/>
      <c r="AF323" s="93"/>
      <c r="AG323" s="83"/>
      <c r="AH323" s="83"/>
      <c r="AI323" s="93"/>
      <c r="AJ323" s="93"/>
      <c r="AK323" s="83"/>
      <c r="AL323" s="83"/>
      <c r="AM323" s="93"/>
      <c r="AN323" s="93"/>
      <c r="AO323" s="83"/>
      <c r="AP323" s="83"/>
      <c r="AQ323" s="93"/>
      <c r="AR323" s="93"/>
      <c r="AS323" s="83"/>
      <c r="AT323" s="83"/>
      <c r="AU323" s="93"/>
      <c r="AV323" s="93"/>
      <c r="AW323" s="83"/>
      <c r="AX323" s="83"/>
      <c r="AY323" s="93"/>
      <c r="AZ323" s="93"/>
    </row>
    <row r="324" spans="2:52" outlineLevel="1" x14ac:dyDescent="0.45">
      <c r="B324" s="1389"/>
      <c r="C324" s="91" t="s">
        <v>551</v>
      </c>
      <c r="D324" s="115"/>
      <c r="E324" s="91" t="s">
        <v>392</v>
      </c>
      <c r="F324" s="130">
        <f>I324+L324+O324+R324+U324</f>
        <v>13274959000</v>
      </c>
      <c r="G324" s="130">
        <f>J324+M324+P324+S324+V324</f>
        <v>13316096000</v>
      </c>
      <c r="H324" s="131">
        <f>K324+N324+Q324+T324+W324</f>
        <v>0</v>
      </c>
      <c r="I324" s="217">
        <v>2523803000</v>
      </c>
      <c r="J324" s="217">
        <v>2392718000</v>
      </c>
      <c r="K324" s="217"/>
      <c r="L324" s="218">
        <v>1350936000</v>
      </c>
      <c r="M324" s="217">
        <v>1061756000</v>
      </c>
      <c r="N324" s="217"/>
      <c r="O324" s="218">
        <v>4108399000</v>
      </c>
      <c r="P324" s="217">
        <v>4417641000</v>
      </c>
      <c r="Q324" s="217"/>
      <c r="R324" s="218">
        <v>3332584000</v>
      </c>
      <c r="S324" s="217">
        <v>3509045000</v>
      </c>
      <c r="T324" s="217"/>
      <c r="U324" s="218">
        <v>1959237000</v>
      </c>
      <c r="V324" s="217">
        <v>1934936000</v>
      </c>
      <c r="W324" s="217"/>
      <c r="AA324" s="93"/>
      <c r="AB324" s="93"/>
      <c r="AC324" s="83" t="s">
        <v>393</v>
      </c>
      <c r="AD324" s="83"/>
      <c r="AE324" s="93"/>
      <c r="AF324" s="93"/>
      <c r="AG324" s="83" t="s">
        <v>393</v>
      </c>
      <c r="AH324" s="83"/>
      <c r="AI324" s="93"/>
      <c r="AJ324" s="93"/>
      <c r="AK324" s="83" t="s">
        <v>393</v>
      </c>
      <c r="AL324" s="83"/>
      <c r="AM324" s="93"/>
      <c r="AN324" s="93"/>
      <c r="AO324" s="83" t="s">
        <v>393</v>
      </c>
      <c r="AP324" s="83"/>
      <c r="AQ324" s="93"/>
      <c r="AR324" s="93"/>
      <c r="AS324" s="83" t="s">
        <v>393</v>
      </c>
      <c r="AT324" s="83"/>
      <c r="AU324" s="93"/>
      <c r="AV324" s="93"/>
      <c r="AW324" s="83" t="s">
        <v>393</v>
      </c>
      <c r="AX324" s="83"/>
      <c r="AY324" s="93"/>
      <c r="AZ324" s="93"/>
    </row>
    <row r="325" spans="2:52" outlineLevel="1" x14ac:dyDescent="0.45">
      <c r="B325" s="1389"/>
      <c r="C325" s="91" t="s">
        <v>552</v>
      </c>
      <c r="D325" s="115"/>
      <c r="E325" s="91"/>
      <c r="F325" s="89"/>
      <c r="G325" s="89"/>
      <c r="H325" s="23"/>
      <c r="I325" s="91"/>
      <c r="J325" s="92"/>
      <c r="K325" s="31"/>
      <c r="L325" s="92"/>
      <c r="M325" s="92"/>
      <c r="N325" s="31"/>
      <c r="O325" s="92"/>
      <c r="P325" s="92"/>
      <c r="Q325" s="31"/>
      <c r="R325" s="92"/>
      <c r="S325" s="92"/>
      <c r="T325" s="31"/>
      <c r="U325" s="92"/>
      <c r="V325" s="92"/>
      <c r="W325" s="31"/>
      <c r="AA325" s="93"/>
      <c r="AB325" s="93"/>
      <c r="AC325" s="83"/>
      <c r="AD325" s="83"/>
      <c r="AE325" s="93"/>
      <c r="AF325" s="93"/>
      <c r="AG325" s="83"/>
      <c r="AH325" s="83"/>
      <c r="AI325" s="93"/>
      <c r="AJ325" s="93"/>
      <c r="AK325" s="83"/>
      <c r="AL325" s="83"/>
      <c r="AM325" s="93"/>
      <c r="AN325" s="93"/>
      <c r="AO325" s="83"/>
      <c r="AP325" s="83"/>
      <c r="AQ325" s="93"/>
      <c r="AR325" s="93"/>
      <c r="AS325" s="83"/>
      <c r="AT325" s="83"/>
      <c r="AU325" s="93"/>
      <c r="AV325" s="93"/>
      <c r="AW325" s="83"/>
      <c r="AX325" s="83"/>
      <c r="AY325" s="93"/>
      <c r="AZ325" s="93"/>
    </row>
    <row r="326" spans="2:52" outlineLevel="1" x14ac:dyDescent="0.45">
      <c r="B326" s="1389"/>
      <c r="C326" s="91" t="s">
        <v>553</v>
      </c>
      <c r="D326" s="115"/>
      <c r="E326" s="91"/>
      <c r="F326" s="89"/>
      <c r="G326" s="89"/>
      <c r="H326" s="23"/>
      <c r="I326" s="91"/>
      <c r="J326" s="92"/>
      <c r="K326" s="31"/>
      <c r="L326" s="92"/>
      <c r="M326" s="92"/>
      <c r="N326" s="31"/>
      <c r="O326" s="92"/>
      <c r="P326" s="92"/>
      <c r="Q326" s="31"/>
      <c r="R326" s="92"/>
      <c r="S326" s="92"/>
      <c r="T326" s="31"/>
      <c r="U326" s="92"/>
      <c r="V326" s="92"/>
      <c r="W326" s="31"/>
      <c r="AA326" s="93"/>
      <c r="AB326" s="93"/>
      <c r="AC326" s="83"/>
      <c r="AD326" s="83"/>
      <c r="AE326" s="93"/>
      <c r="AF326" s="93"/>
      <c r="AG326" s="83"/>
      <c r="AH326" s="83"/>
      <c r="AI326" s="93"/>
      <c r="AJ326" s="93"/>
      <c r="AK326" s="83"/>
      <c r="AL326" s="83"/>
      <c r="AM326" s="93"/>
      <c r="AN326" s="93"/>
      <c r="AO326" s="83"/>
      <c r="AP326" s="83"/>
      <c r="AQ326" s="93"/>
      <c r="AR326" s="93"/>
      <c r="AS326" s="83"/>
      <c r="AT326" s="83"/>
      <c r="AU326" s="93"/>
      <c r="AV326" s="93"/>
      <c r="AW326" s="83"/>
      <c r="AX326" s="83"/>
      <c r="AY326" s="93"/>
      <c r="AZ326" s="93"/>
    </row>
    <row r="327" spans="2:52" outlineLevel="1" x14ac:dyDescent="0.45">
      <c r="B327" s="1389"/>
      <c r="C327" s="91" t="s">
        <v>554</v>
      </c>
      <c r="D327" s="115"/>
      <c r="E327" s="91"/>
      <c r="F327" s="89"/>
      <c r="G327" s="89"/>
      <c r="H327" s="23"/>
      <c r="I327" s="91"/>
      <c r="J327" s="92"/>
      <c r="K327" s="31"/>
      <c r="L327" s="92"/>
      <c r="M327" s="92"/>
      <c r="N327" s="31"/>
      <c r="O327" s="92"/>
      <c r="P327" s="92"/>
      <c r="Q327" s="31"/>
      <c r="R327" s="92"/>
      <c r="S327" s="92"/>
      <c r="T327" s="31"/>
      <c r="U327" s="92"/>
      <c r="V327" s="92"/>
      <c r="W327" s="31"/>
      <c r="AA327" s="93"/>
      <c r="AB327" s="93"/>
      <c r="AC327" s="83"/>
      <c r="AD327" s="83"/>
      <c r="AE327" s="93"/>
      <c r="AF327" s="93"/>
      <c r="AG327" s="83"/>
      <c r="AH327" s="83"/>
      <c r="AI327" s="93"/>
      <c r="AJ327" s="93"/>
      <c r="AK327" s="83"/>
      <c r="AL327" s="83"/>
      <c r="AM327" s="93"/>
      <c r="AN327" s="93"/>
      <c r="AO327" s="83"/>
      <c r="AP327" s="83"/>
      <c r="AQ327" s="93"/>
      <c r="AR327" s="93"/>
      <c r="AS327" s="83"/>
      <c r="AT327" s="83"/>
      <c r="AU327" s="93"/>
      <c r="AV327" s="93"/>
      <c r="AW327" s="83"/>
      <c r="AX327" s="83"/>
      <c r="AY327" s="93"/>
      <c r="AZ327" s="93"/>
    </row>
    <row r="328" spans="2:52" outlineLevel="1" x14ac:dyDescent="0.45">
      <c r="B328" s="1389"/>
      <c r="C328" s="91" t="s">
        <v>555</v>
      </c>
      <c r="D328" s="115"/>
      <c r="E328" s="11" t="s">
        <v>400</v>
      </c>
      <c r="F328" s="89"/>
      <c r="G328" s="89"/>
      <c r="H328" s="23"/>
      <c r="I328" s="91"/>
      <c r="J328" s="92"/>
      <c r="K328" s="31"/>
      <c r="L328" s="92"/>
      <c r="M328" s="92"/>
      <c r="N328" s="31"/>
      <c r="O328" s="92"/>
      <c r="P328" s="92"/>
      <c r="Q328" s="31"/>
      <c r="R328" s="92"/>
      <c r="S328" s="92"/>
      <c r="T328" s="31"/>
      <c r="U328" s="92"/>
      <c r="V328" s="92"/>
      <c r="W328" s="31"/>
      <c r="AA328" s="93"/>
      <c r="AB328" s="93"/>
      <c r="AC328" s="83"/>
      <c r="AD328" s="83"/>
      <c r="AE328" s="93"/>
      <c r="AF328" s="93"/>
      <c r="AG328" s="83"/>
      <c r="AH328" s="83"/>
      <c r="AI328" s="93"/>
      <c r="AJ328" s="93"/>
      <c r="AK328" s="83"/>
      <c r="AL328" s="83"/>
      <c r="AM328" s="93"/>
      <c r="AN328" s="93"/>
      <c r="AO328" s="83"/>
      <c r="AP328" s="83"/>
      <c r="AQ328" s="93"/>
      <c r="AR328" s="93"/>
      <c r="AS328" s="83"/>
      <c r="AT328" s="83"/>
      <c r="AU328" s="93"/>
      <c r="AV328" s="93"/>
      <c r="AW328" s="83"/>
      <c r="AX328" s="83"/>
      <c r="AY328" s="93"/>
      <c r="AZ328" s="93"/>
    </row>
    <row r="329" spans="2:52" outlineLevel="1" x14ac:dyDescent="0.45">
      <c r="B329" s="1389"/>
      <c r="C329" s="91" t="s">
        <v>556</v>
      </c>
      <c r="D329" s="115">
        <v>1</v>
      </c>
      <c r="E329" s="87" t="s">
        <v>402</v>
      </c>
      <c r="F329" s="247">
        <f>IF(NL290&lt;&gt;0,F315/F290,0)</f>
        <v>0</v>
      </c>
      <c r="G329" s="247">
        <f>IF(NM290&lt;&gt;0,G315/G290,0)</f>
        <v>0</v>
      </c>
      <c r="H329" s="248">
        <f>IF(NN290&lt;&gt;0,H315/H290,0)</f>
        <v>0</v>
      </c>
      <c r="I329" s="249">
        <f>IF(MW290&lt;&gt;0,I315/I290,0)</f>
        <v>0</v>
      </c>
      <c r="J329" s="247">
        <f>IF(MX290&lt;&gt;0,J315/J290,0)</f>
        <v>0</v>
      </c>
      <c r="K329" s="248">
        <f>IF(MY290&lt;&gt;0,K315/K290,0)</f>
        <v>0</v>
      </c>
      <c r="L329" s="247">
        <f>IF(MZ290&lt;&gt;0,L315/L290,0)</f>
        <v>0</v>
      </c>
      <c r="M329" s="247">
        <f>IF(NA290&lt;&gt;0,M315/O290,0)</f>
        <v>0</v>
      </c>
      <c r="N329" s="248">
        <f>IF(NB290&lt;&gt;0,N315/N290,0)</f>
        <v>0</v>
      </c>
      <c r="O329" s="247">
        <f>IF(NC290&lt;&gt;0,O315/#REF!,0)</f>
        <v>0</v>
      </c>
      <c r="P329" s="247">
        <f t="shared" ref="P329:W329" si="78">IF(ND290&lt;&gt;0,P315/P290,0)</f>
        <v>0</v>
      </c>
      <c r="Q329" s="248">
        <f t="shared" si="78"/>
        <v>0</v>
      </c>
      <c r="R329" s="247">
        <f t="shared" si="78"/>
        <v>0</v>
      </c>
      <c r="S329" s="247">
        <f t="shared" si="78"/>
        <v>0</v>
      </c>
      <c r="T329" s="248">
        <f t="shared" si="78"/>
        <v>0</v>
      </c>
      <c r="U329" s="247">
        <f t="shared" si="78"/>
        <v>0</v>
      </c>
      <c r="V329" s="247">
        <f t="shared" si="78"/>
        <v>0</v>
      </c>
      <c r="W329" s="248">
        <f t="shared" si="78"/>
        <v>0</v>
      </c>
      <c r="AA329" s="93"/>
      <c r="AB329" s="93"/>
      <c r="AC329" s="83"/>
      <c r="AD329" s="83"/>
      <c r="AE329" s="93"/>
      <c r="AF329" s="93"/>
      <c r="AG329" s="83"/>
      <c r="AH329" s="83"/>
      <c r="AI329" s="93"/>
      <c r="AJ329" s="93"/>
      <c r="AK329" s="83"/>
      <c r="AL329" s="83"/>
      <c r="AM329" s="93"/>
      <c r="AN329" s="93"/>
      <c r="AO329" s="83"/>
      <c r="AP329" s="83"/>
      <c r="AQ329" s="93"/>
      <c r="AR329" s="93"/>
      <c r="AS329" s="83"/>
      <c r="AT329" s="83"/>
      <c r="AU329" s="93"/>
      <c r="AV329" s="93"/>
      <c r="AW329" s="83"/>
      <c r="AX329" s="83"/>
      <c r="AY329" s="93"/>
      <c r="AZ329" s="93"/>
    </row>
    <row r="330" spans="2:52" outlineLevel="1" x14ac:dyDescent="0.45">
      <c r="B330" s="1389"/>
      <c r="C330" s="91" t="s">
        <v>557</v>
      </c>
      <c r="D330" s="115">
        <v>2</v>
      </c>
      <c r="E330" s="87" t="s">
        <v>405</v>
      </c>
      <c r="F330" s="247">
        <f>IF(F288&lt;&gt;0,F316/F288,0)</f>
        <v>0</v>
      </c>
      <c r="G330" s="247">
        <f>IF(G288&lt;&gt;0,G316/G288,0)</f>
        <v>0</v>
      </c>
      <c r="H330" s="248">
        <f>IF(H288&lt;&gt;0,H316/H288,0)</f>
        <v>0</v>
      </c>
      <c r="I330" s="249">
        <f t="shared" ref="I330:W330" si="79">IF(I288&lt;&gt;0,I316/I288,0)</f>
        <v>0</v>
      </c>
      <c r="J330" s="247">
        <f t="shared" si="79"/>
        <v>0</v>
      </c>
      <c r="K330" s="248">
        <f t="shared" si="79"/>
        <v>0</v>
      </c>
      <c r="L330" s="247">
        <f t="shared" si="79"/>
        <v>0</v>
      </c>
      <c r="M330" s="247">
        <f>IF(O288&lt;&gt;0,M316/O288,0)</f>
        <v>0</v>
      </c>
      <c r="N330" s="248">
        <f t="shared" si="79"/>
        <v>0</v>
      </c>
      <c r="O330" s="247" t="e">
        <f>IF(#REF!&lt;&gt;0,O316/#REF!,0)</f>
        <v>#REF!</v>
      </c>
      <c r="P330" s="247">
        <f t="shared" si="79"/>
        <v>0</v>
      </c>
      <c r="Q330" s="248">
        <f t="shared" si="79"/>
        <v>0</v>
      </c>
      <c r="R330" s="247">
        <f t="shared" si="79"/>
        <v>0</v>
      </c>
      <c r="S330" s="247">
        <f t="shared" si="79"/>
        <v>0</v>
      </c>
      <c r="T330" s="248">
        <f t="shared" si="79"/>
        <v>0</v>
      </c>
      <c r="U330" s="247">
        <f t="shared" si="79"/>
        <v>0</v>
      </c>
      <c r="V330" s="247">
        <f t="shared" si="79"/>
        <v>0</v>
      </c>
      <c r="W330" s="248">
        <f t="shared" si="79"/>
        <v>0</v>
      </c>
      <c r="AA330" s="93"/>
      <c r="AB330" s="93"/>
      <c r="AC330" s="83"/>
      <c r="AD330" s="83"/>
      <c r="AE330" s="93"/>
      <c r="AF330" s="93"/>
      <c r="AG330" s="83"/>
      <c r="AH330" s="83"/>
      <c r="AI330" s="93"/>
      <c r="AJ330" s="93"/>
      <c r="AK330" s="83"/>
      <c r="AL330" s="83"/>
      <c r="AM330" s="93"/>
      <c r="AN330" s="93"/>
      <c r="AO330" s="83"/>
      <c r="AP330" s="83"/>
      <c r="AQ330" s="93"/>
      <c r="AR330" s="93"/>
      <c r="AS330" s="83"/>
      <c r="AT330" s="83"/>
      <c r="AU330" s="93"/>
      <c r="AV330" s="93"/>
      <c r="AW330" s="83"/>
      <c r="AX330" s="83"/>
      <c r="AY330" s="93"/>
      <c r="AZ330" s="93"/>
    </row>
    <row r="331" spans="2:52" outlineLevel="1" x14ac:dyDescent="0.45">
      <c r="B331" s="1389"/>
      <c r="C331" s="91" t="s">
        <v>558</v>
      </c>
      <c r="D331" s="115">
        <v>3</v>
      </c>
      <c r="E331" s="87" t="s">
        <v>407</v>
      </c>
      <c r="F331" s="195">
        <f>IF(F$85&lt;&gt;0,F$86/F$85,0)</f>
        <v>3.7890504175688212E-2</v>
      </c>
      <c r="G331" s="195">
        <f>IF(G$85&lt;&gt;0,G$86/G$85,0)</f>
        <v>3.5734020998342234E-2</v>
      </c>
      <c r="H331" s="196">
        <f>IF(H$85&lt;&gt;0,H$86/H$85,0)</f>
        <v>3.8430744595676539E-2</v>
      </c>
      <c r="I331" s="250">
        <f>IF(I$85&lt;&gt;0,I$86/I$85,0)</f>
        <v>0.10743801652892562</v>
      </c>
      <c r="J331" s="195">
        <f t="shared" ref="J331:W331" si="80">IF(J$85&lt;&gt;0,J$86/J$85,0)</f>
        <v>0.12605042016806722</v>
      </c>
      <c r="K331" s="196">
        <f t="shared" si="80"/>
        <v>0.11504424778761062</v>
      </c>
      <c r="L331" s="195">
        <f>IF(L$85&lt;&gt;0,L$86/L$85,0)</f>
        <v>0</v>
      </c>
      <c r="M331" s="195">
        <f t="shared" si="80"/>
        <v>0</v>
      </c>
      <c r="N331" s="196">
        <f t="shared" si="80"/>
        <v>0</v>
      </c>
      <c r="O331" s="195">
        <f>IF(O$85&lt;&gt;0,O$86/O$85,0)</f>
        <v>7.3394495412844041E-3</v>
      </c>
      <c r="P331" s="195">
        <f t="shared" si="80"/>
        <v>8.0459770114942528E-3</v>
      </c>
      <c r="Q331" s="196">
        <f t="shared" si="80"/>
        <v>6.9444444444444441E-3</v>
      </c>
      <c r="R331" s="195">
        <f>IF(R$85&lt;&gt;0,R$86/R$85,0)</f>
        <v>2.0463320463320462E-2</v>
      </c>
      <c r="S331" s="195">
        <f t="shared" si="80"/>
        <v>2.36318407960199E-2</v>
      </c>
      <c r="T331" s="196">
        <f t="shared" si="80"/>
        <v>2.8169014084507043E-2</v>
      </c>
      <c r="U331" s="195">
        <f>IF(U$85&lt;&gt;0,U$86/U$85,0)</f>
        <v>6.4165103189493436E-2</v>
      </c>
      <c r="V331" s="195">
        <f t="shared" si="80"/>
        <v>5.6706114398422089E-2</v>
      </c>
      <c r="W331" s="196">
        <f t="shared" si="80"/>
        <v>6.1881188118811881E-2</v>
      </c>
      <c r="AA331" s="93"/>
      <c r="AB331" s="93"/>
      <c r="AC331" s="83"/>
      <c r="AD331" s="83"/>
      <c r="AE331" s="93"/>
      <c r="AF331" s="93"/>
      <c r="AG331" s="83"/>
      <c r="AH331" s="83"/>
      <c r="AI331" s="93"/>
      <c r="AJ331" s="93"/>
      <c r="AK331" s="83"/>
      <c r="AL331" s="83"/>
      <c r="AM331" s="93"/>
      <c r="AN331" s="93"/>
      <c r="AO331" s="83"/>
      <c r="AP331" s="83"/>
      <c r="AQ331" s="93"/>
      <c r="AR331" s="93"/>
      <c r="AS331" s="83"/>
      <c r="AT331" s="83"/>
      <c r="AU331" s="93"/>
      <c r="AV331" s="93"/>
      <c r="AW331" s="83"/>
      <c r="AX331" s="83"/>
      <c r="AY331" s="93"/>
      <c r="AZ331" s="93"/>
    </row>
    <row r="332" spans="2:52" outlineLevel="1" x14ac:dyDescent="0.45">
      <c r="B332" s="1389"/>
      <c r="C332" s="91" t="s">
        <v>559</v>
      </c>
      <c r="D332" s="115">
        <v>4</v>
      </c>
      <c r="E332" s="87" t="s">
        <v>409</v>
      </c>
      <c r="F332" s="195">
        <f>IF(F$139&lt;&gt;0,F$140/F$139,0)</f>
        <v>0.30743887636552802</v>
      </c>
      <c r="G332" s="195">
        <f>IF(G$139&lt;&gt;0,G$140/G$139,0)</f>
        <v>0.28598200899550225</v>
      </c>
      <c r="H332" s="196">
        <f>IF(H$139&lt;&gt;0,H$140/H$139,0)</f>
        <v>0.3328814872192099</v>
      </c>
      <c r="I332" s="250">
        <f>IF(I$139&lt;&gt;0,I$140/I$139,0)</f>
        <v>0.74698795180722888</v>
      </c>
      <c r="J332" s="195">
        <f t="shared" ref="J332:W332" si="81">IF(J$139&lt;&gt;0,J$140/J$139,0)</f>
        <v>0.4375</v>
      </c>
      <c r="K332" s="196">
        <f t="shared" si="81"/>
        <v>0.54736842105263162</v>
      </c>
      <c r="L332" s="195">
        <f>IF(L$139&lt;&gt;0,L$140/L$139,0)</f>
        <v>9.5238095238095233E-2</v>
      </c>
      <c r="M332" s="195">
        <f t="shared" si="81"/>
        <v>3.125E-2</v>
      </c>
      <c r="N332" s="196">
        <f t="shared" si="81"/>
        <v>0</v>
      </c>
      <c r="O332" s="195">
        <f>IF(O$139&lt;&gt;0,O$140/O$139,0)</f>
        <v>6.4215148188803514E-2</v>
      </c>
      <c r="P332" s="195">
        <f t="shared" si="81"/>
        <v>4.1759465478841871E-2</v>
      </c>
      <c r="Q332" s="196">
        <f t="shared" si="81"/>
        <v>4.6690307328605199E-2</v>
      </c>
      <c r="R332" s="195">
        <f>IF(R$139&lt;&gt;0,R$140/R$139,0)</f>
        <v>0.23907956318252729</v>
      </c>
      <c r="S332" s="195">
        <f t="shared" si="81"/>
        <v>0.27137096774193548</v>
      </c>
      <c r="T332" s="196">
        <f t="shared" si="81"/>
        <v>0.35398230088495575</v>
      </c>
      <c r="U332" s="195">
        <f>IF(U$139&lt;&gt;0,U$140/U$139,0)</f>
        <v>0.82199546485260766</v>
      </c>
      <c r="V332" s="195">
        <f t="shared" si="81"/>
        <v>0.83685446009389675</v>
      </c>
      <c r="W332" s="196">
        <f t="shared" si="81"/>
        <v>0.83985765124555156</v>
      </c>
      <c r="AA332" s="93"/>
      <c r="AB332" s="93"/>
      <c r="AC332" s="83"/>
      <c r="AD332" s="83"/>
      <c r="AE332" s="93"/>
      <c r="AF332" s="93"/>
      <c r="AG332" s="83"/>
      <c r="AH332" s="83"/>
      <c r="AI332" s="93"/>
      <c r="AJ332" s="93"/>
      <c r="AK332" s="83"/>
      <c r="AL332" s="83"/>
      <c r="AM332" s="93"/>
      <c r="AN332" s="93"/>
      <c r="AO332" s="83"/>
      <c r="AP332" s="83"/>
      <c r="AQ332" s="93"/>
      <c r="AR332" s="93"/>
      <c r="AS332" s="83"/>
      <c r="AT332" s="83"/>
      <c r="AU332" s="93"/>
      <c r="AV332" s="93"/>
      <c r="AW332" s="83"/>
      <c r="AX332" s="83"/>
      <c r="AY332" s="93"/>
      <c r="AZ332" s="93"/>
    </row>
    <row r="333" spans="2:52" outlineLevel="1" x14ac:dyDescent="0.45">
      <c r="B333" s="1389"/>
      <c r="C333" s="91" t="s">
        <v>560</v>
      </c>
      <c r="D333" s="115">
        <v>5</v>
      </c>
      <c r="E333" s="116" t="s">
        <v>411</v>
      </c>
      <c r="F333" s="251"/>
      <c r="G333" s="195">
        <f>IF(F$130&lt;&gt;0,G$130/F$130,0)</f>
        <v>0.73369537590465173</v>
      </c>
      <c r="H333" s="196">
        <f>IF(G$130&lt;&gt;0,H$130/G$130,0)</f>
        <v>58.305580012254282</v>
      </c>
      <c r="I333" s="252"/>
      <c r="J333" s="195">
        <f>IF(I$130&lt;&gt;0,J$130/I$130,0)</f>
        <v>0.73369537590465173</v>
      </c>
      <c r="K333" s="196">
        <f>IF(J$130&lt;&gt;0,K$130/J$130,0)</f>
        <v>0.61576389611397953</v>
      </c>
      <c r="L333" s="251"/>
      <c r="M333" s="195">
        <f>IF(L$130&lt;&gt;0,M$130/L$130,0)</f>
        <v>0</v>
      </c>
      <c r="N333" s="196">
        <f>IF(M$130&lt;&gt;0,N$130/M$130,0)</f>
        <v>0</v>
      </c>
      <c r="O333" s="251"/>
      <c r="P333" s="195">
        <f>IF(O$130&lt;&gt;0,P$130/O$130,0)</f>
        <v>0</v>
      </c>
      <c r="Q333" s="196">
        <f>IF(P$130&lt;&gt;0,Q$130/P$130,0)</f>
        <v>0</v>
      </c>
      <c r="R333" s="251"/>
      <c r="S333" s="195">
        <f>IF(R$130&lt;&gt;0,S$130/R$130,0)</f>
        <v>0</v>
      </c>
      <c r="T333" s="196">
        <f>IF(S$130&lt;&gt;0,T$130/S$130,0)</f>
        <v>0</v>
      </c>
      <c r="U333" s="251"/>
      <c r="V333" s="195">
        <f>IF(U$130&lt;&gt;0,V$130/U$130,0)</f>
        <v>0</v>
      </c>
      <c r="W333" s="196">
        <f>IF(V$130&lt;&gt;0,W$130/V$130,0)</f>
        <v>0</v>
      </c>
      <c r="AA333" s="93"/>
      <c r="AB333" s="93"/>
      <c r="AC333" s="83"/>
      <c r="AD333" s="83"/>
      <c r="AE333" s="93"/>
      <c r="AF333" s="93"/>
      <c r="AG333" s="83"/>
      <c r="AH333" s="83"/>
      <c r="AI333" s="93"/>
      <c r="AJ333" s="93"/>
      <c r="AK333" s="83"/>
      <c r="AL333" s="83"/>
      <c r="AM333" s="93"/>
      <c r="AN333" s="93"/>
      <c r="AO333" s="83"/>
      <c r="AP333" s="83"/>
      <c r="AQ333" s="93"/>
      <c r="AR333" s="93"/>
      <c r="AS333" s="83" t="s">
        <v>412</v>
      </c>
      <c r="AT333" s="83"/>
      <c r="AU333" s="93"/>
      <c r="AV333" s="93"/>
      <c r="AW333" s="83"/>
      <c r="AX333" s="83"/>
      <c r="AY333" s="93"/>
      <c r="AZ333" s="93"/>
    </row>
    <row r="334" spans="2:52" outlineLevel="1" x14ac:dyDescent="0.45">
      <c r="B334" s="1389"/>
      <c r="C334" s="91" t="s">
        <v>561</v>
      </c>
      <c r="D334" s="115">
        <v>6</v>
      </c>
      <c r="E334" s="116" t="s">
        <v>415</v>
      </c>
      <c r="F334" s="247">
        <f>IF(COUNTA(I334,L334,O334,R334,U334)&gt;0,SUM(I334,L334,O334,R334,U334)/COUNTA(I334,L334,O334,R334,U334),0)</f>
        <v>0</v>
      </c>
      <c r="G334" s="247">
        <f>IF(COUNTA(J334,M334,P334,S334,V334)&gt;0,SUM(J334,M334,P334,S334,V334)/COUNTA(J334,M334,P334,S334,V334),0)</f>
        <v>0</v>
      </c>
      <c r="H334" s="248">
        <f>IF(COUNTA(K334,N334,Q334,T334,W334)&gt;0,SUM(K334,N334,Q334,T334,W334)/COUNTA(K334,N334,Q334,T334,W334),0)</f>
        <v>0</v>
      </c>
      <c r="I334" s="276"/>
      <c r="J334" s="276"/>
      <c r="K334" s="276"/>
      <c r="L334" s="276"/>
      <c r="M334" s="276"/>
      <c r="N334" s="276"/>
      <c r="O334" s="276"/>
      <c r="P334" s="276"/>
      <c r="Q334" s="276"/>
      <c r="R334" s="276"/>
      <c r="S334" s="276"/>
      <c r="T334" s="276"/>
      <c r="U334" s="276"/>
      <c r="V334" s="276"/>
      <c r="W334" s="276"/>
      <c r="AA334" s="93"/>
      <c r="AB334" s="93"/>
      <c r="AC334" s="83"/>
      <c r="AD334" s="83"/>
      <c r="AE334" s="93"/>
      <c r="AF334" s="93"/>
      <c r="AG334" s="83"/>
      <c r="AH334" s="83"/>
      <c r="AI334" s="93"/>
      <c r="AJ334" s="93"/>
      <c r="AK334" s="83"/>
      <c r="AL334" s="83"/>
      <c r="AM334" s="93"/>
      <c r="AN334" s="93"/>
      <c r="AO334" s="83"/>
      <c r="AP334" s="83"/>
      <c r="AQ334" s="93"/>
      <c r="AR334" s="93"/>
      <c r="AS334" s="83"/>
      <c r="AT334" s="83"/>
      <c r="AU334" s="93"/>
      <c r="AV334" s="93"/>
      <c r="AW334" s="83"/>
      <c r="AX334" s="83"/>
      <c r="AY334" s="93"/>
      <c r="AZ334" s="93"/>
    </row>
    <row r="335" spans="2:52" outlineLevel="1" x14ac:dyDescent="0.45">
      <c r="B335" s="1389"/>
      <c r="C335" s="91" t="s">
        <v>562</v>
      </c>
      <c r="D335" s="115">
        <v>7</v>
      </c>
      <c r="E335" s="116" t="s">
        <v>417</v>
      </c>
      <c r="F335" s="247">
        <f>IF(F292&lt;&gt;0,F311/F292,0)</f>
        <v>1.2760371080555728</v>
      </c>
      <c r="G335" s="247">
        <f>IF(G292&lt;&gt;0,G311/G292,0)</f>
        <v>1.2620706803713002</v>
      </c>
      <c r="H335" s="248">
        <f>IF(H292&lt;&gt;0,H311/H292,0)</f>
        <v>1.238203151573342</v>
      </c>
      <c r="I335" s="249">
        <f t="shared" ref="I335:W335" si="82">IF(I292&lt;&gt;0,I311/I292,0)</f>
        <v>0</v>
      </c>
      <c r="J335" s="247">
        <f t="shared" si="82"/>
        <v>0</v>
      </c>
      <c r="K335" s="248">
        <f t="shared" si="82"/>
        <v>0</v>
      </c>
      <c r="L335" s="247">
        <f t="shared" si="82"/>
        <v>5.1333753763891279</v>
      </c>
      <c r="M335" s="247">
        <f t="shared" si="82"/>
        <v>4.2914930840617576</v>
      </c>
      <c r="N335" s="248">
        <f t="shared" si="82"/>
        <v>10.749241402618386</v>
      </c>
      <c r="O335" s="247">
        <f t="shared" si="82"/>
        <v>14.534447797327086</v>
      </c>
      <c r="P335" s="247">
        <f t="shared" si="82"/>
        <v>15.083387154134114</v>
      </c>
      <c r="Q335" s="248">
        <f t="shared" si="82"/>
        <v>7.4539101277341677</v>
      </c>
      <c r="R335" s="247">
        <f t="shared" si="82"/>
        <v>0</v>
      </c>
      <c r="S335" s="247">
        <f t="shared" si="82"/>
        <v>0</v>
      </c>
      <c r="T335" s="248">
        <f t="shared" si="82"/>
        <v>0</v>
      </c>
      <c r="U335" s="247">
        <f t="shared" si="82"/>
        <v>1.1661206629106009</v>
      </c>
      <c r="V335" s="247">
        <f t="shared" si="82"/>
        <v>1.1404065157199763</v>
      </c>
      <c r="W335" s="248">
        <f t="shared" si="82"/>
        <v>1.167209126562597</v>
      </c>
      <c r="AA335" s="93"/>
      <c r="AB335" s="93"/>
      <c r="AC335" s="83"/>
      <c r="AD335" s="83"/>
      <c r="AE335" s="93"/>
      <c r="AF335" s="93"/>
      <c r="AG335" s="83"/>
      <c r="AH335" s="83"/>
      <c r="AI335" s="93"/>
      <c r="AJ335" s="93"/>
      <c r="AK335" s="83"/>
      <c r="AL335" s="83"/>
      <c r="AM335" s="93"/>
      <c r="AN335" s="93"/>
      <c r="AO335" s="83"/>
      <c r="AP335" s="83"/>
      <c r="AQ335" s="93"/>
      <c r="AR335" s="93"/>
      <c r="AS335" s="83"/>
      <c r="AT335" s="83"/>
      <c r="AU335" s="93"/>
      <c r="AV335" s="93"/>
      <c r="AW335" s="83"/>
      <c r="AX335" s="83"/>
      <c r="AY335" s="93"/>
      <c r="AZ335" s="93"/>
    </row>
    <row r="336" spans="2:52" outlineLevel="1" x14ac:dyDescent="0.45">
      <c r="B336" s="1389"/>
      <c r="C336" s="91" t="s">
        <v>563</v>
      </c>
      <c r="D336" s="115">
        <v>8</v>
      </c>
      <c r="E336" s="13" t="s">
        <v>419</v>
      </c>
      <c r="F336" s="247"/>
      <c r="G336" s="247"/>
      <c r="H336" s="248"/>
      <c r="I336" s="249"/>
      <c r="J336" s="247"/>
      <c r="K336" s="248"/>
      <c r="L336" s="247"/>
      <c r="M336" s="247"/>
      <c r="N336" s="248"/>
      <c r="O336" s="247"/>
      <c r="P336" s="247"/>
      <c r="Q336" s="248"/>
      <c r="R336" s="247"/>
      <c r="S336" s="247"/>
      <c r="T336" s="248"/>
      <c r="U336" s="247"/>
      <c r="V336" s="247"/>
      <c r="W336" s="248"/>
      <c r="AA336" s="93"/>
      <c r="AB336" s="93"/>
      <c r="AC336" s="83"/>
      <c r="AD336" s="83"/>
      <c r="AE336" s="93"/>
      <c r="AF336" s="93"/>
      <c r="AG336" s="83"/>
      <c r="AH336" s="83"/>
      <c r="AI336" s="93"/>
      <c r="AJ336" s="93"/>
      <c r="AK336" s="83"/>
      <c r="AL336" s="83"/>
      <c r="AM336" s="93"/>
      <c r="AN336" s="93"/>
      <c r="AO336" s="83"/>
      <c r="AP336" s="83"/>
      <c r="AQ336" s="93"/>
      <c r="AR336" s="93"/>
      <c r="AS336" s="83"/>
      <c r="AT336" s="83"/>
      <c r="AU336" s="93"/>
      <c r="AV336" s="93"/>
      <c r="AW336" s="83"/>
      <c r="AX336" s="83"/>
      <c r="AY336" s="93"/>
      <c r="AZ336" s="93"/>
    </row>
    <row r="337" spans="2:52" outlineLevel="1" x14ac:dyDescent="0.45">
      <c r="B337" s="1389"/>
      <c r="C337" s="91" t="s">
        <v>564</v>
      </c>
      <c r="D337" s="115">
        <v>9</v>
      </c>
      <c r="E337" s="13" t="s">
        <v>421</v>
      </c>
      <c r="F337" s="254">
        <f>IF(F$33&lt;&gt;0,F299/F$33,0)</f>
        <v>2521113.2263404257</v>
      </c>
      <c r="G337" s="255">
        <f>IF(G$33&lt;&gt;0,G299/G$33,0)</f>
        <v>4377555.7961538462</v>
      </c>
      <c r="H337" s="256">
        <f>IF(H$33&lt;&gt;0,H299/H$33,0)</f>
        <v>106662.45223449612</v>
      </c>
      <c r="I337" s="254">
        <f t="shared" ref="I337:W337" si="83">IF(I$33&lt;&gt;0,I299/I$33,0)</f>
        <v>0</v>
      </c>
      <c r="J337" s="255">
        <f t="shared" si="83"/>
        <v>0</v>
      </c>
      <c r="K337" s="256">
        <f t="shared" si="83"/>
        <v>0</v>
      </c>
      <c r="L337" s="254">
        <f t="shared" si="83"/>
        <v>0</v>
      </c>
      <c r="M337" s="255">
        <f>IF(M$33&lt;&gt;0,O299/M$33,0)</f>
        <v>0</v>
      </c>
      <c r="N337" s="256">
        <f t="shared" si="83"/>
        <v>0</v>
      </c>
      <c r="O337" s="254">
        <f>IF(O$33&lt;&gt;0,#REF!/O$33,0)</f>
        <v>0</v>
      </c>
      <c r="P337" s="255">
        <f t="shared" si="83"/>
        <v>0</v>
      </c>
      <c r="Q337" s="256">
        <f t="shared" si="83"/>
        <v>97653.423571428575</v>
      </c>
      <c r="R337" s="254">
        <f t="shared" si="83"/>
        <v>0</v>
      </c>
      <c r="S337" s="255">
        <f t="shared" si="83"/>
        <v>0</v>
      </c>
      <c r="T337" s="256">
        <f t="shared" si="83"/>
        <v>0</v>
      </c>
      <c r="U337" s="254">
        <f t="shared" si="83"/>
        <v>0</v>
      </c>
      <c r="V337" s="255">
        <f t="shared" si="83"/>
        <v>0</v>
      </c>
      <c r="W337" s="256">
        <f t="shared" si="83"/>
        <v>503206.99869281048</v>
      </c>
      <c r="AA337" s="93"/>
      <c r="AB337" s="93"/>
      <c r="AC337" s="83"/>
      <c r="AD337" s="83"/>
      <c r="AE337" s="93"/>
      <c r="AF337" s="93"/>
      <c r="AG337" s="83"/>
      <c r="AH337" s="83"/>
      <c r="AI337" s="93"/>
      <c r="AJ337" s="93"/>
      <c r="AK337" s="83"/>
      <c r="AL337" s="83"/>
      <c r="AM337" s="93"/>
      <c r="AN337" s="93"/>
      <c r="AO337" s="83"/>
      <c r="AP337" s="83"/>
      <c r="AQ337" s="93"/>
      <c r="AR337" s="93"/>
      <c r="AS337" s="83"/>
      <c r="AT337" s="83"/>
      <c r="AU337" s="93"/>
      <c r="AV337" s="93"/>
      <c r="AW337" s="83"/>
      <c r="AX337" s="83"/>
      <c r="AY337" s="93"/>
      <c r="AZ337" s="93"/>
    </row>
    <row r="338" spans="2:52" outlineLevel="1" x14ac:dyDescent="0.45">
      <c r="B338" s="1389"/>
      <c r="C338" s="91" t="s">
        <v>565</v>
      </c>
      <c r="D338" s="115">
        <v>10</v>
      </c>
      <c r="E338" s="13" t="s">
        <v>496</v>
      </c>
      <c r="F338" s="258">
        <v>5.6283986361087817E-3</v>
      </c>
      <c r="G338" s="258">
        <v>5.8277379008081645E-3</v>
      </c>
      <c r="H338" s="259">
        <f>IF(H324&lt;&gt;0,-H313/H324,0)</f>
        <v>0</v>
      </c>
      <c r="I338" s="258">
        <v>3.4563440450780035E-3</v>
      </c>
      <c r="J338" s="258">
        <v>3.9721327001343244E-3</v>
      </c>
      <c r="K338" s="258"/>
      <c r="L338" s="258">
        <v>5.0872661621275913E-4</v>
      </c>
      <c r="M338" s="258">
        <v>-3.7967291920177517E-6</v>
      </c>
      <c r="N338" s="258">
        <v>0</v>
      </c>
      <c r="O338" s="258">
        <v>1.0349453760455107E-2</v>
      </c>
      <c r="P338" s="258">
        <v>9.8155461387650095E-3</v>
      </c>
      <c r="Q338" s="258">
        <v>0</v>
      </c>
      <c r="R338" s="258">
        <v>9.6244102864323916E-3</v>
      </c>
      <c r="S338" s="258">
        <v>1.0521306118901294E-2</v>
      </c>
      <c r="T338" s="258">
        <v>0</v>
      </c>
      <c r="U338" s="258">
        <v>-4.7403497637090357E-3</v>
      </c>
      <c r="V338" s="258">
        <v>-6.2941309428322179E-3</v>
      </c>
      <c r="W338" s="258">
        <v>0</v>
      </c>
      <c r="AA338" s="93"/>
      <c r="AB338" s="93"/>
      <c r="AC338" s="83" t="s">
        <v>424</v>
      </c>
      <c r="AD338" s="83"/>
      <c r="AE338" s="93"/>
      <c r="AF338" s="93"/>
      <c r="AG338" s="83" t="s">
        <v>424</v>
      </c>
      <c r="AH338" s="83"/>
      <c r="AI338" s="93"/>
      <c r="AJ338" s="93"/>
      <c r="AK338" s="83" t="s">
        <v>424</v>
      </c>
      <c r="AL338" s="83"/>
      <c r="AM338" s="93"/>
      <c r="AN338" s="93"/>
      <c r="AO338" s="83" t="s">
        <v>424</v>
      </c>
      <c r="AP338" s="83"/>
      <c r="AQ338" s="93"/>
      <c r="AR338" s="93"/>
      <c r="AS338" s="83" t="s">
        <v>424</v>
      </c>
      <c r="AT338" s="83"/>
      <c r="AU338" s="93"/>
      <c r="AV338" s="93"/>
      <c r="AW338" s="83" t="s">
        <v>424</v>
      </c>
      <c r="AX338" s="83"/>
      <c r="AY338" s="93"/>
      <c r="AZ338" s="93"/>
    </row>
    <row r="339" spans="2:52" outlineLevel="1" x14ac:dyDescent="0.45">
      <c r="B339" s="1389"/>
      <c r="C339" s="91" t="s">
        <v>566</v>
      </c>
      <c r="D339" s="115">
        <v>11</v>
      </c>
      <c r="E339" s="13" t="s">
        <v>426</v>
      </c>
      <c r="F339" s="260">
        <f>IF(F324&lt;&gt;0,-F313/F324,0)</f>
        <v>0</v>
      </c>
      <c r="G339" s="261">
        <f>IF(G324&lt;&gt;0,-G313/G324,0)</f>
        <v>0</v>
      </c>
      <c r="H339" s="262">
        <f>IF(H324&lt;&gt;0,-H313/H324,0)</f>
        <v>0</v>
      </c>
      <c r="I339" s="263">
        <f t="shared" ref="I339:W339" si="84">IF(I324&lt;&gt;0,-I313/I324,0)</f>
        <v>0</v>
      </c>
      <c r="J339" s="263">
        <f t="shared" si="84"/>
        <v>0</v>
      </c>
      <c r="K339" s="264">
        <f t="shared" si="84"/>
        <v>0</v>
      </c>
      <c r="L339" s="263">
        <f t="shared" si="84"/>
        <v>0</v>
      </c>
      <c r="M339" s="263">
        <f t="shared" si="84"/>
        <v>0</v>
      </c>
      <c r="N339" s="264">
        <f t="shared" si="84"/>
        <v>0</v>
      </c>
      <c r="O339" s="263">
        <f t="shared" si="84"/>
        <v>0</v>
      </c>
      <c r="P339" s="263">
        <f t="shared" si="84"/>
        <v>0</v>
      </c>
      <c r="Q339" s="264">
        <f t="shared" si="84"/>
        <v>0</v>
      </c>
      <c r="R339" s="263">
        <f t="shared" si="84"/>
        <v>0</v>
      </c>
      <c r="S339" s="263">
        <f t="shared" si="84"/>
        <v>0</v>
      </c>
      <c r="T339" s="264">
        <f t="shared" si="84"/>
        <v>0</v>
      </c>
      <c r="U339" s="263">
        <f t="shared" si="84"/>
        <v>0</v>
      </c>
      <c r="V339" s="263">
        <f t="shared" si="84"/>
        <v>0</v>
      </c>
      <c r="W339" s="264">
        <f t="shared" si="84"/>
        <v>0</v>
      </c>
      <c r="AA339" s="93"/>
      <c r="AB339" s="93"/>
      <c r="AC339" s="83"/>
      <c r="AD339" s="83"/>
      <c r="AE339" s="93"/>
      <c r="AF339" s="93"/>
      <c r="AG339" s="83"/>
      <c r="AH339" s="83"/>
      <c r="AI339" s="93"/>
      <c r="AJ339" s="93"/>
      <c r="AK339" s="83"/>
      <c r="AL339" s="83"/>
      <c r="AM339" s="93"/>
      <c r="AN339" s="93"/>
      <c r="AO339" s="83"/>
      <c r="AP339" s="83"/>
      <c r="AQ339" s="93"/>
      <c r="AR339" s="93"/>
      <c r="AS339" s="83"/>
      <c r="AT339" s="83"/>
      <c r="AU339" s="93"/>
      <c r="AV339" s="93"/>
      <c r="AW339" s="83"/>
      <c r="AX339" s="83"/>
      <c r="AY339" s="93"/>
      <c r="AZ339" s="93"/>
    </row>
    <row r="340" spans="2:52" outlineLevel="1" x14ac:dyDescent="0.45">
      <c r="B340" s="1389"/>
      <c r="C340" s="91" t="s">
        <v>567</v>
      </c>
      <c r="D340" s="115"/>
      <c r="E340" s="91"/>
      <c r="F340" s="89"/>
      <c r="G340" s="89"/>
      <c r="H340" s="23"/>
      <c r="I340" s="91"/>
      <c r="J340" s="92"/>
      <c r="K340" s="31"/>
      <c r="L340" s="92"/>
      <c r="M340" s="92"/>
      <c r="N340" s="31"/>
      <c r="O340" s="92"/>
      <c r="P340" s="92"/>
      <c r="Q340" s="31"/>
      <c r="R340" s="92"/>
      <c r="S340" s="92"/>
      <c r="T340" s="31"/>
      <c r="U340" s="92"/>
      <c r="V340" s="92"/>
      <c r="W340" s="31"/>
      <c r="AA340" s="93"/>
      <c r="AB340" s="93"/>
      <c r="AC340" s="83"/>
      <c r="AD340" s="83"/>
      <c r="AE340" s="93"/>
      <c r="AF340" s="93"/>
      <c r="AG340" s="83"/>
      <c r="AH340" s="83"/>
      <c r="AI340" s="93"/>
      <c r="AJ340" s="93"/>
      <c r="AK340" s="83"/>
      <c r="AL340" s="83"/>
      <c r="AM340" s="93"/>
      <c r="AN340" s="93"/>
      <c r="AO340" s="83"/>
      <c r="AP340" s="83"/>
      <c r="AQ340" s="93"/>
      <c r="AR340" s="93"/>
      <c r="AS340" s="83"/>
      <c r="AT340" s="83"/>
      <c r="AU340" s="93"/>
      <c r="AV340" s="93"/>
      <c r="AW340" s="83"/>
      <c r="AX340" s="83"/>
      <c r="AY340" s="93"/>
      <c r="AZ340" s="93"/>
    </row>
    <row r="341" spans="2:52" outlineLevel="1" x14ac:dyDescent="0.45">
      <c r="B341" s="1390"/>
      <c r="C341" s="91" t="s">
        <v>568</v>
      </c>
      <c r="D341" s="115"/>
      <c r="E341" s="91"/>
      <c r="F341" s="89"/>
      <c r="G341" s="89"/>
      <c r="H341" s="23"/>
      <c r="I341" s="91"/>
      <c r="J341" s="92"/>
      <c r="K341" s="31"/>
      <c r="L341" s="92"/>
      <c r="M341" s="92"/>
      <c r="N341" s="31"/>
      <c r="O341" s="92"/>
      <c r="P341" s="92"/>
      <c r="Q341" s="31"/>
      <c r="R341" s="92"/>
      <c r="S341" s="92"/>
      <c r="T341" s="31"/>
      <c r="U341" s="92"/>
      <c r="V341" s="92"/>
      <c r="W341" s="31"/>
      <c r="AA341" s="93"/>
      <c r="AB341" s="93"/>
      <c r="AC341" s="83"/>
      <c r="AD341" s="83"/>
      <c r="AE341" s="93"/>
      <c r="AF341" s="93"/>
      <c r="AG341" s="83"/>
      <c r="AH341" s="83"/>
      <c r="AI341" s="93"/>
      <c r="AJ341" s="93"/>
      <c r="AK341" s="83"/>
      <c r="AL341" s="83"/>
      <c r="AM341" s="93"/>
      <c r="AN341" s="93"/>
      <c r="AO341" s="83"/>
      <c r="AP341" s="83"/>
      <c r="AQ341" s="93"/>
      <c r="AR341" s="93"/>
      <c r="AS341" s="83"/>
      <c r="AT341" s="83"/>
      <c r="AU341" s="93"/>
      <c r="AV341" s="93"/>
      <c r="AW341" s="83"/>
      <c r="AX341" s="83"/>
      <c r="AY341" s="93"/>
      <c r="AZ341" s="93"/>
    </row>
    <row r="342" spans="2:52" outlineLevel="1" x14ac:dyDescent="0.45">
      <c r="B342" s="268"/>
      <c r="C342" s="13"/>
      <c r="D342" s="87"/>
      <c r="E342" s="14"/>
      <c r="F342" s="89"/>
      <c r="G342" s="89"/>
      <c r="H342" s="23"/>
      <c r="I342" s="14"/>
      <c r="J342" s="14"/>
      <c r="K342" s="277"/>
      <c r="L342" s="116"/>
      <c r="M342" s="92"/>
      <c r="N342" s="31"/>
      <c r="O342" s="92"/>
      <c r="P342" s="92"/>
      <c r="Q342" s="31"/>
      <c r="R342" s="92"/>
      <c r="S342" s="92"/>
      <c r="T342" s="31"/>
      <c r="U342" s="92"/>
      <c r="V342" s="92"/>
      <c r="W342" s="31"/>
      <c r="AA342" s="93"/>
      <c r="AB342" s="93"/>
      <c r="AC342" s="83"/>
      <c r="AD342" s="83"/>
      <c r="AE342" s="93"/>
      <c r="AF342" s="93"/>
      <c r="AG342" s="83"/>
      <c r="AH342" s="83"/>
      <c r="AI342" s="93"/>
      <c r="AJ342" s="93"/>
      <c r="AK342" s="83"/>
      <c r="AL342" s="83"/>
      <c r="AM342" s="93"/>
      <c r="AN342" s="93"/>
      <c r="AO342" s="83"/>
      <c r="AP342" s="83"/>
      <c r="AQ342" s="93"/>
      <c r="AR342" s="93"/>
      <c r="AS342" s="83"/>
      <c r="AT342" s="83"/>
      <c r="AU342" s="93"/>
      <c r="AV342" s="93"/>
      <c r="AW342" s="83"/>
      <c r="AX342" s="83"/>
      <c r="AY342" s="93"/>
      <c r="AZ342" s="93"/>
    </row>
    <row r="343" spans="2:52" ht="57" outlineLevel="1" x14ac:dyDescent="0.45">
      <c r="B343" s="1391" t="s">
        <v>569</v>
      </c>
      <c r="C343" s="11" t="s">
        <v>570</v>
      </c>
      <c r="D343" s="278" t="s">
        <v>571</v>
      </c>
      <c r="E343" s="11" t="s">
        <v>572</v>
      </c>
      <c r="F343" s="89"/>
      <c r="G343" s="89"/>
      <c r="H343" s="23"/>
      <c r="I343" s="91"/>
      <c r="J343" s="92"/>
      <c r="K343" s="31"/>
      <c r="L343" s="92"/>
      <c r="M343" s="92"/>
      <c r="N343" s="31"/>
      <c r="O343" s="92"/>
      <c r="P343" s="92"/>
      <c r="Q343" s="31"/>
      <c r="R343" s="92"/>
      <c r="S343" s="92"/>
      <c r="T343" s="31"/>
      <c r="U343" s="92"/>
      <c r="V343" s="92"/>
      <c r="W343" s="31"/>
      <c r="AA343" s="93"/>
      <c r="AB343" s="93"/>
      <c r="AC343" s="83"/>
      <c r="AD343" s="83"/>
      <c r="AE343" s="93"/>
      <c r="AF343" s="93"/>
      <c r="AG343" s="83"/>
      <c r="AH343" s="83"/>
      <c r="AI343" s="93"/>
      <c r="AJ343" s="93"/>
      <c r="AK343" s="83"/>
      <c r="AL343" s="83"/>
      <c r="AM343" s="93"/>
      <c r="AN343" s="93"/>
      <c r="AO343" s="83"/>
      <c r="AP343" s="83"/>
      <c r="AQ343" s="93"/>
      <c r="AR343" s="93"/>
      <c r="AS343" s="83"/>
      <c r="AT343" s="83"/>
      <c r="AU343" s="93"/>
      <c r="AV343" s="93"/>
      <c r="AW343" s="83"/>
      <c r="AX343" s="83"/>
      <c r="AY343" s="93"/>
      <c r="AZ343" s="93"/>
    </row>
    <row r="344" spans="2:52" outlineLevel="1" x14ac:dyDescent="0.45">
      <c r="B344" s="1392"/>
      <c r="C344" s="91" t="s">
        <v>573</v>
      </c>
      <c r="D344" s="278"/>
      <c r="E344" s="11" t="s">
        <v>574</v>
      </c>
      <c r="F344" s="89"/>
      <c r="G344" s="89"/>
      <c r="H344" s="23"/>
      <c r="I344" s="91"/>
      <c r="J344" s="92"/>
      <c r="K344" s="31"/>
      <c r="L344" s="92"/>
      <c r="M344" s="92"/>
      <c r="N344" s="31"/>
      <c r="O344" s="92"/>
      <c r="P344" s="92"/>
      <c r="Q344" s="31"/>
      <c r="R344" s="92"/>
      <c r="S344" s="92"/>
      <c r="T344" s="31"/>
      <c r="U344" s="92"/>
      <c r="V344" s="92"/>
      <c r="W344" s="31"/>
      <c r="AA344" s="93"/>
      <c r="AB344" s="93"/>
      <c r="AC344" s="83"/>
      <c r="AD344" s="83"/>
      <c r="AE344" s="93"/>
      <c r="AF344" s="93"/>
      <c r="AG344" s="83"/>
      <c r="AH344" s="83"/>
      <c r="AI344" s="93"/>
      <c r="AJ344" s="93"/>
      <c r="AK344" s="83"/>
      <c r="AL344" s="83"/>
      <c r="AM344" s="93"/>
      <c r="AN344" s="93"/>
      <c r="AO344" s="83"/>
      <c r="AP344" s="83"/>
      <c r="AQ344" s="93"/>
      <c r="AR344" s="93"/>
      <c r="AS344" s="83"/>
      <c r="AT344" s="83"/>
      <c r="AU344" s="93"/>
      <c r="AV344" s="93"/>
      <c r="AW344" s="83"/>
      <c r="AX344" s="83"/>
      <c r="AY344" s="93"/>
      <c r="AZ344" s="93"/>
    </row>
    <row r="345" spans="2:52" outlineLevel="1" x14ac:dyDescent="0.45">
      <c r="B345" s="1392"/>
      <c r="C345" s="91" t="s">
        <v>575</v>
      </c>
      <c r="D345" s="278"/>
      <c r="E345" s="11" t="s">
        <v>266</v>
      </c>
      <c r="F345" s="89"/>
      <c r="G345" s="89"/>
      <c r="H345" s="23"/>
      <c r="I345" s="91"/>
      <c r="J345" s="92"/>
      <c r="K345" s="31"/>
      <c r="L345" s="92"/>
      <c r="M345" s="92"/>
      <c r="N345" s="31"/>
      <c r="O345" s="92"/>
      <c r="P345" s="92"/>
      <c r="Q345" s="31"/>
      <c r="R345" s="92"/>
      <c r="S345" s="92"/>
      <c r="T345" s="31"/>
      <c r="U345" s="92"/>
      <c r="V345" s="92"/>
      <c r="W345" s="31"/>
      <c r="AA345" s="93"/>
      <c r="AB345" s="93"/>
      <c r="AC345" s="83"/>
      <c r="AD345" s="83"/>
      <c r="AE345" s="93"/>
      <c r="AF345" s="93"/>
      <c r="AG345" s="83"/>
      <c r="AH345" s="83"/>
      <c r="AI345" s="93"/>
      <c r="AJ345" s="93"/>
      <c r="AK345" s="83"/>
      <c r="AL345" s="83"/>
      <c r="AM345" s="93"/>
      <c r="AN345" s="93"/>
      <c r="AO345" s="83"/>
      <c r="AP345" s="83"/>
      <c r="AQ345" s="93"/>
      <c r="AR345" s="93"/>
      <c r="AS345" s="83"/>
      <c r="AT345" s="83"/>
      <c r="AU345" s="93"/>
      <c r="AV345" s="93"/>
      <c r="AW345" s="83"/>
      <c r="AX345" s="83"/>
      <c r="AY345" s="93"/>
      <c r="AZ345" s="93"/>
    </row>
    <row r="346" spans="2:52" outlineLevel="1" x14ac:dyDescent="0.45">
      <c r="B346" s="1392"/>
      <c r="C346" s="91" t="s">
        <v>576</v>
      </c>
      <c r="D346" s="278"/>
      <c r="E346" s="91" t="s">
        <v>395</v>
      </c>
      <c r="F346" s="130">
        <f t="shared" ref="F346:F363" si="85">U346+L346+O346+R346+J346</f>
        <v>10034000</v>
      </c>
      <c r="G346" s="130">
        <f t="shared" ref="G346:H350" si="86">J346+M346+P346+S346+V346</f>
        <v>6617000</v>
      </c>
      <c r="H346" s="131">
        <f t="shared" si="86"/>
        <v>3242000</v>
      </c>
      <c r="I346" s="14"/>
      <c r="J346" s="217"/>
      <c r="K346" s="217"/>
      <c r="L346" s="218">
        <v>860000</v>
      </c>
      <c r="M346" s="217">
        <v>549000</v>
      </c>
      <c r="N346" s="217"/>
      <c r="O346" s="218">
        <v>1610000</v>
      </c>
      <c r="P346" s="217">
        <v>1712000</v>
      </c>
      <c r="Q346" s="217"/>
      <c r="R346" s="218">
        <v>2900000</v>
      </c>
      <c r="S346" s="217">
        <v>4356000</v>
      </c>
      <c r="T346" s="217">
        <v>3242000</v>
      </c>
      <c r="U346" s="217">
        <v>4664000</v>
      </c>
      <c r="V346" s="217"/>
      <c r="W346" s="217"/>
      <c r="AA346" s="93"/>
      <c r="AB346" s="93"/>
      <c r="AC346" s="83"/>
      <c r="AD346" s="83"/>
      <c r="AE346" s="93"/>
      <c r="AF346" s="93"/>
      <c r="AG346" s="83"/>
      <c r="AH346" s="83"/>
      <c r="AI346" s="93"/>
      <c r="AJ346" s="93"/>
      <c r="AK346" s="83"/>
      <c r="AL346" s="83"/>
      <c r="AM346" s="93"/>
      <c r="AN346" s="93"/>
      <c r="AO346" s="83"/>
      <c r="AP346" s="83"/>
      <c r="AQ346" s="93"/>
      <c r="AR346" s="93"/>
      <c r="AS346" s="83"/>
      <c r="AT346" s="83"/>
      <c r="AU346" s="93"/>
      <c r="AV346" s="93"/>
      <c r="AW346" s="83"/>
      <c r="AX346" s="83"/>
      <c r="AY346" s="93"/>
      <c r="AZ346" s="93"/>
    </row>
    <row r="347" spans="2:52" outlineLevel="1" x14ac:dyDescent="0.45">
      <c r="B347" s="1392"/>
      <c r="C347" s="91" t="s">
        <v>577</v>
      </c>
      <c r="D347" s="278"/>
      <c r="E347" s="91" t="s">
        <v>578</v>
      </c>
      <c r="F347" s="130">
        <f t="shared" si="85"/>
        <v>66000</v>
      </c>
      <c r="G347" s="130">
        <f t="shared" si="86"/>
        <v>65000</v>
      </c>
      <c r="H347" s="131">
        <f t="shared" si="86"/>
        <v>56000</v>
      </c>
      <c r="I347" s="14"/>
      <c r="J347" s="217"/>
      <c r="K347" s="217"/>
      <c r="L347" s="218"/>
      <c r="M347" s="217"/>
      <c r="N347" s="217"/>
      <c r="O347" s="279"/>
      <c r="P347" s="217"/>
      <c r="Q347" s="217"/>
      <c r="R347" s="218"/>
      <c r="S347" s="217"/>
      <c r="T347" s="217"/>
      <c r="U347" s="217">
        <v>66000</v>
      </c>
      <c r="V347" s="217">
        <v>65000</v>
      </c>
      <c r="W347" s="217">
        <v>56000</v>
      </c>
      <c r="AA347" s="93"/>
      <c r="AB347" s="93"/>
      <c r="AC347" s="83"/>
      <c r="AD347" s="83"/>
      <c r="AE347" s="93"/>
      <c r="AF347" s="93"/>
      <c r="AG347" s="83"/>
      <c r="AH347" s="83"/>
      <c r="AI347" s="93"/>
      <c r="AJ347" s="93"/>
      <c r="AK347" s="83"/>
      <c r="AL347" s="83"/>
      <c r="AM347" s="93"/>
      <c r="AN347" s="93"/>
      <c r="AO347" s="83"/>
      <c r="AP347" s="83"/>
      <c r="AQ347" s="93"/>
      <c r="AR347" s="93"/>
      <c r="AS347" s="83"/>
      <c r="AT347" s="83"/>
      <c r="AU347" s="93"/>
      <c r="AV347" s="93"/>
      <c r="AW347" s="83"/>
      <c r="AX347" s="83"/>
      <c r="AY347" s="93"/>
      <c r="AZ347" s="93"/>
    </row>
    <row r="348" spans="2:52" outlineLevel="1" x14ac:dyDescent="0.45">
      <c r="B348" s="1392"/>
      <c r="C348" s="91" t="s">
        <v>579</v>
      </c>
      <c r="D348" s="278"/>
      <c r="E348" s="91" t="s">
        <v>580</v>
      </c>
      <c r="F348" s="130">
        <f t="shared" si="85"/>
        <v>7481000</v>
      </c>
      <c r="G348" s="130">
        <f t="shared" si="86"/>
        <v>2950000</v>
      </c>
      <c r="H348" s="131">
        <f t="shared" si="86"/>
        <v>642000</v>
      </c>
      <c r="I348" s="14"/>
      <c r="J348" s="217"/>
      <c r="K348" s="217"/>
      <c r="L348" s="218"/>
      <c r="M348" s="217"/>
      <c r="N348" s="217"/>
      <c r="O348" s="279">
        <v>2874000</v>
      </c>
      <c r="P348" s="217">
        <v>2775000</v>
      </c>
      <c r="Q348" s="217"/>
      <c r="R348" s="279"/>
      <c r="S348" s="217"/>
      <c r="T348" s="217"/>
      <c r="U348" s="217">
        <v>4607000</v>
      </c>
      <c r="V348" s="217">
        <v>175000</v>
      </c>
      <c r="W348" s="217">
        <v>642000</v>
      </c>
      <c r="AA348" s="93"/>
      <c r="AB348" s="93"/>
      <c r="AC348" s="83"/>
      <c r="AD348" s="83"/>
      <c r="AE348" s="93"/>
      <c r="AF348" s="93"/>
      <c r="AG348" s="83"/>
      <c r="AH348" s="83"/>
      <c r="AI348" s="93"/>
      <c r="AJ348" s="93"/>
      <c r="AK348" s="83"/>
      <c r="AL348" s="83"/>
      <c r="AM348" s="93"/>
      <c r="AN348" s="93"/>
      <c r="AO348" s="83"/>
      <c r="AP348" s="83"/>
      <c r="AQ348" s="93"/>
      <c r="AR348" s="93"/>
      <c r="AS348" s="83"/>
      <c r="AT348" s="83"/>
      <c r="AU348" s="93"/>
      <c r="AV348" s="93"/>
      <c r="AW348" s="83"/>
      <c r="AX348" s="83"/>
      <c r="AY348" s="93"/>
      <c r="AZ348" s="93"/>
    </row>
    <row r="349" spans="2:52" outlineLevel="1" x14ac:dyDescent="0.45">
      <c r="B349" s="1392"/>
      <c r="C349" s="91" t="s">
        <v>581</v>
      </c>
      <c r="D349" s="278"/>
      <c r="E349" s="91" t="s">
        <v>582</v>
      </c>
      <c r="F349" s="130">
        <f t="shared" si="85"/>
        <v>361395000</v>
      </c>
      <c r="G349" s="130">
        <f t="shared" si="86"/>
        <v>231656000</v>
      </c>
      <c r="H349" s="131">
        <f t="shared" si="86"/>
        <v>317781000</v>
      </c>
      <c r="I349" s="14"/>
      <c r="J349" s="217"/>
      <c r="K349" s="217"/>
      <c r="L349" s="218"/>
      <c r="M349" s="217"/>
      <c r="N349" s="217"/>
      <c r="O349" s="218">
        <v>23513000</v>
      </c>
      <c r="P349" s="217">
        <v>18442000</v>
      </c>
      <c r="Q349" s="217"/>
      <c r="R349" s="218">
        <v>295674000</v>
      </c>
      <c r="S349" s="217">
        <v>182930000</v>
      </c>
      <c r="T349" s="217">
        <v>305318000</v>
      </c>
      <c r="U349" s="217">
        <v>42208000</v>
      </c>
      <c r="V349" s="217">
        <v>30284000</v>
      </c>
      <c r="W349" s="217">
        <v>12463000</v>
      </c>
      <c r="AA349" s="93"/>
      <c r="AB349" s="93"/>
      <c r="AC349" s="83"/>
      <c r="AD349" s="83"/>
      <c r="AE349" s="93"/>
      <c r="AF349" s="93"/>
      <c r="AG349" s="83"/>
      <c r="AH349" s="83"/>
      <c r="AI349" s="93"/>
      <c r="AJ349" s="93"/>
      <c r="AK349" s="83"/>
      <c r="AL349" s="83"/>
      <c r="AM349" s="93"/>
      <c r="AN349" s="93"/>
      <c r="AO349" s="83"/>
      <c r="AP349" s="83"/>
      <c r="AQ349" s="93"/>
      <c r="AR349" s="93"/>
      <c r="AS349" s="83"/>
      <c r="AT349" s="83"/>
      <c r="AU349" s="93"/>
      <c r="AV349" s="93"/>
      <c r="AW349" s="83"/>
      <c r="AX349" s="83"/>
      <c r="AY349" s="93"/>
      <c r="AZ349" s="93"/>
    </row>
    <row r="350" spans="2:52" outlineLevel="1" x14ac:dyDescent="0.45">
      <c r="B350" s="1392"/>
      <c r="C350" s="91" t="s">
        <v>583</v>
      </c>
      <c r="D350" s="115"/>
      <c r="E350" s="11" t="s">
        <v>584</v>
      </c>
      <c r="F350" s="130">
        <f t="shared" si="85"/>
        <v>378976000</v>
      </c>
      <c r="G350" s="130">
        <f t="shared" si="86"/>
        <v>241288000</v>
      </c>
      <c r="H350" s="131">
        <f t="shared" si="86"/>
        <v>321721000</v>
      </c>
      <c r="I350" s="14"/>
      <c r="J350" s="130">
        <f>SUM(J347:J349)</f>
        <v>0</v>
      </c>
      <c r="K350" s="131">
        <f>SUM(K347:K349)</f>
        <v>0</v>
      </c>
      <c r="L350" s="130">
        <f>SUM(L346:L349)</f>
        <v>860000</v>
      </c>
      <c r="M350" s="130">
        <f t="shared" ref="M350:W350" si="87">SUM(M346:M349)</f>
        <v>549000</v>
      </c>
      <c r="N350" s="130">
        <f t="shared" si="87"/>
        <v>0</v>
      </c>
      <c r="O350" s="130">
        <f t="shared" si="87"/>
        <v>27997000</v>
      </c>
      <c r="P350" s="130">
        <f t="shared" si="87"/>
        <v>22929000</v>
      </c>
      <c r="Q350" s="130">
        <f t="shared" si="87"/>
        <v>0</v>
      </c>
      <c r="R350" s="130">
        <f t="shared" si="87"/>
        <v>298574000</v>
      </c>
      <c r="S350" s="130">
        <f t="shared" si="87"/>
        <v>187286000</v>
      </c>
      <c r="T350" s="130">
        <f t="shared" si="87"/>
        <v>308560000</v>
      </c>
      <c r="U350" s="130">
        <f t="shared" si="87"/>
        <v>51545000</v>
      </c>
      <c r="V350" s="130">
        <f t="shared" si="87"/>
        <v>30524000</v>
      </c>
      <c r="W350" s="130">
        <f t="shared" si="87"/>
        <v>13161000</v>
      </c>
      <c r="AA350" s="93"/>
      <c r="AB350" s="93"/>
      <c r="AC350" s="83"/>
      <c r="AD350" s="83"/>
      <c r="AE350" s="93"/>
      <c r="AF350" s="93"/>
      <c r="AG350" s="83"/>
      <c r="AH350" s="83"/>
      <c r="AI350" s="93"/>
      <c r="AJ350" s="93"/>
      <c r="AK350" s="83"/>
      <c r="AL350" s="83"/>
      <c r="AM350" s="93"/>
      <c r="AN350" s="93"/>
      <c r="AO350" s="83"/>
      <c r="AP350" s="83"/>
      <c r="AQ350" s="93"/>
      <c r="AR350" s="93"/>
      <c r="AS350" s="83"/>
      <c r="AT350" s="83"/>
      <c r="AU350" s="93"/>
      <c r="AV350" s="93"/>
      <c r="AW350" s="83"/>
      <c r="AX350" s="83"/>
      <c r="AY350" s="93"/>
      <c r="AZ350" s="93"/>
    </row>
    <row r="351" spans="2:52" outlineLevel="1" x14ac:dyDescent="0.45">
      <c r="B351" s="1392"/>
      <c r="C351" s="91" t="s">
        <v>585</v>
      </c>
      <c r="D351" s="115"/>
      <c r="E351" s="11" t="s">
        <v>332</v>
      </c>
      <c r="F351" s="130">
        <f t="shared" si="85"/>
        <v>0</v>
      </c>
      <c r="G351" s="130"/>
      <c r="H351" s="131"/>
      <c r="I351" s="14"/>
      <c r="J351" s="130"/>
      <c r="K351" s="131"/>
      <c r="L351" s="130"/>
      <c r="M351" s="130"/>
      <c r="N351" s="131"/>
      <c r="O351" s="130"/>
      <c r="P351" s="130"/>
      <c r="Q351" s="131"/>
      <c r="R351" s="130"/>
      <c r="S351" s="130"/>
      <c r="T351" s="131"/>
      <c r="U351" s="280"/>
      <c r="V351" s="130"/>
      <c r="W351" s="131"/>
      <c r="AA351" s="93"/>
      <c r="AB351" s="93"/>
      <c r="AC351" s="83"/>
      <c r="AD351" s="83"/>
      <c r="AE351" s="93"/>
      <c r="AF351" s="93"/>
      <c r="AG351" s="83"/>
      <c r="AH351" s="83"/>
      <c r="AI351" s="93"/>
      <c r="AJ351" s="93"/>
      <c r="AK351" s="83"/>
      <c r="AL351" s="83"/>
      <c r="AM351" s="93"/>
      <c r="AN351" s="93"/>
      <c r="AO351" s="83"/>
      <c r="AP351" s="83"/>
      <c r="AQ351" s="93"/>
      <c r="AR351" s="93"/>
      <c r="AS351" s="83"/>
      <c r="AT351" s="83"/>
      <c r="AU351" s="93"/>
      <c r="AV351" s="93"/>
      <c r="AW351" s="83"/>
      <c r="AX351" s="83"/>
      <c r="AY351" s="93"/>
      <c r="AZ351" s="93"/>
    </row>
    <row r="352" spans="2:52" outlineLevel="1" x14ac:dyDescent="0.45">
      <c r="B352" s="1392"/>
      <c r="C352" s="91" t="s">
        <v>586</v>
      </c>
      <c r="D352" s="115"/>
      <c r="E352" s="11" t="s">
        <v>587</v>
      </c>
      <c r="F352" s="130">
        <f t="shared" si="85"/>
        <v>0</v>
      </c>
      <c r="G352" s="89"/>
      <c r="H352" s="23"/>
      <c r="I352" s="14"/>
      <c r="J352" s="92"/>
      <c r="K352" s="31"/>
      <c r="L352" s="92"/>
      <c r="M352" s="92"/>
      <c r="N352" s="31"/>
      <c r="O352" s="92"/>
      <c r="P352" s="92"/>
      <c r="Q352" s="31"/>
      <c r="R352" s="92"/>
      <c r="S352" s="92"/>
      <c r="T352" s="31"/>
      <c r="U352" s="90"/>
      <c r="V352" s="92"/>
      <c r="W352" s="31"/>
      <c r="AA352" s="93"/>
      <c r="AB352" s="93"/>
      <c r="AC352" s="83"/>
      <c r="AD352" s="83"/>
      <c r="AE352" s="93"/>
      <c r="AF352" s="93"/>
      <c r="AG352" s="83"/>
      <c r="AH352" s="83"/>
      <c r="AI352" s="93"/>
      <c r="AJ352" s="93"/>
      <c r="AK352" s="83"/>
      <c r="AL352" s="83"/>
      <c r="AM352" s="93"/>
      <c r="AN352" s="93"/>
      <c r="AO352" s="83"/>
      <c r="AP352" s="83"/>
      <c r="AQ352" s="93"/>
      <c r="AR352" s="93"/>
      <c r="AS352" s="83"/>
      <c r="AT352" s="83"/>
      <c r="AU352" s="93"/>
      <c r="AV352" s="93"/>
      <c r="AW352" s="83"/>
      <c r="AX352" s="83"/>
      <c r="AY352" s="93"/>
      <c r="AZ352" s="93"/>
    </row>
    <row r="353" spans="2:52" outlineLevel="1" x14ac:dyDescent="0.45">
      <c r="B353" s="1392"/>
      <c r="C353" s="91" t="s">
        <v>588</v>
      </c>
      <c r="D353" s="278"/>
      <c r="E353" s="91" t="s">
        <v>589</v>
      </c>
      <c r="F353" s="130">
        <f t="shared" si="85"/>
        <v>45669000</v>
      </c>
      <c r="G353" s="130">
        <f t="shared" ref="G353:H368" si="88">J353+M353+P353+S353+V353</f>
        <v>39359000</v>
      </c>
      <c r="H353" s="131">
        <f t="shared" si="88"/>
        <v>9197000</v>
      </c>
      <c r="I353" s="14"/>
      <c r="J353" s="217"/>
      <c r="K353" s="217"/>
      <c r="L353" s="279">
        <v>0</v>
      </c>
      <c r="M353" s="217">
        <v>591000</v>
      </c>
      <c r="N353" s="217"/>
      <c r="O353" s="218">
        <v>29830000</v>
      </c>
      <c r="P353" s="217"/>
      <c r="Q353" s="217"/>
      <c r="R353" s="218"/>
      <c r="S353" s="217"/>
      <c r="T353" s="217"/>
      <c r="U353" s="217">
        <v>15839000</v>
      </c>
      <c r="V353" s="217">
        <v>38768000</v>
      </c>
      <c r="W353" s="217">
        <v>9197000</v>
      </c>
      <c r="AA353" s="93"/>
      <c r="AB353" s="93"/>
      <c r="AC353" s="83"/>
      <c r="AD353" s="83"/>
      <c r="AE353" s="93"/>
      <c r="AF353" s="93"/>
      <c r="AG353" s="83"/>
      <c r="AH353" s="83"/>
      <c r="AI353" s="93"/>
      <c r="AJ353" s="93"/>
      <c r="AK353" s="83"/>
      <c r="AL353" s="83"/>
      <c r="AM353" s="93"/>
      <c r="AN353" s="93"/>
      <c r="AO353" s="83"/>
      <c r="AP353" s="83"/>
      <c r="AQ353" s="93"/>
      <c r="AR353" s="93"/>
      <c r="AS353" s="83"/>
      <c r="AT353" s="83"/>
      <c r="AU353" s="93"/>
      <c r="AV353" s="93"/>
      <c r="AW353" s="83"/>
      <c r="AX353" s="83"/>
      <c r="AY353" s="93"/>
      <c r="AZ353" s="93"/>
    </row>
    <row r="354" spans="2:52" outlineLevel="1" x14ac:dyDescent="0.45">
      <c r="B354" s="1392"/>
      <c r="C354" s="91" t="s">
        <v>590</v>
      </c>
      <c r="D354" s="278"/>
      <c r="E354" s="91" t="s">
        <v>591</v>
      </c>
      <c r="F354" s="130">
        <f t="shared" si="85"/>
        <v>132918000</v>
      </c>
      <c r="G354" s="130">
        <f t="shared" si="88"/>
        <v>149755000</v>
      </c>
      <c r="H354" s="131">
        <f t="shared" si="88"/>
        <v>138077000</v>
      </c>
      <c r="I354" s="14"/>
      <c r="J354" s="217"/>
      <c r="K354" s="217"/>
      <c r="L354" s="218"/>
      <c r="M354" s="217"/>
      <c r="N354" s="217"/>
      <c r="O354" s="218">
        <v>11072000</v>
      </c>
      <c r="P354" s="217"/>
      <c r="Q354" s="217"/>
      <c r="R354" s="218"/>
      <c r="S354" s="217"/>
      <c r="T354" s="217"/>
      <c r="U354" s="217">
        <v>121846000</v>
      </c>
      <c r="V354" s="217">
        <v>149755000</v>
      </c>
      <c r="W354" s="217">
        <v>138077000</v>
      </c>
      <c r="AA354" s="93"/>
      <c r="AB354" s="93"/>
      <c r="AC354" s="83"/>
      <c r="AD354" s="83"/>
      <c r="AE354" s="93"/>
      <c r="AF354" s="93"/>
      <c r="AG354" s="83"/>
      <c r="AH354" s="83"/>
      <c r="AI354" s="93"/>
      <c r="AJ354" s="93"/>
      <c r="AK354" s="83"/>
      <c r="AL354" s="83"/>
      <c r="AM354" s="93"/>
      <c r="AN354" s="93"/>
      <c r="AO354" s="83"/>
      <c r="AP354" s="83"/>
      <c r="AQ354" s="93"/>
      <c r="AR354" s="93"/>
      <c r="AS354" s="83"/>
      <c r="AT354" s="83"/>
      <c r="AU354" s="93"/>
      <c r="AV354" s="93"/>
      <c r="AW354" s="83"/>
      <c r="AX354" s="83"/>
      <c r="AY354" s="93"/>
      <c r="AZ354" s="93"/>
    </row>
    <row r="355" spans="2:52" outlineLevel="1" x14ac:dyDescent="0.45">
      <c r="B355" s="1392"/>
      <c r="C355" s="91" t="s">
        <v>592</v>
      </c>
      <c r="D355" s="278"/>
      <c r="E355" s="91" t="s">
        <v>342</v>
      </c>
      <c r="F355" s="130">
        <f t="shared" si="85"/>
        <v>0</v>
      </c>
      <c r="G355" s="130">
        <f t="shared" si="88"/>
        <v>0</v>
      </c>
      <c r="H355" s="131">
        <f t="shared" si="88"/>
        <v>0</v>
      </c>
      <c r="I355" s="14"/>
      <c r="J355" s="217"/>
      <c r="K355" s="217"/>
      <c r="L355" s="218"/>
      <c r="M355" s="217"/>
      <c r="N355" s="217"/>
      <c r="O355" s="218"/>
      <c r="P355" s="217"/>
      <c r="Q355" s="217"/>
      <c r="R355" s="218"/>
      <c r="S355" s="217"/>
      <c r="T355" s="217"/>
      <c r="U355" s="217"/>
      <c r="V355" s="217"/>
      <c r="W355" s="217"/>
      <c r="AA355" s="93"/>
      <c r="AB355" s="93"/>
      <c r="AC355" s="83"/>
      <c r="AD355" s="83"/>
      <c r="AE355" s="93"/>
      <c r="AF355" s="93"/>
      <c r="AG355" s="83"/>
      <c r="AH355" s="83"/>
      <c r="AI355" s="93"/>
      <c r="AJ355" s="93"/>
      <c r="AK355" s="83"/>
      <c r="AL355" s="83"/>
      <c r="AM355" s="93"/>
      <c r="AN355" s="93"/>
      <c r="AO355" s="83"/>
      <c r="AP355" s="83"/>
      <c r="AQ355" s="93"/>
      <c r="AR355" s="93"/>
      <c r="AS355" s="83"/>
      <c r="AT355" s="83"/>
      <c r="AU355" s="93"/>
      <c r="AV355" s="93"/>
      <c r="AW355" s="83"/>
      <c r="AX355" s="83"/>
      <c r="AY355" s="93"/>
      <c r="AZ355" s="93"/>
    </row>
    <row r="356" spans="2:52" outlineLevel="1" x14ac:dyDescent="0.45">
      <c r="B356" s="1392"/>
      <c r="C356" s="91" t="s">
        <v>593</v>
      </c>
      <c r="D356" s="278"/>
      <c r="E356" s="91" t="s">
        <v>594</v>
      </c>
      <c r="F356" s="130">
        <f t="shared" si="85"/>
        <v>745386000</v>
      </c>
      <c r="G356" s="130">
        <f t="shared" si="88"/>
        <v>383539000</v>
      </c>
      <c r="H356" s="131">
        <f t="shared" si="88"/>
        <v>195689000</v>
      </c>
      <c r="I356" s="14"/>
      <c r="J356" s="217"/>
      <c r="K356" s="217"/>
      <c r="L356" s="218"/>
      <c r="M356" s="217"/>
      <c r="N356" s="217"/>
      <c r="O356" s="218">
        <v>53394000</v>
      </c>
      <c r="P356" s="217"/>
      <c r="Q356" s="217"/>
      <c r="R356" s="218"/>
      <c r="S356" s="217"/>
      <c r="T356" s="217"/>
      <c r="U356" s="217">
        <v>691992000</v>
      </c>
      <c r="V356" s="217">
        <v>383539000</v>
      </c>
      <c r="W356" s="217">
        <v>195689000</v>
      </c>
      <c r="AA356" s="93"/>
      <c r="AB356" s="93"/>
      <c r="AC356" s="83"/>
      <c r="AD356" s="83"/>
      <c r="AE356" s="93"/>
      <c r="AF356" s="93"/>
      <c r="AG356" s="83"/>
      <c r="AH356" s="83"/>
      <c r="AI356" s="93"/>
      <c r="AJ356" s="93"/>
      <c r="AK356" s="83"/>
      <c r="AL356" s="83"/>
      <c r="AM356" s="93"/>
      <c r="AN356" s="93"/>
      <c r="AO356" s="83"/>
      <c r="AP356" s="83"/>
      <c r="AQ356" s="93"/>
      <c r="AR356" s="93"/>
      <c r="AS356" s="83"/>
      <c r="AT356" s="83"/>
      <c r="AU356" s="93"/>
      <c r="AV356" s="93"/>
      <c r="AW356" s="83"/>
      <c r="AX356" s="83"/>
      <c r="AY356" s="93"/>
      <c r="AZ356" s="93"/>
    </row>
    <row r="357" spans="2:52" outlineLevel="1" x14ac:dyDescent="0.45">
      <c r="B357" s="1392"/>
      <c r="C357" s="91" t="s">
        <v>595</v>
      </c>
      <c r="D357" s="278"/>
      <c r="E357" s="245" t="s">
        <v>596</v>
      </c>
      <c r="F357" s="130">
        <f t="shared" si="85"/>
        <v>290259000</v>
      </c>
      <c r="G357" s="130">
        <f t="shared" si="88"/>
        <v>217080000</v>
      </c>
      <c r="H357" s="131">
        <f t="shared" si="88"/>
        <v>333694000</v>
      </c>
      <c r="I357" s="14"/>
      <c r="J357" s="217"/>
      <c r="K357" s="217"/>
      <c r="L357" s="218"/>
      <c r="M357" s="217"/>
      <c r="N357" s="217"/>
      <c r="O357" s="218">
        <v>2181000</v>
      </c>
      <c r="P357" s="217"/>
      <c r="Q357" s="217"/>
      <c r="R357" s="218">
        <v>288078000</v>
      </c>
      <c r="S357" s="217">
        <v>217080000</v>
      </c>
      <c r="T357" s="217">
        <v>333694000</v>
      </c>
      <c r="U357" s="217"/>
      <c r="V357" s="281"/>
      <c r="W357" s="281"/>
      <c r="AA357" s="93"/>
      <c r="AB357" s="93"/>
      <c r="AC357" s="83"/>
      <c r="AD357" s="83"/>
      <c r="AE357" s="93"/>
      <c r="AF357" s="93"/>
      <c r="AG357" s="83"/>
      <c r="AH357" s="83"/>
      <c r="AI357" s="93"/>
      <c r="AJ357" s="93"/>
      <c r="AK357" s="83"/>
      <c r="AL357" s="83"/>
      <c r="AM357" s="93"/>
      <c r="AN357" s="93"/>
      <c r="AO357" s="83"/>
      <c r="AP357" s="83"/>
      <c r="AQ357" s="93"/>
      <c r="AR357" s="93"/>
      <c r="AS357" s="83"/>
      <c r="AT357" s="83"/>
      <c r="AU357" s="93"/>
      <c r="AV357" s="93"/>
      <c r="AW357" s="83"/>
      <c r="AX357" s="83"/>
      <c r="AY357" s="93"/>
      <c r="AZ357" s="93"/>
    </row>
    <row r="358" spans="2:52" outlineLevel="1" x14ac:dyDescent="0.45">
      <c r="B358" s="1392"/>
      <c r="C358" s="91" t="s">
        <v>597</v>
      </c>
      <c r="D358" s="278"/>
      <c r="E358" s="245" t="s">
        <v>598</v>
      </c>
      <c r="F358" s="130">
        <f t="shared" si="85"/>
        <v>2046000</v>
      </c>
      <c r="G358" s="130">
        <f t="shared" si="88"/>
        <v>0</v>
      </c>
      <c r="H358" s="131">
        <f t="shared" si="88"/>
        <v>0</v>
      </c>
      <c r="I358" s="14"/>
      <c r="J358" s="217"/>
      <c r="K358" s="217"/>
      <c r="L358" s="218"/>
      <c r="M358" s="217"/>
      <c r="N358" s="217"/>
      <c r="O358" s="218"/>
      <c r="P358" s="217"/>
      <c r="Q358" s="217"/>
      <c r="R358" s="218"/>
      <c r="S358" s="217"/>
      <c r="T358" s="217"/>
      <c r="U358" s="217">
        <v>2046000</v>
      </c>
      <c r="V358" s="217"/>
      <c r="W358" s="217"/>
      <c r="AA358" s="93"/>
      <c r="AB358" s="93"/>
      <c r="AC358" s="83"/>
      <c r="AD358" s="83"/>
      <c r="AE358" s="93"/>
      <c r="AF358" s="93"/>
      <c r="AG358" s="83"/>
      <c r="AH358" s="83"/>
      <c r="AI358" s="93"/>
      <c r="AJ358" s="93"/>
      <c r="AK358" s="83"/>
      <c r="AL358" s="83"/>
      <c r="AM358" s="93"/>
      <c r="AN358" s="93"/>
      <c r="AO358" s="83"/>
      <c r="AP358" s="83"/>
      <c r="AQ358" s="93"/>
      <c r="AR358" s="93"/>
      <c r="AS358" s="83"/>
      <c r="AT358" s="83"/>
      <c r="AU358" s="93"/>
      <c r="AV358" s="93"/>
      <c r="AW358" s="83"/>
      <c r="AX358" s="83"/>
      <c r="AY358" s="93"/>
      <c r="AZ358" s="93"/>
    </row>
    <row r="359" spans="2:52" outlineLevel="1" x14ac:dyDescent="0.45">
      <c r="B359" s="1392"/>
      <c r="C359" s="91" t="s">
        <v>599</v>
      </c>
      <c r="D359" s="278"/>
      <c r="E359" s="245" t="s">
        <v>600</v>
      </c>
      <c r="F359" s="130">
        <f t="shared" si="85"/>
        <v>20193000</v>
      </c>
      <c r="G359" s="130">
        <f t="shared" si="88"/>
        <v>0</v>
      </c>
      <c r="H359" s="131">
        <f t="shared" si="88"/>
        <v>0</v>
      </c>
      <c r="I359" s="14"/>
      <c r="J359" s="217"/>
      <c r="K359" s="217"/>
      <c r="L359" s="218"/>
      <c r="M359" s="217"/>
      <c r="N359" s="217"/>
      <c r="O359" s="218"/>
      <c r="P359" s="217"/>
      <c r="Q359" s="217"/>
      <c r="R359" s="218"/>
      <c r="S359" s="217"/>
      <c r="T359" s="217"/>
      <c r="U359" s="217">
        <v>20193000</v>
      </c>
      <c r="V359" s="217"/>
      <c r="W359" s="217"/>
      <c r="AA359" s="93"/>
      <c r="AB359" s="93"/>
      <c r="AC359" s="83"/>
      <c r="AD359" s="83"/>
      <c r="AE359" s="93"/>
      <c r="AF359" s="93"/>
      <c r="AG359" s="83"/>
      <c r="AH359" s="83"/>
      <c r="AI359" s="93"/>
      <c r="AJ359" s="93"/>
      <c r="AK359" s="83"/>
      <c r="AL359" s="83"/>
      <c r="AM359" s="93"/>
      <c r="AN359" s="93"/>
      <c r="AO359" s="83"/>
      <c r="AP359" s="83"/>
      <c r="AQ359" s="93"/>
      <c r="AR359" s="93"/>
      <c r="AS359" s="83"/>
      <c r="AT359" s="83"/>
      <c r="AU359" s="93"/>
      <c r="AV359" s="93"/>
      <c r="AW359" s="83"/>
      <c r="AX359" s="83"/>
      <c r="AY359" s="93"/>
      <c r="AZ359" s="93"/>
    </row>
    <row r="360" spans="2:52" outlineLevel="1" x14ac:dyDescent="0.45">
      <c r="B360" s="1392"/>
      <c r="C360" s="91" t="s">
        <v>601</v>
      </c>
      <c r="D360" s="278"/>
      <c r="E360" s="245" t="s">
        <v>602</v>
      </c>
      <c r="F360" s="130">
        <f t="shared" si="85"/>
        <v>14000000</v>
      </c>
      <c r="G360" s="130">
        <f t="shared" si="88"/>
        <v>0</v>
      </c>
      <c r="H360" s="131">
        <f t="shared" si="88"/>
        <v>0</v>
      </c>
      <c r="I360" s="14"/>
      <c r="J360" s="217"/>
      <c r="K360" s="217"/>
      <c r="L360" s="218"/>
      <c r="M360" s="217"/>
      <c r="N360" s="217"/>
      <c r="O360" s="218"/>
      <c r="P360" s="217"/>
      <c r="Q360" s="217"/>
      <c r="R360" s="218"/>
      <c r="S360" s="217"/>
      <c r="T360" s="217"/>
      <c r="U360" s="217">
        <v>14000000</v>
      </c>
      <c r="V360" s="217"/>
      <c r="W360" s="217"/>
      <c r="AA360" s="93"/>
      <c r="AB360" s="93"/>
      <c r="AC360" s="83"/>
      <c r="AD360" s="83"/>
      <c r="AE360" s="93"/>
      <c r="AF360" s="93"/>
      <c r="AG360" s="83"/>
      <c r="AH360" s="83"/>
      <c r="AI360" s="93"/>
      <c r="AJ360" s="93"/>
      <c r="AK360" s="83"/>
      <c r="AL360" s="83"/>
      <c r="AM360" s="93"/>
      <c r="AN360" s="93"/>
      <c r="AO360" s="83"/>
      <c r="AP360" s="83"/>
      <c r="AQ360" s="93"/>
      <c r="AR360" s="93"/>
      <c r="AS360" s="83"/>
      <c r="AT360" s="83"/>
      <c r="AU360" s="93"/>
      <c r="AV360" s="93"/>
      <c r="AW360" s="83"/>
      <c r="AX360" s="83"/>
      <c r="AY360" s="93"/>
      <c r="AZ360" s="93"/>
    </row>
    <row r="361" spans="2:52" outlineLevel="1" x14ac:dyDescent="0.45">
      <c r="B361" s="1392"/>
      <c r="C361" s="91" t="s">
        <v>603</v>
      </c>
      <c r="D361" s="278"/>
      <c r="E361" s="245" t="s">
        <v>604</v>
      </c>
      <c r="F361" s="130">
        <f t="shared" si="85"/>
        <v>46309000</v>
      </c>
      <c r="G361" s="130">
        <f t="shared" si="88"/>
        <v>0</v>
      </c>
      <c r="H361" s="131">
        <f t="shared" si="88"/>
        <v>0</v>
      </c>
      <c r="I361" s="14"/>
      <c r="J361" s="217"/>
      <c r="K361" s="217"/>
      <c r="L361" s="218"/>
      <c r="M361" s="217"/>
      <c r="N361" s="217"/>
      <c r="O361" s="218"/>
      <c r="P361" s="217"/>
      <c r="Q361" s="217"/>
      <c r="R361" s="218"/>
      <c r="S361" s="217"/>
      <c r="T361" s="217"/>
      <c r="U361" s="217">
        <v>46309000</v>
      </c>
      <c r="V361" s="217"/>
      <c r="W361" s="217"/>
      <c r="AA361" s="93"/>
      <c r="AB361" s="93"/>
      <c r="AC361" s="83"/>
      <c r="AD361" s="83"/>
      <c r="AE361" s="93"/>
      <c r="AF361" s="93"/>
      <c r="AG361" s="83"/>
      <c r="AH361" s="83"/>
      <c r="AI361" s="93"/>
      <c r="AJ361" s="93"/>
      <c r="AK361" s="83"/>
      <c r="AL361" s="83"/>
      <c r="AM361" s="93"/>
      <c r="AN361" s="93"/>
      <c r="AO361" s="83"/>
      <c r="AP361" s="83"/>
      <c r="AQ361" s="93"/>
      <c r="AR361" s="93"/>
      <c r="AS361" s="83"/>
      <c r="AT361" s="83"/>
      <c r="AU361" s="93"/>
      <c r="AV361" s="93"/>
      <c r="AW361" s="83"/>
      <c r="AX361" s="83"/>
      <c r="AY361" s="93"/>
      <c r="AZ361" s="93"/>
    </row>
    <row r="362" spans="2:52" outlineLevel="1" x14ac:dyDescent="0.45">
      <c r="B362" s="1392"/>
      <c r="C362" s="91" t="s">
        <v>605</v>
      </c>
      <c r="D362" s="278"/>
      <c r="E362" s="245" t="s">
        <v>606</v>
      </c>
      <c r="F362" s="130">
        <f t="shared" si="85"/>
        <v>222000</v>
      </c>
      <c r="G362" s="130">
        <f t="shared" si="88"/>
        <v>-547000</v>
      </c>
      <c r="H362" s="131">
        <f t="shared" si="88"/>
        <v>0</v>
      </c>
      <c r="I362" s="14"/>
      <c r="J362" s="217"/>
      <c r="K362" s="217"/>
      <c r="L362" s="218">
        <v>222000</v>
      </c>
      <c r="M362" s="217">
        <v>-547000</v>
      </c>
      <c r="N362" s="217"/>
      <c r="O362" s="218"/>
      <c r="P362" s="217"/>
      <c r="Q362" s="217"/>
      <c r="R362" s="218"/>
      <c r="S362" s="217"/>
      <c r="T362" s="217"/>
      <c r="U362" s="217"/>
      <c r="V362" s="217"/>
      <c r="W362" s="217"/>
      <c r="AA362" s="93"/>
      <c r="AB362" s="93"/>
      <c r="AC362" s="83"/>
      <c r="AD362" s="83"/>
      <c r="AE362" s="93"/>
      <c r="AF362" s="93"/>
      <c r="AG362" s="83"/>
      <c r="AH362" s="83"/>
      <c r="AI362" s="93"/>
      <c r="AJ362" s="93"/>
      <c r="AK362" s="83"/>
      <c r="AL362" s="83"/>
      <c r="AM362" s="93"/>
      <c r="AN362" s="93"/>
      <c r="AO362" s="83"/>
      <c r="AP362" s="83"/>
      <c r="AQ362" s="93"/>
      <c r="AR362" s="93"/>
      <c r="AS362" s="83"/>
      <c r="AT362" s="83"/>
      <c r="AU362" s="93"/>
      <c r="AV362" s="93"/>
      <c r="AW362" s="83"/>
      <c r="AX362" s="83"/>
      <c r="AY362" s="93"/>
      <c r="AZ362" s="93"/>
    </row>
    <row r="363" spans="2:52" outlineLevel="1" x14ac:dyDescent="0.45">
      <c r="B363" s="1392"/>
      <c r="C363" s="91" t="s">
        <v>607</v>
      </c>
      <c r="D363" s="278"/>
      <c r="E363" s="245" t="s">
        <v>608</v>
      </c>
      <c r="F363" s="130">
        <f t="shared" si="85"/>
        <v>613000</v>
      </c>
      <c r="G363" s="130">
        <f t="shared" si="88"/>
        <v>725000</v>
      </c>
      <c r="H363" s="131">
        <f t="shared" si="88"/>
        <v>0</v>
      </c>
      <c r="I363" s="14"/>
      <c r="J363" s="217"/>
      <c r="K363" s="217"/>
      <c r="L363" s="218">
        <v>613000</v>
      </c>
      <c r="M363" s="217">
        <v>725000</v>
      </c>
      <c r="N363" s="217"/>
      <c r="O363" s="218"/>
      <c r="P363" s="217"/>
      <c r="Q363" s="217"/>
      <c r="R363" s="218"/>
      <c r="S363" s="217"/>
      <c r="T363" s="217"/>
      <c r="U363" s="217"/>
      <c r="V363" s="217"/>
      <c r="W363" s="217"/>
      <c r="AA363" s="93"/>
      <c r="AB363" s="93"/>
      <c r="AC363" s="83"/>
      <c r="AD363" s="83"/>
      <c r="AE363" s="93"/>
      <c r="AF363" s="93"/>
      <c r="AG363" s="83"/>
      <c r="AH363" s="83"/>
      <c r="AI363" s="93"/>
      <c r="AJ363" s="93"/>
      <c r="AK363" s="83"/>
      <c r="AL363" s="83"/>
      <c r="AM363" s="93"/>
      <c r="AN363" s="93"/>
      <c r="AO363" s="83"/>
      <c r="AP363" s="83"/>
      <c r="AQ363" s="93"/>
      <c r="AR363" s="93"/>
      <c r="AS363" s="83"/>
      <c r="AT363" s="83"/>
      <c r="AU363" s="93"/>
      <c r="AV363" s="93"/>
      <c r="AW363" s="83"/>
      <c r="AX363" s="83"/>
      <c r="AY363" s="93"/>
      <c r="AZ363" s="93"/>
    </row>
    <row r="364" spans="2:52" outlineLevel="1" x14ac:dyDescent="0.45">
      <c r="B364" s="1392"/>
      <c r="C364" s="91" t="s">
        <v>609</v>
      </c>
      <c r="D364" s="278"/>
      <c r="E364" s="245" t="s">
        <v>369</v>
      </c>
      <c r="F364" s="130">
        <f>I364+L364+O364+R364+U364</f>
        <v>0</v>
      </c>
      <c r="G364" s="130">
        <f t="shared" si="88"/>
        <v>171703000</v>
      </c>
      <c r="H364" s="131">
        <f t="shared" si="88"/>
        <v>0</v>
      </c>
      <c r="I364" s="217"/>
      <c r="J364" s="217"/>
      <c r="K364" s="217"/>
      <c r="L364" s="218"/>
      <c r="M364" s="217"/>
      <c r="N364" s="217"/>
      <c r="O364" s="218"/>
      <c r="P364" s="217">
        <v>171703000</v>
      </c>
      <c r="Q364" s="217"/>
      <c r="R364" s="218"/>
      <c r="S364" s="217"/>
      <c r="T364" s="217"/>
      <c r="U364" s="218"/>
      <c r="V364" s="217"/>
      <c r="W364" s="217"/>
      <c r="AA364" s="93"/>
      <c r="AB364" s="93"/>
      <c r="AC364" s="83"/>
      <c r="AD364" s="83"/>
      <c r="AE364" s="93"/>
      <c r="AF364" s="93"/>
      <c r="AG364" s="83"/>
      <c r="AH364" s="83"/>
      <c r="AI364" s="93"/>
      <c r="AJ364" s="93"/>
      <c r="AK364" s="83"/>
      <c r="AL364" s="83"/>
      <c r="AM364" s="93"/>
      <c r="AN364" s="93"/>
      <c r="AO364" s="83"/>
      <c r="AP364" s="83"/>
      <c r="AQ364" s="93"/>
      <c r="AR364" s="93"/>
      <c r="AS364" s="83"/>
      <c r="AT364" s="83"/>
      <c r="AU364" s="93"/>
      <c r="AV364" s="93"/>
      <c r="AW364" s="83"/>
      <c r="AX364" s="83"/>
      <c r="AY364" s="93"/>
      <c r="AZ364" s="93"/>
    </row>
    <row r="365" spans="2:52" outlineLevel="1" x14ac:dyDescent="0.45">
      <c r="B365" s="1392"/>
      <c r="C365" s="91" t="s">
        <v>610</v>
      </c>
      <c r="D365" s="278"/>
      <c r="E365" s="91"/>
      <c r="F365" s="130">
        <f>I365+L365+O365+R365+U365</f>
        <v>0</v>
      </c>
      <c r="G365" s="130">
        <f t="shared" si="88"/>
        <v>0</v>
      </c>
      <c r="H365" s="131">
        <f t="shared" si="88"/>
        <v>0</v>
      </c>
      <c r="I365" s="217"/>
      <c r="J365" s="217"/>
      <c r="K365" s="217"/>
      <c r="L365" s="218"/>
      <c r="M365" s="217"/>
      <c r="N365" s="217"/>
      <c r="O365" s="218"/>
      <c r="P365" s="217"/>
      <c r="Q365" s="217"/>
      <c r="R365" s="218"/>
      <c r="S365" s="217"/>
      <c r="T365" s="217"/>
      <c r="U365" s="218"/>
      <c r="V365" s="217"/>
      <c r="W365" s="217"/>
      <c r="AA365" s="93"/>
      <c r="AB365" s="93"/>
      <c r="AC365" s="83"/>
      <c r="AD365" s="83"/>
      <c r="AE365" s="93"/>
      <c r="AF365" s="93"/>
      <c r="AG365" s="83"/>
      <c r="AH365" s="83"/>
      <c r="AI365" s="93"/>
      <c r="AJ365" s="93"/>
      <c r="AK365" s="83"/>
      <c r="AL365" s="83"/>
      <c r="AM365" s="93"/>
      <c r="AN365" s="93"/>
      <c r="AO365" s="83"/>
      <c r="AP365" s="83"/>
      <c r="AQ365" s="93"/>
      <c r="AR365" s="93"/>
      <c r="AS365" s="83"/>
      <c r="AT365" s="83"/>
      <c r="AU365" s="93"/>
      <c r="AV365" s="93"/>
      <c r="AW365" s="83"/>
      <c r="AX365" s="83"/>
      <c r="AY365" s="93"/>
      <c r="AZ365" s="93"/>
    </row>
    <row r="366" spans="2:52" outlineLevel="1" x14ac:dyDescent="0.45">
      <c r="B366" s="1392"/>
      <c r="C366" s="91" t="s">
        <v>611</v>
      </c>
      <c r="D366" s="278"/>
      <c r="E366" s="91"/>
      <c r="F366" s="130">
        <f>I366+L366+O366+R366+U366</f>
        <v>0</v>
      </c>
      <c r="G366" s="130">
        <f t="shared" si="88"/>
        <v>0</v>
      </c>
      <c r="H366" s="131">
        <f t="shared" si="88"/>
        <v>0</v>
      </c>
      <c r="I366" s="217"/>
      <c r="J366" s="217"/>
      <c r="K366" s="217"/>
      <c r="L366" s="218"/>
      <c r="M366" s="217"/>
      <c r="N366" s="217"/>
      <c r="O366" s="218"/>
      <c r="P366" s="217"/>
      <c r="Q366" s="217"/>
      <c r="R366" s="218"/>
      <c r="S366" s="217"/>
      <c r="T366" s="217"/>
      <c r="U366" s="218"/>
      <c r="V366" s="217"/>
      <c r="W366" s="217"/>
      <c r="AA366" s="93"/>
      <c r="AB366" s="93"/>
      <c r="AC366" s="83"/>
      <c r="AD366" s="83"/>
      <c r="AE366" s="93"/>
      <c r="AF366" s="93"/>
      <c r="AG366" s="83"/>
      <c r="AH366" s="83"/>
      <c r="AI366" s="93"/>
      <c r="AJ366" s="93"/>
      <c r="AK366" s="83"/>
      <c r="AL366" s="83"/>
      <c r="AM366" s="93"/>
      <c r="AN366" s="93"/>
      <c r="AO366" s="83"/>
      <c r="AP366" s="83"/>
      <c r="AQ366" s="93"/>
      <c r="AR366" s="93"/>
      <c r="AS366" s="83"/>
      <c r="AT366" s="83"/>
      <c r="AU366" s="93"/>
      <c r="AV366" s="93"/>
      <c r="AW366" s="83"/>
      <c r="AX366" s="83"/>
      <c r="AY366" s="93"/>
      <c r="AZ366" s="93"/>
    </row>
    <row r="367" spans="2:52" outlineLevel="1" x14ac:dyDescent="0.45">
      <c r="B367" s="1392"/>
      <c r="C367" s="91" t="s">
        <v>612</v>
      </c>
      <c r="D367" s="278"/>
      <c r="E367" s="91"/>
      <c r="F367" s="130">
        <f>I367+L367+O367+R367+U367</f>
        <v>0</v>
      </c>
      <c r="G367" s="130">
        <f t="shared" si="88"/>
        <v>0</v>
      </c>
      <c r="H367" s="131">
        <f t="shared" si="88"/>
        <v>0</v>
      </c>
      <c r="I367" s="217"/>
      <c r="J367" s="217"/>
      <c r="K367" s="217"/>
      <c r="L367" s="218"/>
      <c r="M367" s="217"/>
      <c r="N367" s="217"/>
      <c r="O367" s="218"/>
      <c r="P367" s="217"/>
      <c r="Q367" s="217"/>
      <c r="R367" s="218"/>
      <c r="S367" s="217"/>
      <c r="T367" s="217"/>
      <c r="U367" s="218"/>
      <c r="V367" s="217"/>
      <c r="W367" s="217"/>
      <c r="AA367" s="93"/>
      <c r="AB367" s="93"/>
      <c r="AC367" s="83"/>
      <c r="AD367" s="83"/>
      <c r="AE367" s="93"/>
      <c r="AF367" s="93"/>
      <c r="AG367" s="83"/>
      <c r="AH367" s="83"/>
      <c r="AI367" s="93"/>
      <c r="AJ367" s="93"/>
      <c r="AK367" s="83"/>
      <c r="AL367" s="83"/>
      <c r="AM367" s="93"/>
      <c r="AN367" s="93"/>
      <c r="AO367" s="83"/>
      <c r="AP367" s="83"/>
      <c r="AQ367" s="93"/>
      <c r="AR367" s="93"/>
      <c r="AS367" s="83"/>
      <c r="AT367" s="83"/>
      <c r="AU367" s="93"/>
      <c r="AV367" s="93"/>
      <c r="AW367" s="83"/>
      <c r="AX367" s="83"/>
      <c r="AY367" s="93"/>
      <c r="AZ367" s="93"/>
    </row>
    <row r="368" spans="2:52" outlineLevel="1" x14ac:dyDescent="0.45">
      <c r="B368" s="1392"/>
      <c r="C368" s="91" t="s">
        <v>613</v>
      </c>
      <c r="D368" s="115"/>
      <c r="E368" s="91"/>
      <c r="F368" s="130">
        <f>I368+L368+O368+R368+U368</f>
        <v>1297615000</v>
      </c>
      <c r="G368" s="130">
        <f t="shared" si="88"/>
        <v>961614000</v>
      </c>
      <c r="H368" s="131">
        <f t="shared" si="88"/>
        <v>676657000</v>
      </c>
      <c r="I368" s="280">
        <f t="shared" ref="I368:W368" si="89">SUM(I353:I367)</f>
        <v>0</v>
      </c>
      <c r="J368" s="130">
        <f t="shared" si="89"/>
        <v>0</v>
      </c>
      <c r="K368" s="131">
        <f t="shared" si="89"/>
        <v>0</v>
      </c>
      <c r="L368" s="130">
        <f t="shared" si="89"/>
        <v>835000</v>
      </c>
      <c r="M368" s="130">
        <f t="shared" si="89"/>
        <v>769000</v>
      </c>
      <c r="N368" s="131">
        <f t="shared" si="89"/>
        <v>0</v>
      </c>
      <c r="O368" s="130">
        <f t="shared" si="89"/>
        <v>96477000</v>
      </c>
      <c r="P368" s="130">
        <f t="shared" si="89"/>
        <v>171703000</v>
      </c>
      <c r="Q368" s="131">
        <f t="shared" si="89"/>
        <v>0</v>
      </c>
      <c r="R368" s="130">
        <f t="shared" si="89"/>
        <v>288078000</v>
      </c>
      <c r="S368" s="130">
        <f t="shared" si="89"/>
        <v>217080000</v>
      </c>
      <c r="T368" s="131">
        <f t="shared" si="89"/>
        <v>333694000</v>
      </c>
      <c r="U368" s="130">
        <f t="shared" si="89"/>
        <v>912225000</v>
      </c>
      <c r="V368" s="130">
        <f t="shared" si="89"/>
        <v>572062000</v>
      </c>
      <c r="W368" s="131">
        <f t="shared" si="89"/>
        <v>342963000</v>
      </c>
      <c r="AA368" s="93"/>
      <c r="AB368" s="93"/>
      <c r="AC368" s="83"/>
      <c r="AD368" s="83"/>
      <c r="AE368" s="93"/>
      <c r="AF368" s="93"/>
      <c r="AG368" s="83"/>
      <c r="AH368" s="83"/>
      <c r="AI368" s="93"/>
      <c r="AJ368" s="93"/>
      <c r="AK368" s="83"/>
      <c r="AL368" s="83"/>
      <c r="AM368" s="93"/>
      <c r="AN368" s="93"/>
      <c r="AO368" s="83"/>
      <c r="AP368" s="83"/>
      <c r="AQ368" s="93"/>
      <c r="AR368" s="93"/>
      <c r="AS368" s="83"/>
      <c r="AT368" s="83"/>
      <c r="AU368" s="93"/>
      <c r="AV368" s="93"/>
      <c r="AW368" s="83"/>
      <c r="AX368" s="83"/>
      <c r="AY368" s="93"/>
      <c r="AZ368" s="93"/>
    </row>
    <row r="369" spans="2:52" outlineLevel="1" x14ac:dyDescent="0.45">
      <c r="B369" s="1392"/>
      <c r="C369" s="91" t="s">
        <v>614</v>
      </c>
      <c r="D369" s="115"/>
      <c r="E369" s="91" t="s">
        <v>615</v>
      </c>
      <c r="F369" s="89"/>
      <c r="G369" s="89"/>
      <c r="H369" s="23"/>
      <c r="I369" s="90"/>
      <c r="J369" s="92"/>
      <c r="K369" s="31"/>
      <c r="L369" s="92"/>
      <c r="M369" s="92"/>
      <c r="N369" s="31"/>
      <c r="O369" s="92"/>
      <c r="P369" s="92"/>
      <c r="Q369" s="31"/>
      <c r="R369" s="92"/>
      <c r="S369" s="92"/>
      <c r="T369" s="31"/>
      <c r="U369" s="92"/>
      <c r="V369" s="92"/>
      <c r="W369" s="31"/>
      <c r="AA369" s="93"/>
      <c r="AB369" s="93"/>
      <c r="AC369" s="83"/>
      <c r="AD369" s="83"/>
      <c r="AE369" s="93"/>
      <c r="AF369" s="93"/>
      <c r="AG369" s="83"/>
      <c r="AH369" s="83"/>
      <c r="AI369" s="93"/>
      <c r="AJ369" s="93"/>
      <c r="AK369" s="83"/>
      <c r="AL369" s="83"/>
      <c r="AM369" s="93"/>
      <c r="AN369" s="93"/>
      <c r="AO369" s="83"/>
      <c r="AP369" s="83"/>
      <c r="AQ369" s="93"/>
      <c r="AR369" s="93"/>
      <c r="AS369" s="83"/>
      <c r="AT369" s="83"/>
      <c r="AU369" s="93"/>
      <c r="AV369" s="93"/>
      <c r="AW369" s="83"/>
      <c r="AX369" s="83"/>
      <c r="AY369" s="93"/>
      <c r="AZ369" s="93"/>
    </row>
    <row r="370" spans="2:52" outlineLevel="1" x14ac:dyDescent="0.45">
      <c r="B370" s="1392"/>
      <c r="C370" s="91" t="s">
        <v>616</v>
      </c>
      <c r="D370" s="115"/>
      <c r="E370" s="91"/>
      <c r="F370" s="130">
        <f>I370+L370+O370+R370+U370</f>
        <v>-867094000</v>
      </c>
      <c r="G370" s="130">
        <f>J370+M370+P370+S370+V370</f>
        <v>-720326000</v>
      </c>
      <c r="H370" s="131">
        <f>K370+N370+Q370+T370+W370</f>
        <v>-354936000</v>
      </c>
      <c r="I370" s="280">
        <f>U350-I368</f>
        <v>51545000</v>
      </c>
      <c r="J370" s="130">
        <f t="shared" ref="J370:W370" si="90">J350-J368</f>
        <v>0</v>
      </c>
      <c r="K370" s="131">
        <f t="shared" si="90"/>
        <v>0</v>
      </c>
      <c r="L370" s="130">
        <f t="shared" si="90"/>
        <v>25000</v>
      </c>
      <c r="M370" s="130">
        <f t="shared" si="90"/>
        <v>-220000</v>
      </c>
      <c r="N370" s="131">
        <f t="shared" si="90"/>
        <v>0</v>
      </c>
      <c r="O370" s="130">
        <f t="shared" si="90"/>
        <v>-68480000</v>
      </c>
      <c r="P370" s="130">
        <f t="shared" si="90"/>
        <v>-148774000</v>
      </c>
      <c r="Q370" s="131">
        <f t="shared" si="90"/>
        <v>0</v>
      </c>
      <c r="R370" s="130">
        <f t="shared" si="90"/>
        <v>10496000</v>
      </c>
      <c r="S370" s="130">
        <f t="shared" si="90"/>
        <v>-29794000</v>
      </c>
      <c r="T370" s="131">
        <f t="shared" si="90"/>
        <v>-25134000</v>
      </c>
      <c r="U370" s="130">
        <f t="shared" si="90"/>
        <v>-860680000</v>
      </c>
      <c r="V370" s="130">
        <f t="shared" si="90"/>
        <v>-541538000</v>
      </c>
      <c r="W370" s="131">
        <f t="shared" si="90"/>
        <v>-329802000</v>
      </c>
      <c r="AA370" s="93"/>
      <c r="AB370" s="93"/>
      <c r="AC370" s="83"/>
      <c r="AD370" s="83"/>
      <c r="AE370" s="93"/>
      <c r="AF370" s="93"/>
      <c r="AG370" s="83"/>
      <c r="AH370" s="83"/>
      <c r="AI370" s="93"/>
      <c r="AJ370" s="93"/>
      <c r="AK370" s="83"/>
      <c r="AL370" s="83"/>
      <c r="AM370" s="93"/>
      <c r="AN370" s="93"/>
      <c r="AO370" s="83"/>
      <c r="AP370" s="83"/>
      <c r="AQ370" s="93"/>
      <c r="AR370" s="93"/>
      <c r="AS370" s="83"/>
      <c r="AT370" s="83"/>
      <c r="AU370" s="93"/>
      <c r="AV370" s="93"/>
      <c r="AW370" s="83"/>
      <c r="AX370" s="83"/>
      <c r="AY370" s="93"/>
      <c r="AZ370" s="93"/>
    </row>
    <row r="371" spans="2:52" outlineLevel="1" x14ac:dyDescent="0.45">
      <c r="B371" s="1392"/>
      <c r="C371" s="91" t="s">
        <v>617</v>
      </c>
      <c r="D371" s="115"/>
      <c r="E371" s="11" t="s">
        <v>374</v>
      </c>
      <c r="F371" s="89"/>
      <c r="G371" s="89"/>
      <c r="H371" s="23"/>
      <c r="I371" s="91"/>
      <c r="J371" s="92"/>
      <c r="K371" s="31"/>
      <c r="L371" s="92"/>
      <c r="M371" s="92"/>
      <c r="N371" s="31"/>
      <c r="O371" s="92"/>
      <c r="P371" s="92"/>
      <c r="Q371" s="31"/>
      <c r="R371" s="92"/>
      <c r="S371" s="92"/>
      <c r="T371" s="31"/>
      <c r="U371" s="92"/>
      <c r="V371" s="92"/>
      <c r="W371" s="31"/>
      <c r="AA371" s="93"/>
      <c r="AB371" s="93"/>
      <c r="AC371" s="83"/>
      <c r="AD371" s="83"/>
      <c r="AE371" s="93"/>
      <c r="AF371" s="93"/>
      <c r="AG371" s="83"/>
      <c r="AH371" s="83"/>
      <c r="AI371" s="93"/>
      <c r="AJ371" s="93"/>
      <c r="AK371" s="83"/>
      <c r="AL371" s="83"/>
      <c r="AM371" s="93"/>
      <c r="AN371" s="93"/>
      <c r="AO371" s="83"/>
      <c r="AP371" s="83"/>
      <c r="AQ371" s="93"/>
      <c r="AR371" s="93"/>
      <c r="AS371" s="83"/>
      <c r="AT371" s="119" t="s">
        <v>618</v>
      </c>
      <c r="AU371" s="93"/>
      <c r="AV371" s="93"/>
      <c r="AW371" s="83"/>
      <c r="AX371" s="83"/>
      <c r="AY371" s="93"/>
      <c r="AZ371" s="93"/>
    </row>
    <row r="372" spans="2:52" outlineLevel="1" x14ac:dyDescent="0.45">
      <c r="B372" s="1392"/>
      <c r="C372" s="91" t="s">
        <v>619</v>
      </c>
      <c r="D372" s="278"/>
      <c r="E372" s="91" t="s">
        <v>377</v>
      </c>
      <c r="F372" s="130">
        <f t="shared" ref="F372:H373" si="91">I372+L372+O372+R372+U372</f>
        <v>18141000</v>
      </c>
      <c r="G372" s="130">
        <f t="shared" si="91"/>
        <v>14006000</v>
      </c>
      <c r="H372" s="131">
        <f t="shared" si="91"/>
        <v>1260000</v>
      </c>
      <c r="I372" s="217"/>
      <c r="J372" s="217"/>
      <c r="K372" s="217"/>
      <c r="L372" s="218">
        <v>606000</v>
      </c>
      <c r="M372" s="217">
        <v>719000</v>
      </c>
      <c r="N372" s="217"/>
      <c r="O372" s="218">
        <v>9974000</v>
      </c>
      <c r="P372" s="217">
        <v>11474000</v>
      </c>
      <c r="Q372" s="217"/>
      <c r="R372" s="218">
        <v>1175000</v>
      </c>
      <c r="S372" s="217">
        <v>1813000</v>
      </c>
      <c r="T372" s="217">
        <v>1260000</v>
      </c>
      <c r="U372" s="218">
        <v>6386000</v>
      </c>
      <c r="V372" s="217"/>
      <c r="W372" s="217"/>
      <c r="AA372" s="93"/>
      <c r="AB372" s="93"/>
      <c r="AC372" s="83"/>
      <c r="AD372" s="83"/>
      <c r="AE372" s="93"/>
      <c r="AF372" s="93"/>
      <c r="AG372" s="83"/>
      <c r="AH372" s="83"/>
      <c r="AI372" s="93"/>
      <c r="AJ372" s="93"/>
      <c r="AK372" s="83"/>
      <c r="AL372" s="83"/>
      <c r="AM372" s="93"/>
      <c r="AN372" s="93"/>
      <c r="AO372" s="83"/>
      <c r="AP372" s="83"/>
      <c r="AQ372" s="93"/>
      <c r="AR372" s="93"/>
      <c r="AS372" s="83"/>
      <c r="AT372" s="119" t="s">
        <v>618</v>
      </c>
      <c r="AU372" s="93"/>
      <c r="AV372" s="93"/>
      <c r="AW372" s="83"/>
      <c r="AX372" s="14"/>
      <c r="AY372" s="93"/>
      <c r="AZ372" s="93"/>
    </row>
    <row r="373" spans="2:52" outlineLevel="1" x14ac:dyDescent="0.45">
      <c r="B373" s="1392"/>
      <c r="C373" s="91" t="s">
        <v>620</v>
      </c>
      <c r="D373" s="278"/>
      <c r="E373" s="91" t="s">
        <v>379</v>
      </c>
      <c r="F373" s="130">
        <f t="shared" si="91"/>
        <v>93554000</v>
      </c>
      <c r="G373" s="130">
        <f t="shared" si="91"/>
        <v>3313000</v>
      </c>
      <c r="H373" s="131">
        <f t="shared" si="91"/>
        <v>1077000</v>
      </c>
      <c r="I373" s="217"/>
      <c r="J373" s="217"/>
      <c r="K373" s="217"/>
      <c r="L373" s="218">
        <v>57000</v>
      </c>
      <c r="M373" s="217">
        <v>240000</v>
      </c>
      <c r="N373" s="217"/>
      <c r="O373" s="218">
        <v>1500000</v>
      </c>
      <c r="P373" s="217">
        <v>2236000</v>
      </c>
      <c r="Q373" s="217"/>
      <c r="R373" s="218">
        <v>751000</v>
      </c>
      <c r="S373" s="217">
        <v>837000</v>
      </c>
      <c r="T373" s="217">
        <v>1077000</v>
      </c>
      <c r="U373" s="218">
        <v>91246000</v>
      </c>
      <c r="V373" s="217"/>
      <c r="W373" s="217"/>
      <c r="AA373" s="93"/>
      <c r="AB373" s="93"/>
      <c r="AC373" s="83"/>
      <c r="AD373" s="83"/>
      <c r="AE373" s="93"/>
      <c r="AF373" s="93"/>
      <c r="AG373" s="83"/>
      <c r="AH373" s="83"/>
      <c r="AI373" s="93"/>
      <c r="AJ373" s="93"/>
      <c r="AK373" s="83"/>
      <c r="AL373" s="83"/>
      <c r="AM373" s="93"/>
      <c r="AN373" s="93"/>
      <c r="AO373" s="83"/>
      <c r="AP373" s="83"/>
      <c r="AQ373" s="93"/>
      <c r="AR373" s="93"/>
      <c r="AS373" s="83"/>
      <c r="AT373" s="83"/>
      <c r="AU373" s="93"/>
      <c r="AV373" s="93"/>
      <c r="AW373" s="83"/>
      <c r="AX373" s="14"/>
      <c r="AY373" s="93"/>
      <c r="AZ373" s="93"/>
    </row>
    <row r="374" spans="2:52" outlineLevel="1" x14ac:dyDescent="0.45">
      <c r="B374" s="1392"/>
      <c r="C374" s="91" t="s">
        <v>621</v>
      </c>
      <c r="D374" s="115"/>
      <c r="E374" s="91"/>
      <c r="F374" s="89"/>
      <c r="G374" s="89"/>
      <c r="H374" s="23"/>
      <c r="I374" s="90"/>
      <c r="J374" s="92"/>
      <c r="K374" s="31"/>
      <c r="L374" s="92"/>
      <c r="M374" s="92"/>
      <c r="N374" s="31"/>
      <c r="O374" s="92"/>
      <c r="P374" s="92"/>
      <c r="Q374" s="31"/>
      <c r="R374" s="92"/>
      <c r="S374" s="92"/>
      <c r="T374" s="31"/>
      <c r="U374" s="92"/>
      <c r="V374" s="92"/>
      <c r="W374" s="31"/>
      <c r="AA374" s="93"/>
      <c r="AB374" s="93"/>
      <c r="AC374" s="83"/>
      <c r="AD374" s="83"/>
      <c r="AE374" s="93"/>
      <c r="AF374" s="93"/>
      <c r="AG374" s="83"/>
      <c r="AH374" s="83"/>
      <c r="AI374" s="93"/>
      <c r="AJ374" s="93"/>
      <c r="AK374" s="83"/>
      <c r="AL374" s="83"/>
      <c r="AM374" s="93"/>
      <c r="AN374" s="93"/>
      <c r="AO374" s="83"/>
      <c r="AP374" s="83"/>
      <c r="AQ374" s="93"/>
      <c r="AR374" s="93"/>
      <c r="AS374" s="83"/>
      <c r="AT374" s="83"/>
      <c r="AU374" s="93"/>
      <c r="AV374" s="93"/>
      <c r="AW374" s="83"/>
      <c r="AX374" s="83"/>
      <c r="AY374" s="14"/>
      <c r="AZ374" s="14"/>
    </row>
    <row r="375" spans="2:52" outlineLevel="1" x14ac:dyDescent="0.45">
      <c r="B375" s="1392"/>
      <c r="C375" s="91" t="s">
        <v>622</v>
      </c>
      <c r="D375" s="115"/>
      <c r="E375" s="14"/>
      <c r="F375" s="89"/>
      <c r="G375" s="89"/>
      <c r="H375" s="23"/>
      <c r="I375" s="90"/>
      <c r="J375" s="92"/>
      <c r="K375" s="31"/>
      <c r="L375" s="92"/>
      <c r="M375" s="92"/>
      <c r="N375" s="31"/>
      <c r="O375" s="92"/>
      <c r="P375" s="92"/>
      <c r="Q375" s="31"/>
      <c r="R375" s="92"/>
      <c r="S375" s="92"/>
      <c r="T375" s="31"/>
      <c r="U375" s="92"/>
      <c r="V375" s="92"/>
      <c r="W375" s="31"/>
      <c r="AA375" s="93"/>
      <c r="AB375" s="93"/>
      <c r="AC375" s="83"/>
      <c r="AD375" s="83"/>
      <c r="AE375" s="93"/>
      <c r="AF375" s="93"/>
      <c r="AG375" s="83"/>
      <c r="AH375" s="83"/>
      <c r="AI375" s="93"/>
      <c r="AJ375" s="93"/>
      <c r="AK375" s="83"/>
      <c r="AL375" s="83"/>
      <c r="AM375" s="93"/>
      <c r="AN375" s="93"/>
      <c r="AO375" s="83"/>
      <c r="AP375" s="83"/>
      <c r="AQ375" s="93"/>
      <c r="AR375" s="93"/>
      <c r="AS375" s="83"/>
      <c r="AT375" s="83"/>
      <c r="AU375" s="93"/>
      <c r="AV375" s="93"/>
      <c r="AW375" s="83"/>
      <c r="AX375" s="83"/>
      <c r="AY375" s="93"/>
      <c r="AZ375" s="93"/>
    </row>
    <row r="376" spans="2:52" outlineLevel="1" x14ac:dyDescent="0.45">
      <c r="B376" s="1392"/>
      <c r="C376" s="91" t="s">
        <v>623</v>
      </c>
      <c r="D376" s="115"/>
      <c r="E376" s="11" t="s">
        <v>624</v>
      </c>
      <c r="F376" s="89"/>
      <c r="G376" s="89"/>
      <c r="H376" s="23"/>
      <c r="I376" s="91"/>
      <c r="J376" s="92"/>
      <c r="K376" s="31"/>
      <c r="L376" s="92"/>
      <c r="M376" s="92"/>
      <c r="N376" s="31"/>
      <c r="O376" s="92"/>
      <c r="P376" s="92"/>
      <c r="Q376" s="31"/>
      <c r="R376" s="92"/>
      <c r="S376" s="92"/>
      <c r="T376" s="31"/>
      <c r="U376" s="92"/>
      <c r="V376" s="92"/>
      <c r="W376" s="31"/>
      <c r="AA376" s="93"/>
      <c r="AB376" s="93"/>
      <c r="AC376" s="83"/>
      <c r="AD376" s="83"/>
      <c r="AE376" s="93"/>
      <c r="AF376" s="93"/>
      <c r="AG376" s="83"/>
      <c r="AH376" s="83"/>
      <c r="AI376" s="93"/>
      <c r="AJ376" s="93"/>
      <c r="AK376" s="83"/>
      <c r="AL376" s="83"/>
      <c r="AM376" s="93"/>
      <c r="AN376" s="93"/>
      <c r="AO376" s="83"/>
      <c r="AP376" s="83"/>
      <c r="AQ376" s="93"/>
      <c r="AR376" s="93"/>
      <c r="AS376" s="83"/>
      <c r="AT376" s="83"/>
      <c r="AU376" s="93"/>
      <c r="AV376" s="93"/>
      <c r="AW376" s="83"/>
      <c r="AX376" s="83"/>
      <c r="AY376" s="93"/>
      <c r="AZ376" s="93"/>
    </row>
    <row r="377" spans="2:52" outlineLevel="1" x14ac:dyDescent="0.45">
      <c r="B377" s="1392"/>
      <c r="C377" s="91" t="s">
        <v>625</v>
      </c>
      <c r="D377" s="278"/>
      <c r="E377" s="91" t="s">
        <v>475</v>
      </c>
      <c r="F377" s="130">
        <f t="shared" ref="F377:H378" si="92">I377+L377+O377+R377+U377</f>
        <v>6373743000</v>
      </c>
      <c r="G377" s="130">
        <f t="shared" si="92"/>
        <v>3410576000</v>
      </c>
      <c r="H377" s="131">
        <f t="shared" si="92"/>
        <v>3134784000</v>
      </c>
      <c r="I377" s="217"/>
      <c r="J377" s="217"/>
      <c r="K377" s="217"/>
      <c r="L377" s="218">
        <v>804000</v>
      </c>
      <c r="M377" s="217">
        <v>571000</v>
      </c>
      <c r="N377" s="217"/>
      <c r="O377" s="218">
        <v>1000418000</v>
      </c>
      <c r="P377" s="217">
        <v>853114000</v>
      </c>
      <c r="Q377" s="217"/>
      <c r="R377" s="218">
        <v>1091081000</v>
      </c>
      <c r="S377" s="217">
        <v>862004000</v>
      </c>
      <c r="T377" s="217">
        <v>1157252000</v>
      </c>
      <c r="U377" s="218">
        <v>4281440000</v>
      </c>
      <c r="V377" s="217">
        <v>1694887000</v>
      </c>
      <c r="W377" s="217">
        <v>1977532000</v>
      </c>
      <c r="AA377" s="93"/>
      <c r="AB377" s="93"/>
      <c r="AC377" s="83"/>
      <c r="AD377" s="83"/>
      <c r="AE377" s="93"/>
      <c r="AF377" s="93"/>
      <c r="AG377" s="83"/>
      <c r="AH377" s="83"/>
      <c r="AI377" s="93"/>
      <c r="AJ377" s="93"/>
      <c r="AK377" s="83"/>
      <c r="AL377" s="83"/>
      <c r="AM377" s="93"/>
      <c r="AN377" s="93"/>
      <c r="AO377" s="83"/>
      <c r="AP377" s="83"/>
      <c r="AQ377" s="93"/>
      <c r="AR377" s="93"/>
      <c r="AS377" s="83"/>
      <c r="AT377" s="83"/>
      <c r="AU377" s="93"/>
      <c r="AV377" s="93"/>
      <c r="AW377" s="83"/>
      <c r="AX377" s="83"/>
      <c r="AY377" s="93"/>
      <c r="AZ377" s="93"/>
    </row>
    <row r="378" spans="2:52" outlineLevel="1" x14ac:dyDescent="0.45">
      <c r="B378" s="1392"/>
      <c r="C378" s="91" t="s">
        <v>626</v>
      </c>
      <c r="D378" s="278"/>
      <c r="E378" s="91" t="s">
        <v>19</v>
      </c>
      <c r="F378" s="130">
        <f t="shared" si="92"/>
        <v>45246000</v>
      </c>
      <c r="G378" s="130">
        <f t="shared" si="92"/>
        <v>14247000</v>
      </c>
      <c r="H378" s="131">
        <f t="shared" si="92"/>
        <v>11698000</v>
      </c>
      <c r="I378" s="217"/>
      <c r="J378" s="217"/>
      <c r="K378" s="217"/>
      <c r="L378" s="218">
        <v>78000</v>
      </c>
      <c r="M378" s="217">
        <v>81000</v>
      </c>
      <c r="N378" s="217"/>
      <c r="O378" s="218">
        <v>4616000</v>
      </c>
      <c r="P378" s="217">
        <v>3868000</v>
      </c>
      <c r="Q378" s="217"/>
      <c r="R378" s="218">
        <v>10855000</v>
      </c>
      <c r="S378" s="217">
        <v>8841000</v>
      </c>
      <c r="T378" s="217">
        <v>7085000</v>
      </c>
      <c r="U378" s="218">
        <v>29697000</v>
      </c>
      <c r="V378" s="217">
        <v>1457000</v>
      </c>
      <c r="W378" s="217">
        <v>4613000</v>
      </c>
      <c r="AA378" s="93"/>
      <c r="AB378" s="93"/>
      <c r="AC378" s="83"/>
      <c r="AD378" s="83"/>
      <c r="AE378" s="93"/>
      <c r="AF378" s="93"/>
      <c r="AG378" s="83"/>
      <c r="AH378" s="83"/>
      <c r="AI378" s="93"/>
      <c r="AJ378" s="93"/>
      <c r="AK378" s="83"/>
      <c r="AL378" s="83"/>
      <c r="AM378" s="93"/>
      <c r="AN378" s="93"/>
      <c r="AO378" s="83"/>
      <c r="AP378" s="83"/>
      <c r="AQ378" s="93"/>
      <c r="AR378" s="93"/>
      <c r="AS378" s="83"/>
      <c r="AT378" s="83"/>
      <c r="AU378" s="93"/>
      <c r="AV378" s="93"/>
      <c r="AW378" s="83"/>
      <c r="AX378" s="83"/>
      <c r="AY378" s="93"/>
      <c r="AZ378" s="93"/>
    </row>
    <row r="379" spans="2:52" outlineLevel="1" x14ac:dyDescent="0.45">
      <c r="B379" s="1392"/>
      <c r="C379" s="91" t="s">
        <v>627</v>
      </c>
      <c r="D379" s="115"/>
      <c r="E379" s="91"/>
      <c r="F379" s="89"/>
      <c r="G379" s="89"/>
      <c r="H379" s="23"/>
      <c r="I379" s="91"/>
      <c r="J379" s="92"/>
      <c r="K379" s="31"/>
      <c r="L379" s="92"/>
      <c r="M379" s="92"/>
      <c r="N379" s="31"/>
      <c r="O379" s="92"/>
      <c r="P379" s="92"/>
      <c r="Q379" s="31"/>
      <c r="R379" s="92"/>
      <c r="S379" s="92"/>
      <c r="T379" s="31"/>
      <c r="U379" s="92"/>
      <c r="V379" s="92"/>
      <c r="W379" s="31"/>
      <c r="AA379" s="93"/>
      <c r="AB379" s="93"/>
      <c r="AC379" s="83"/>
      <c r="AD379" s="83"/>
      <c r="AE379" s="93"/>
      <c r="AF379" s="93"/>
      <c r="AG379" s="83"/>
      <c r="AH379" s="83"/>
      <c r="AI379" s="93"/>
      <c r="AJ379" s="93"/>
      <c r="AK379" s="83"/>
      <c r="AL379" s="83"/>
      <c r="AM379" s="93"/>
      <c r="AN379" s="93"/>
      <c r="AO379" s="83"/>
      <c r="AP379" s="83"/>
      <c r="AQ379" s="93"/>
      <c r="AR379" s="93"/>
      <c r="AS379" s="83"/>
      <c r="AT379" s="83"/>
      <c r="AU379" s="93"/>
      <c r="AV379" s="93"/>
      <c r="AW379" s="83"/>
      <c r="AX379" s="83"/>
      <c r="AY379" s="93"/>
      <c r="AZ379" s="93"/>
    </row>
    <row r="380" spans="2:52" outlineLevel="1" x14ac:dyDescent="0.45">
      <c r="B380" s="1392"/>
      <c r="C380" s="91" t="s">
        <v>628</v>
      </c>
      <c r="D380" s="115"/>
      <c r="E380" s="11" t="s">
        <v>479</v>
      </c>
      <c r="F380" s="89"/>
      <c r="G380" s="89"/>
      <c r="H380" s="23"/>
      <c r="I380" s="91"/>
      <c r="J380" s="92"/>
      <c r="K380" s="31"/>
      <c r="L380" s="92"/>
      <c r="M380" s="92"/>
      <c r="N380" s="31"/>
      <c r="O380" s="92"/>
      <c r="P380" s="92"/>
      <c r="Q380" s="31"/>
      <c r="R380" s="92"/>
      <c r="S380" s="92"/>
      <c r="T380" s="31"/>
      <c r="U380" s="92"/>
      <c r="V380" s="92"/>
      <c r="W380" s="31"/>
      <c r="AA380" s="93"/>
      <c r="AB380" s="93"/>
      <c r="AC380" s="83"/>
      <c r="AD380" s="83"/>
      <c r="AE380" s="93"/>
      <c r="AF380" s="93"/>
      <c r="AG380" s="83"/>
      <c r="AH380" s="83"/>
      <c r="AI380" s="93"/>
      <c r="AJ380" s="93"/>
      <c r="AK380" s="83"/>
      <c r="AL380" s="83"/>
      <c r="AM380" s="93"/>
      <c r="AN380" s="93"/>
      <c r="AO380" s="83"/>
      <c r="AP380" s="83"/>
      <c r="AQ380" s="93"/>
      <c r="AR380" s="93"/>
      <c r="AS380" s="83"/>
      <c r="AT380" s="83"/>
      <c r="AU380" s="93"/>
      <c r="AV380" s="93"/>
      <c r="AW380" s="83"/>
      <c r="AX380" s="83"/>
      <c r="AY380" s="93"/>
      <c r="AZ380" s="93"/>
    </row>
    <row r="381" spans="2:52" outlineLevel="1" x14ac:dyDescent="0.45">
      <c r="B381" s="1392"/>
      <c r="C381" s="91" t="s">
        <v>629</v>
      </c>
      <c r="D381" s="115"/>
      <c r="E381" s="91" t="s">
        <v>392</v>
      </c>
      <c r="F381" s="130">
        <f>I381+L381+O381+R381+U381</f>
        <v>13274959000</v>
      </c>
      <c r="G381" s="130">
        <f>J381+M381+P381+S381+V381</f>
        <v>13316096000</v>
      </c>
      <c r="H381" s="131">
        <f>K381+N381+Q381+T381+W381</f>
        <v>0</v>
      </c>
      <c r="I381" s="217">
        <v>2523803000</v>
      </c>
      <c r="J381" s="217">
        <v>2392718000</v>
      </c>
      <c r="K381" s="217"/>
      <c r="L381" s="218">
        <v>1350936000</v>
      </c>
      <c r="M381" s="217">
        <v>1061756000</v>
      </c>
      <c r="N381" s="217"/>
      <c r="O381" s="218">
        <v>4108399000</v>
      </c>
      <c r="P381" s="217">
        <v>4417641000</v>
      </c>
      <c r="Q381" s="217"/>
      <c r="R381" s="218">
        <v>3332584000</v>
      </c>
      <c r="S381" s="217">
        <v>3509045000</v>
      </c>
      <c r="T381" s="217"/>
      <c r="U381" s="218">
        <v>1959237000</v>
      </c>
      <c r="V381" s="217">
        <v>1934936000</v>
      </c>
      <c r="W381" s="217"/>
      <c r="AA381" s="93"/>
      <c r="AB381" s="93"/>
      <c r="AC381" s="83" t="s">
        <v>393</v>
      </c>
      <c r="AD381" s="83"/>
      <c r="AE381" s="93"/>
      <c r="AF381" s="93"/>
      <c r="AG381" s="83" t="s">
        <v>393</v>
      </c>
      <c r="AH381" s="83"/>
      <c r="AI381" s="93"/>
      <c r="AJ381" s="93"/>
      <c r="AK381" s="83" t="s">
        <v>393</v>
      </c>
      <c r="AL381" s="83"/>
      <c r="AM381" s="93"/>
      <c r="AN381" s="93"/>
      <c r="AO381" s="83" t="s">
        <v>393</v>
      </c>
      <c r="AP381" s="83"/>
      <c r="AQ381" s="93"/>
      <c r="AR381" s="93"/>
      <c r="AS381" s="83" t="s">
        <v>393</v>
      </c>
      <c r="AT381" s="83"/>
      <c r="AU381" s="93"/>
      <c r="AV381" s="93"/>
      <c r="AW381" s="83" t="s">
        <v>393</v>
      </c>
      <c r="AX381" s="83"/>
      <c r="AY381" s="93"/>
      <c r="AZ381" s="93"/>
    </row>
    <row r="382" spans="2:52" outlineLevel="1" x14ac:dyDescent="0.45">
      <c r="B382" s="1392"/>
      <c r="C382" s="91" t="s">
        <v>630</v>
      </c>
      <c r="D382" s="115"/>
      <c r="E382" s="91"/>
      <c r="F382" s="89"/>
      <c r="G382" s="89"/>
      <c r="H382" s="23"/>
      <c r="I382" s="91"/>
      <c r="J382" s="92"/>
      <c r="K382" s="31"/>
      <c r="L382" s="92"/>
      <c r="M382" s="92"/>
      <c r="N382" s="31"/>
      <c r="O382" s="92"/>
      <c r="P382" s="92"/>
      <c r="Q382" s="31"/>
      <c r="R382" s="92"/>
      <c r="S382" s="92"/>
      <c r="T382" s="31"/>
      <c r="U382" s="92"/>
      <c r="V382" s="92"/>
      <c r="W382" s="31"/>
      <c r="AA382" s="93"/>
      <c r="AB382" s="93"/>
      <c r="AC382" s="83"/>
      <c r="AD382" s="83"/>
      <c r="AE382" s="93"/>
      <c r="AF382" s="93"/>
      <c r="AG382" s="83"/>
      <c r="AH382" s="83"/>
      <c r="AI382" s="93"/>
      <c r="AJ382" s="93"/>
      <c r="AK382" s="83"/>
      <c r="AL382" s="83"/>
      <c r="AM382" s="93"/>
      <c r="AN382" s="93"/>
      <c r="AO382" s="83"/>
      <c r="AP382" s="83"/>
      <c r="AQ382" s="93"/>
      <c r="AR382" s="93"/>
      <c r="AS382" s="83"/>
      <c r="AT382" s="83"/>
      <c r="AU382" s="93"/>
      <c r="AV382" s="93"/>
      <c r="AW382" s="83"/>
      <c r="AX382" s="83"/>
      <c r="AY382" s="93"/>
      <c r="AZ382" s="93"/>
    </row>
    <row r="383" spans="2:52" outlineLevel="1" x14ac:dyDescent="0.45">
      <c r="B383" s="1392"/>
      <c r="C383" s="91" t="s">
        <v>631</v>
      </c>
      <c r="D383" s="115"/>
      <c r="E383" s="91"/>
      <c r="F383" s="89"/>
      <c r="G383" s="89"/>
      <c r="H383" s="23"/>
      <c r="I383" s="91"/>
      <c r="J383" s="92"/>
      <c r="K383" s="31"/>
      <c r="L383" s="92"/>
      <c r="M383" s="92"/>
      <c r="N383" s="31"/>
      <c r="O383" s="92"/>
      <c r="P383" s="92"/>
      <c r="Q383" s="31"/>
      <c r="R383" s="92"/>
      <c r="S383" s="92"/>
      <c r="T383" s="31"/>
      <c r="U383" s="92"/>
      <c r="V383" s="92"/>
      <c r="W383" s="31"/>
      <c r="AA383" s="93"/>
      <c r="AB383" s="93"/>
      <c r="AC383" s="83"/>
      <c r="AD383" s="83"/>
      <c r="AE383" s="93"/>
      <c r="AF383" s="93"/>
      <c r="AG383" s="83"/>
      <c r="AH383" s="83"/>
      <c r="AI383" s="93"/>
      <c r="AJ383" s="93"/>
      <c r="AK383" s="83"/>
      <c r="AL383" s="83"/>
      <c r="AM383" s="93"/>
      <c r="AN383" s="93"/>
      <c r="AO383" s="83"/>
      <c r="AP383" s="83"/>
      <c r="AQ383" s="93"/>
      <c r="AR383" s="93"/>
      <c r="AS383" s="83"/>
      <c r="AT383" s="83"/>
      <c r="AU383" s="93"/>
      <c r="AV383" s="93"/>
      <c r="AW383" s="83"/>
      <c r="AX383" s="83"/>
      <c r="AY383" s="93"/>
      <c r="AZ383" s="93"/>
    </row>
    <row r="384" spans="2:52" outlineLevel="1" x14ac:dyDescent="0.45">
      <c r="B384" s="1392"/>
      <c r="C384" s="91" t="s">
        <v>632</v>
      </c>
      <c r="D384" s="115"/>
      <c r="E384" s="91"/>
      <c r="F384" s="89"/>
      <c r="G384" s="89"/>
      <c r="H384" s="23"/>
      <c r="I384" s="91"/>
      <c r="J384" s="92"/>
      <c r="K384" s="31"/>
      <c r="L384" s="92"/>
      <c r="M384" s="92"/>
      <c r="N384" s="31"/>
      <c r="O384" s="92"/>
      <c r="P384" s="92"/>
      <c r="Q384" s="31"/>
      <c r="R384" s="92"/>
      <c r="S384" s="92"/>
      <c r="T384" s="31"/>
      <c r="U384" s="92"/>
      <c r="V384" s="92"/>
      <c r="W384" s="31"/>
      <c r="AA384" s="93"/>
      <c r="AB384" s="93"/>
      <c r="AC384" s="83"/>
      <c r="AD384" s="83"/>
      <c r="AE384" s="93"/>
      <c r="AF384" s="93"/>
      <c r="AG384" s="83"/>
      <c r="AH384" s="83"/>
      <c r="AI384" s="93"/>
      <c r="AJ384" s="93"/>
      <c r="AK384" s="83"/>
      <c r="AL384" s="83"/>
      <c r="AM384" s="93"/>
      <c r="AN384" s="93"/>
      <c r="AO384" s="83"/>
      <c r="AP384" s="83"/>
      <c r="AQ384" s="93"/>
      <c r="AR384" s="93"/>
      <c r="AS384" s="83"/>
      <c r="AT384" s="83"/>
      <c r="AU384" s="93"/>
      <c r="AV384" s="93"/>
      <c r="AW384" s="83"/>
      <c r="AX384" s="83"/>
      <c r="AY384" s="93"/>
      <c r="AZ384" s="93"/>
    </row>
    <row r="385" spans="2:52" outlineLevel="1" x14ac:dyDescent="0.45">
      <c r="B385" s="1392"/>
      <c r="C385" s="91" t="s">
        <v>633</v>
      </c>
      <c r="D385" s="115"/>
      <c r="E385" s="11" t="s">
        <v>400</v>
      </c>
      <c r="F385" s="89"/>
      <c r="G385" s="89"/>
      <c r="H385" s="23"/>
      <c r="I385" s="91"/>
      <c r="J385" s="92"/>
      <c r="K385" s="31"/>
      <c r="L385" s="92"/>
      <c r="M385" s="92"/>
      <c r="N385" s="31"/>
      <c r="O385" s="92"/>
      <c r="P385" s="92"/>
      <c r="Q385" s="31"/>
      <c r="R385" s="92"/>
      <c r="S385" s="92"/>
      <c r="T385" s="31"/>
      <c r="U385" s="92"/>
      <c r="V385" s="92"/>
      <c r="W385" s="31"/>
      <c r="AA385" s="93"/>
      <c r="AB385" s="93"/>
      <c r="AC385" s="83"/>
      <c r="AD385" s="83"/>
      <c r="AE385" s="93"/>
      <c r="AF385" s="93"/>
      <c r="AG385" s="83"/>
      <c r="AH385" s="83"/>
      <c r="AI385" s="93"/>
      <c r="AJ385" s="93"/>
      <c r="AK385" s="83"/>
      <c r="AL385" s="83"/>
      <c r="AM385" s="93"/>
      <c r="AN385" s="93"/>
      <c r="AO385" s="83"/>
      <c r="AP385" s="83"/>
      <c r="AQ385" s="93"/>
      <c r="AR385" s="93"/>
      <c r="AS385" s="83"/>
      <c r="AT385" s="83"/>
      <c r="AU385" s="93"/>
      <c r="AV385" s="93"/>
      <c r="AW385" s="83"/>
      <c r="AX385" s="83"/>
      <c r="AY385" s="93"/>
      <c r="AZ385" s="93"/>
    </row>
    <row r="386" spans="2:52" outlineLevel="1" x14ac:dyDescent="0.45">
      <c r="B386" s="1392"/>
      <c r="C386" s="91" t="s">
        <v>634</v>
      </c>
      <c r="D386" s="115">
        <v>1</v>
      </c>
      <c r="E386" s="87" t="s">
        <v>402</v>
      </c>
      <c r="F386" s="247">
        <f>IF(SUM(F347:F348)&lt;&gt;0,F372/SUM(F347:F348),0)</f>
        <v>2.4037365840731417</v>
      </c>
      <c r="G386" s="247">
        <f>IF(SUM(G347:G348)&lt;&gt;0,G372/SUM(G347:G348),0)</f>
        <v>4.645439469320066</v>
      </c>
      <c r="H386" s="248">
        <f>IF(SUM(H347:H348)&lt;&gt;0,H372/SUM(H347:H348),0)</f>
        <v>1.8051575931232091</v>
      </c>
      <c r="I386" s="249">
        <f>IF(SUM(U347:U348)&lt;&gt;0,I372/SUM(U347:U348),0)</f>
        <v>0</v>
      </c>
      <c r="J386" s="247">
        <f t="shared" ref="J386:W387" si="93">IF(SUM(J347:J348)&lt;&gt;0,J372/SUM(J347:J348),0)</f>
        <v>0</v>
      </c>
      <c r="K386" s="248">
        <f t="shared" si="93"/>
        <v>0</v>
      </c>
      <c r="L386" s="247">
        <f t="shared" si="93"/>
        <v>0</v>
      </c>
      <c r="M386" s="247">
        <f t="shared" si="93"/>
        <v>0</v>
      </c>
      <c r="N386" s="248">
        <f t="shared" si="93"/>
        <v>0</v>
      </c>
      <c r="O386" s="247">
        <f t="shared" si="93"/>
        <v>3.4704244954766876</v>
      </c>
      <c r="P386" s="247">
        <f t="shared" si="93"/>
        <v>4.1347747747747752</v>
      </c>
      <c r="Q386" s="248">
        <f t="shared" si="93"/>
        <v>0</v>
      </c>
      <c r="R386" s="247">
        <f t="shared" si="93"/>
        <v>0</v>
      </c>
      <c r="S386" s="247">
        <f t="shared" si="93"/>
        <v>0</v>
      </c>
      <c r="T386" s="248">
        <f t="shared" si="93"/>
        <v>0</v>
      </c>
      <c r="U386" s="247">
        <f t="shared" si="93"/>
        <v>1.3665739353734219</v>
      </c>
      <c r="V386" s="247">
        <f t="shared" si="93"/>
        <v>0</v>
      </c>
      <c r="W386" s="248">
        <f t="shared" si="93"/>
        <v>0</v>
      </c>
      <c r="AA386" s="93"/>
      <c r="AB386" s="93"/>
      <c r="AC386" s="83"/>
      <c r="AD386" s="83"/>
      <c r="AE386" s="93"/>
      <c r="AF386" s="93"/>
      <c r="AG386" s="83"/>
      <c r="AH386" s="83"/>
      <c r="AI386" s="93"/>
      <c r="AJ386" s="93"/>
      <c r="AK386" s="83"/>
      <c r="AL386" s="83"/>
      <c r="AM386" s="93"/>
      <c r="AN386" s="93"/>
      <c r="AO386" s="83"/>
      <c r="AP386" s="83"/>
      <c r="AQ386" s="93"/>
      <c r="AR386" s="93"/>
      <c r="AS386" s="83"/>
      <c r="AT386" s="83"/>
      <c r="AU386" s="93"/>
      <c r="AV386" s="93"/>
      <c r="AW386" s="83"/>
      <c r="AX386" s="83"/>
      <c r="AY386" s="93"/>
      <c r="AZ386" s="93"/>
    </row>
    <row r="387" spans="2:52" outlineLevel="1" x14ac:dyDescent="0.45">
      <c r="B387" s="1392"/>
      <c r="C387" s="91" t="s">
        <v>635</v>
      </c>
      <c r="D387" s="115">
        <v>2</v>
      </c>
      <c r="E387" s="87" t="s">
        <v>405</v>
      </c>
      <c r="F387" s="247">
        <f>IF(F346&lt;&gt;0,F373/F346,0)</f>
        <v>9.3236994219653173</v>
      </c>
      <c r="G387" s="247">
        <f>IF(G346&lt;&gt;0,G373/G346,0)</f>
        <v>0.50068006649539065</v>
      </c>
      <c r="H387" s="248">
        <f>IF(H346&lt;&gt;0,H373/H346,0)</f>
        <v>0.3322023442319556</v>
      </c>
      <c r="I387" s="249">
        <f>IF(U346&lt;&gt;0,I373/U346,0)</f>
        <v>0</v>
      </c>
      <c r="J387" s="247">
        <f t="shared" ref="J387:W387" si="94">IF(J346&lt;&gt;0,J373/J346,0)</f>
        <v>0</v>
      </c>
      <c r="K387" s="248">
        <f t="shared" si="94"/>
        <v>0</v>
      </c>
      <c r="L387" s="247">
        <f t="shared" si="94"/>
        <v>6.6279069767441856E-2</v>
      </c>
      <c r="M387" s="247">
        <f t="shared" si="94"/>
        <v>0.43715846994535518</v>
      </c>
      <c r="N387" s="248">
        <f t="shared" si="94"/>
        <v>0</v>
      </c>
      <c r="O387" s="247">
        <f t="shared" si="94"/>
        <v>0.93167701863354035</v>
      </c>
      <c r="P387" s="247">
        <f t="shared" si="94"/>
        <v>1.3060747663551402</v>
      </c>
      <c r="Q387" s="248">
        <f t="shared" si="94"/>
        <v>0</v>
      </c>
      <c r="R387" s="247">
        <f t="shared" si="94"/>
        <v>0.25896551724137928</v>
      </c>
      <c r="S387" s="247">
        <f t="shared" si="94"/>
        <v>0.19214876033057851</v>
      </c>
      <c r="T387" s="248">
        <f t="shared" si="94"/>
        <v>0.3322023442319556</v>
      </c>
      <c r="U387" s="247">
        <f t="shared" si="93"/>
        <v>1.9490761508063654</v>
      </c>
      <c r="V387" s="247">
        <f t="shared" si="94"/>
        <v>0</v>
      </c>
      <c r="W387" s="248">
        <f t="shared" si="94"/>
        <v>0</v>
      </c>
      <c r="AA387" s="93"/>
      <c r="AB387" s="93"/>
      <c r="AC387" s="83"/>
      <c r="AD387" s="83"/>
      <c r="AE387" s="93"/>
      <c r="AF387" s="93"/>
      <c r="AG387" s="83"/>
      <c r="AH387" s="83"/>
      <c r="AI387" s="93"/>
      <c r="AJ387" s="93"/>
      <c r="AK387" s="83"/>
      <c r="AL387" s="83"/>
      <c r="AM387" s="93"/>
      <c r="AN387" s="93"/>
      <c r="AO387" s="83"/>
      <c r="AP387" s="83"/>
      <c r="AQ387" s="93"/>
      <c r="AR387" s="93"/>
      <c r="AS387" s="83"/>
      <c r="AT387" s="83"/>
      <c r="AU387" s="93"/>
      <c r="AV387" s="93"/>
      <c r="AW387" s="83"/>
      <c r="AX387" s="83"/>
      <c r="AY387" s="93"/>
      <c r="AZ387" s="93"/>
    </row>
    <row r="388" spans="2:52" outlineLevel="1" x14ac:dyDescent="0.45">
      <c r="B388" s="1392"/>
      <c r="C388" s="91" t="s">
        <v>636</v>
      </c>
      <c r="D388" s="115">
        <v>3</v>
      </c>
      <c r="E388" s="87" t="s">
        <v>407</v>
      </c>
      <c r="F388" s="195">
        <f>IF(F$85&lt;&gt;0,F$86/F$85,0)</f>
        <v>3.7890504175688212E-2</v>
      </c>
      <c r="G388" s="195">
        <f>IF(G$85&lt;&gt;0,G$86/G$85,0)</f>
        <v>3.5734020998342234E-2</v>
      </c>
      <c r="H388" s="196">
        <f>IF(H$85&lt;&gt;0,H$86/H$85,0)</f>
        <v>3.8430744595676539E-2</v>
      </c>
      <c r="I388" s="250">
        <f>IF(I$85&lt;&gt;0,I$86/I$85,0)</f>
        <v>0.10743801652892562</v>
      </c>
      <c r="J388" s="195">
        <f t="shared" ref="J388:W388" si="95">IF(J$85&lt;&gt;0,J$86/J$85,0)</f>
        <v>0.12605042016806722</v>
      </c>
      <c r="K388" s="196">
        <f t="shared" si="95"/>
        <v>0.11504424778761062</v>
      </c>
      <c r="L388" s="195">
        <f>IF(L$85&lt;&gt;0,L$86/L$85,0)</f>
        <v>0</v>
      </c>
      <c r="M388" s="195">
        <f t="shared" si="95"/>
        <v>0</v>
      </c>
      <c r="N388" s="196">
        <f t="shared" si="95"/>
        <v>0</v>
      </c>
      <c r="O388" s="195">
        <f>IF(O$85&lt;&gt;0,O$86/O$85,0)</f>
        <v>7.3394495412844041E-3</v>
      </c>
      <c r="P388" s="195">
        <f t="shared" si="95"/>
        <v>8.0459770114942528E-3</v>
      </c>
      <c r="Q388" s="196">
        <f t="shared" si="95"/>
        <v>6.9444444444444441E-3</v>
      </c>
      <c r="R388" s="195">
        <f>IF(R$85&lt;&gt;0,R$86/R$85,0)</f>
        <v>2.0463320463320462E-2</v>
      </c>
      <c r="S388" s="195">
        <f t="shared" si="95"/>
        <v>2.36318407960199E-2</v>
      </c>
      <c r="T388" s="196">
        <f t="shared" si="95"/>
        <v>2.8169014084507043E-2</v>
      </c>
      <c r="U388" s="195">
        <f>IF(U$85&lt;&gt;0,U$86/U$85,0)</f>
        <v>6.4165103189493436E-2</v>
      </c>
      <c r="V388" s="195">
        <f t="shared" si="95"/>
        <v>5.6706114398422089E-2</v>
      </c>
      <c r="W388" s="196">
        <f t="shared" si="95"/>
        <v>6.1881188118811881E-2</v>
      </c>
      <c r="AA388" s="93"/>
      <c r="AB388" s="93"/>
      <c r="AC388" s="83"/>
      <c r="AD388" s="83"/>
      <c r="AE388" s="93"/>
      <c r="AF388" s="93"/>
      <c r="AG388" s="83"/>
      <c r="AH388" s="83"/>
      <c r="AI388" s="93"/>
      <c r="AJ388" s="93"/>
      <c r="AK388" s="83"/>
      <c r="AL388" s="83"/>
      <c r="AM388" s="93"/>
      <c r="AN388" s="93"/>
      <c r="AO388" s="83"/>
      <c r="AP388" s="83"/>
      <c r="AQ388" s="93"/>
      <c r="AR388" s="93"/>
      <c r="AS388" s="83"/>
      <c r="AT388" s="83"/>
      <c r="AU388" s="93"/>
      <c r="AV388" s="93"/>
      <c r="AW388" s="83"/>
      <c r="AX388" s="83"/>
      <c r="AY388" s="93"/>
      <c r="AZ388" s="93"/>
    </row>
    <row r="389" spans="2:52" outlineLevel="1" x14ac:dyDescent="0.45">
      <c r="B389" s="1392"/>
      <c r="C389" s="91" t="s">
        <v>637</v>
      </c>
      <c r="D389" s="115">
        <v>4</v>
      </c>
      <c r="E389" s="87" t="s">
        <v>409</v>
      </c>
      <c r="F389" s="195">
        <f>IF(F$139&lt;&gt;0,F$140/F$139,0)</f>
        <v>0.30743887636552802</v>
      </c>
      <c r="G389" s="195">
        <f>IF(G$139&lt;&gt;0,G$140/G$139,0)</f>
        <v>0.28598200899550225</v>
      </c>
      <c r="H389" s="196">
        <f>IF(H$139&lt;&gt;0,H$140/H$139,0)</f>
        <v>0.3328814872192099</v>
      </c>
      <c r="I389" s="250">
        <f>IF(I$139&lt;&gt;0,I$140/I$139,0)</f>
        <v>0.74698795180722888</v>
      </c>
      <c r="J389" s="195">
        <f t="shared" ref="J389:W389" si="96">IF(J$139&lt;&gt;0,J$140/J$139,0)</f>
        <v>0.4375</v>
      </c>
      <c r="K389" s="196">
        <f t="shared" si="96"/>
        <v>0.54736842105263162</v>
      </c>
      <c r="L389" s="195">
        <f>IF(L$139&lt;&gt;0,L$140/L$139,0)</f>
        <v>9.5238095238095233E-2</v>
      </c>
      <c r="M389" s="195">
        <f t="shared" si="96"/>
        <v>3.125E-2</v>
      </c>
      <c r="N389" s="196">
        <f t="shared" si="96"/>
        <v>0</v>
      </c>
      <c r="O389" s="195">
        <f>IF(O$139&lt;&gt;0,O$140/O$139,0)</f>
        <v>6.4215148188803514E-2</v>
      </c>
      <c r="P389" s="195">
        <f t="shared" si="96"/>
        <v>4.1759465478841871E-2</v>
      </c>
      <c r="Q389" s="196">
        <f t="shared" si="96"/>
        <v>4.6690307328605199E-2</v>
      </c>
      <c r="R389" s="195">
        <f>IF(R$139&lt;&gt;0,R$140/R$139,0)</f>
        <v>0.23907956318252729</v>
      </c>
      <c r="S389" s="195">
        <f t="shared" si="96"/>
        <v>0.27137096774193548</v>
      </c>
      <c r="T389" s="196">
        <f t="shared" si="96"/>
        <v>0.35398230088495575</v>
      </c>
      <c r="U389" s="195">
        <f>IF(U$139&lt;&gt;0,U$140/U$139,0)</f>
        <v>0.82199546485260766</v>
      </c>
      <c r="V389" s="195">
        <f t="shared" si="96"/>
        <v>0.83685446009389675</v>
      </c>
      <c r="W389" s="196">
        <f t="shared" si="96"/>
        <v>0.83985765124555156</v>
      </c>
      <c r="AA389" s="93"/>
      <c r="AB389" s="93"/>
      <c r="AC389" s="83"/>
      <c r="AD389" s="83"/>
      <c r="AE389" s="93"/>
      <c r="AF389" s="93"/>
      <c r="AG389" s="83"/>
      <c r="AH389" s="83"/>
      <c r="AI389" s="93"/>
      <c r="AJ389" s="93"/>
      <c r="AK389" s="83"/>
      <c r="AL389" s="83"/>
      <c r="AM389" s="93"/>
      <c r="AN389" s="93"/>
      <c r="AO389" s="83"/>
      <c r="AP389" s="83"/>
      <c r="AQ389" s="93"/>
      <c r="AR389" s="93"/>
      <c r="AS389" s="83"/>
      <c r="AT389" s="83"/>
      <c r="AU389" s="93"/>
      <c r="AV389" s="93"/>
      <c r="AW389" s="83"/>
      <c r="AX389" s="83"/>
      <c r="AY389" s="93"/>
      <c r="AZ389" s="93"/>
    </row>
    <row r="390" spans="2:52" outlineLevel="1" x14ac:dyDescent="0.45">
      <c r="B390" s="1392"/>
      <c r="C390" s="91" t="s">
        <v>638</v>
      </c>
      <c r="D390" s="115">
        <v>5</v>
      </c>
      <c r="E390" s="116" t="s">
        <v>411</v>
      </c>
      <c r="F390" s="251"/>
      <c r="G390" s="195">
        <f>IF(F$130&lt;&gt;0,G$130/F$130,0)</f>
        <v>0.73369537590465173</v>
      </c>
      <c r="H390" s="196">
        <f>IF(G$130&lt;&gt;0,H$130/G$130,0)</f>
        <v>58.305580012254282</v>
      </c>
      <c r="I390" s="252"/>
      <c r="J390" s="195">
        <f>IF(I$130&lt;&gt;0,J$130/I$130,0)</f>
        <v>0.73369537590465173</v>
      </c>
      <c r="K390" s="196">
        <f>IF(J$130&lt;&gt;0,K$130/J$130,0)</f>
        <v>0.61576389611397953</v>
      </c>
      <c r="L390" s="251"/>
      <c r="M390" s="195">
        <f>IF(L$130&lt;&gt;0,M$130/L$130,0)</f>
        <v>0</v>
      </c>
      <c r="N390" s="196">
        <f>IF(M$130&lt;&gt;0,N$130/M$130,0)</f>
        <v>0</v>
      </c>
      <c r="O390" s="251"/>
      <c r="P390" s="195">
        <f>IF(O$130&lt;&gt;0,P$130/O$130,0)</f>
        <v>0</v>
      </c>
      <c r="Q390" s="196">
        <f>IF(P$130&lt;&gt;0,Q$130/P$130,0)</f>
        <v>0</v>
      </c>
      <c r="R390" s="251"/>
      <c r="S390" s="195">
        <f>IF(R$130&lt;&gt;0,S$130/R$130,0)</f>
        <v>0</v>
      </c>
      <c r="T390" s="196">
        <f>IF(S$130&lt;&gt;0,T$130/S$130,0)</f>
        <v>0</v>
      </c>
      <c r="U390" s="251"/>
      <c r="V390" s="195">
        <f>IF(U$130&lt;&gt;0,V$130/U$130,0)</f>
        <v>0</v>
      </c>
      <c r="W390" s="196">
        <f>IF(V$130&lt;&gt;0,W$130/V$130,0)</f>
        <v>0</v>
      </c>
      <c r="AA390" s="93"/>
      <c r="AB390" s="93"/>
      <c r="AC390" s="83"/>
      <c r="AD390" s="83"/>
      <c r="AE390" s="93"/>
      <c r="AF390" s="93"/>
      <c r="AG390" s="83"/>
      <c r="AH390" s="83"/>
      <c r="AI390" s="93"/>
      <c r="AJ390" s="93"/>
      <c r="AK390" s="83"/>
      <c r="AL390" s="83"/>
      <c r="AM390" s="93"/>
      <c r="AN390" s="93"/>
      <c r="AO390" s="83"/>
      <c r="AP390" s="83"/>
      <c r="AQ390" s="93"/>
      <c r="AR390" s="93"/>
      <c r="AS390" s="83"/>
      <c r="AT390" s="83"/>
      <c r="AU390" s="93"/>
      <c r="AV390" s="93"/>
      <c r="AW390" s="83"/>
      <c r="AX390" s="83"/>
      <c r="AY390" s="93"/>
      <c r="AZ390" s="93"/>
    </row>
    <row r="391" spans="2:52" outlineLevel="1" x14ac:dyDescent="0.45">
      <c r="B391" s="1392"/>
      <c r="C391" s="91" t="s">
        <v>639</v>
      </c>
      <c r="D391" s="115">
        <v>6</v>
      </c>
      <c r="E391" s="116" t="s">
        <v>415</v>
      </c>
      <c r="F391" s="247">
        <f>IF(COUNTA(I391,L391,O391,R391,U391)&gt;0,SUM(I391,L391,O391,R391,U391)/COUNTA(I391,L391,O391,R391,U391),0)</f>
        <v>0</v>
      </c>
      <c r="G391" s="247">
        <f>IF(COUNTA(J391,M391,P391,S391,V391)&gt;0,SUM(J391,M391,P391,S391,V391)/COUNTA(J391,M391,P391,S391,V391),0)</f>
        <v>0</v>
      </c>
      <c r="H391" s="248">
        <f>IF(COUNTA(K391,N391,Q391,T391,W391)&gt;0,SUM(K391,N391,Q391,T391,W391)/COUNTA(K391,N391,Q391,T391,W391),0)</f>
        <v>0</v>
      </c>
      <c r="I391" s="273"/>
      <c r="J391" s="273"/>
      <c r="K391" s="273"/>
      <c r="L391" s="273"/>
      <c r="M391" s="273"/>
      <c r="N391" s="273"/>
      <c r="O391" s="273"/>
      <c r="P391" s="273"/>
      <c r="Q391" s="273"/>
      <c r="R391" s="273"/>
      <c r="S391" s="273"/>
      <c r="T391" s="273"/>
      <c r="U391" s="273"/>
      <c r="V391" s="273"/>
      <c r="W391" s="273"/>
      <c r="AA391" s="93"/>
      <c r="AB391" s="93"/>
      <c r="AC391" s="83"/>
      <c r="AD391" s="83"/>
      <c r="AE391" s="93"/>
      <c r="AF391" s="93"/>
      <c r="AG391" s="83"/>
      <c r="AH391" s="83"/>
      <c r="AI391" s="93"/>
      <c r="AJ391" s="93"/>
      <c r="AK391" s="83"/>
      <c r="AL391" s="83"/>
      <c r="AM391" s="93"/>
      <c r="AN391" s="93"/>
      <c r="AO391" s="83"/>
      <c r="AP391" s="83"/>
      <c r="AQ391" s="93"/>
      <c r="AR391" s="93"/>
      <c r="AS391" s="83"/>
      <c r="AT391" s="83"/>
      <c r="AU391" s="93"/>
      <c r="AV391" s="93"/>
      <c r="AW391" s="83"/>
      <c r="AX391" s="83"/>
      <c r="AY391" s="93"/>
      <c r="AZ391" s="93"/>
    </row>
    <row r="392" spans="2:52" outlineLevel="1" x14ac:dyDescent="0.45">
      <c r="B392" s="1392"/>
      <c r="C392" s="91" t="s">
        <v>640</v>
      </c>
      <c r="D392" s="115">
        <v>7</v>
      </c>
      <c r="E392" s="116" t="s">
        <v>417</v>
      </c>
      <c r="F392" s="247">
        <f>IF(F368&lt;&gt;0,F355/F368,0)</f>
        <v>0</v>
      </c>
      <c r="G392" s="247">
        <f>IF(G368&lt;&gt;0,G355/G368,0)</f>
        <v>0</v>
      </c>
      <c r="H392" s="248">
        <f>IF(H368&lt;&gt;0,H355/H368,0)</f>
        <v>0</v>
      </c>
      <c r="I392" s="249">
        <f>IF(I368&lt;&gt;0,U355/I368,0)</f>
        <v>0</v>
      </c>
      <c r="J392" s="247">
        <f t="shared" ref="J392:W392" si="97">IF(J368&lt;&gt;0,J355/J368,0)</f>
        <v>0</v>
      </c>
      <c r="K392" s="248">
        <f t="shared" si="97"/>
        <v>0</v>
      </c>
      <c r="L392" s="247">
        <f t="shared" si="97"/>
        <v>0</v>
      </c>
      <c r="M392" s="247">
        <f t="shared" si="97"/>
        <v>0</v>
      </c>
      <c r="N392" s="248">
        <f t="shared" si="97"/>
        <v>0</v>
      </c>
      <c r="O392" s="247">
        <f t="shared" si="97"/>
        <v>0</v>
      </c>
      <c r="P392" s="247">
        <f t="shared" si="97"/>
        <v>0</v>
      </c>
      <c r="Q392" s="248">
        <f t="shared" si="97"/>
        <v>0</v>
      </c>
      <c r="R392" s="247">
        <f t="shared" si="97"/>
        <v>0</v>
      </c>
      <c r="S392" s="247">
        <f t="shared" si="97"/>
        <v>0</v>
      </c>
      <c r="T392" s="248">
        <f t="shared" si="97"/>
        <v>0</v>
      </c>
      <c r="U392" s="247">
        <f t="shared" si="97"/>
        <v>0</v>
      </c>
      <c r="V392" s="247">
        <f t="shared" si="97"/>
        <v>0</v>
      </c>
      <c r="W392" s="248">
        <f t="shared" si="97"/>
        <v>0</v>
      </c>
      <c r="AA392" s="93"/>
      <c r="AB392" s="93"/>
      <c r="AC392" s="83"/>
      <c r="AD392" s="83"/>
      <c r="AE392" s="93"/>
      <c r="AF392" s="93"/>
      <c r="AG392" s="83"/>
      <c r="AH392" s="83"/>
      <c r="AI392" s="93"/>
      <c r="AJ392" s="93"/>
      <c r="AK392" s="83"/>
      <c r="AL392" s="83"/>
      <c r="AM392" s="93"/>
      <c r="AN392" s="93"/>
      <c r="AO392" s="83"/>
      <c r="AP392" s="83"/>
      <c r="AQ392" s="93"/>
      <c r="AR392" s="93"/>
      <c r="AS392" s="83"/>
      <c r="AT392" s="83"/>
      <c r="AU392" s="93"/>
      <c r="AV392" s="93"/>
      <c r="AW392" s="83"/>
      <c r="AX392" s="83"/>
      <c r="AY392" s="93"/>
      <c r="AZ392" s="93"/>
    </row>
    <row r="393" spans="2:52" outlineLevel="1" x14ac:dyDescent="0.45">
      <c r="B393" s="1392"/>
      <c r="C393" s="91" t="s">
        <v>641</v>
      </c>
      <c r="D393" s="115">
        <v>8</v>
      </c>
      <c r="E393" s="13" t="s">
        <v>419</v>
      </c>
      <c r="F393" s="247"/>
      <c r="G393" s="247"/>
      <c r="H393" s="248"/>
      <c r="I393" s="249"/>
      <c r="J393" s="247"/>
      <c r="K393" s="248"/>
      <c r="L393" s="247"/>
      <c r="M393" s="247"/>
      <c r="N393" s="248"/>
      <c r="O393" s="247"/>
      <c r="P393" s="247"/>
      <c r="Q393" s="248"/>
      <c r="R393" s="247"/>
      <c r="S393" s="247"/>
      <c r="T393" s="248"/>
      <c r="U393" s="247"/>
      <c r="V393" s="247"/>
      <c r="W393" s="248"/>
      <c r="AA393" s="93"/>
      <c r="AB393" s="93"/>
      <c r="AC393" s="83"/>
      <c r="AD393" s="83"/>
      <c r="AE393" s="93"/>
      <c r="AF393" s="93"/>
      <c r="AG393" s="83"/>
      <c r="AH393" s="83"/>
      <c r="AI393" s="93"/>
      <c r="AJ393" s="93"/>
      <c r="AK393" s="83"/>
      <c r="AL393" s="83"/>
      <c r="AM393" s="93"/>
      <c r="AN393" s="93"/>
      <c r="AO393" s="83"/>
      <c r="AP393" s="83"/>
      <c r="AQ393" s="93"/>
      <c r="AR393" s="93"/>
      <c r="AS393" s="83"/>
      <c r="AT393" s="83"/>
      <c r="AU393" s="93"/>
      <c r="AV393" s="93"/>
      <c r="AW393" s="83"/>
      <c r="AX393" s="83"/>
      <c r="AY393" s="93"/>
      <c r="AZ393" s="93"/>
    </row>
    <row r="394" spans="2:52" outlineLevel="1" x14ac:dyDescent="0.45">
      <c r="B394" s="1392"/>
      <c r="C394" s="91" t="s">
        <v>642</v>
      </c>
      <c r="D394" s="115">
        <v>9</v>
      </c>
      <c r="E394" s="13" t="s">
        <v>421</v>
      </c>
      <c r="F394" s="254">
        <f>IF(F$33&lt;&gt;0,F355/F$33,0)</f>
        <v>0</v>
      </c>
      <c r="G394" s="255">
        <f>IF(G$33&lt;&gt;0,G355/G$33,0)</f>
        <v>0</v>
      </c>
      <c r="H394" s="256">
        <f>IF(H$33&lt;&gt;0,H355/H$33,0)</f>
        <v>0</v>
      </c>
      <c r="I394" s="254">
        <f>IF(I$33&lt;&gt;0,U349/I$33,0)</f>
        <v>179608.51063829788</v>
      </c>
      <c r="J394" s="255">
        <f>IF(J$33&lt;&gt;0,J349/J$33,0)</f>
        <v>0</v>
      </c>
      <c r="K394" s="256">
        <f>IF(K$33&lt;&gt;0,K349/K$33,0)</f>
        <v>0</v>
      </c>
      <c r="L394" s="254">
        <f>IF(L$33&lt;&gt;0,L349/L$33,0)</f>
        <v>0</v>
      </c>
      <c r="M394" s="255">
        <f>IF(M$33&lt;&gt;0,M349/M$33,0)</f>
        <v>0</v>
      </c>
      <c r="N394" s="256">
        <f>IF(N$33&lt;&gt;0,N349/N$33,0)</f>
        <v>0</v>
      </c>
      <c r="O394" s="254">
        <f t="shared" ref="O394:W394" si="98">IF(O$33&lt;&gt;0,O355/O$33,0)</f>
        <v>0</v>
      </c>
      <c r="P394" s="255">
        <f t="shared" si="98"/>
        <v>0</v>
      </c>
      <c r="Q394" s="256">
        <f t="shared" si="98"/>
        <v>0</v>
      </c>
      <c r="R394" s="254">
        <f t="shared" si="98"/>
        <v>0</v>
      </c>
      <c r="S394" s="255">
        <f t="shared" si="98"/>
        <v>0</v>
      </c>
      <c r="T394" s="256">
        <f t="shared" si="98"/>
        <v>0</v>
      </c>
      <c r="U394" s="254">
        <f>IF(U$33&lt;&gt;0,#REF!/U$33,0)</f>
        <v>0</v>
      </c>
      <c r="V394" s="255">
        <f t="shared" si="98"/>
        <v>0</v>
      </c>
      <c r="W394" s="256">
        <f t="shared" si="98"/>
        <v>0</v>
      </c>
      <c r="AA394" s="93"/>
      <c r="AB394" s="93"/>
      <c r="AC394" s="83"/>
      <c r="AD394" s="83"/>
      <c r="AE394" s="93"/>
      <c r="AF394" s="93"/>
      <c r="AG394" s="83"/>
      <c r="AH394" s="83"/>
      <c r="AI394" s="93"/>
      <c r="AJ394" s="93"/>
      <c r="AK394" s="83"/>
      <c r="AL394" s="83"/>
      <c r="AM394" s="93"/>
      <c r="AN394" s="93"/>
      <c r="AO394" s="83"/>
      <c r="AP394" s="83"/>
      <c r="AQ394" s="93"/>
      <c r="AR394" s="93"/>
      <c r="AS394" s="83"/>
      <c r="AT394" s="83"/>
      <c r="AU394" s="93"/>
      <c r="AV394" s="93"/>
      <c r="AW394" s="83"/>
      <c r="AX394" s="83"/>
      <c r="AY394" s="93"/>
      <c r="AZ394" s="93"/>
    </row>
    <row r="395" spans="2:52" outlineLevel="1" x14ac:dyDescent="0.45">
      <c r="B395" s="1392"/>
      <c r="C395" s="91" t="s">
        <v>643</v>
      </c>
      <c r="D395" s="115">
        <v>10</v>
      </c>
      <c r="E395" s="13" t="s">
        <v>496</v>
      </c>
      <c r="F395" s="258">
        <v>5.6283986361087817E-3</v>
      </c>
      <c r="G395" s="258">
        <v>5.8277379008081645E-3</v>
      </c>
      <c r="H395" s="259">
        <f>IF(H381&lt;&gt;0,-H370/H381,0)</f>
        <v>0</v>
      </c>
      <c r="I395" s="258">
        <v>3.4563440450780035E-3</v>
      </c>
      <c r="J395" s="258">
        <v>3.9721327001343244E-3</v>
      </c>
      <c r="K395" s="258"/>
      <c r="L395" s="258">
        <v>5.0872661621275913E-4</v>
      </c>
      <c r="M395" s="258">
        <v>-3.7967291920177517E-6</v>
      </c>
      <c r="N395" s="258">
        <v>0</v>
      </c>
      <c r="O395" s="258">
        <v>1.0349453760455107E-2</v>
      </c>
      <c r="P395" s="258">
        <v>9.8155461387650095E-3</v>
      </c>
      <c r="Q395" s="258">
        <v>0</v>
      </c>
      <c r="R395" s="258">
        <v>9.6244102864323916E-3</v>
      </c>
      <c r="S395" s="258">
        <v>1.0521306118901294E-2</v>
      </c>
      <c r="T395" s="258">
        <v>0</v>
      </c>
      <c r="U395" s="258">
        <v>-4.7403497637090357E-3</v>
      </c>
      <c r="V395" s="258">
        <v>-6.2941309428322179E-3</v>
      </c>
      <c r="W395" s="258">
        <v>0</v>
      </c>
      <c r="AA395" s="93"/>
      <c r="AB395" s="93"/>
      <c r="AC395" s="83" t="s">
        <v>424</v>
      </c>
      <c r="AD395" s="83"/>
      <c r="AE395" s="93"/>
      <c r="AF395" s="93"/>
      <c r="AG395" s="83" t="s">
        <v>424</v>
      </c>
      <c r="AH395" s="83"/>
      <c r="AI395" s="93"/>
      <c r="AJ395" s="93"/>
      <c r="AK395" s="83" t="s">
        <v>424</v>
      </c>
      <c r="AL395" s="83"/>
      <c r="AM395" s="93"/>
      <c r="AN395" s="93"/>
      <c r="AO395" s="83" t="s">
        <v>424</v>
      </c>
      <c r="AP395" s="83"/>
      <c r="AQ395" s="93"/>
      <c r="AR395" s="93"/>
      <c r="AS395" s="83" t="s">
        <v>424</v>
      </c>
      <c r="AT395" s="83"/>
      <c r="AU395" s="93"/>
      <c r="AV395" s="93"/>
      <c r="AW395" s="83" t="s">
        <v>424</v>
      </c>
      <c r="AX395" s="83"/>
      <c r="AY395" s="93"/>
      <c r="AZ395" s="93"/>
    </row>
    <row r="396" spans="2:52" outlineLevel="1" x14ac:dyDescent="0.45">
      <c r="B396" s="1392"/>
      <c r="C396" s="91" t="s">
        <v>644</v>
      </c>
      <c r="D396" s="115">
        <v>11</v>
      </c>
      <c r="E396" s="13" t="s">
        <v>426</v>
      </c>
      <c r="F396" s="260">
        <f>IF(F381&lt;&gt;0,-F370/F381,0)</f>
        <v>6.5318017178056825E-2</v>
      </c>
      <c r="G396" s="261">
        <f>IF(G381&lt;&gt;0,-G370/G381,0)</f>
        <v>5.4094383218625038E-2</v>
      </c>
      <c r="H396" s="262">
        <f>IF(H381&lt;&gt;0,-H370/H381,0)</f>
        <v>0</v>
      </c>
      <c r="I396" s="263">
        <f t="shared" ref="I396:W396" si="99">IF(I381&lt;&gt;0,-I370/I381,0)</f>
        <v>-2.0423543358970571E-2</v>
      </c>
      <c r="J396" s="263">
        <f t="shared" si="99"/>
        <v>0</v>
      </c>
      <c r="K396" s="264">
        <f t="shared" si="99"/>
        <v>0</v>
      </c>
      <c r="L396" s="263">
        <f t="shared" si="99"/>
        <v>-1.8505687908235475E-5</v>
      </c>
      <c r="M396" s="263">
        <f t="shared" si="99"/>
        <v>2.0720391502379077E-4</v>
      </c>
      <c r="N396" s="264">
        <f t="shared" si="99"/>
        <v>0</v>
      </c>
      <c r="O396" s="263">
        <f t="shared" si="99"/>
        <v>1.6668293415512951E-2</v>
      </c>
      <c r="P396" s="263">
        <f t="shared" si="99"/>
        <v>3.3677249916867394E-2</v>
      </c>
      <c r="Q396" s="264">
        <f t="shared" si="99"/>
        <v>0</v>
      </c>
      <c r="R396" s="263">
        <f t="shared" si="99"/>
        <v>-3.1495080094005134E-3</v>
      </c>
      <c r="S396" s="263">
        <f t="shared" si="99"/>
        <v>8.4906292167812036E-3</v>
      </c>
      <c r="T396" s="264">
        <f t="shared" si="99"/>
        <v>0</v>
      </c>
      <c r="U396" s="263">
        <f t="shared" si="99"/>
        <v>0.43929345964781186</v>
      </c>
      <c r="V396" s="263">
        <f t="shared" si="99"/>
        <v>0.27987385629292133</v>
      </c>
      <c r="W396" s="264">
        <f t="shared" si="99"/>
        <v>0</v>
      </c>
      <c r="AA396" s="93"/>
      <c r="AB396" s="93"/>
      <c r="AC396" s="83"/>
      <c r="AD396" s="83"/>
      <c r="AE396" s="93"/>
      <c r="AF396" s="93"/>
      <c r="AG396" s="83"/>
      <c r="AH396" s="83"/>
      <c r="AI396" s="93"/>
      <c r="AJ396" s="93"/>
      <c r="AK396" s="83"/>
      <c r="AL396" s="83"/>
      <c r="AM396" s="93"/>
      <c r="AN396" s="93"/>
      <c r="AO396" s="83"/>
      <c r="AP396" s="83"/>
      <c r="AQ396" s="93"/>
      <c r="AR396" s="93"/>
      <c r="AS396" s="83"/>
      <c r="AT396" s="83"/>
      <c r="AU396" s="93"/>
      <c r="AV396" s="93"/>
      <c r="AW396" s="83"/>
      <c r="AX396" s="83"/>
      <c r="AY396" s="93"/>
      <c r="AZ396" s="93"/>
    </row>
    <row r="397" spans="2:52" outlineLevel="1" x14ac:dyDescent="0.45">
      <c r="B397" s="1392"/>
      <c r="C397" s="91" t="s">
        <v>645</v>
      </c>
      <c r="D397" s="115"/>
      <c r="E397" s="14"/>
      <c r="F397" s="89"/>
      <c r="G397" s="89"/>
      <c r="H397" s="23"/>
      <c r="I397" s="91"/>
      <c r="J397" s="92"/>
      <c r="K397" s="31"/>
      <c r="L397" s="92"/>
      <c r="M397" s="92"/>
      <c r="N397" s="31"/>
      <c r="O397" s="92"/>
      <c r="P397" s="92"/>
      <c r="Q397" s="31"/>
      <c r="R397" s="92"/>
      <c r="S397" s="92"/>
      <c r="T397" s="31"/>
      <c r="U397" s="92"/>
      <c r="V397" s="92"/>
      <c r="W397" s="31"/>
      <c r="AA397" s="93"/>
      <c r="AB397" s="93"/>
      <c r="AC397" s="83"/>
      <c r="AD397" s="83"/>
      <c r="AE397" s="93"/>
      <c r="AF397" s="93"/>
      <c r="AG397" s="83"/>
      <c r="AH397" s="83"/>
      <c r="AI397" s="93"/>
      <c r="AJ397" s="93"/>
      <c r="AK397" s="83"/>
      <c r="AL397" s="83"/>
      <c r="AM397" s="93"/>
      <c r="AN397" s="93"/>
      <c r="AO397" s="83"/>
      <c r="AP397" s="83"/>
      <c r="AQ397" s="93"/>
      <c r="AR397" s="93"/>
      <c r="AS397" s="83"/>
      <c r="AT397" s="83"/>
      <c r="AU397" s="93"/>
      <c r="AV397" s="93"/>
      <c r="AW397" s="83"/>
      <c r="AX397" s="83"/>
      <c r="AY397" s="93"/>
      <c r="AZ397" s="93"/>
    </row>
    <row r="398" spans="2:52" outlineLevel="1" x14ac:dyDescent="0.45">
      <c r="B398" s="1393"/>
      <c r="C398" s="91" t="s">
        <v>646</v>
      </c>
      <c r="D398" s="115"/>
      <c r="E398" s="91"/>
      <c r="F398" s="89"/>
      <c r="G398" s="89"/>
      <c r="H398" s="23"/>
      <c r="I398" s="91"/>
      <c r="J398" s="92"/>
      <c r="K398" s="31"/>
      <c r="L398" s="92"/>
      <c r="M398" s="92"/>
      <c r="N398" s="31"/>
      <c r="O398" s="92"/>
      <c r="P398" s="92"/>
      <c r="Q398" s="31"/>
      <c r="R398" s="92"/>
      <c r="S398" s="92"/>
      <c r="T398" s="31"/>
      <c r="U398" s="92"/>
      <c r="V398" s="92"/>
      <c r="W398" s="31"/>
      <c r="AA398" s="93"/>
      <c r="AB398" s="93"/>
      <c r="AC398" s="83"/>
      <c r="AD398" s="83"/>
      <c r="AE398" s="93"/>
      <c r="AF398" s="93"/>
      <c r="AG398" s="83"/>
      <c r="AH398" s="83"/>
      <c r="AI398" s="93"/>
      <c r="AJ398" s="93"/>
      <c r="AK398" s="83"/>
      <c r="AL398" s="83"/>
      <c r="AM398" s="93"/>
      <c r="AN398" s="93"/>
      <c r="AO398" s="83"/>
      <c r="AP398" s="83"/>
      <c r="AQ398" s="93"/>
      <c r="AR398" s="93"/>
      <c r="AS398" s="83"/>
      <c r="AT398" s="83"/>
      <c r="AU398" s="93"/>
      <c r="AV398" s="93"/>
      <c r="AW398" s="83"/>
      <c r="AX398" s="83"/>
      <c r="AY398" s="93"/>
      <c r="AZ398" s="93"/>
    </row>
    <row r="399" spans="2:52" outlineLevel="2" x14ac:dyDescent="0.45">
      <c r="B399" s="268"/>
      <c r="C399" s="13"/>
      <c r="D399" s="87"/>
      <c r="E399" s="282" t="s">
        <v>647</v>
      </c>
      <c r="F399" s="89"/>
      <c r="G399" s="89"/>
      <c r="H399" s="23"/>
      <c r="I399" s="14"/>
      <c r="J399" s="14"/>
      <c r="K399" s="277"/>
      <c r="L399" s="116"/>
      <c r="M399" s="92"/>
      <c r="N399" s="31"/>
      <c r="O399" s="92"/>
      <c r="P399" s="92"/>
      <c r="Q399" s="31"/>
      <c r="R399" s="92"/>
      <c r="S399" s="92"/>
      <c r="T399" s="31"/>
      <c r="U399" s="92"/>
      <c r="V399" s="92"/>
      <c r="W399" s="31"/>
      <c r="AA399" s="93"/>
      <c r="AB399" s="93"/>
      <c r="AC399" s="83"/>
      <c r="AD399" s="83"/>
      <c r="AE399" s="93"/>
      <c r="AF399" s="93"/>
      <c r="AG399" s="83"/>
      <c r="AH399" s="83"/>
      <c r="AI399" s="93"/>
      <c r="AJ399" s="93"/>
      <c r="AK399" s="83"/>
      <c r="AL399" s="83"/>
      <c r="AM399" s="93"/>
      <c r="AN399" s="93"/>
      <c r="AO399" s="83"/>
      <c r="AP399" s="83"/>
      <c r="AQ399" s="93"/>
      <c r="AR399" s="93"/>
      <c r="AS399" s="83"/>
      <c r="AT399" s="83"/>
      <c r="AU399" s="93"/>
      <c r="AV399" s="93"/>
      <c r="AW399" s="83"/>
      <c r="AX399" s="83"/>
      <c r="AY399" s="93"/>
      <c r="AZ399" s="93"/>
    </row>
    <row r="400" spans="2:52" ht="57" outlineLevel="2" x14ac:dyDescent="0.45">
      <c r="B400" s="1394" t="s">
        <v>648</v>
      </c>
      <c r="C400" s="11" t="s">
        <v>649</v>
      </c>
      <c r="D400" s="128" t="s">
        <v>650</v>
      </c>
      <c r="E400" s="11" t="s">
        <v>651</v>
      </c>
      <c r="F400" s="89"/>
      <c r="G400" s="89"/>
      <c r="H400" s="23"/>
      <c r="I400" s="92"/>
      <c r="J400" s="92"/>
      <c r="K400" s="31"/>
      <c r="L400" s="92"/>
      <c r="M400" s="92"/>
      <c r="N400" s="31"/>
      <c r="O400" s="92"/>
      <c r="P400" s="92"/>
      <c r="Q400" s="31"/>
      <c r="R400" s="92"/>
      <c r="S400" s="92"/>
      <c r="T400" s="31"/>
      <c r="U400" s="92"/>
      <c r="V400" s="92"/>
      <c r="W400" s="31"/>
      <c r="AA400" s="93"/>
      <c r="AB400" s="93"/>
      <c r="AC400" s="83"/>
      <c r="AD400" s="83"/>
      <c r="AE400" s="93"/>
      <c r="AF400" s="93"/>
      <c r="AG400" s="83"/>
      <c r="AH400" s="83"/>
      <c r="AI400" s="93"/>
      <c r="AJ400" s="93"/>
      <c r="AK400" s="83"/>
      <c r="AL400" s="83"/>
      <c r="AM400" s="93"/>
      <c r="AN400" s="93"/>
      <c r="AO400" s="83"/>
      <c r="AP400" s="83"/>
      <c r="AQ400" s="93"/>
      <c r="AR400" s="93"/>
      <c r="AS400" s="83"/>
      <c r="AT400" s="83"/>
      <c r="AU400" s="93"/>
      <c r="AV400" s="93"/>
      <c r="AW400" s="83"/>
      <c r="AX400" s="83"/>
      <c r="AY400" s="93"/>
      <c r="AZ400" s="93"/>
    </row>
    <row r="401" spans="2:52" outlineLevel="2" x14ac:dyDescent="0.45">
      <c r="B401" s="1394"/>
      <c r="C401" s="91" t="s">
        <v>652</v>
      </c>
      <c r="D401" s="128"/>
      <c r="E401" s="11" t="s">
        <v>316</v>
      </c>
      <c r="F401" s="89"/>
      <c r="G401" s="89"/>
      <c r="H401" s="23"/>
      <c r="I401" s="92"/>
      <c r="J401" s="92"/>
      <c r="K401" s="31"/>
      <c r="L401" s="92"/>
      <c r="M401" s="92"/>
      <c r="N401" s="31"/>
      <c r="O401" s="92"/>
      <c r="P401" s="92"/>
      <c r="Q401" s="31"/>
      <c r="R401" s="92"/>
      <c r="S401" s="92"/>
      <c r="T401" s="31"/>
      <c r="U401" s="92"/>
      <c r="V401" s="92"/>
      <c r="W401" s="31"/>
      <c r="AA401" s="93"/>
      <c r="AB401" s="93"/>
      <c r="AC401" s="83"/>
      <c r="AD401" s="83"/>
      <c r="AE401" s="93"/>
      <c r="AF401" s="93"/>
      <c r="AG401" s="83"/>
      <c r="AH401" s="83"/>
      <c r="AI401" s="93"/>
      <c r="AJ401" s="93"/>
      <c r="AK401" s="83"/>
      <c r="AL401" s="83"/>
      <c r="AM401" s="93"/>
      <c r="AN401" s="93"/>
      <c r="AO401" s="83"/>
      <c r="AP401" s="83"/>
      <c r="AQ401" s="93"/>
      <c r="AR401" s="93"/>
      <c r="AS401" s="83"/>
      <c r="AT401" s="83"/>
      <c r="AU401" s="93"/>
      <c r="AV401" s="93"/>
      <c r="AW401" s="83"/>
      <c r="AX401" s="83"/>
      <c r="AY401" s="93"/>
      <c r="AZ401" s="93"/>
    </row>
    <row r="402" spans="2:52" outlineLevel="2" x14ac:dyDescent="0.45">
      <c r="B402" s="1394"/>
      <c r="C402" s="91" t="s">
        <v>653</v>
      </c>
      <c r="D402" s="128"/>
      <c r="E402" s="12" t="s">
        <v>266</v>
      </c>
      <c r="F402" s="89"/>
      <c r="G402" s="89"/>
      <c r="H402" s="23"/>
      <c r="I402" s="92"/>
      <c r="J402" s="92"/>
      <c r="K402" s="31"/>
      <c r="L402" s="92"/>
      <c r="M402" s="92"/>
      <c r="N402" s="31"/>
      <c r="O402" s="92"/>
      <c r="P402" s="92"/>
      <c r="Q402" s="31"/>
      <c r="R402" s="92"/>
      <c r="S402" s="92"/>
      <c r="T402" s="31"/>
      <c r="U402" s="92"/>
      <c r="V402" s="92"/>
      <c r="W402" s="31"/>
      <c r="AA402" s="93"/>
      <c r="AB402" s="93"/>
      <c r="AC402" s="83"/>
      <c r="AD402" s="83"/>
      <c r="AE402" s="93"/>
      <c r="AF402" s="93"/>
      <c r="AG402" s="83"/>
      <c r="AH402" s="83"/>
      <c r="AI402" s="93"/>
      <c r="AJ402" s="93"/>
      <c r="AK402" s="83"/>
      <c r="AL402" s="83"/>
      <c r="AM402" s="93"/>
      <c r="AN402" s="93"/>
      <c r="AO402" s="83"/>
      <c r="AP402" s="83"/>
      <c r="AQ402" s="93"/>
      <c r="AR402" s="93"/>
      <c r="AS402" s="83"/>
      <c r="AT402" s="83"/>
      <c r="AU402" s="93"/>
      <c r="AV402" s="93"/>
      <c r="AW402" s="83"/>
      <c r="AX402" s="83"/>
      <c r="AY402" s="93"/>
      <c r="AZ402" s="93"/>
    </row>
    <row r="403" spans="2:52" ht="28.5" outlineLevel="2" x14ac:dyDescent="0.45">
      <c r="B403" s="1394"/>
      <c r="C403" s="91" t="s">
        <v>654</v>
      </c>
      <c r="D403" s="128"/>
      <c r="E403" s="116" t="s">
        <v>319</v>
      </c>
      <c r="F403" s="130">
        <f t="shared" ref="F403:H407" si="100">I403+L403+O403+R403+U403</f>
        <v>12816294.93</v>
      </c>
      <c r="G403" s="130">
        <f t="shared" si="100"/>
        <v>11674321.920000002</v>
      </c>
      <c r="H403" s="131">
        <f t="shared" si="100"/>
        <v>11740395.810000002</v>
      </c>
      <c r="I403" s="217">
        <v>1522082.52</v>
      </c>
      <c r="J403" s="217">
        <v>445558.61</v>
      </c>
      <c r="K403" s="217">
        <v>342866.4</v>
      </c>
      <c r="L403" s="218">
        <v>190624.53</v>
      </c>
      <c r="M403" s="217">
        <v>134455.9</v>
      </c>
      <c r="N403" s="217">
        <v>129537.72</v>
      </c>
      <c r="O403" s="218">
        <v>2045100.72</v>
      </c>
      <c r="P403" s="217">
        <v>1952559.7300000004</v>
      </c>
      <c r="Q403" s="217">
        <v>1816987.6800000002</v>
      </c>
      <c r="R403" s="218">
        <v>3932955.96</v>
      </c>
      <c r="S403" s="217">
        <v>3890597.44</v>
      </c>
      <c r="T403" s="217">
        <v>3861444.2399999998</v>
      </c>
      <c r="U403" s="283">
        <v>5125531.1999999993</v>
      </c>
      <c r="V403" s="234">
        <v>5251150.2400000012</v>
      </c>
      <c r="W403" s="234">
        <v>5589559.7700000014</v>
      </c>
      <c r="AA403" s="93"/>
      <c r="AB403" s="93"/>
      <c r="AC403" s="83"/>
      <c r="AD403" s="83"/>
      <c r="AE403" s="93"/>
      <c r="AF403" s="93"/>
      <c r="AG403" s="83"/>
      <c r="AH403" s="83"/>
      <c r="AI403" s="93"/>
      <c r="AJ403" s="93"/>
      <c r="AK403" s="83"/>
      <c r="AL403" s="83"/>
      <c r="AM403" s="93"/>
      <c r="AN403" s="93"/>
      <c r="AO403" s="83"/>
      <c r="AP403" s="83"/>
      <c r="AQ403" s="93"/>
      <c r="AR403" s="93"/>
      <c r="AS403" s="219" t="s">
        <v>320</v>
      </c>
      <c r="AT403" s="83"/>
      <c r="AU403" s="93"/>
      <c r="AV403" s="93"/>
      <c r="AW403" s="219" t="s">
        <v>321</v>
      </c>
      <c r="AX403" s="83"/>
      <c r="AY403" s="93"/>
      <c r="AZ403" s="93"/>
    </row>
    <row r="404" spans="2:52" outlineLevel="2" x14ac:dyDescent="0.45">
      <c r="B404" s="1394"/>
      <c r="C404" s="91" t="s">
        <v>655</v>
      </c>
      <c r="D404" s="128"/>
      <c r="E404" s="116" t="s">
        <v>509</v>
      </c>
      <c r="F404" s="130">
        <f t="shared" si="100"/>
        <v>0</v>
      </c>
      <c r="G404" s="130">
        <f t="shared" si="100"/>
        <v>0</v>
      </c>
      <c r="H404" s="131">
        <f t="shared" si="100"/>
        <v>0</v>
      </c>
      <c r="I404" s="217"/>
      <c r="J404" s="217"/>
      <c r="K404" s="217"/>
      <c r="L404" s="218"/>
      <c r="M404" s="217"/>
      <c r="N404" s="217"/>
      <c r="O404" s="218"/>
      <c r="P404" s="217"/>
      <c r="Q404" s="217"/>
      <c r="R404" s="218"/>
      <c r="S404" s="217"/>
      <c r="T404" s="217"/>
      <c r="U404" s="218"/>
      <c r="V404" s="217"/>
      <c r="W404" s="217"/>
      <c r="AA404" s="93"/>
      <c r="AB404" s="93"/>
      <c r="AC404" s="83"/>
      <c r="AD404" s="83"/>
      <c r="AE404" s="93"/>
      <c r="AF404" s="93"/>
      <c r="AG404" s="83"/>
      <c r="AH404" s="83"/>
      <c r="AI404" s="93"/>
      <c r="AJ404" s="93"/>
      <c r="AK404" s="83"/>
      <c r="AL404" s="83"/>
      <c r="AM404" s="93"/>
      <c r="AN404" s="93"/>
      <c r="AO404" s="83"/>
      <c r="AP404" s="83"/>
      <c r="AQ404" s="93"/>
      <c r="AR404" s="93"/>
      <c r="AS404" s="83"/>
      <c r="AT404" s="83"/>
      <c r="AU404" s="93"/>
      <c r="AV404" s="93"/>
      <c r="AW404" s="83"/>
      <c r="AX404" s="83"/>
      <c r="AY404" s="93"/>
      <c r="AZ404" s="93"/>
    </row>
    <row r="405" spans="2:52" ht="28.5" outlineLevel="2" x14ac:dyDescent="0.45">
      <c r="B405" s="1394"/>
      <c r="C405" s="91" t="s">
        <v>656</v>
      </c>
      <c r="D405" s="128"/>
      <c r="E405" s="116" t="s">
        <v>324</v>
      </c>
      <c r="F405" s="130">
        <f t="shared" si="100"/>
        <v>64493890.520000011</v>
      </c>
      <c r="G405" s="130">
        <f t="shared" si="100"/>
        <v>51803055.629999995</v>
      </c>
      <c r="H405" s="131">
        <f t="shared" si="100"/>
        <v>38707569.810000002</v>
      </c>
      <c r="I405" s="217">
        <v>1255258.96</v>
      </c>
      <c r="J405" s="217">
        <v>1310743.93</v>
      </c>
      <c r="K405" s="217">
        <v>1394850.75</v>
      </c>
      <c r="L405" s="218">
        <v>414</v>
      </c>
      <c r="M405" s="217">
        <v>414</v>
      </c>
      <c r="N405" s="217">
        <v>0</v>
      </c>
      <c r="O405" s="218">
        <v>11402647.120000001</v>
      </c>
      <c r="P405" s="217">
        <v>13067443.359999998</v>
      </c>
      <c r="Q405" s="217">
        <v>9299695.160000002</v>
      </c>
      <c r="R405" s="218">
        <v>32365503.15000001</v>
      </c>
      <c r="S405" s="217">
        <v>24561066.859999999</v>
      </c>
      <c r="T405" s="217">
        <v>20484465.760000002</v>
      </c>
      <c r="U405" s="283">
        <v>19470067.290000003</v>
      </c>
      <c r="V405" s="234">
        <v>12863387.479999999</v>
      </c>
      <c r="W405" s="234">
        <v>7528558.1400000006</v>
      </c>
      <c r="AA405" s="93"/>
      <c r="AB405" s="93"/>
      <c r="AC405" s="83"/>
      <c r="AD405" s="83"/>
      <c r="AE405" s="93"/>
      <c r="AF405" s="93"/>
      <c r="AG405" s="83"/>
      <c r="AH405" s="83"/>
      <c r="AI405" s="93"/>
      <c r="AJ405" s="93"/>
      <c r="AK405" s="83"/>
      <c r="AL405" s="83"/>
      <c r="AM405" s="93"/>
      <c r="AN405" s="93"/>
      <c r="AO405" s="83"/>
      <c r="AP405" s="83"/>
      <c r="AQ405" s="93"/>
      <c r="AR405" s="93"/>
      <c r="AS405" s="219" t="s">
        <v>320</v>
      </c>
      <c r="AT405" s="83"/>
      <c r="AU405" s="93"/>
      <c r="AV405" s="93"/>
      <c r="AW405" s="221" t="s">
        <v>321</v>
      </c>
      <c r="AX405" s="83"/>
      <c r="AY405" s="93"/>
      <c r="AZ405" s="93"/>
    </row>
    <row r="406" spans="2:52" ht="28.5" outlineLevel="2" x14ac:dyDescent="0.45">
      <c r="B406" s="1394"/>
      <c r="C406" s="91" t="s">
        <v>657</v>
      </c>
      <c r="D406" s="128"/>
      <c r="E406" s="116" t="s">
        <v>444</v>
      </c>
      <c r="F406" s="130">
        <f t="shared" si="100"/>
        <v>0</v>
      </c>
      <c r="G406" s="130">
        <f t="shared" si="100"/>
        <v>0</v>
      </c>
      <c r="H406" s="131">
        <f t="shared" si="100"/>
        <v>0</v>
      </c>
      <c r="I406" s="217"/>
      <c r="J406" s="217"/>
      <c r="K406" s="217"/>
      <c r="L406" s="218"/>
      <c r="M406" s="217"/>
      <c r="N406" s="217"/>
      <c r="O406" s="218"/>
      <c r="P406" s="217"/>
      <c r="Q406" s="217"/>
      <c r="R406" s="218"/>
      <c r="S406" s="217"/>
      <c r="T406" s="217"/>
      <c r="U406" s="283"/>
      <c r="V406" s="234"/>
      <c r="W406" s="234"/>
      <c r="AA406" s="93"/>
      <c r="AB406" s="93"/>
      <c r="AC406" s="83" t="s">
        <v>327</v>
      </c>
      <c r="AD406" s="83"/>
      <c r="AE406" s="93"/>
      <c r="AF406" s="93"/>
      <c r="AG406" s="83" t="s">
        <v>327</v>
      </c>
      <c r="AH406" s="83"/>
      <c r="AI406" s="93"/>
      <c r="AJ406" s="93"/>
      <c r="AK406" s="83" t="s">
        <v>327</v>
      </c>
      <c r="AL406" s="83"/>
      <c r="AM406" s="93"/>
      <c r="AN406" s="93"/>
      <c r="AO406" s="83" t="s">
        <v>327</v>
      </c>
      <c r="AP406" s="83"/>
      <c r="AQ406" s="93"/>
      <c r="AR406" s="93"/>
      <c r="AS406" s="219" t="s">
        <v>328</v>
      </c>
      <c r="AT406" s="83"/>
      <c r="AU406" s="93"/>
      <c r="AV406" s="93"/>
      <c r="AW406" s="221" t="s">
        <v>328</v>
      </c>
      <c r="AX406" s="83"/>
      <c r="AY406" s="93"/>
      <c r="AZ406" s="93"/>
    </row>
    <row r="407" spans="2:52" outlineLevel="2" x14ac:dyDescent="0.45">
      <c r="B407" s="1394"/>
      <c r="C407" s="91" t="s">
        <v>658</v>
      </c>
      <c r="D407" s="115"/>
      <c r="E407" s="12" t="s">
        <v>330</v>
      </c>
      <c r="F407" s="130">
        <f t="shared" si="100"/>
        <v>77310185.450000018</v>
      </c>
      <c r="G407" s="130">
        <f t="shared" si="100"/>
        <v>63477377.549999997</v>
      </c>
      <c r="H407" s="131">
        <f t="shared" si="100"/>
        <v>50447965.620000005</v>
      </c>
      <c r="I407" s="223">
        <f t="shared" ref="I407:W407" si="101">SUM(I403:I406)</f>
        <v>2777341.48</v>
      </c>
      <c r="J407" s="224">
        <f t="shared" si="101"/>
        <v>1756302.54</v>
      </c>
      <c r="K407" s="225">
        <f t="shared" si="101"/>
        <v>1737717.15</v>
      </c>
      <c r="L407" s="224">
        <f t="shared" si="101"/>
        <v>191038.53</v>
      </c>
      <c r="M407" s="224">
        <f t="shared" si="101"/>
        <v>134869.9</v>
      </c>
      <c r="N407" s="225">
        <f t="shared" si="101"/>
        <v>129537.72</v>
      </c>
      <c r="O407" s="224">
        <f t="shared" si="101"/>
        <v>13447747.840000002</v>
      </c>
      <c r="P407" s="224">
        <f t="shared" si="101"/>
        <v>15020003.089999998</v>
      </c>
      <c r="Q407" s="225">
        <f t="shared" si="101"/>
        <v>11116682.840000002</v>
      </c>
      <c r="R407" s="224">
        <f t="shared" si="101"/>
        <v>36298459.110000007</v>
      </c>
      <c r="S407" s="224">
        <f t="shared" si="101"/>
        <v>28451664.300000001</v>
      </c>
      <c r="T407" s="225">
        <f t="shared" si="101"/>
        <v>24345910</v>
      </c>
      <c r="U407" s="224">
        <f t="shared" si="101"/>
        <v>24595598.490000002</v>
      </c>
      <c r="V407" s="224">
        <f t="shared" si="101"/>
        <v>18114537.719999999</v>
      </c>
      <c r="W407" s="225">
        <f t="shared" si="101"/>
        <v>13118117.910000002</v>
      </c>
      <c r="AA407" s="93"/>
      <c r="AB407" s="93"/>
      <c r="AC407" s="83"/>
      <c r="AD407" s="83"/>
      <c r="AE407" s="93"/>
      <c r="AF407" s="93"/>
      <c r="AG407" s="83"/>
      <c r="AH407" s="83"/>
      <c r="AI407" s="93"/>
      <c r="AJ407" s="93"/>
      <c r="AK407" s="83"/>
      <c r="AL407" s="83"/>
      <c r="AM407" s="93"/>
      <c r="AN407" s="93"/>
      <c r="AO407" s="83"/>
      <c r="AP407" s="83"/>
      <c r="AQ407" s="93"/>
      <c r="AR407" s="93"/>
      <c r="AS407" s="83"/>
      <c r="AT407" s="83"/>
      <c r="AU407" s="93"/>
      <c r="AV407" s="93"/>
      <c r="AW407" s="83"/>
      <c r="AX407" s="83"/>
      <c r="AY407" s="93"/>
      <c r="AZ407" s="93"/>
    </row>
    <row r="408" spans="2:52" outlineLevel="2" x14ac:dyDescent="0.45">
      <c r="B408" s="1394"/>
      <c r="C408" s="91" t="s">
        <v>659</v>
      </c>
      <c r="D408" s="115"/>
      <c r="E408" s="12" t="s">
        <v>332</v>
      </c>
      <c r="F408" s="89"/>
      <c r="G408" s="89"/>
      <c r="H408" s="23"/>
      <c r="I408" s="226"/>
      <c r="J408" s="227"/>
      <c r="K408" s="228"/>
      <c r="L408" s="227"/>
      <c r="M408" s="227"/>
      <c r="N408" s="228"/>
      <c r="O408" s="227"/>
      <c r="P408" s="227"/>
      <c r="Q408" s="228"/>
      <c r="R408" s="227"/>
      <c r="S408" s="227"/>
      <c r="T408" s="228"/>
      <c r="U408" s="227"/>
      <c r="V408" s="227"/>
      <c r="W408" s="228"/>
      <c r="AA408" s="93"/>
      <c r="AB408" s="93"/>
      <c r="AC408" s="83"/>
      <c r="AD408" s="83"/>
      <c r="AE408" s="93"/>
      <c r="AF408" s="93"/>
      <c r="AG408" s="83"/>
      <c r="AH408" s="83"/>
      <c r="AI408" s="93"/>
      <c r="AJ408" s="93"/>
      <c r="AK408" s="83"/>
      <c r="AL408" s="83"/>
      <c r="AM408" s="93"/>
      <c r="AN408" s="93"/>
      <c r="AO408" s="83"/>
      <c r="AP408" s="83"/>
      <c r="AQ408" s="93"/>
      <c r="AR408" s="93"/>
      <c r="AS408" s="83"/>
      <c r="AT408" s="83"/>
      <c r="AU408" s="93"/>
      <c r="AV408" s="93"/>
      <c r="AW408" s="83"/>
      <c r="AX408" s="83"/>
      <c r="AY408" s="93"/>
      <c r="AZ408" s="93"/>
    </row>
    <row r="409" spans="2:52" outlineLevel="2" x14ac:dyDescent="0.45">
      <c r="B409" s="1394"/>
      <c r="C409" s="91" t="s">
        <v>660</v>
      </c>
      <c r="D409" s="115"/>
      <c r="E409" s="229" t="s">
        <v>334</v>
      </c>
      <c r="F409" s="89"/>
      <c r="G409" s="89"/>
      <c r="H409" s="23"/>
      <c r="I409" s="226"/>
      <c r="J409" s="227"/>
      <c r="K409" s="228"/>
      <c r="L409" s="227"/>
      <c r="M409" s="227"/>
      <c r="N409" s="228"/>
      <c r="O409" s="227"/>
      <c r="P409" s="227"/>
      <c r="Q409" s="228"/>
      <c r="R409" s="227"/>
      <c r="S409" s="227"/>
      <c r="T409" s="228"/>
      <c r="U409" s="227"/>
      <c r="V409" s="227"/>
      <c r="W409" s="228"/>
      <c r="AA409" s="93"/>
      <c r="AB409" s="93"/>
      <c r="AC409" s="83"/>
      <c r="AD409" s="83"/>
      <c r="AE409" s="93"/>
      <c r="AF409" s="93"/>
      <c r="AG409" s="83"/>
      <c r="AH409" s="83"/>
      <c r="AI409" s="93"/>
      <c r="AJ409" s="93"/>
      <c r="AK409" s="83"/>
      <c r="AL409" s="83"/>
      <c r="AM409" s="93"/>
      <c r="AN409" s="93"/>
      <c r="AO409" s="83"/>
      <c r="AP409" s="83"/>
      <c r="AQ409" s="93"/>
      <c r="AR409" s="93"/>
      <c r="AS409" s="83"/>
      <c r="AT409" s="83"/>
      <c r="AU409" s="93"/>
      <c r="AV409" s="93"/>
      <c r="AW409" s="83"/>
      <c r="AX409" s="83"/>
      <c r="AY409" s="93"/>
      <c r="AZ409" s="93"/>
    </row>
    <row r="410" spans="2:52" ht="57" outlineLevel="2" x14ac:dyDescent="0.45">
      <c r="B410" s="1394"/>
      <c r="C410" s="91" t="s">
        <v>661</v>
      </c>
      <c r="D410" s="128" t="s">
        <v>650</v>
      </c>
      <c r="E410" s="116" t="s">
        <v>336</v>
      </c>
      <c r="F410" s="130">
        <f t="shared" ref="F410:H420" si="102">I410+L410+O410+R410+U410</f>
        <v>21085540.559999999</v>
      </c>
      <c r="G410" s="130">
        <f t="shared" si="102"/>
        <v>30284132.409999996</v>
      </c>
      <c r="H410" s="131">
        <f t="shared" si="102"/>
        <v>22110684.57</v>
      </c>
      <c r="I410" s="217"/>
      <c r="J410" s="217"/>
      <c r="K410" s="217"/>
      <c r="L410" s="218"/>
      <c r="M410" s="217"/>
      <c r="N410" s="217"/>
      <c r="O410" s="218">
        <v>10736227.380000001</v>
      </c>
      <c r="P410" s="217">
        <v>20154498.489999998</v>
      </c>
      <c r="Q410" s="217">
        <v>9133854.3499999996</v>
      </c>
      <c r="R410" s="218">
        <v>10013066.199999999</v>
      </c>
      <c r="S410" s="217">
        <v>9988926.7400000002</v>
      </c>
      <c r="T410" s="217">
        <v>12776897.890000001</v>
      </c>
      <c r="U410" s="218">
        <v>336246.98</v>
      </c>
      <c r="V410" s="217">
        <v>140707.18000000002</v>
      </c>
      <c r="W410" s="217">
        <v>199932.33000000002</v>
      </c>
      <c r="AA410" s="93"/>
      <c r="AB410" s="93"/>
      <c r="AC410" s="83"/>
      <c r="AD410" s="83"/>
      <c r="AE410" s="93"/>
      <c r="AF410" s="93"/>
      <c r="AG410" s="83"/>
      <c r="AH410" s="83"/>
      <c r="AI410" s="93"/>
      <c r="AJ410" s="93"/>
      <c r="AK410" s="1384" t="s">
        <v>337</v>
      </c>
      <c r="AL410" s="83"/>
      <c r="AM410" s="93"/>
      <c r="AN410" s="93"/>
      <c r="AO410" s="1384" t="s">
        <v>337</v>
      </c>
      <c r="AP410" s="83"/>
      <c r="AQ410" s="93"/>
      <c r="AR410" s="93"/>
      <c r="AS410" s="1384" t="s">
        <v>337</v>
      </c>
      <c r="AT410" s="83"/>
      <c r="AU410" s="93"/>
      <c r="AV410" s="93"/>
      <c r="AW410" s="1385" t="s">
        <v>338</v>
      </c>
      <c r="AX410" s="83"/>
      <c r="AY410" s="93"/>
      <c r="AZ410" s="93"/>
    </row>
    <row r="411" spans="2:52" outlineLevel="2" x14ac:dyDescent="0.45">
      <c r="B411" s="1394"/>
      <c r="C411" s="91" t="s">
        <v>662</v>
      </c>
      <c r="D411" s="128"/>
      <c r="E411" s="116" t="s">
        <v>340</v>
      </c>
      <c r="F411" s="130">
        <f t="shared" si="102"/>
        <v>4123141.3600000003</v>
      </c>
      <c r="G411" s="130">
        <f t="shared" si="102"/>
        <v>9194186.4000000004</v>
      </c>
      <c r="H411" s="131">
        <f t="shared" si="102"/>
        <v>7390163.8999999994</v>
      </c>
      <c r="I411" s="217"/>
      <c r="J411" s="217"/>
      <c r="K411" s="217"/>
      <c r="L411" s="218"/>
      <c r="M411" s="217"/>
      <c r="N411" s="217"/>
      <c r="O411" s="218">
        <v>2180158.14</v>
      </c>
      <c r="P411" s="217">
        <v>1848232.59</v>
      </c>
      <c r="Q411" s="217">
        <v>1727582.3</v>
      </c>
      <c r="R411" s="218">
        <v>1942983.22</v>
      </c>
      <c r="S411" s="217">
        <v>7345953.8099999996</v>
      </c>
      <c r="T411" s="217">
        <v>5662581.5999999996</v>
      </c>
      <c r="U411" s="218">
        <v>0</v>
      </c>
      <c r="V411" s="217">
        <v>0</v>
      </c>
      <c r="W411" s="217">
        <v>0</v>
      </c>
      <c r="AA411" s="93"/>
      <c r="AB411" s="93"/>
      <c r="AC411" s="83"/>
      <c r="AD411" s="83"/>
      <c r="AE411" s="93"/>
      <c r="AF411" s="93"/>
      <c r="AG411" s="83"/>
      <c r="AH411" s="83"/>
      <c r="AI411" s="93"/>
      <c r="AJ411" s="93"/>
      <c r="AK411" s="1385"/>
      <c r="AL411" s="83"/>
      <c r="AM411" s="93"/>
      <c r="AN411" s="93"/>
      <c r="AO411" s="1385"/>
      <c r="AP411" s="83"/>
      <c r="AQ411" s="93"/>
      <c r="AR411" s="93"/>
      <c r="AS411" s="1385"/>
      <c r="AT411" s="83"/>
      <c r="AU411" s="93"/>
      <c r="AV411" s="93"/>
      <c r="AW411" s="1385"/>
      <c r="AX411" s="83"/>
      <c r="AY411" s="93"/>
      <c r="AZ411" s="93"/>
    </row>
    <row r="412" spans="2:52" outlineLevel="2" x14ac:dyDescent="0.45">
      <c r="B412" s="1394"/>
      <c r="C412" s="91" t="s">
        <v>663</v>
      </c>
      <c r="D412" s="128"/>
      <c r="E412" s="116" t="s">
        <v>342</v>
      </c>
      <c r="F412" s="130">
        <f t="shared" si="102"/>
        <v>52103485.890000001</v>
      </c>
      <c r="G412" s="130">
        <f t="shared" si="102"/>
        <v>44466162.890000001</v>
      </c>
      <c r="H412" s="131">
        <f t="shared" si="102"/>
        <v>57423842.950000003</v>
      </c>
      <c r="I412" s="217"/>
      <c r="J412" s="217"/>
      <c r="K412" s="217"/>
      <c r="L412" s="218"/>
      <c r="M412" s="217"/>
      <c r="N412" s="217"/>
      <c r="O412" s="218">
        <v>29786126.449999999</v>
      </c>
      <c r="P412" s="217">
        <v>21565237.469999999</v>
      </c>
      <c r="Q412" s="217">
        <v>27062400.5</v>
      </c>
      <c r="R412" s="218">
        <v>21457726.75</v>
      </c>
      <c r="S412" s="217">
        <v>22270178.579999998</v>
      </c>
      <c r="T412" s="217">
        <v>30060642.490000002</v>
      </c>
      <c r="U412" s="218">
        <v>859632.69000000006</v>
      </c>
      <c r="V412" s="217">
        <v>630746.84</v>
      </c>
      <c r="W412" s="217">
        <v>300799.96000000002</v>
      </c>
      <c r="AA412" s="93"/>
      <c r="AB412" s="93"/>
      <c r="AC412" s="83"/>
      <c r="AD412" s="83"/>
      <c r="AE412" s="93"/>
      <c r="AF412" s="93"/>
      <c r="AG412" s="83"/>
      <c r="AH412" s="83"/>
      <c r="AI412" s="93"/>
      <c r="AJ412" s="93"/>
      <c r="AK412" s="1385"/>
      <c r="AL412" s="83"/>
      <c r="AM412" s="93"/>
      <c r="AN412" s="93"/>
      <c r="AO412" s="1385"/>
      <c r="AP412" s="83"/>
      <c r="AQ412" s="93"/>
      <c r="AR412" s="93"/>
      <c r="AS412" s="1385"/>
      <c r="AT412" s="83"/>
      <c r="AU412" s="93"/>
      <c r="AV412" s="93"/>
      <c r="AW412" s="1385"/>
      <c r="AX412" s="83"/>
      <c r="AY412" s="93"/>
      <c r="AZ412" s="93"/>
    </row>
    <row r="413" spans="2:52" outlineLevel="2" x14ac:dyDescent="0.45">
      <c r="B413" s="1394"/>
      <c r="C413" s="91" t="s">
        <v>664</v>
      </c>
      <c r="D413" s="128"/>
      <c r="E413" s="116" t="s">
        <v>344</v>
      </c>
      <c r="F413" s="130">
        <f t="shared" si="102"/>
        <v>882482.78</v>
      </c>
      <c r="G413" s="130">
        <f t="shared" si="102"/>
        <v>0</v>
      </c>
      <c r="H413" s="131">
        <f t="shared" si="102"/>
        <v>0</v>
      </c>
      <c r="I413" s="217"/>
      <c r="J413" s="217"/>
      <c r="K413" s="217"/>
      <c r="L413" s="218"/>
      <c r="M413" s="217"/>
      <c r="N413" s="217"/>
      <c r="O413" s="218">
        <v>276698.82</v>
      </c>
      <c r="P413" s="217">
        <v>0</v>
      </c>
      <c r="Q413" s="217">
        <v>0</v>
      </c>
      <c r="R413" s="218">
        <v>605783.96</v>
      </c>
      <c r="S413" s="217">
        <v>0</v>
      </c>
      <c r="T413" s="217">
        <v>0</v>
      </c>
      <c r="U413" s="218">
        <v>0</v>
      </c>
      <c r="V413" s="217">
        <v>0</v>
      </c>
      <c r="W413" s="217">
        <v>0</v>
      </c>
      <c r="AA413" s="93"/>
      <c r="AB413" s="93"/>
      <c r="AC413" s="83"/>
      <c r="AD413" s="83"/>
      <c r="AE413" s="93"/>
      <c r="AF413" s="93"/>
      <c r="AG413" s="83"/>
      <c r="AH413" s="83"/>
      <c r="AI413" s="93"/>
      <c r="AJ413" s="93"/>
      <c r="AK413" s="1386"/>
      <c r="AL413" s="83"/>
      <c r="AM413" s="93"/>
      <c r="AN413" s="93"/>
      <c r="AO413" s="1386"/>
      <c r="AP413" s="83"/>
      <c r="AQ413" s="93"/>
      <c r="AR413" s="93"/>
      <c r="AS413" s="1386"/>
      <c r="AT413" s="83"/>
      <c r="AU413" s="93"/>
      <c r="AV413" s="93"/>
      <c r="AW413" s="1385"/>
      <c r="AX413" s="83"/>
      <c r="AY413" s="93"/>
      <c r="AZ413" s="93"/>
    </row>
    <row r="414" spans="2:52" outlineLevel="2" x14ac:dyDescent="0.45">
      <c r="B414" s="1394"/>
      <c r="C414" s="91" t="s">
        <v>665</v>
      </c>
      <c r="D414" s="128"/>
      <c r="E414" s="230"/>
      <c r="F414" s="130">
        <f t="shared" si="102"/>
        <v>0</v>
      </c>
      <c r="G414" s="130">
        <f t="shared" si="102"/>
        <v>0</v>
      </c>
      <c r="H414" s="131">
        <f t="shared" si="102"/>
        <v>0</v>
      </c>
      <c r="I414" s="217"/>
      <c r="J414" s="217"/>
      <c r="K414" s="217"/>
      <c r="L414" s="218"/>
      <c r="M414" s="217"/>
      <c r="N414" s="217"/>
      <c r="O414" s="218"/>
      <c r="P414" s="217"/>
      <c r="Q414" s="217"/>
      <c r="R414" s="218"/>
      <c r="S414" s="217"/>
      <c r="T414" s="217"/>
      <c r="U414" s="218"/>
      <c r="V414" s="217"/>
      <c r="W414" s="217"/>
      <c r="AA414" s="93"/>
      <c r="AB414" s="93"/>
      <c r="AC414" s="83"/>
      <c r="AD414" s="83"/>
      <c r="AE414" s="93"/>
      <c r="AF414" s="93"/>
      <c r="AG414" s="83"/>
      <c r="AH414" s="83"/>
      <c r="AI414" s="93"/>
      <c r="AJ414" s="93"/>
      <c r="AK414" s="83"/>
      <c r="AL414" s="83"/>
      <c r="AM414" s="93"/>
      <c r="AN414" s="93"/>
      <c r="AO414" s="83"/>
      <c r="AP414" s="83"/>
      <c r="AQ414" s="93"/>
      <c r="AR414" s="93"/>
      <c r="AS414" s="83"/>
      <c r="AT414" s="83"/>
      <c r="AU414" s="93"/>
      <c r="AV414" s="93"/>
      <c r="AW414" s="83"/>
      <c r="AX414" s="83"/>
      <c r="AY414" s="93"/>
      <c r="AZ414" s="93"/>
    </row>
    <row r="415" spans="2:52" outlineLevel="2" x14ac:dyDescent="0.45">
      <c r="B415" s="1394"/>
      <c r="C415" s="91" t="s">
        <v>666</v>
      </c>
      <c r="D415" s="128"/>
      <c r="E415" s="230"/>
      <c r="F415" s="130">
        <f t="shared" si="102"/>
        <v>0</v>
      </c>
      <c r="G415" s="130">
        <f t="shared" si="102"/>
        <v>0</v>
      </c>
      <c r="H415" s="131">
        <f t="shared" si="102"/>
        <v>0</v>
      </c>
      <c r="I415" s="217"/>
      <c r="J415" s="217"/>
      <c r="K415" s="217"/>
      <c r="L415" s="218"/>
      <c r="M415" s="217"/>
      <c r="N415" s="217"/>
      <c r="O415" s="218"/>
      <c r="P415" s="217"/>
      <c r="Q415" s="217"/>
      <c r="R415" s="218"/>
      <c r="S415" s="217"/>
      <c r="T415" s="217"/>
      <c r="U415" s="218"/>
      <c r="V415" s="217"/>
      <c r="W415" s="217"/>
      <c r="AA415" s="93"/>
      <c r="AB415" s="93"/>
      <c r="AC415" s="83"/>
      <c r="AD415" s="83"/>
      <c r="AE415" s="93"/>
      <c r="AF415" s="93"/>
      <c r="AG415" s="83"/>
      <c r="AH415" s="83"/>
      <c r="AI415" s="93"/>
      <c r="AJ415" s="93"/>
      <c r="AK415" s="83"/>
      <c r="AL415" s="83"/>
      <c r="AM415" s="93"/>
      <c r="AN415" s="93"/>
      <c r="AO415" s="83"/>
      <c r="AP415" s="83"/>
      <c r="AQ415" s="93"/>
      <c r="AR415" s="93"/>
      <c r="AS415" s="83"/>
      <c r="AT415" s="83"/>
      <c r="AU415" s="93"/>
      <c r="AV415" s="93"/>
      <c r="AW415" s="83"/>
      <c r="AX415" s="83"/>
      <c r="AY415" s="93"/>
      <c r="AZ415" s="93"/>
    </row>
    <row r="416" spans="2:52" outlineLevel="2" x14ac:dyDescent="0.45">
      <c r="B416" s="1394"/>
      <c r="C416" s="91" t="s">
        <v>667</v>
      </c>
      <c r="D416" s="128"/>
      <c r="E416" s="230"/>
      <c r="F416" s="130">
        <f t="shared" si="102"/>
        <v>0</v>
      </c>
      <c r="G416" s="130">
        <f t="shared" si="102"/>
        <v>0</v>
      </c>
      <c r="H416" s="131">
        <f t="shared" si="102"/>
        <v>0</v>
      </c>
      <c r="I416" s="217"/>
      <c r="J416" s="217"/>
      <c r="K416" s="217"/>
      <c r="L416" s="218"/>
      <c r="M416" s="217"/>
      <c r="N416" s="217"/>
      <c r="O416" s="218"/>
      <c r="P416" s="217"/>
      <c r="Q416" s="217"/>
      <c r="R416" s="218"/>
      <c r="S416" s="217"/>
      <c r="T416" s="217"/>
      <c r="U416" s="218"/>
      <c r="V416" s="217"/>
      <c r="W416" s="217"/>
      <c r="AA416" s="93"/>
      <c r="AB416" s="93"/>
      <c r="AC416" s="83"/>
      <c r="AD416" s="83"/>
      <c r="AE416" s="93"/>
      <c r="AF416" s="93"/>
      <c r="AG416" s="83"/>
      <c r="AH416" s="83"/>
      <c r="AI416" s="93"/>
      <c r="AJ416" s="93"/>
      <c r="AK416" s="83"/>
      <c r="AL416" s="83"/>
      <c r="AM416" s="93"/>
      <c r="AN416" s="93"/>
      <c r="AO416" s="83"/>
      <c r="AP416" s="83"/>
      <c r="AQ416" s="93"/>
      <c r="AR416" s="93"/>
      <c r="AS416" s="83"/>
      <c r="AT416" s="83"/>
      <c r="AU416" s="93"/>
      <c r="AV416" s="93"/>
      <c r="AW416" s="83"/>
      <c r="AX416" s="83"/>
      <c r="AY416" s="93"/>
      <c r="AZ416" s="93"/>
    </row>
    <row r="417" spans="2:52" outlineLevel="2" x14ac:dyDescent="0.45">
      <c r="B417" s="1394"/>
      <c r="C417" s="91" t="s">
        <v>668</v>
      </c>
      <c r="D417" s="128"/>
      <c r="E417" s="230"/>
      <c r="F417" s="130">
        <f t="shared" si="102"/>
        <v>0</v>
      </c>
      <c r="G417" s="130">
        <f t="shared" si="102"/>
        <v>0</v>
      </c>
      <c r="H417" s="131">
        <f t="shared" si="102"/>
        <v>0</v>
      </c>
      <c r="I417" s="217"/>
      <c r="J417" s="217"/>
      <c r="K417" s="217"/>
      <c r="L417" s="218"/>
      <c r="M417" s="217"/>
      <c r="N417" s="217"/>
      <c r="O417" s="218"/>
      <c r="P417" s="217"/>
      <c r="Q417" s="217"/>
      <c r="R417" s="218"/>
      <c r="S417" s="217"/>
      <c r="T417" s="217"/>
      <c r="U417" s="218"/>
      <c r="V417" s="217"/>
      <c r="W417" s="217"/>
      <c r="AA417" s="93"/>
      <c r="AB417" s="93"/>
      <c r="AC417" s="83"/>
      <c r="AD417" s="83"/>
      <c r="AE417" s="93"/>
      <c r="AF417" s="93"/>
      <c r="AG417" s="83"/>
      <c r="AH417" s="83"/>
      <c r="AI417" s="93"/>
      <c r="AJ417" s="93"/>
      <c r="AK417" s="83"/>
      <c r="AL417" s="83"/>
      <c r="AM417" s="93"/>
      <c r="AN417" s="93"/>
      <c r="AO417" s="83"/>
      <c r="AP417" s="83"/>
      <c r="AQ417" s="93"/>
      <c r="AR417" s="93"/>
      <c r="AS417" s="83"/>
      <c r="AT417" s="83"/>
      <c r="AU417" s="93"/>
      <c r="AV417" s="93"/>
      <c r="AW417" s="83"/>
      <c r="AX417" s="83"/>
      <c r="AY417" s="93"/>
      <c r="AZ417" s="93"/>
    </row>
    <row r="418" spans="2:52" outlineLevel="2" x14ac:dyDescent="0.45">
      <c r="B418" s="1394"/>
      <c r="C418" s="91" t="s">
        <v>669</v>
      </c>
      <c r="D418" s="128"/>
      <c r="E418" s="230"/>
      <c r="F418" s="130">
        <f t="shared" si="102"/>
        <v>0</v>
      </c>
      <c r="G418" s="130">
        <f t="shared" si="102"/>
        <v>0</v>
      </c>
      <c r="H418" s="131">
        <f t="shared" si="102"/>
        <v>0</v>
      </c>
      <c r="I418" s="217"/>
      <c r="J418" s="217"/>
      <c r="K418" s="217"/>
      <c r="L418" s="218"/>
      <c r="M418" s="217"/>
      <c r="N418" s="217"/>
      <c r="O418" s="218"/>
      <c r="P418" s="217"/>
      <c r="Q418" s="217"/>
      <c r="R418" s="218"/>
      <c r="S418" s="217"/>
      <c r="T418" s="217"/>
      <c r="U418" s="218"/>
      <c r="V418" s="217"/>
      <c r="W418" s="217"/>
      <c r="AA418" s="93"/>
      <c r="AB418" s="93"/>
      <c r="AC418" s="83"/>
      <c r="AD418" s="83"/>
      <c r="AE418" s="93"/>
      <c r="AF418" s="93"/>
      <c r="AG418" s="83"/>
      <c r="AH418" s="83"/>
      <c r="AI418" s="93"/>
      <c r="AJ418" s="93"/>
      <c r="AK418" s="83"/>
      <c r="AL418" s="83"/>
      <c r="AM418" s="93"/>
      <c r="AN418" s="93"/>
      <c r="AO418" s="83"/>
      <c r="AP418" s="83"/>
      <c r="AQ418" s="93"/>
      <c r="AR418" s="93"/>
      <c r="AS418" s="83"/>
      <c r="AT418" s="83"/>
      <c r="AU418" s="93"/>
      <c r="AV418" s="93"/>
      <c r="AW418" s="83"/>
      <c r="AX418" s="83"/>
      <c r="AY418" s="93"/>
      <c r="AZ418" s="93"/>
    </row>
    <row r="419" spans="2:52" outlineLevel="2" x14ac:dyDescent="0.45">
      <c r="B419" s="1394"/>
      <c r="C419" s="91" t="s">
        <v>670</v>
      </c>
      <c r="D419" s="128"/>
      <c r="E419" s="230"/>
      <c r="F419" s="130">
        <f t="shared" si="102"/>
        <v>0</v>
      </c>
      <c r="G419" s="130">
        <f t="shared" si="102"/>
        <v>0</v>
      </c>
      <c r="H419" s="131">
        <f t="shared" si="102"/>
        <v>0</v>
      </c>
      <c r="I419" s="217"/>
      <c r="J419" s="217"/>
      <c r="K419" s="217"/>
      <c r="L419" s="218"/>
      <c r="M419" s="217"/>
      <c r="N419" s="217"/>
      <c r="O419" s="218"/>
      <c r="P419" s="217"/>
      <c r="Q419" s="217"/>
      <c r="R419" s="218"/>
      <c r="S419" s="217"/>
      <c r="T419" s="217"/>
      <c r="U419" s="218"/>
      <c r="V419" s="217"/>
      <c r="W419" s="217"/>
      <c r="AA419" s="93"/>
      <c r="AB419" s="93"/>
      <c r="AC419" s="83"/>
      <c r="AD419" s="83"/>
      <c r="AE419" s="93"/>
      <c r="AF419" s="93"/>
      <c r="AG419" s="83"/>
      <c r="AH419" s="83"/>
      <c r="AI419" s="93"/>
      <c r="AJ419" s="93"/>
      <c r="AK419" s="83"/>
      <c r="AL419" s="83"/>
      <c r="AM419" s="93"/>
      <c r="AN419" s="93"/>
      <c r="AO419" s="83"/>
      <c r="AP419" s="83"/>
      <c r="AQ419" s="93"/>
      <c r="AR419" s="93"/>
      <c r="AS419" s="83"/>
      <c r="AT419" s="83"/>
      <c r="AU419" s="93"/>
      <c r="AV419" s="93"/>
      <c r="AW419" s="83"/>
      <c r="AX419" s="83"/>
      <c r="AY419" s="93"/>
      <c r="AZ419" s="93"/>
    </row>
    <row r="420" spans="2:52" ht="28.5" outlineLevel="2" x14ac:dyDescent="0.45">
      <c r="B420" s="1394"/>
      <c r="C420" s="91" t="s">
        <v>671</v>
      </c>
      <c r="D420" s="128"/>
      <c r="E420" s="230" t="s">
        <v>459</v>
      </c>
      <c r="F420" s="130">
        <f t="shared" si="102"/>
        <v>10381312.390000001</v>
      </c>
      <c r="G420" s="130">
        <f t="shared" si="102"/>
        <v>11102380.890000001</v>
      </c>
      <c r="H420" s="131">
        <f t="shared" si="102"/>
        <v>0</v>
      </c>
      <c r="I420" s="217">
        <v>9680312.3900000006</v>
      </c>
      <c r="J420" s="217">
        <v>10401380.890000001</v>
      </c>
      <c r="K420" s="217"/>
      <c r="L420" s="218">
        <v>701000</v>
      </c>
      <c r="M420" s="234">
        <v>701000</v>
      </c>
      <c r="N420" s="217"/>
      <c r="O420" s="218">
        <f>42979210.79-SUM(O410:O413)</f>
        <v>0</v>
      </c>
      <c r="P420" s="217">
        <f>43567968.55-SUM(P410:P413)</f>
        <v>0</v>
      </c>
      <c r="Q420" s="217">
        <f>37923837.15-SUM(Q410:Q413)</f>
        <v>0</v>
      </c>
      <c r="R420" s="218">
        <f>34019560.13-SUM(R410:R413)</f>
        <v>0</v>
      </c>
      <c r="S420" s="217">
        <f>39605059.13-SUM(S410:S413)</f>
        <v>0</v>
      </c>
      <c r="T420" s="217">
        <f>48500121.98-SUM(T410:T413)</f>
        <v>0</v>
      </c>
      <c r="U420" s="218">
        <f>1195879.67-SUM(U410:U413)</f>
        <v>0</v>
      </c>
      <c r="V420" s="217">
        <f>771454.02-SUM(V410:V413)</f>
        <v>0</v>
      </c>
      <c r="W420" s="217">
        <f>500732.29-SUM(W410:W413)</f>
        <v>0</v>
      </c>
      <c r="AA420" s="93"/>
      <c r="AB420" s="93"/>
      <c r="AC420" s="83" t="s">
        <v>355</v>
      </c>
      <c r="AD420" s="83"/>
      <c r="AE420" s="93"/>
      <c r="AF420" s="93"/>
      <c r="AG420" s="83" t="s">
        <v>355</v>
      </c>
      <c r="AH420" s="83"/>
      <c r="AI420" s="93"/>
      <c r="AJ420" s="93"/>
      <c r="AK420" s="83" t="s">
        <v>356</v>
      </c>
      <c r="AL420" s="83"/>
      <c r="AM420" s="93"/>
      <c r="AN420" s="93"/>
      <c r="AO420" s="83" t="s">
        <v>356</v>
      </c>
      <c r="AP420" s="83"/>
      <c r="AQ420" s="93"/>
      <c r="AR420" s="93"/>
      <c r="AS420" s="83" t="s">
        <v>356</v>
      </c>
      <c r="AT420" s="83"/>
      <c r="AU420" s="93"/>
      <c r="AV420" s="93"/>
      <c r="AW420" s="83" t="s">
        <v>356</v>
      </c>
      <c r="AX420" s="83"/>
      <c r="AY420" s="93"/>
      <c r="AZ420" s="93"/>
    </row>
    <row r="421" spans="2:52" outlineLevel="2" x14ac:dyDescent="0.45">
      <c r="B421" s="1394"/>
      <c r="C421" s="91" t="s">
        <v>672</v>
      </c>
      <c r="D421" s="115"/>
      <c r="E421" s="235" t="s">
        <v>358</v>
      </c>
      <c r="F421" s="89"/>
      <c r="G421" s="89"/>
      <c r="H421" s="23"/>
      <c r="I421" s="236"/>
      <c r="J421" s="237"/>
      <c r="K421" s="238"/>
      <c r="L421" s="237"/>
      <c r="M421" s="237"/>
      <c r="N421" s="238"/>
      <c r="O421" s="237"/>
      <c r="P421" s="237"/>
      <c r="Q421" s="238"/>
      <c r="R421" s="237"/>
      <c r="S421" s="237"/>
      <c r="T421" s="238"/>
      <c r="U421" s="237"/>
      <c r="V421" s="237"/>
      <c r="W421" s="238"/>
      <c r="AA421" s="93"/>
      <c r="AB421" s="93"/>
      <c r="AC421" s="83"/>
      <c r="AD421" s="83"/>
      <c r="AE421" s="93"/>
      <c r="AF421" s="93"/>
      <c r="AG421" s="83"/>
      <c r="AH421" s="83"/>
      <c r="AI421" s="93"/>
      <c r="AJ421" s="93"/>
      <c r="AK421" s="83"/>
      <c r="AL421" s="83"/>
      <c r="AM421" s="93"/>
      <c r="AN421" s="93"/>
      <c r="AO421" s="83"/>
      <c r="AP421" s="83"/>
      <c r="AQ421" s="93"/>
      <c r="AR421" s="93"/>
      <c r="AS421" s="83"/>
      <c r="AT421" s="83"/>
      <c r="AU421" s="93"/>
      <c r="AV421" s="93"/>
      <c r="AW421" s="83"/>
      <c r="AX421" s="83"/>
      <c r="AY421" s="93"/>
      <c r="AZ421" s="93"/>
    </row>
    <row r="422" spans="2:52" outlineLevel="2" x14ac:dyDescent="0.45">
      <c r="B422" s="1394"/>
      <c r="C422" s="91" t="s">
        <v>673</v>
      </c>
      <c r="D422" s="128"/>
      <c r="E422" s="15" t="s">
        <v>360</v>
      </c>
      <c r="F422" s="130">
        <f t="shared" ref="F422:H427" si="103">I422+L422+O422+R422+U422</f>
        <v>0</v>
      </c>
      <c r="G422" s="130">
        <f t="shared" si="103"/>
        <v>0</v>
      </c>
      <c r="H422" s="131">
        <f t="shared" si="103"/>
        <v>0</v>
      </c>
      <c r="I422" s="217"/>
      <c r="J422" s="272"/>
      <c r="K422" s="272"/>
      <c r="L422" s="218"/>
      <c r="M422" s="272"/>
      <c r="N422" s="272"/>
      <c r="O422" s="218"/>
      <c r="P422" s="272"/>
      <c r="Q422" s="272"/>
      <c r="R422" s="218"/>
      <c r="S422" s="272"/>
      <c r="T422" s="272"/>
      <c r="U422" s="218"/>
      <c r="V422" s="272"/>
      <c r="W422" s="272"/>
      <c r="AA422" s="93"/>
      <c r="AB422" s="93"/>
      <c r="AC422" s="83"/>
      <c r="AD422" s="83"/>
      <c r="AE422" s="93"/>
      <c r="AF422" s="93"/>
      <c r="AG422" s="83"/>
      <c r="AH422" s="83"/>
      <c r="AI422" s="93"/>
      <c r="AJ422" s="93"/>
      <c r="AK422" s="83"/>
      <c r="AL422" s="83"/>
      <c r="AM422" s="93"/>
      <c r="AN422" s="93"/>
      <c r="AO422" s="83"/>
      <c r="AP422" s="83"/>
      <c r="AQ422" s="93"/>
      <c r="AR422" s="93"/>
      <c r="AS422" s="83"/>
      <c r="AT422" s="83"/>
      <c r="AU422" s="93"/>
      <c r="AV422" s="93"/>
      <c r="AW422" s="83"/>
      <c r="AX422" s="83"/>
      <c r="AY422" s="93"/>
      <c r="AZ422" s="93"/>
    </row>
    <row r="423" spans="2:52" outlineLevel="2" x14ac:dyDescent="0.45">
      <c r="B423" s="1394"/>
      <c r="C423" s="91" t="s">
        <v>674</v>
      </c>
      <c r="D423" s="128"/>
      <c r="E423" s="15" t="s">
        <v>365</v>
      </c>
      <c r="F423" s="130">
        <f t="shared" si="103"/>
        <v>0</v>
      </c>
      <c r="G423" s="130">
        <f t="shared" si="103"/>
        <v>0</v>
      </c>
      <c r="H423" s="131">
        <f t="shared" si="103"/>
        <v>0</v>
      </c>
      <c r="I423" s="217"/>
      <c r="J423" s="217"/>
      <c r="K423" s="217"/>
      <c r="L423" s="218"/>
      <c r="M423" s="217"/>
      <c r="N423" s="217"/>
      <c r="O423" s="218"/>
      <c r="P423" s="217"/>
      <c r="Q423" s="217"/>
      <c r="R423" s="218"/>
      <c r="S423" s="217"/>
      <c r="T423" s="217"/>
      <c r="U423" s="218"/>
      <c r="V423" s="217"/>
      <c r="W423" s="217"/>
      <c r="AA423" s="93"/>
      <c r="AB423" s="93"/>
      <c r="AC423" s="83"/>
      <c r="AD423" s="83"/>
      <c r="AE423" s="93"/>
      <c r="AF423" s="93"/>
      <c r="AG423" s="83"/>
      <c r="AH423" s="83"/>
      <c r="AI423" s="93"/>
      <c r="AJ423" s="93"/>
      <c r="AK423" s="83"/>
      <c r="AL423" s="83"/>
      <c r="AM423" s="93"/>
      <c r="AN423" s="93"/>
      <c r="AO423" s="83"/>
      <c r="AP423" s="83"/>
      <c r="AQ423" s="93"/>
      <c r="AR423" s="93"/>
      <c r="AS423" s="83"/>
      <c r="AT423" s="83"/>
      <c r="AU423" s="93"/>
      <c r="AV423" s="93"/>
      <c r="AW423" s="83"/>
      <c r="AX423" s="83"/>
      <c r="AY423" s="93"/>
      <c r="AZ423" s="93"/>
    </row>
    <row r="424" spans="2:52" outlineLevel="2" x14ac:dyDescent="0.45">
      <c r="B424" s="1394"/>
      <c r="C424" s="91" t="s">
        <v>675</v>
      </c>
      <c r="D424" s="128"/>
      <c r="E424" s="230"/>
      <c r="F424" s="130">
        <f t="shared" si="103"/>
        <v>0</v>
      </c>
      <c r="G424" s="130">
        <f t="shared" si="103"/>
        <v>0</v>
      </c>
      <c r="H424" s="131">
        <f t="shared" si="103"/>
        <v>0</v>
      </c>
      <c r="I424" s="217"/>
      <c r="J424" s="217"/>
      <c r="K424" s="217"/>
      <c r="L424" s="218"/>
      <c r="M424" s="217"/>
      <c r="N424" s="217"/>
      <c r="O424" s="218"/>
      <c r="P424" s="217"/>
      <c r="Q424" s="217"/>
      <c r="R424" s="218"/>
      <c r="S424" s="217"/>
      <c r="T424" s="217"/>
      <c r="U424" s="218"/>
      <c r="V424" s="217"/>
      <c r="W424" s="217"/>
      <c r="AA424" s="93"/>
      <c r="AB424" s="93"/>
      <c r="AC424" s="83"/>
      <c r="AD424" s="83"/>
      <c r="AE424" s="93"/>
      <c r="AF424" s="93"/>
      <c r="AG424" s="83"/>
      <c r="AH424" s="83"/>
      <c r="AI424" s="93"/>
      <c r="AJ424" s="93"/>
      <c r="AK424" s="83"/>
      <c r="AL424" s="83"/>
      <c r="AM424" s="93"/>
      <c r="AN424" s="93"/>
      <c r="AO424" s="83"/>
      <c r="AP424" s="83"/>
      <c r="AQ424" s="93"/>
      <c r="AR424" s="93"/>
      <c r="AS424" s="83"/>
      <c r="AT424" s="83"/>
      <c r="AU424" s="93"/>
      <c r="AV424" s="93"/>
      <c r="AW424" s="83"/>
      <c r="AX424" s="83"/>
      <c r="AY424" s="93"/>
      <c r="AZ424" s="93"/>
    </row>
    <row r="425" spans="2:52" outlineLevel="2" x14ac:dyDescent="0.45">
      <c r="B425" s="1394"/>
      <c r="C425" s="91" t="s">
        <v>676</v>
      </c>
      <c r="D425" s="128"/>
      <c r="E425" s="230"/>
      <c r="F425" s="130">
        <f t="shared" si="103"/>
        <v>0</v>
      </c>
      <c r="G425" s="130">
        <f t="shared" si="103"/>
        <v>0</v>
      </c>
      <c r="H425" s="131">
        <f t="shared" si="103"/>
        <v>0</v>
      </c>
      <c r="I425" s="217"/>
      <c r="J425" s="217"/>
      <c r="K425" s="217"/>
      <c r="L425" s="218"/>
      <c r="M425" s="217"/>
      <c r="N425" s="217"/>
      <c r="O425" s="218"/>
      <c r="P425" s="217"/>
      <c r="Q425" s="217"/>
      <c r="R425" s="218"/>
      <c r="S425" s="217"/>
      <c r="T425" s="217"/>
      <c r="U425" s="218"/>
      <c r="V425" s="217"/>
      <c r="W425" s="217"/>
      <c r="AA425" s="93"/>
      <c r="AB425" s="93"/>
      <c r="AC425" s="83"/>
      <c r="AD425" s="83"/>
      <c r="AE425" s="93"/>
      <c r="AF425" s="93"/>
      <c r="AG425" s="83"/>
      <c r="AH425" s="83"/>
      <c r="AI425" s="93"/>
      <c r="AJ425" s="93"/>
      <c r="AK425" s="83"/>
      <c r="AL425" s="83"/>
      <c r="AM425" s="93"/>
      <c r="AN425" s="93"/>
      <c r="AO425" s="83"/>
      <c r="AP425" s="83"/>
      <c r="AQ425" s="93"/>
      <c r="AR425" s="93"/>
      <c r="AS425" s="83"/>
      <c r="AT425" s="83"/>
      <c r="AU425" s="93"/>
      <c r="AV425" s="93"/>
      <c r="AW425" s="83"/>
      <c r="AX425" s="83"/>
      <c r="AY425" s="93"/>
      <c r="AZ425" s="93"/>
    </row>
    <row r="426" spans="2:52" outlineLevel="2" x14ac:dyDescent="0.45">
      <c r="B426" s="1394"/>
      <c r="C426" s="91" t="s">
        <v>677</v>
      </c>
      <c r="D426" s="115"/>
      <c r="E426" s="12" t="s">
        <v>466</v>
      </c>
      <c r="F426" s="130">
        <f t="shared" si="103"/>
        <v>88575962.980000004</v>
      </c>
      <c r="G426" s="130">
        <f t="shared" si="103"/>
        <v>95046862.589999989</v>
      </c>
      <c r="H426" s="131">
        <f t="shared" si="103"/>
        <v>86924691.420000002</v>
      </c>
      <c r="I426" s="236">
        <f t="shared" ref="I426:W426" si="104">SUM(I410:I420,I422:I425)</f>
        <v>9680312.3900000006</v>
      </c>
      <c r="J426" s="237">
        <f t="shared" si="104"/>
        <v>10401380.890000001</v>
      </c>
      <c r="K426" s="238">
        <f t="shared" si="104"/>
        <v>0</v>
      </c>
      <c r="L426" s="237">
        <f t="shared" si="104"/>
        <v>701000</v>
      </c>
      <c r="M426" s="237">
        <f t="shared" si="104"/>
        <v>701000</v>
      </c>
      <c r="N426" s="238">
        <f t="shared" si="104"/>
        <v>0</v>
      </c>
      <c r="O426" s="237">
        <f t="shared" si="104"/>
        <v>42979210.789999999</v>
      </c>
      <c r="P426" s="237">
        <f t="shared" si="104"/>
        <v>43567968.549999997</v>
      </c>
      <c r="Q426" s="238">
        <f t="shared" si="104"/>
        <v>37923837.149999999</v>
      </c>
      <c r="R426" s="237">
        <f t="shared" si="104"/>
        <v>34019560.130000003</v>
      </c>
      <c r="S426" s="237">
        <f t="shared" si="104"/>
        <v>39605059.129999995</v>
      </c>
      <c r="T426" s="238">
        <f t="shared" si="104"/>
        <v>48500121.980000004</v>
      </c>
      <c r="U426" s="237">
        <f t="shared" si="104"/>
        <v>1195879.67</v>
      </c>
      <c r="V426" s="237">
        <f t="shared" si="104"/>
        <v>771454.02</v>
      </c>
      <c r="W426" s="238">
        <f t="shared" si="104"/>
        <v>500732.29000000004</v>
      </c>
      <c r="AA426" s="93"/>
      <c r="AB426" s="93"/>
      <c r="AC426" s="83"/>
      <c r="AD426" s="83"/>
      <c r="AE426" s="93"/>
      <c r="AF426" s="93"/>
      <c r="AG426" s="83"/>
      <c r="AH426" s="83"/>
      <c r="AI426" s="93"/>
      <c r="AJ426" s="93"/>
      <c r="AK426" s="83"/>
      <c r="AL426" s="83"/>
      <c r="AM426" s="93"/>
      <c r="AN426" s="93"/>
      <c r="AO426" s="83"/>
      <c r="AP426" s="83"/>
      <c r="AQ426" s="93"/>
      <c r="AR426" s="93"/>
      <c r="AS426" s="83"/>
      <c r="AT426" s="83"/>
      <c r="AU426" s="93"/>
      <c r="AV426" s="93"/>
      <c r="AW426" s="83"/>
      <c r="AX426" s="83"/>
      <c r="AY426" s="93"/>
      <c r="AZ426" s="93"/>
    </row>
    <row r="427" spans="2:52" ht="14.65" outlineLevel="2" thickBot="1" x14ac:dyDescent="0.5">
      <c r="B427" s="1394"/>
      <c r="C427" s="91" t="s">
        <v>678</v>
      </c>
      <c r="D427" s="115"/>
      <c r="E427" s="169" t="s">
        <v>371</v>
      </c>
      <c r="F427" s="130">
        <f t="shared" si="103"/>
        <v>-11265777.529999994</v>
      </c>
      <c r="G427" s="130">
        <f t="shared" si="103"/>
        <v>-31569485.039999995</v>
      </c>
      <c r="H427" s="131">
        <f t="shared" si="103"/>
        <v>-36476725.799999997</v>
      </c>
      <c r="I427" s="240">
        <f t="shared" ref="I427:W427" si="105">I407-I426</f>
        <v>-6902970.9100000001</v>
      </c>
      <c r="J427" s="241">
        <f t="shared" si="105"/>
        <v>-8645078.3500000015</v>
      </c>
      <c r="K427" s="242">
        <f t="shared" si="105"/>
        <v>1737717.15</v>
      </c>
      <c r="L427" s="241">
        <f t="shared" si="105"/>
        <v>-509961.47</v>
      </c>
      <c r="M427" s="241">
        <f t="shared" si="105"/>
        <v>-566130.1</v>
      </c>
      <c r="N427" s="242">
        <f t="shared" si="105"/>
        <v>129537.72</v>
      </c>
      <c r="O427" s="241">
        <f t="shared" si="105"/>
        <v>-29531462.949999996</v>
      </c>
      <c r="P427" s="241">
        <f t="shared" si="105"/>
        <v>-28547965.460000001</v>
      </c>
      <c r="Q427" s="242">
        <f t="shared" si="105"/>
        <v>-26807154.309999995</v>
      </c>
      <c r="R427" s="241">
        <f t="shared" si="105"/>
        <v>2278898.9800000042</v>
      </c>
      <c r="S427" s="241">
        <f t="shared" si="105"/>
        <v>-11153394.829999994</v>
      </c>
      <c r="T427" s="242">
        <f t="shared" si="105"/>
        <v>-24154211.980000004</v>
      </c>
      <c r="U427" s="241">
        <f t="shared" si="105"/>
        <v>23399718.82</v>
      </c>
      <c r="V427" s="241">
        <f t="shared" si="105"/>
        <v>17343083.699999999</v>
      </c>
      <c r="W427" s="242">
        <f t="shared" si="105"/>
        <v>12617385.620000001</v>
      </c>
      <c r="AA427" s="93"/>
      <c r="AB427" s="93"/>
      <c r="AC427" s="83"/>
      <c r="AD427" s="83"/>
      <c r="AE427" s="93"/>
      <c r="AF427" s="93"/>
      <c r="AG427" s="83"/>
      <c r="AH427" s="83"/>
      <c r="AI427" s="93"/>
      <c r="AJ427" s="93"/>
      <c r="AK427" s="83"/>
      <c r="AL427" s="83"/>
      <c r="AM427" s="93"/>
      <c r="AN427" s="93"/>
      <c r="AO427" s="83"/>
      <c r="AP427" s="83"/>
      <c r="AQ427" s="93"/>
      <c r="AR427" s="93"/>
      <c r="AS427" s="83"/>
      <c r="AT427" s="83"/>
      <c r="AU427" s="93"/>
      <c r="AV427" s="93"/>
      <c r="AW427" s="83"/>
      <c r="AX427" s="83"/>
      <c r="AY427" s="93"/>
      <c r="AZ427" s="93"/>
    </row>
    <row r="428" spans="2:52" ht="14.65" outlineLevel="2" thickTop="1" x14ac:dyDescent="0.45">
      <c r="B428" s="1394"/>
      <c r="C428" s="91" t="s">
        <v>679</v>
      </c>
      <c r="D428" s="115"/>
      <c r="E428" s="91"/>
      <c r="F428" s="89"/>
      <c r="G428" s="89"/>
      <c r="H428" s="23"/>
      <c r="I428" s="91"/>
      <c r="J428" s="92"/>
      <c r="K428" s="31"/>
      <c r="L428" s="92"/>
      <c r="M428" s="92"/>
      <c r="N428" s="31"/>
      <c r="O428" s="92"/>
      <c r="P428" s="92"/>
      <c r="Q428" s="31"/>
      <c r="R428" s="92"/>
      <c r="S428" s="92"/>
      <c r="T428" s="31"/>
      <c r="U428" s="92"/>
      <c r="V428" s="92"/>
      <c r="W428" s="31"/>
      <c r="AA428" s="93"/>
      <c r="AB428" s="93"/>
      <c r="AC428" s="83"/>
      <c r="AD428" s="83"/>
      <c r="AE428" s="93"/>
      <c r="AF428" s="93"/>
      <c r="AG428" s="83"/>
      <c r="AH428" s="83"/>
      <c r="AI428" s="93"/>
      <c r="AJ428" s="93"/>
      <c r="AK428" s="83"/>
      <c r="AL428" s="83"/>
      <c r="AM428" s="93"/>
      <c r="AN428" s="93"/>
      <c r="AO428" s="83"/>
      <c r="AP428" s="83"/>
      <c r="AQ428" s="93"/>
      <c r="AR428" s="93"/>
      <c r="AS428" s="83"/>
      <c r="AT428" s="83"/>
      <c r="AU428" s="93"/>
      <c r="AV428" s="93"/>
      <c r="AW428" s="83"/>
      <c r="AX428" s="83"/>
      <c r="AY428" s="93"/>
      <c r="AZ428" s="93"/>
    </row>
    <row r="429" spans="2:52" outlineLevel="2" x14ac:dyDescent="0.45">
      <c r="B429" s="1394"/>
      <c r="C429" s="91" t="s">
        <v>680</v>
      </c>
      <c r="D429" s="115"/>
      <c r="E429" s="11" t="s">
        <v>374</v>
      </c>
      <c r="F429" s="89"/>
      <c r="G429" s="89"/>
      <c r="H429" s="23"/>
      <c r="I429" s="91"/>
      <c r="J429" s="92"/>
      <c r="K429" s="31"/>
      <c r="L429" s="92"/>
      <c r="M429" s="92"/>
      <c r="N429" s="31"/>
      <c r="O429" s="92"/>
      <c r="P429" s="92"/>
      <c r="Q429" s="31"/>
      <c r="R429" s="92"/>
      <c r="S429" s="92"/>
      <c r="T429" s="31"/>
      <c r="U429" s="92"/>
      <c r="V429" s="92"/>
      <c r="W429" s="31"/>
      <c r="AA429" s="93"/>
      <c r="AB429" s="93"/>
      <c r="AC429" s="83"/>
      <c r="AD429" s="83"/>
      <c r="AE429" s="93"/>
      <c r="AF429" s="93"/>
      <c r="AG429" s="83"/>
      <c r="AH429" s="83"/>
      <c r="AI429" s="93"/>
      <c r="AJ429" s="93"/>
      <c r="AK429" s="83"/>
      <c r="AL429" s="83"/>
      <c r="AM429" s="93"/>
      <c r="AN429" s="93"/>
      <c r="AO429" s="83"/>
      <c r="AP429" s="83"/>
      <c r="AQ429" s="93"/>
      <c r="AR429" s="93"/>
      <c r="AS429" s="83"/>
      <c r="AT429" s="83"/>
      <c r="AU429" s="93"/>
      <c r="AV429" s="93"/>
      <c r="AW429" s="83"/>
      <c r="AX429" s="83"/>
      <c r="AY429" s="93"/>
      <c r="AZ429" s="93"/>
    </row>
    <row r="430" spans="2:52" outlineLevel="2" x14ac:dyDescent="0.45">
      <c r="B430" s="1394"/>
      <c r="C430" s="91" t="s">
        <v>681</v>
      </c>
      <c r="D430" s="128"/>
      <c r="E430" s="91" t="s">
        <v>377</v>
      </c>
      <c r="F430" s="130">
        <f t="shared" ref="F430:H431" si="106">I430+L430+O430+R430+U430</f>
        <v>6921387.4400000004</v>
      </c>
      <c r="G430" s="130">
        <f t="shared" si="106"/>
        <v>9181164.0800000001</v>
      </c>
      <c r="H430" s="131">
        <f t="shared" si="106"/>
        <v>6715148.580000001</v>
      </c>
      <c r="I430" s="217"/>
      <c r="J430" s="217"/>
      <c r="K430" s="217"/>
      <c r="L430" s="218"/>
      <c r="M430" s="217"/>
      <c r="N430" s="217"/>
      <c r="O430" s="218"/>
      <c r="P430" s="217"/>
      <c r="Q430" s="217"/>
      <c r="R430" s="218"/>
      <c r="S430" s="217"/>
      <c r="T430" s="217"/>
      <c r="U430" s="218">
        <v>6921387.4400000004</v>
      </c>
      <c r="V430" s="217">
        <v>9181164.0800000001</v>
      </c>
      <c r="W430" s="217">
        <v>6715148.580000001</v>
      </c>
      <c r="AA430" s="93"/>
      <c r="AB430" s="93"/>
      <c r="AC430" s="83"/>
      <c r="AD430" s="83"/>
      <c r="AE430" s="93"/>
      <c r="AF430" s="93"/>
      <c r="AG430" s="83"/>
      <c r="AH430" s="83"/>
      <c r="AI430" s="93"/>
      <c r="AJ430" s="93"/>
      <c r="AK430" s="83"/>
      <c r="AL430" s="83"/>
      <c r="AM430" s="93"/>
      <c r="AN430" s="93"/>
      <c r="AO430" s="83"/>
      <c r="AP430" s="83"/>
      <c r="AQ430" s="93"/>
      <c r="AR430" s="93"/>
      <c r="AS430" s="83" t="s">
        <v>256</v>
      </c>
      <c r="AT430" s="83"/>
      <c r="AU430" s="93"/>
      <c r="AV430" s="93"/>
      <c r="AW430" s="83"/>
      <c r="AX430" s="83"/>
      <c r="AY430" s="93"/>
      <c r="AZ430" s="93"/>
    </row>
    <row r="431" spans="2:52" outlineLevel="2" x14ac:dyDescent="0.45">
      <c r="B431" s="1394"/>
      <c r="C431" s="91" t="s">
        <v>682</v>
      </c>
      <c r="D431" s="128"/>
      <c r="E431" s="91" t="s">
        <v>379</v>
      </c>
      <c r="F431" s="130">
        <f t="shared" si="106"/>
        <v>5520618.4900000002</v>
      </c>
      <c r="G431" s="130">
        <f t="shared" si="106"/>
        <v>4874837.1400000006</v>
      </c>
      <c r="H431" s="131">
        <f t="shared" si="106"/>
        <v>5635103.0299999993</v>
      </c>
      <c r="I431" s="217">
        <v>883643.01000000013</v>
      </c>
      <c r="J431" s="217">
        <v>197492.81</v>
      </c>
      <c r="K431" s="217">
        <v>219792.4</v>
      </c>
      <c r="L431" s="218">
        <v>8057.1</v>
      </c>
      <c r="M431" s="217">
        <v>4013.2</v>
      </c>
      <c r="N431" s="217">
        <v>0</v>
      </c>
      <c r="O431" s="218">
        <v>245920.3</v>
      </c>
      <c r="P431" s="217">
        <v>80599.11</v>
      </c>
      <c r="Q431" s="217">
        <v>68874.049999999988</v>
      </c>
      <c r="R431" s="218">
        <v>841411.46</v>
      </c>
      <c r="S431" s="217">
        <v>925045.98</v>
      </c>
      <c r="T431" s="217">
        <v>1067847.6499999999</v>
      </c>
      <c r="U431" s="218">
        <v>3541586.62</v>
      </c>
      <c r="V431" s="217">
        <v>3667686.04</v>
      </c>
      <c r="W431" s="217">
        <v>4278588.93</v>
      </c>
      <c r="AA431" s="93"/>
      <c r="AB431" s="93"/>
      <c r="AC431" s="83"/>
      <c r="AD431" s="83"/>
      <c r="AE431" s="93"/>
      <c r="AF431" s="93"/>
      <c r="AG431" s="83"/>
      <c r="AH431" s="83"/>
      <c r="AI431" s="93"/>
      <c r="AJ431" s="93"/>
      <c r="AK431" s="83"/>
      <c r="AL431" s="83"/>
      <c r="AM431" s="93"/>
      <c r="AN431" s="93"/>
      <c r="AO431" s="83"/>
      <c r="AP431" s="83"/>
      <c r="AQ431" s="93"/>
      <c r="AR431" s="93"/>
      <c r="AS431" s="83" t="s">
        <v>256</v>
      </c>
      <c r="AT431" s="83"/>
      <c r="AU431" s="93"/>
      <c r="AV431" s="93"/>
      <c r="AW431" s="83"/>
      <c r="AX431" s="83"/>
      <c r="AY431" s="93"/>
      <c r="AZ431" s="93"/>
    </row>
    <row r="432" spans="2:52" outlineLevel="2" x14ac:dyDescent="0.45">
      <c r="B432" s="1394"/>
      <c r="C432" s="91" t="s">
        <v>683</v>
      </c>
      <c r="D432" s="115"/>
      <c r="E432" s="91"/>
      <c r="F432" s="89"/>
      <c r="G432" s="89"/>
      <c r="H432" s="23"/>
      <c r="I432" s="92"/>
      <c r="J432" s="92"/>
      <c r="K432" s="31"/>
      <c r="L432" s="92"/>
      <c r="M432" s="92"/>
      <c r="N432" s="31"/>
      <c r="O432" s="92"/>
      <c r="P432" s="92"/>
      <c r="Q432" s="31"/>
      <c r="R432" s="92"/>
      <c r="S432" s="92"/>
      <c r="T432" s="31"/>
      <c r="U432" s="92"/>
      <c r="V432" s="92"/>
      <c r="W432" s="31"/>
      <c r="AA432" s="93"/>
      <c r="AB432" s="93"/>
      <c r="AC432" s="83"/>
      <c r="AD432" s="83"/>
      <c r="AE432" s="93"/>
      <c r="AF432" s="93"/>
      <c r="AG432" s="83"/>
      <c r="AH432" s="83"/>
      <c r="AI432" s="93"/>
      <c r="AJ432" s="93"/>
      <c r="AK432" s="83"/>
      <c r="AL432" s="83"/>
      <c r="AM432" s="93"/>
      <c r="AN432" s="93"/>
      <c r="AO432" s="83"/>
      <c r="AP432" s="83"/>
      <c r="AQ432" s="93"/>
      <c r="AR432" s="93"/>
      <c r="AS432" s="83"/>
      <c r="AT432" s="83"/>
      <c r="AU432" s="93"/>
      <c r="AV432" s="93"/>
      <c r="AW432" s="83"/>
      <c r="AX432" s="83"/>
      <c r="AY432" s="93"/>
      <c r="AZ432" s="93"/>
    </row>
    <row r="433" spans="2:52" outlineLevel="2" x14ac:dyDescent="0.45">
      <c r="B433" s="1394"/>
      <c r="C433" s="91" t="s">
        <v>684</v>
      </c>
      <c r="D433" s="115"/>
      <c r="E433" s="11" t="s">
        <v>383</v>
      </c>
      <c r="F433" s="89"/>
      <c r="G433" s="89"/>
      <c r="H433" s="23"/>
      <c r="I433" s="91"/>
      <c r="J433" s="92"/>
      <c r="K433" s="31"/>
      <c r="L433" s="92"/>
      <c r="M433" s="92"/>
      <c r="N433" s="31"/>
      <c r="O433" s="92"/>
      <c r="P433" s="92"/>
      <c r="Q433" s="31"/>
      <c r="R433" s="92"/>
      <c r="S433" s="92"/>
      <c r="T433" s="31"/>
      <c r="U433" s="92"/>
      <c r="V433" s="92"/>
      <c r="W433" s="31"/>
      <c r="AA433" s="93"/>
      <c r="AB433" s="93"/>
      <c r="AC433" s="83"/>
      <c r="AD433" s="83"/>
      <c r="AE433" s="93"/>
      <c r="AF433" s="93"/>
      <c r="AG433" s="83"/>
      <c r="AH433" s="83"/>
      <c r="AI433" s="93"/>
      <c r="AJ433" s="93"/>
      <c r="AK433" s="83"/>
      <c r="AL433" s="83"/>
      <c r="AM433" s="93"/>
      <c r="AN433" s="93"/>
      <c r="AO433" s="83"/>
      <c r="AP433" s="83"/>
      <c r="AQ433" s="93"/>
      <c r="AR433" s="93"/>
      <c r="AS433" s="83"/>
      <c r="AT433" s="83"/>
      <c r="AU433" s="93"/>
      <c r="AV433" s="93"/>
      <c r="AW433" s="83"/>
      <c r="AX433" s="83"/>
      <c r="AY433" s="93"/>
      <c r="AZ433" s="93"/>
    </row>
    <row r="434" spans="2:52" outlineLevel="2" x14ac:dyDescent="0.45">
      <c r="B434" s="1394"/>
      <c r="C434" s="91" t="s">
        <v>685</v>
      </c>
      <c r="D434" s="128"/>
      <c r="E434" s="91" t="s">
        <v>475</v>
      </c>
      <c r="F434" s="130">
        <f t="shared" ref="F434:H435" si="107">I434+L434+O434+R434+U434</f>
        <v>0</v>
      </c>
      <c r="G434" s="130">
        <f t="shared" si="107"/>
        <v>1694887000</v>
      </c>
      <c r="H434" s="131">
        <f t="shared" si="107"/>
        <v>1977532000</v>
      </c>
      <c r="I434" s="217"/>
      <c r="J434" s="217"/>
      <c r="K434" s="217"/>
      <c r="L434" s="218"/>
      <c r="M434" s="217"/>
      <c r="N434" s="217"/>
      <c r="O434" s="218"/>
      <c r="P434" s="217"/>
      <c r="Q434" s="217"/>
      <c r="R434" s="218"/>
      <c r="S434" s="217"/>
      <c r="T434" s="217"/>
      <c r="U434" s="218"/>
      <c r="V434" s="217">
        <v>1694887000</v>
      </c>
      <c r="W434" s="217">
        <v>1977532000</v>
      </c>
      <c r="AA434" s="93"/>
      <c r="AB434" s="93"/>
      <c r="AC434" s="83"/>
      <c r="AD434" s="83"/>
      <c r="AE434" s="93"/>
      <c r="AF434" s="93"/>
      <c r="AG434" s="83"/>
      <c r="AH434" s="83"/>
      <c r="AI434" s="93"/>
      <c r="AJ434" s="93"/>
      <c r="AK434" s="83"/>
      <c r="AL434" s="83"/>
      <c r="AM434" s="93"/>
      <c r="AN434" s="93"/>
      <c r="AO434" s="83"/>
      <c r="AP434" s="83"/>
      <c r="AQ434" s="93"/>
      <c r="AR434" s="93"/>
      <c r="AS434" s="83"/>
      <c r="AT434" s="83"/>
      <c r="AU434" s="93"/>
      <c r="AV434" s="93"/>
      <c r="AW434" s="83"/>
      <c r="AX434" s="83"/>
      <c r="AY434" s="93"/>
      <c r="AZ434" s="93"/>
    </row>
    <row r="435" spans="2:52" outlineLevel="2" x14ac:dyDescent="0.45">
      <c r="B435" s="1394"/>
      <c r="C435" s="91" t="s">
        <v>686</v>
      </c>
      <c r="D435" s="128"/>
      <c r="E435" s="91" t="s">
        <v>19</v>
      </c>
      <c r="F435" s="130">
        <f t="shared" si="107"/>
        <v>0</v>
      </c>
      <c r="G435" s="130">
        <f t="shared" si="107"/>
        <v>1457000</v>
      </c>
      <c r="H435" s="131">
        <f t="shared" si="107"/>
        <v>4613000</v>
      </c>
      <c r="I435" s="217"/>
      <c r="J435" s="217"/>
      <c r="K435" s="217"/>
      <c r="L435" s="218"/>
      <c r="M435" s="217"/>
      <c r="N435" s="217"/>
      <c r="O435" s="218"/>
      <c r="P435" s="217"/>
      <c r="Q435" s="217"/>
      <c r="R435" s="218"/>
      <c r="S435" s="217"/>
      <c r="T435" s="217"/>
      <c r="U435" s="218"/>
      <c r="V435" s="217">
        <v>1457000</v>
      </c>
      <c r="W435" s="217">
        <v>4613000</v>
      </c>
      <c r="AA435" s="93"/>
      <c r="AB435" s="93"/>
      <c r="AC435" s="83"/>
      <c r="AD435" s="83"/>
      <c r="AE435" s="93"/>
      <c r="AF435" s="93"/>
      <c r="AG435" s="83"/>
      <c r="AH435" s="83"/>
      <c r="AI435" s="93"/>
      <c r="AJ435" s="93"/>
      <c r="AK435" s="83"/>
      <c r="AL435" s="83"/>
      <c r="AM435" s="93"/>
      <c r="AN435" s="93"/>
      <c r="AO435" s="83"/>
      <c r="AP435" s="83"/>
      <c r="AQ435" s="93"/>
      <c r="AR435" s="93"/>
      <c r="AS435" s="83"/>
      <c r="AT435" s="83"/>
      <c r="AU435" s="93"/>
      <c r="AV435" s="93"/>
      <c r="AW435" s="83"/>
      <c r="AX435" s="83"/>
      <c r="AY435" s="93"/>
      <c r="AZ435" s="93"/>
    </row>
    <row r="436" spans="2:52" outlineLevel="2" x14ac:dyDescent="0.45">
      <c r="B436" s="1394"/>
      <c r="C436" s="91" t="s">
        <v>687</v>
      </c>
      <c r="D436" s="115"/>
      <c r="E436" s="91"/>
      <c r="F436" s="89"/>
      <c r="G436" s="89"/>
      <c r="H436" s="23"/>
      <c r="I436" s="92"/>
      <c r="J436" s="92"/>
      <c r="K436" s="31"/>
      <c r="L436" s="92"/>
      <c r="M436" s="92"/>
      <c r="N436" s="31"/>
      <c r="O436" s="92"/>
      <c r="P436" s="92"/>
      <c r="Q436" s="31"/>
      <c r="R436" s="92"/>
      <c r="S436" s="92"/>
      <c r="T436" s="31"/>
      <c r="U436" s="92"/>
      <c r="V436" s="92"/>
      <c r="W436" s="31"/>
      <c r="AA436" s="93"/>
      <c r="AB436" s="93"/>
      <c r="AC436" s="83"/>
      <c r="AD436" s="83"/>
      <c r="AE436" s="93"/>
      <c r="AF436" s="93"/>
      <c r="AG436" s="83"/>
      <c r="AH436" s="83"/>
      <c r="AI436" s="93"/>
      <c r="AJ436" s="93"/>
      <c r="AK436" s="83"/>
      <c r="AL436" s="83"/>
      <c r="AM436" s="93"/>
      <c r="AN436" s="93"/>
      <c r="AO436" s="83"/>
      <c r="AP436" s="83"/>
      <c r="AQ436" s="93"/>
      <c r="AR436" s="93"/>
      <c r="AS436" s="83"/>
      <c r="AT436" s="83"/>
      <c r="AU436" s="93"/>
      <c r="AV436" s="93"/>
      <c r="AW436" s="83"/>
      <c r="AX436" s="83"/>
      <c r="AY436" s="93"/>
      <c r="AZ436" s="93"/>
    </row>
    <row r="437" spans="2:52" outlineLevel="2" x14ac:dyDescent="0.45">
      <c r="B437" s="1394"/>
      <c r="C437" s="91" t="s">
        <v>688</v>
      </c>
      <c r="D437" s="115"/>
      <c r="E437" s="11" t="s">
        <v>479</v>
      </c>
      <c r="F437" s="89"/>
      <c r="G437" s="89"/>
      <c r="H437" s="23"/>
      <c r="I437" s="91"/>
      <c r="J437" s="92"/>
      <c r="K437" s="31"/>
      <c r="L437" s="92"/>
      <c r="M437" s="92"/>
      <c r="N437" s="31"/>
      <c r="O437" s="92"/>
      <c r="P437" s="92"/>
      <c r="Q437" s="31"/>
      <c r="R437" s="92"/>
      <c r="S437" s="92"/>
      <c r="T437" s="31"/>
      <c r="U437" s="92"/>
      <c r="V437" s="92"/>
      <c r="W437" s="31"/>
      <c r="AA437" s="93"/>
      <c r="AB437" s="93"/>
      <c r="AC437" s="83"/>
      <c r="AD437" s="83"/>
      <c r="AE437" s="93"/>
      <c r="AF437" s="93"/>
      <c r="AG437" s="83"/>
      <c r="AH437" s="83"/>
      <c r="AI437" s="93"/>
      <c r="AJ437" s="93"/>
      <c r="AK437" s="83"/>
      <c r="AL437" s="83"/>
      <c r="AM437" s="93"/>
      <c r="AN437" s="93"/>
      <c r="AO437" s="83"/>
      <c r="AP437" s="83"/>
      <c r="AQ437" s="93"/>
      <c r="AR437" s="93"/>
      <c r="AS437" s="83"/>
      <c r="AT437" s="83"/>
      <c r="AU437" s="93"/>
      <c r="AV437" s="93"/>
      <c r="AW437" s="83"/>
      <c r="AX437" s="83"/>
      <c r="AY437" s="93"/>
      <c r="AZ437" s="93"/>
    </row>
    <row r="438" spans="2:52" outlineLevel="2" x14ac:dyDescent="0.45">
      <c r="B438" s="1394"/>
      <c r="C438" s="91" t="s">
        <v>689</v>
      </c>
      <c r="D438" s="115"/>
      <c r="E438" s="91" t="s">
        <v>392</v>
      </c>
      <c r="F438" s="130">
        <f>I438+L438+O438+R438+U438</f>
        <v>13274959000</v>
      </c>
      <c r="G438" s="130">
        <f>J438+M438+P438+S438+V438</f>
        <v>13316096000</v>
      </c>
      <c r="H438" s="131">
        <f>K438+N438+Q438+T438+W438</f>
        <v>0</v>
      </c>
      <c r="I438" s="217">
        <v>2523803000</v>
      </c>
      <c r="J438" s="217">
        <v>2392718000</v>
      </c>
      <c r="K438" s="217"/>
      <c r="L438" s="218">
        <v>1350936000</v>
      </c>
      <c r="M438" s="217">
        <v>1061756000</v>
      </c>
      <c r="N438" s="217"/>
      <c r="O438" s="218">
        <v>4108399000</v>
      </c>
      <c r="P438" s="217">
        <v>4417641000</v>
      </c>
      <c r="Q438" s="217"/>
      <c r="R438" s="218">
        <v>3332584000</v>
      </c>
      <c r="S438" s="217">
        <v>3509045000</v>
      </c>
      <c r="T438" s="217"/>
      <c r="U438" s="218">
        <v>1959237000</v>
      </c>
      <c r="V438" s="217">
        <v>1934936000</v>
      </c>
      <c r="W438" s="217"/>
      <c r="AA438" s="93"/>
      <c r="AB438" s="93"/>
      <c r="AC438" s="83" t="s">
        <v>393</v>
      </c>
      <c r="AD438" s="83"/>
      <c r="AE438" s="93"/>
      <c r="AF438" s="93"/>
      <c r="AG438" s="83" t="s">
        <v>393</v>
      </c>
      <c r="AH438" s="83"/>
      <c r="AI438" s="93"/>
      <c r="AJ438" s="93"/>
      <c r="AK438" s="83" t="s">
        <v>393</v>
      </c>
      <c r="AL438" s="83"/>
      <c r="AM438" s="93"/>
      <c r="AN438" s="93"/>
      <c r="AO438" s="83" t="s">
        <v>393</v>
      </c>
      <c r="AP438" s="83"/>
      <c r="AQ438" s="93"/>
      <c r="AR438" s="93"/>
      <c r="AS438" s="83" t="s">
        <v>393</v>
      </c>
      <c r="AT438" s="83"/>
      <c r="AU438" s="93"/>
      <c r="AV438" s="93"/>
      <c r="AW438" s="83" t="s">
        <v>393</v>
      </c>
      <c r="AX438" s="83"/>
      <c r="AY438" s="93"/>
      <c r="AZ438" s="93"/>
    </row>
    <row r="439" spans="2:52" outlineLevel="2" x14ac:dyDescent="0.45">
      <c r="B439" s="1394"/>
      <c r="C439" s="91" t="s">
        <v>690</v>
      </c>
      <c r="D439" s="115"/>
      <c r="E439" s="91"/>
      <c r="F439" s="89"/>
      <c r="G439" s="89"/>
      <c r="H439" s="23"/>
      <c r="I439" s="92"/>
      <c r="J439" s="92"/>
      <c r="K439" s="31"/>
      <c r="L439" s="92"/>
      <c r="M439" s="92"/>
      <c r="N439" s="31"/>
      <c r="O439" s="92"/>
      <c r="P439" s="92"/>
      <c r="Q439" s="31"/>
      <c r="R439" s="92"/>
      <c r="S439" s="92"/>
      <c r="T439" s="31"/>
      <c r="U439" s="92"/>
      <c r="V439" s="92"/>
      <c r="W439" s="31"/>
      <c r="AA439" s="93"/>
      <c r="AB439" s="93"/>
      <c r="AC439" s="83"/>
      <c r="AD439" s="83"/>
      <c r="AE439" s="93"/>
      <c r="AF439" s="93"/>
      <c r="AG439" s="83"/>
      <c r="AH439" s="83"/>
      <c r="AI439" s="93"/>
      <c r="AJ439" s="93"/>
      <c r="AK439" s="83"/>
      <c r="AL439" s="83"/>
      <c r="AM439" s="93"/>
      <c r="AN439" s="93"/>
      <c r="AO439" s="83"/>
      <c r="AP439" s="83"/>
      <c r="AQ439" s="93"/>
      <c r="AR439" s="93"/>
      <c r="AS439" s="83"/>
      <c r="AT439" s="83"/>
      <c r="AU439" s="93"/>
      <c r="AV439" s="93"/>
      <c r="AW439" s="83"/>
      <c r="AX439" s="83"/>
      <c r="AY439" s="93"/>
      <c r="AZ439" s="93"/>
    </row>
    <row r="440" spans="2:52" outlineLevel="2" x14ac:dyDescent="0.45">
      <c r="B440" s="1394"/>
      <c r="C440" s="91" t="s">
        <v>691</v>
      </c>
      <c r="D440" s="115"/>
      <c r="E440" s="91"/>
      <c r="F440" s="89"/>
      <c r="G440" s="89"/>
      <c r="H440" s="23"/>
      <c r="I440" s="92"/>
      <c r="J440" s="92"/>
      <c r="K440" s="31"/>
      <c r="L440" s="92"/>
      <c r="M440" s="92"/>
      <c r="N440" s="31"/>
      <c r="O440" s="92"/>
      <c r="P440" s="92"/>
      <c r="Q440" s="31"/>
      <c r="R440" s="92"/>
      <c r="S440" s="92"/>
      <c r="T440" s="31"/>
      <c r="U440" s="92"/>
      <c r="V440" s="92"/>
      <c r="W440" s="31"/>
      <c r="AA440" s="93"/>
      <c r="AB440" s="93"/>
      <c r="AC440" s="83"/>
      <c r="AD440" s="83"/>
      <c r="AE440" s="93"/>
      <c r="AF440" s="93"/>
      <c r="AG440" s="83"/>
      <c r="AH440" s="83"/>
      <c r="AI440" s="93"/>
      <c r="AJ440" s="93"/>
      <c r="AK440" s="83"/>
      <c r="AL440" s="83"/>
      <c r="AM440" s="93"/>
      <c r="AN440" s="93"/>
      <c r="AO440" s="83"/>
      <c r="AP440" s="83"/>
      <c r="AQ440" s="93"/>
      <c r="AR440" s="93"/>
      <c r="AS440" s="83"/>
      <c r="AT440" s="83"/>
      <c r="AU440" s="93"/>
      <c r="AV440" s="93"/>
      <c r="AW440" s="83"/>
      <c r="AX440" s="83"/>
      <c r="AY440" s="93"/>
      <c r="AZ440" s="93"/>
    </row>
    <row r="441" spans="2:52" outlineLevel="2" x14ac:dyDescent="0.45">
      <c r="B441" s="1394"/>
      <c r="C441" s="91" t="s">
        <v>692</v>
      </c>
      <c r="D441" s="115"/>
      <c r="E441" s="91"/>
      <c r="F441" s="89"/>
      <c r="G441" s="89"/>
      <c r="H441" s="23"/>
      <c r="I441" s="92"/>
      <c r="J441" s="92"/>
      <c r="K441" s="31"/>
      <c r="L441" s="92"/>
      <c r="M441" s="92"/>
      <c r="N441" s="31"/>
      <c r="O441" s="92"/>
      <c r="P441" s="92"/>
      <c r="Q441" s="31"/>
      <c r="R441" s="92"/>
      <c r="S441" s="92"/>
      <c r="T441" s="31"/>
      <c r="U441" s="92"/>
      <c r="V441" s="92"/>
      <c r="W441" s="31"/>
      <c r="AA441" s="93"/>
      <c r="AB441" s="93"/>
      <c r="AC441" s="83"/>
      <c r="AD441" s="83"/>
      <c r="AE441" s="93"/>
      <c r="AF441" s="93"/>
      <c r="AG441" s="83"/>
      <c r="AH441" s="83"/>
      <c r="AI441" s="93"/>
      <c r="AJ441" s="93"/>
      <c r="AK441" s="83"/>
      <c r="AL441" s="83"/>
      <c r="AM441" s="93"/>
      <c r="AN441" s="93"/>
      <c r="AO441" s="83"/>
      <c r="AP441" s="83"/>
      <c r="AQ441" s="93"/>
      <c r="AR441" s="93"/>
      <c r="AS441" s="83"/>
      <c r="AT441" s="83"/>
      <c r="AU441" s="93"/>
      <c r="AV441" s="93"/>
      <c r="AW441" s="83"/>
      <c r="AX441" s="83"/>
      <c r="AY441" s="93"/>
      <c r="AZ441" s="93"/>
    </row>
    <row r="442" spans="2:52" outlineLevel="2" x14ac:dyDescent="0.45">
      <c r="B442" s="1394"/>
      <c r="C442" s="91" t="s">
        <v>693</v>
      </c>
      <c r="D442" s="115"/>
      <c r="E442" s="11" t="s">
        <v>400</v>
      </c>
      <c r="F442" s="89"/>
      <c r="G442" s="89"/>
      <c r="H442" s="23"/>
      <c r="I442" s="92"/>
      <c r="J442" s="92"/>
      <c r="K442" s="31"/>
      <c r="L442" s="92"/>
      <c r="M442" s="92"/>
      <c r="N442" s="31"/>
      <c r="O442" s="92"/>
      <c r="P442" s="92"/>
      <c r="Q442" s="31"/>
      <c r="R442" s="92"/>
      <c r="S442" s="92"/>
      <c r="T442" s="31"/>
      <c r="U442" s="92"/>
      <c r="V442" s="92"/>
      <c r="W442" s="31"/>
      <c r="AA442" s="93"/>
      <c r="AB442" s="93"/>
      <c r="AC442" s="83"/>
      <c r="AD442" s="83"/>
      <c r="AE442" s="93"/>
      <c r="AF442" s="93"/>
      <c r="AG442" s="83"/>
      <c r="AH442" s="83"/>
      <c r="AI442" s="93"/>
      <c r="AJ442" s="93"/>
      <c r="AK442" s="83"/>
      <c r="AL442" s="83"/>
      <c r="AM442" s="93"/>
      <c r="AN442" s="93"/>
      <c r="AO442" s="83"/>
      <c r="AP442" s="83"/>
      <c r="AQ442" s="93"/>
      <c r="AR442" s="93"/>
      <c r="AS442" s="83"/>
      <c r="AT442" s="83"/>
      <c r="AU442" s="93"/>
      <c r="AV442" s="93"/>
      <c r="AW442" s="83"/>
      <c r="AX442" s="83"/>
      <c r="AY442" s="93"/>
      <c r="AZ442" s="93"/>
    </row>
    <row r="443" spans="2:52" outlineLevel="2" x14ac:dyDescent="0.45">
      <c r="B443" s="1394"/>
      <c r="C443" s="91" t="s">
        <v>694</v>
      </c>
      <c r="D443" s="115">
        <v>1</v>
      </c>
      <c r="E443" s="87" t="s">
        <v>402</v>
      </c>
      <c r="F443" s="247">
        <f>IF(F405&lt;&gt;0,F430/F405,0)</f>
        <v>0.10731849767775491</v>
      </c>
      <c r="G443" s="247">
        <f>IF(G405&lt;&gt;0,G430/G405,0)</f>
        <v>0.17723209506357843</v>
      </c>
      <c r="H443" s="248">
        <f>IF(H405&lt;&gt;0,H430/H405,0)</f>
        <v>0.17348411726600205</v>
      </c>
      <c r="I443" s="249">
        <f t="shared" ref="I443:W443" si="108">IF(I405&lt;&gt;0,I430/I405,0)</f>
        <v>0</v>
      </c>
      <c r="J443" s="247">
        <f t="shared" si="108"/>
        <v>0</v>
      </c>
      <c r="K443" s="248">
        <f t="shared" si="108"/>
        <v>0</v>
      </c>
      <c r="L443" s="247">
        <f t="shared" si="108"/>
        <v>0</v>
      </c>
      <c r="M443" s="247">
        <f t="shared" si="108"/>
        <v>0</v>
      </c>
      <c r="N443" s="248">
        <f t="shared" si="108"/>
        <v>0</v>
      </c>
      <c r="O443" s="247">
        <f t="shared" si="108"/>
        <v>0</v>
      </c>
      <c r="P443" s="247">
        <f t="shared" si="108"/>
        <v>0</v>
      </c>
      <c r="Q443" s="248">
        <f t="shared" si="108"/>
        <v>0</v>
      </c>
      <c r="R443" s="247">
        <f t="shared" si="108"/>
        <v>0</v>
      </c>
      <c r="S443" s="247">
        <f t="shared" si="108"/>
        <v>0</v>
      </c>
      <c r="T443" s="248">
        <f t="shared" si="108"/>
        <v>0</v>
      </c>
      <c r="U443" s="247">
        <f t="shared" si="108"/>
        <v>0.35548862450798441</v>
      </c>
      <c r="V443" s="247">
        <f t="shared" si="108"/>
        <v>0.71374387922892613</v>
      </c>
      <c r="W443" s="248">
        <f t="shared" si="108"/>
        <v>0.89195679373474301</v>
      </c>
      <c r="AA443" s="93"/>
      <c r="AB443" s="93"/>
      <c r="AC443" s="83"/>
      <c r="AD443" s="83"/>
      <c r="AE443" s="93"/>
      <c r="AF443" s="93"/>
      <c r="AG443" s="83"/>
      <c r="AH443" s="83"/>
      <c r="AI443" s="93"/>
      <c r="AJ443" s="93"/>
      <c r="AK443" s="83"/>
      <c r="AL443" s="83"/>
      <c r="AM443" s="93"/>
      <c r="AN443" s="93"/>
      <c r="AO443" s="83"/>
      <c r="AP443" s="83"/>
      <c r="AQ443" s="93"/>
      <c r="AR443" s="93"/>
      <c r="AS443" s="83" t="s">
        <v>403</v>
      </c>
      <c r="AT443" s="83"/>
      <c r="AU443" s="93"/>
      <c r="AV443" s="93"/>
      <c r="AW443" s="83"/>
      <c r="AX443" s="83"/>
      <c r="AY443" s="93"/>
      <c r="AZ443" s="93"/>
    </row>
    <row r="444" spans="2:52" outlineLevel="2" x14ac:dyDescent="0.45">
      <c r="B444" s="1394"/>
      <c r="C444" s="91" t="s">
        <v>695</v>
      </c>
      <c r="D444" s="115">
        <v>2</v>
      </c>
      <c r="E444" s="87" t="s">
        <v>405</v>
      </c>
      <c r="F444" s="247">
        <f>IF(F403&lt;&gt;0,F431/F403,0)</f>
        <v>0.43074995700024832</v>
      </c>
      <c r="G444" s="247">
        <f>IF(G403&lt;&gt;0,G431/G403,0)</f>
        <v>0.4175691893204192</v>
      </c>
      <c r="H444" s="248">
        <f>IF(H403&lt;&gt;0,H431/H403,0)</f>
        <v>0.4799755579961148</v>
      </c>
      <c r="I444" s="249">
        <f t="shared" ref="I444:W444" si="109">IF(I403&lt;&gt;0,I431/I403,0)</f>
        <v>0.58054868799097703</v>
      </c>
      <c r="J444" s="247">
        <f t="shared" si="109"/>
        <v>0.44324765713763226</v>
      </c>
      <c r="K444" s="248">
        <f t="shared" si="109"/>
        <v>0.64104385848248757</v>
      </c>
      <c r="L444" s="247">
        <f t="shared" si="109"/>
        <v>4.2266858310417869E-2</v>
      </c>
      <c r="M444" s="247">
        <f t="shared" si="109"/>
        <v>2.984770471210263E-2</v>
      </c>
      <c r="N444" s="248">
        <f t="shared" si="109"/>
        <v>0</v>
      </c>
      <c r="O444" s="247">
        <f t="shared" si="109"/>
        <v>0.12024850296859706</v>
      </c>
      <c r="P444" s="247">
        <f t="shared" si="109"/>
        <v>4.127869112613522E-2</v>
      </c>
      <c r="Q444" s="248">
        <f t="shared" si="109"/>
        <v>3.7905623003453709E-2</v>
      </c>
      <c r="R444" s="247">
        <f t="shared" si="109"/>
        <v>0.2139386935825236</v>
      </c>
      <c r="S444" s="247">
        <f t="shared" si="109"/>
        <v>0.23776450641986749</v>
      </c>
      <c r="T444" s="248">
        <f t="shared" si="109"/>
        <v>0.2765409995924219</v>
      </c>
      <c r="U444" s="247">
        <f t="shared" si="109"/>
        <v>0.69096967354330041</v>
      </c>
      <c r="V444" s="247">
        <f t="shared" si="109"/>
        <v>0.69845383818231777</v>
      </c>
      <c r="W444" s="248">
        <f t="shared" si="109"/>
        <v>0.76546080658513083</v>
      </c>
      <c r="AA444" s="93"/>
      <c r="AB444" s="93"/>
      <c r="AC444" s="83"/>
      <c r="AD444" s="83"/>
      <c r="AE444" s="93"/>
      <c r="AF444" s="93"/>
      <c r="AG444" s="83"/>
      <c r="AH444" s="83"/>
      <c r="AI444" s="93"/>
      <c r="AJ444" s="93"/>
      <c r="AK444" s="83"/>
      <c r="AL444" s="83"/>
      <c r="AM444" s="93"/>
      <c r="AN444" s="93"/>
      <c r="AO444" s="83"/>
      <c r="AP444" s="83"/>
      <c r="AQ444" s="93"/>
      <c r="AR444" s="93"/>
      <c r="AS444" s="83" t="s">
        <v>403</v>
      </c>
      <c r="AT444" s="83"/>
      <c r="AU444" s="93"/>
      <c r="AV444" s="93"/>
      <c r="AW444" s="83"/>
      <c r="AX444" s="83"/>
      <c r="AY444" s="93"/>
      <c r="AZ444" s="93"/>
    </row>
    <row r="445" spans="2:52" outlineLevel="2" x14ac:dyDescent="0.45">
      <c r="B445" s="1394"/>
      <c r="C445" s="91" t="s">
        <v>696</v>
      </c>
      <c r="D445" s="115">
        <v>3</v>
      </c>
      <c r="E445" s="87" t="s">
        <v>407</v>
      </c>
      <c r="F445" s="195">
        <f>IF(F$85&lt;&gt;0,F$86/F$85,0)</f>
        <v>3.7890504175688212E-2</v>
      </c>
      <c r="G445" s="195">
        <f>IF(G$85&lt;&gt;0,G$86/G$85,0)</f>
        <v>3.5734020998342234E-2</v>
      </c>
      <c r="H445" s="196">
        <f>IF(H$85&lt;&gt;0,H$86/H$85,0)</f>
        <v>3.8430744595676539E-2</v>
      </c>
      <c r="I445" s="250">
        <f>IF(I$85&lt;&gt;0,I$86/I$85,0)</f>
        <v>0.10743801652892562</v>
      </c>
      <c r="J445" s="195">
        <f t="shared" ref="J445:W445" si="110">IF(J$85&lt;&gt;0,J$86/J$85,0)</f>
        <v>0.12605042016806722</v>
      </c>
      <c r="K445" s="196">
        <f t="shared" si="110"/>
        <v>0.11504424778761062</v>
      </c>
      <c r="L445" s="195">
        <f t="shared" si="110"/>
        <v>0</v>
      </c>
      <c r="M445" s="195">
        <f t="shared" si="110"/>
        <v>0</v>
      </c>
      <c r="N445" s="196">
        <f t="shared" si="110"/>
        <v>0</v>
      </c>
      <c r="O445" s="195">
        <f t="shared" si="110"/>
        <v>7.3394495412844041E-3</v>
      </c>
      <c r="P445" s="195">
        <f t="shared" si="110"/>
        <v>8.0459770114942528E-3</v>
      </c>
      <c r="Q445" s="196">
        <f t="shared" si="110"/>
        <v>6.9444444444444441E-3</v>
      </c>
      <c r="R445" s="195">
        <f t="shared" si="110"/>
        <v>2.0463320463320462E-2</v>
      </c>
      <c r="S445" s="195">
        <f t="shared" si="110"/>
        <v>2.36318407960199E-2</v>
      </c>
      <c r="T445" s="196">
        <f t="shared" si="110"/>
        <v>2.8169014084507043E-2</v>
      </c>
      <c r="U445" s="195">
        <f t="shared" si="110"/>
        <v>6.4165103189493436E-2</v>
      </c>
      <c r="V445" s="195">
        <f t="shared" si="110"/>
        <v>5.6706114398422089E-2</v>
      </c>
      <c r="W445" s="196">
        <f t="shared" si="110"/>
        <v>6.1881188118811881E-2</v>
      </c>
      <c r="AA445" s="93"/>
      <c r="AB445" s="93"/>
      <c r="AC445" s="83"/>
      <c r="AD445" s="83"/>
      <c r="AE445" s="93"/>
      <c r="AF445" s="93"/>
      <c r="AG445" s="83"/>
      <c r="AH445" s="83"/>
      <c r="AI445" s="93"/>
      <c r="AJ445" s="93"/>
      <c r="AK445" s="83"/>
      <c r="AL445" s="83"/>
      <c r="AM445" s="93"/>
      <c r="AN445" s="93"/>
      <c r="AO445" s="83"/>
      <c r="AP445" s="83"/>
      <c r="AQ445" s="93"/>
      <c r="AR445" s="93"/>
      <c r="AS445" s="83" t="s">
        <v>403</v>
      </c>
      <c r="AT445" s="83"/>
      <c r="AU445" s="93"/>
      <c r="AV445" s="93"/>
      <c r="AW445" s="83"/>
      <c r="AX445" s="83"/>
      <c r="AY445" s="93"/>
      <c r="AZ445" s="93"/>
    </row>
    <row r="446" spans="2:52" outlineLevel="2" x14ac:dyDescent="0.45">
      <c r="B446" s="1394"/>
      <c r="C446" s="91" t="s">
        <v>697</v>
      </c>
      <c r="D446" s="115">
        <v>4</v>
      </c>
      <c r="E446" s="87" t="s">
        <v>409</v>
      </c>
      <c r="F446" s="195">
        <f>IF(F$139&lt;&gt;0,F$140/F$139,0)</f>
        <v>0.30743887636552802</v>
      </c>
      <c r="G446" s="195">
        <f>IF(G$139&lt;&gt;0,G$140/G$139,0)</f>
        <v>0.28598200899550225</v>
      </c>
      <c r="H446" s="196">
        <f>IF(H$139&lt;&gt;0,H$140/H$139,0)</f>
        <v>0.3328814872192099</v>
      </c>
      <c r="I446" s="250">
        <f>IF(I$139&lt;&gt;0,I$140/I$139,0)</f>
        <v>0.74698795180722888</v>
      </c>
      <c r="J446" s="195">
        <f t="shared" ref="J446:W446" si="111">IF(J$139&lt;&gt;0,J$140/J$139,0)</f>
        <v>0.4375</v>
      </c>
      <c r="K446" s="196">
        <f t="shared" si="111"/>
        <v>0.54736842105263162</v>
      </c>
      <c r="L446" s="195">
        <f t="shared" si="111"/>
        <v>9.5238095238095233E-2</v>
      </c>
      <c r="M446" s="195">
        <f t="shared" si="111"/>
        <v>3.125E-2</v>
      </c>
      <c r="N446" s="196">
        <f t="shared" si="111"/>
        <v>0</v>
      </c>
      <c r="O446" s="195">
        <f t="shared" si="111"/>
        <v>6.4215148188803514E-2</v>
      </c>
      <c r="P446" s="195">
        <f t="shared" si="111"/>
        <v>4.1759465478841871E-2</v>
      </c>
      <c r="Q446" s="196">
        <f t="shared" si="111"/>
        <v>4.6690307328605199E-2</v>
      </c>
      <c r="R446" s="195">
        <f t="shared" si="111"/>
        <v>0.23907956318252729</v>
      </c>
      <c r="S446" s="195">
        <f t="shared" si="111"/>
        <v>0.27137096774193548</v>
      </c>
      <c r="T446" s="196">
        <f t="shared" si="111"/>
        <v>0.35398230088495575</v>
      </c>
      <c r="U446" s="195">
        <f t="shared" si="111"/>
        <v>0.82199546485260766</v>
      </c>
      <c r="V446" s="195">
        <f t="shared" si="111"/>
        <v>0.83685446009389675</v>
      </c>
      <c r="W446" s="196">
        <f t="shared" si="111"/>
        <v>0.83985765124555156</v>
      </c>
      <c r="AA446" s="93"/>
      <c r="AB446" s="93"/>
      <c r="AC446" s="83"/>
      <c r="AD446" s="83"/>
      <c r="AE446" s="93"/>
      <c r="AF446" s="93"/>
      <c r="AG446" s="83"/>
      <c r="AH446" s="83"/>
      <c r="AI446" s="93"/>
      <c r="AJ446" s="93"/>
      <c r="AK446" s="83"/>
      <c r="AL446" s="83"/>
      <c r="AM446" s="93"/>
      <c r="AN446" s="93"/>
      <c r="AO446" s="83"/>
      <c r="AP446" s="83"/>
      <c r="AQ446" s="93"/>
      <c r="AR446" s="93"/>
      <c r="AS446" s="83" t="s">
        <v>403</v>
      </c>
      <c r="AT446" s="83"/>
      <c r="AU446" s="93"/>
      <c r="AV446" s="93"/>
      <c r="AW446" s="83"/>
      <c r="AX446" s="83"/>
      <c r="AY446" s="93"/>
      <c r="AZ446" s="93"/>
    </row>
    <row r="447" spans="2:52" outlineLevel="2" x14ac:dyDescent="0.45">
      <c r="B447" s="1394"/>
      <c r="C447" s="91" t="s">
        <v>698</v>
      </c>
      <c r="D447" s="115">
        <v>5</v>
      </c>
      <c r="E447" s="116" t="s">
        <v>411</v>
      </c>
      <c r="F447" s="251"/>
      <c r="G447" s="195">
        <f>IF(F$130&lt;&gt;0,G$130/F$130,0)</f>
        <v>0.73369537590465173</v>
      </c>
      <c r="H447" s="196">
        <f>IF(G$130&lt;&gt;0,H$130/G$130,0)</f>
        <v>58.305580012254282</v>
      </c>
      <c r="I447" s="252"/>
      <c r="J447" s="195">
        <f>IF(I$130&lt;&gt;0,J$130/I$130,0)</f>
        <v>0.73369537590465173</v>
      </c>
      <c r="K447" s="196">
        <f>IF(J$130&lt;&gt;0,K$130/J$130,0)</f>
        <v>0.61576389611397953</v>
      </c>
      <c r="L447" s="251"/>
      <c r="M447" s="195">
        <f>IF(L$130&lt;&gt;0,M$130/L$130,0)</f>
        <v>0</v>
      </c>
      <c r="N447" s="196">
        <f>IF(M$130&lt;&gt;0,N$130/M$130,0)</f>
        <v>0</v>
      </c>
      <c r="O447" s="251"/>
      <c r="P447" s="195">
        <f>IF(O$130&lt;&gt;0,P$130/O$130,0)</f>
        <v>0</v>
      </c>
      <c r="Q447" s="196">
        <f>IF(P$130&lt;&gt;0,Q$130/P$130,0)</f>
        <v>0</v>
      </c>
      <c r="R447" s="251"/>
      <c r="S447" s="195">
        <f>IF(R$130&lt;&gt;0,S$130/R$130,0)</f>
        <v>0</v>
      </c>
      <c r="T447" s="196">
        <f>IF(S$130&lt;&gt;0,T$130/S$130,0)</f>
        <v>0</v>
      </c>
      <c r="U447" s="251"/>
      <c r="V447" s="195">
        <f>IF(U$130&lt;&gt;0,V$130/U$130,0)</f>
        <v>0</v>
      </c>
      <c r="W447" s="196">
        <f>IF(V$130&lt;&gt;0,W$130/V$130,0)</f>
        <v>0</v>
      </c>
      <c r="AA447" s="93"/>
      <c r="AB447" s="93"/>
      <c r="AC447" s="83"/>
      <c r="AD447" s="83"/>
      <c r="AE447" s="93"/>
      <c r="AF447" s="93"/>
      <c r="AG447" s="83"/>
      <c r="AH447" s="83"/>
      <c r="AI447" s="93"/>
      <c r="AJ447" s="93"/>
      <c r="AK447" s="83"/>
      <c r="AL447" s="83"/>
      <c r="AM447" s="93"/>
      <c r="AN447" s="93"/>
      <c r="AO447" s="83"/>
      <c r="AP447" s="83"/>
      <c r="AQ447" s="93"/>
      <c r="AR447" s="93"/>
      <c r="AS447" s="83" t="s">
        <v>412</v>
      </c>
      <c r="AT447" s="83"/>
      <c r="AU447" s="93"/>
      <c r="AV447" s="93"/>
      <c r="AW447" s="83"/>
      <c r="AX447" s="83"/>
      <c r="AY447" s="93"/>
      <c r="AZ447" s="93"/>
    </row>
    <row r="448" spans="2:52" outlineLevel="2" x14ac:dyDescent="0.45">
      <c r="B448" s="1394"/>
      <c r="C448" s="91" t="s">
        <v>699</v>
      </c>
      <c r="D448" s="115">
        <v>6</v>
      </c>
      <c r="E448" s="116" t="s">
        <v>415</v>
      </c>
      <c r="F448" s="247">
        <f>IF(COUNTA(I448,L448,O448,R448,U448)&gt;0,SUM(I448,L448,O448,R448,U448)/COUNTA(I448,L448,O448,R448,U448),0)</f>
        <v>0</v>
      </c>
      <c r="G448" s="247">
        <f>IF(COUNTA(J448,M448,P448,S448,V448)&gt;0,SUM(J448,M448,P448,S448,V448)/COUNTA(J448,M448,P448,S448,V448),0)</f>
        <v>0</v>
      </c>
      <c r="H448" s="248">
        <f>IF(COUNTA(K448,N448,Q448,T448,W448)&gt;0,SUM(K448,N448,Q448,T448,W448)/COUNTA(K448,N448,Q448,T448,W448),0)</f>
        <v>0</v>
      </c>
      <c r="I448" s="284"/>
      <c r="J448" s="284"/>
      <c r="K448" s="284"/>
      <c r="L448" s="284"/>
      <c r="M448" s="284"/>
      <c r="N448" s="284"/>
      <c r="O448" s="284"/>
      <c r="P448" s="284"/>
      <c r="Q448" s="284"/>
      <c r="R448" s="284"/>
      <c r="S448" s="284"/>
      <c r="T448" s="284"/>
      <c r="U448" s="284"/>
      <c r="V448" s="284"/>
      <c r="W448" s="284"/>
      <c r="AA448" s="93"/>
      <c r="AB448" s="93"/>
      <c r="AC448" s="83"/>
      <c r="AD448" s="83"/>
      <c r="AE448" s="93"/>
      <c r="AF448" s="93"/>
      <c r="AG448" s="83"/>
      <c r="AH448" s="83"/>
      <c r="AI448" s="93"/>
      <c r="AJ448" s="93"/>
      <c r="AK448" s="83"/>
      <c r="AL448" s="83"/>
      <c r="AM448" s="93"/>
      <c r="AN448" s="93"/>
      <c r="AO448" s="83"/>
      <c r="AP448" s="83"/>
      <c r="AQ448" s="93"/>
      <c r="AR448" s="93"/>
      <c r="AS448" s="83"/>
      <c r="AT448" s="83"/>
      <c r="AU448" s="93"/>
      <c r="AV448" s="93"/>
      <c r="AW448" s="83"/>
      <c r="AX448" s="83"/>
      <c r="AY448" s="93"/>
      <c r="AZ448" s="93"/>
    </row>
    <row r="449" spans="2:52" outlineLevel="2" x14ac:dyDescent="0.45">
      <c r="B449" s="1394"/>
      <c r="C449" s="91" t="s">
        <v>700</v>
      </c>
      <c r="D449" s="115">
        <v>7</v>
      </c>
      <c r="E449" s="116" t="s">
        <v>417</v>
      </c>
      <c r="F449" s="247">
        <f>IF(F407&lt;&gt;0,F426/F407,0)</f>
        <v>1.1457217760431588</v>
      </c>
      <c r="G449" s="247">
        <f>IF(G407&lt;&gt;0,G426/G407,0)</f>
        <v>1.4973344246166009</v>
      </c>
      <c r="H449" s="248">
        <f>IF(H407&lt;&gt;0,H426/H407,0)</f>
        <v>1.7230564275824607</v>
      </c>
      <c r="I449" s="249">
        <f t="shared" ref="I449:W449" si="112">IF(I407&lt;&gt;0,I426/I407,0)</f>
        <v>3.4854599118290635</v>
      </c>
      <c r="J449" s="247">
        <f t="shared" si="112"/>
        <v>5.9223172848113057</v>
      </c>
      <c r="K449" s="248">
        <f t="shared" si="112"/>
        <v>0</v>
      </c>
      <c r="L449" s="247">
        <f t="shared" si="112"/>
        <v>3.6694168448637039</v>
      </c>
      <c r="M449" s="247">
        <f t="shared" si="112"/>
        <v>5.197601540447498</v>
      </c>
      <c r="N449" s="248">
        <f t="shared" si="112"/>
        <v>0</v>
      </c>
      <c r="O449" s="247">
        <f t="shared" si="112"/>
        <v>3.1960155188335233</v>
      </c>
      <c r="P449" s="247">
        <f t="shared" si="112"/>
        <v>2.9006630883456097</v>
      </c>
      <c r="Q449" s="248">
        <f t="shared" si="112"/>
        <v>3.4114346604854648</v>
      </c>
      <c r="R449" s="247">
        <f t="shared" si="112"/>
        <v>0.93721774874536801</v>
      </c>
      <c r="S449" s="247">
        <f t="shared" si="112"/>
        <v>1.392012035302975</v>
      </c>
      <c r="T449" s="248">
        <f t="shared" si="112"/>
        <v>1.9921260688140228</v>
      </c>
      <c r="U449" s="247">
        <f t="shared" si="112"/>
        <v>4.8621694263151057E-2</v>
      </c>
      <c r="V449" s="247">
        <f t="shared" si="112"/>
        <v>4.258756320059158E-2</v>
      </c>
      <c r="W449" s="248">
        <f t="shared" si="112"/>
        <v>3.8171046596424438E-2</v>
      </c>
      <c r="AA449" s="93"/>
      <c r="AB449" s="93"/>
      <c r="AC449" s="83"/>
      <c r="AD449" s="83"/>
      <c r="AE449" s="93"/>
      <c r="AF449" s="93"/>
      <c r="AG449" s="83"/>
      <c r="AH449" s="83"/>
      <c r="AI449" s="93"/>
      <c r="AJ449" s="93"/>
      <c r="AK449" s="83"/>
      <c r="AL449" s="83"/>
      <c r="AM449" s="93"/>
      <c r="AN449" s="93"/>
      <c r="AO449" s="83"/>
      <c r="AP449" s="83"/>
      <c r="AQ449" s="93"/>
      <c r="AR449" s="93"/>
      <c r="AS449" s="83"/>
      <c r="AT449" s="83"/>
      <c r="AU449" s="93"/>
      <c r="AV449" s="93"/>
      <c r="AW449" s="83"/>
      <c r="AX449" s="83"/>
      <c r="AY449" s="93"/>
      <c r="AZ449" s="93"/>
    </row>
    <row r="450" spans="2:52" outlineLevel="2" x14ac:dyDescent="0.45">
      <c r="B450" s="1394"/>
      <c r="C450" s="91" t="s">
        <v>701</v>
      </c>
      <c r="D450" s="115">
        <v>8</v>
      </c>
      <c r="E450" s="13" t="s">
        <v>419</v>
      </c>
      <c r="F450" s="247">
        <f>IF(F426&lt;&gt;0,F412/F426,0)</f>
        <v>0.58823504861883014</v>
      </c>
      <c r="G450" s="247">
        <f>IF(G426&lt;&gt;0,G412/G426,0)</f>
        <v>0.46783409444888241</v>
      </c>
      <c r="H450" s="248">
        <f>IF(H426&lt;&gt;0,H412/H426,0)</f>
        <v>0.66061601153740401</v>
      </c>
      <c r="I450" s="249">
        <f t="shared" ref="I450:W450" si="113">IF(I426&lt;&gt;0,I412/I426,0)</f>
        <v>0</v>
      </c>
      <c r="J450" s="247">
        <f t="shared" si="113"/>
        <v>0</v>
      </c>
      <c r="K450" s="248">
        <f t="shared" si="113"/>
        <v>0</v>
      </c>
      <c r="L450" s="247">
        <f t="shared" si="113"/>
        <v>0</v>
      </c>
      <c r="M450" s="247">
        <f t="shared" si="113"/>
        <v>0</v>
      </c>
      <c r="N450" s="248">
        <f t="shared" si="113"/>
        <v>0</v>
      </c>
      <c r="O450" s="247">
        <f t="shared" si="113"/>
        <v>0.69303567707507452</v>
      </c>
      <c r="P450" s="247">
        <f t="shared" si="113"/>
        <v>0.4949791828198517</v>
      </c>
      <c r="Q450" s="248">
        <f t="shared" si="113"/>
        <v>0.71359868973596208</v>
      </c>
      <c r="R450" s="247">
        <f t="shared" si="113"/>
        <v>0.63074674299147082</v>
      </c>
      <c r="S450" s="247">
        <f t="shared" si="113"/>
        <v>0.5623064090600185</v>
      </c>
      <c r="T450" s="248">
        <f t="shared" si="113"/>
        <v>0.61980550280669622</v>
      </c>
      <c r="U450" s="247">
        <f t="shared" si="113"/>
        <v>0.71882875139101587</v>
      </c>
      <c r="V450" s="247">
        <f t="shared" si="113"/>
        <v>0.81760782061904347</v>
      </c>
      <c r="W450" s="248">
        <f t="shared" si="113"/>
        <v>0.60072011733055997</v>
      </c>
      <c r="AA450" s="93"/>
      <c r="AB450" s="93"/>
      <c r="AC450" s="83"/>
      <c r="AD450" s="83"/>
      <c r="AE450" s="93"/>
      <c r="AF450" s="93"/>
      <c r="AG450" s="83"/>
      <c r="AH450" s="83"/>
      <c r="AI450" s="93"/>
      <c r="AJ450" s="93"/>
      <c r="AK450" s="83"/>
      <c r="AL450" s="83"/>
      <c r="AM450" s="93"/>
      <c r="AN450" s="93"/>
      <c r="AO450" s="83"/>
      <c r="AP450" s="83"/>
      <c r="AQ450" s="93"/>
      <c r="AR450" s="93"/>
      <c r="AS450" s="83"/>
      <c r="AT450" s="83"/>
      <c r="AU450" s="93"/>
      <c r="AV450" s="93"/>
      <c r="AW450" s="83"/>
      <c r="AX450" s="83"/>
      <c r="AY450" s="93"/>
      <c r="AZ450" s="93"/>
    </row>
    <row r="451" spans="2:52" outlineLevel="2" x14ac:dyDescent="0.45">
      <c r="B451" s="1394"/>
      <c r="C451" s="91" t="s">
        <v>702</v>
      </c>
      <c r="D451" s="115">
        <v>9</v>
      </c>
      <c r="E451" s="13" t="s">
        <v>421</v>
      </c>
      <c r="F451" s="254">
        <f>IF(F$33&lt;&gt;0,F412/F$33,0)</f>
        <v>221716.96123404257</v>
      </c>
      <c r="G451" s="255">
        <f>IF(G$33&lt;&gt;0,G412/G$33,0)</f>
        <v>342047.40684615384</v>
      </c>
      <c r="H451" s="256">
        <f>IF(H$33&lt;&gt;0,H412/H$33,0)</f>
        <v>11128.651734496125</v>
      </c>
      <c r="I451" s="254">
        <f t="shared" ref="I451:W451" si="114">IF(I$33&lt;&gt;0,I412/I$33,0)</f>
        <v>0</v>
      </c>
      <c r="J451" s="255">
        <f t="shared" si="114"/>
        <v>0</v>
      </c>
      <c r="K451" s="256">
        <f t="shared" si="114"/>
        <v>0</v>
      </c>
      <c r="L451" s="254">
        <f t="shared" si="114"/>
        <v>0</v>
      </c>
      <c r="M451" s="255">
        <f t="shared" si="114"/>
        <v>0</v>
      </c>
      <c r="N451" s="256">
        <f t="shared" si="114"/>
        <v>0</v>
      </c>
      <c r="O451" s="254">
        <f t="shared" si="114"/>
        <v>0</v>
      </c>
      <c r="P451" s="255">
        <f t="shared" si="114"/>
        <v>0</v>
      </c>
      <c r="Q451" s="256">
        <f t="shared" si="114"/>
        <v>15975.443034238489</v>
      </c>
      <c r="R451" s="254">
        <f t="shared" si="114"/>
        <v>0</v>
      </c>
      <c r="S451" s="255">
        <f t="shared" si="114"/>
        <v>0</v>
      </c>
      <c r="T451" s="256">
        <f t="shared" si="114"/>
        <v>11728.693909481077</v>
      </c>
      <c r="U451" s="254">
        <f t="shared" si="114"/>
        <v>0</v>
      </c>
      <c r="V451" s="255">
        <f t="shared" si="114"/>
        <v>0</v>
      </c>
      <c r="W451" s="256">
        <f t="shared" si="114"/>
        <v>393.2025620915033</v>
      </c>
      <c r="AA451" s="93"/>
      <c r="AB451" s="93"/>
      <c r="AC451" s="83"/>
      <c r="AD451" s="83"/>
      <c r="AE451" s="93"/>
      <c r="AF451" s="93"/>
      <c r="AG451" s="83"/>
      <c r="AH451" s="83"/>
      <c r="AI451" s="93"/>
      <c r="AJ451" s="93"/>
      <c r="AK451" s="83"/>
      <c r="AL451" s="83"/>
      <c r="AM451" s="93"/>
      <c r="AN451" s="93"/>
      <c r="AO451" s="83"/>
      <c r="AP451" s="83"/>
      <c r="AQ451" s="93"/>
      <c r="AR451" s="93"/>
      <c r="AS451" s="83"/>
      <c r="AT451" s="83"/>
      <c r="AU451" s="93"/>
      <c r="AV451" s="93"/>
      <c r="AW451" s="83"/>
      <c r="AX451" s="83"/>
      <c r="AY451" s="93"/>
      <c r="AZ451" s="93"/>
    </row>
    <row r="452" spans="2:52" outlineLevel="2" x14ac:dyDescent="0.45">
      <c r="B452" s="1394"/>
      <c r="C452" s="91" t="s">
        <v>703</v>
      </c>
      <c r="D452" s="115">
        <v>10</v>
      </c>
      <c r="E452" s="13" t="s">
        <v>496</v>
      </c>
      <c r="F452" s="258">
        <v>5.6283986361087817E-3</v>
      </c>
      <c r="G452" s="258">
        <v>5.8277379008081645E-3</v>
      </c>
      <c r="H452" s="259">
        <f>IF(H438&lt;&gt;0,-H427/H438,0)</f>
        <v>0</v>
      </c>
      <c r="I452" s="258">
        <v>3.4563440450780035E-3</v>
      </c>
      <c r="J452" s="258">
        <v>3.9721327001343244E-3</v>
      </c>
      <c r="K452" s="258"/>
      <c r="L452" s="258">
        <v>5.0872661621275913E-4</v>
      </c>
      <c r="M452" s="258">
        <v>-3.7967291920177517E-6</v>
      </c>
      <c r="N452" s="258">
        <v>0</v>
      </c>
      <c r="O452" s="258">
        <v>1.0349453760455107E-2</v>
      </c>
      <c r="P452" s="258">
        <v>9.8155461387650095E-3</v>
      </c>
      <c r="Q452" s="258">
        <v>0</v>
      </c>
      <c r="R452" s="258">
        <v>9.6244102864323916E-3</v>
      </c>
      <c r="S452" s="258">
        <v>1.0521306118901294E-2</v>
      </c>
      <c r="T452" s="258">
        <v>0</v>
      </c>
      <c r="U452" s="258">
        <v>-4.7403497637090357E-3</v>
      </c>
      <c r="V452" s="258">
        <v>-6.2941309428322179E-3</v>
      </c>
      <c r="W452" s="258">
        <v>0</v>
      </c>
      <c r="AA452" s="93"/>
      <c r="AB452" s="93"/>
      <c r="AC452" s="83" t="s">
        <v>424</v>
      </c>
      <c r="AD452" s="83"/>
      <c r="AE452" s="93"/>
      <c r="AF452" s="93"/>
      <c r="AG452" s="83" t="s">
        <v>424</v>
      </c>
      <c r="AH452" s="83"/>
      <c r="AI452" s="93"/>
      <c r="AJ452" s="93"/>
      <c r="AK452" s="83" t="s">
        <v>424</v>
      </c>
      <c r="AL452" s="83"/>
      <c r="AM452" s="93"/>
      <c r="AN452" s="93"/>
      <c r="AO452" s="83" t="s">
        <v>424</v>
      </c>
      <c r="AP452" s="83"/>
      <c r="AQ452" s="93"/>
      <c r="AR452" s="93"/>
      <c r="AS452" s="83" t="s">
        <v>424</v>
      </c>
      <c r="AT452" s="83"/>
      <c r="AU452" s="93"/>
      <c r="AV452" s="93"/>
      <c r="AW452" s="83" t="s">
        <v>424</v>
      </c>
      <c r="AX452" s="83"/>
      <c r="AY452" s="93"/>
      <c r="AZ452" s="93"/>
    </row>
    <row r="453" spans="2:52" outlineLevel="2" x14ac:dyDescent="0.45">
      <c r="B453" s="1394"/>
      <c r="C453" s="91" t="s">
        <v>704</v>
      </c>
      <c r="D453" s="115">
        <v>11</v>
      </c>
      <c r="E453" s="13" t="s">
        <v>426</v>
      </c>
      <c r="F453" s="260">
        <f>IF(F438&lt;&gt;0,-F427/F438,0)</f>
        <v>8.4864876268167706E-4</v>
      </c>
      <c r="G453" s="261">
        <f>IF(G438&lt;&gt;0,-G427/G438,0)</f>
        <v>2.370776317623423E-3</v>
      </c>
      <c r="H453" s="262">
        <f>IF(H438&lt;&gt;0,-H427/H438,0)</f>
        <v>0</v>
      </c>
      <c r="I453" s="263">
        <f t="shared" ref="I453:W453" si="115">IF(I438&lt;&gt;0,-I427/I438,0)</f>
        <v>2.7351464872654484E-3</v>
      </c>
      <c r="J453" s="263">
        <f t="shared" si="115"/>
        <v>3.6130786620069736E-3</v>
      </c>
      <c r="K453" s="264">
        <f t="shared" si="115"/>
        <v>0</v>
      </c>
      <c r="L453" s="263">
        <f t="shared" si="115"/>
        <v>3.774875123617995E-4</v>
      </c>
      <c r="M453" s="263">
        <f t="shared" si="115"/>
        <v>5.3320169605822806E-4</v>
      </c>
      <c r="N453" s="264">
        <f t="shared" si="115"/>
        <v>0</v>
      </c>
      <c r="O453" s="263">
        <f t="shared" si="115"/>
        <v>7.1880708154198258E-3</v>
      </c>
      <c r="P453" s="263">
        <f t="shared" si="115"/>
        <v>6.4622646928530411E-3</v>
      </c>
      <c r="Q453" s="264">
        <f t="shared" si="115"/>
        <v>0</v>
      </c>
      <c r="R453" s="263">
        <f t="shared" si="115"/>
        <v>-6.8382341750425617E-4</v>
      </c>
      <c r="S453" s="263">
        <f t="shared" si="115"/>
        <v>3.1784701621096322E-3</v>
      </c>
      <c r="T453" s="264">
        <f t="shared" si="115"/>
        <v>0</v>
      </c>
      <c r="U453" s="263">
        <f t="shared" si="115"/>
        <v>-1.1943281399851065E-2</v>
      </c>
      <c r="V453" s="263">
        <f t="shared" si="115"/>
        <v>-8.9631304084476175E-3</v>
      </c>
      <c r="W453" s="264">
        <f t="shared" si="115"/>
        <v>0</v>
      </c>
      <c r="AA453" s="93"/>
      <c r="AB453" s="93"/>
      <c r="AC453" s="83"/>
      <c r="AD453" s="83"/>
      <c r="AE453" s="93"/>
      <c r="AF453" s="93"/>
      <c r="AG453" s="83"/>
      <c r="AH453" s="83"/>
      <c r="AI453" s="93"/>
      <c r="AJ453" s="93"/>
      <c r="AK453" s="83"/>
      <c r="AL453" s="83"/>
      <c r="AM453" s="93"/>
      <c r="AN453" s="93"/>
      <c r="AO453" s="83"/>
      <c r="AP453" s="83"/>
      <c r="AQ453" s="93"/>
      <c r="AR453" s="93"/>
      <c r="AS453" s="83"/>
      <c r="AT453" s="83"/>
      <c r="AU453" s="93"/>
      <c r="AV453" s="93"/>
      <c r="AW453" s="83"/>
      <c r="AX453" s="83"/>
      <c r="AY453" s="93"/>
      <c r="AZ453" s="93"/>
    </row>
    <row r="454" spans="2:52" outlineLevel="2" x14ac:dyDescent="0.45">
      <c r="B454" s="1394"/>
      <c r="C454" s="91" t="s">
        <v>705</v>
      </c>
      <c r="D454" s="115"/>
      <c r="E454" s="13"/>
      <c r="F454" s="89"/>
      <c r="G454" s="89"/>
      <c r="H454" s="23"/>
      <c r="I454" s="92"/>
      <c r="J454" s="92"/>
      <c r="K454" s="31"/>
      <c r="L454" s="92"/>
      <c r="M454" s="92"/>
      <c r="N454" s="31"/>
      <c r="O454" s="92"/>
      <c r="P454" s="92"/>
      <c r="Q454" s="31"/>
      <c r="R454" s="92"/>
      <c r="S454" s="92"/>
      <c r="T454" s="31"/>
      <c r="U454" s="247"/>
      <c r="V454" s="247"/>
      <c r="W454" s="248"/>
      <c r="AA454" s="93"/>
      <c r="AB454" s="93"/>
      <c r="AC454" s="83"/>
      <c r="AD454" s="83"/>
      <c r="AE454" s="93"/>
      <c r="AF454" s="93"/>
      <c r="AG454" s="83"/>
      <c r="AH454" s="83"/>
      <c r="AI454" s="93"/>
      <c r="AJ454" s="93"/>
      <c r="AK454" s="83"/>
      <c r="AL454" s="83"/>
      <c r="AM454" s="93"/>
      <c r="AN454" s="93"/>
      <c r="AO454" s="83"/>
      <c r="AP454" s="83"/>
      <c r="AQ454" s="93"/>
      <c r="AR454" s="93"/>
      <c r="AS454" s="83"/>
      <c r="AT454" s="83"/>
      <c r="AU454" s="93"/>
      <c r="AV454" s="93"/>
      <c r="AW454" s="83"/>
      <c r="AX454" s="83"/>
      <c r="AY454" s="93"/>
      <c r="AZ454" s="93"/>
    </row>
    <row r="455" spans="2:52" outlineLevel="2" x14ac:dyDescent="0.45">
      <c r="B455" s="1394"/>
      <c r="C455" s="91" t="s">
        <v>706</v>
      </c>
      <c r="D455" s="115"/>
      <c r="E455" s="13"/>
      <c r="F455" s="89"/>
      <c r="G455" s="89"/>
      <c r="H455" s="23"/>
      <c r="I455" s="92"/>
      <c r="J455" s="92"/>
      <c r="K455" s="31"/>
      <c r="L455" s="92"/>
      <c r="M455" s="92"/>
      <c r="N455" s="31"/>
      <c r="O455" s="92"/>
      <c r="P455" s="92"/>
      <c r="Q455" s="31"/>
      <c r="R455" s="92"/>
      <c r="S455" s="92"/>
      <c r="T455" s="31"/>
      <c r="U455" s="92"/>
      <c r="V455" s="92"/>
      <c r="W455" s="31"/>
      <c r="AA455" s="93"/>
      <c r="AB455" s="93"/>
      <c r="AC455" s="83"/>
      <c r="AD455" s="83"/>
      <c r="AE455" s="93"/>
      <c r="AF455" s="93"/>
      <c r="AG455" s="83"/>
      <c r="AH455" s="83"/>
      <c r="AI455" s="93"/>
      <c r="AJ455" s="93"/>
      <c r="AK455" s="83"/>
      <c r="AL455" s="83"/>
      <c r="AM455" s="93"/>
      <c r="AN455" s="93"/>
      <c r="AO455" s="83"/>
      <c r="AP455" s="83"/>
      <c r="AQ455" s="93"/>
      <c r="AR455" s="93"/>
      <c r="AS455" s="83"/>
      <c r="AT455" s="83"/>
      <c r="AU455" s="93"/>
      <c r="AV455" s="93"/>
      <c r="AW455" s="83"/>
      <c r="AX455" s="83"/>
      <c r="AY455" s="93"/>
      <c r="AZ455" s="93"/>
    </row>
    <row r="456" spans="2:52" outlineLevel="2" x14ac:dyDescent="0.45">
      <c r="B456" s="268"/>
      <c r="C456" s="13"/>
      <c r="D456" s="87"/>
      <c r="E456" s="14"/>
      <c r="F456" s="89"/>
      <c r="G456" s="89"/>
      <c r="H456" s="23"/>
      <c r="I456" s="14"/>
      <c r="J456" s="14"/>
      <c r="K456" s="277"/>
      <c r="L456" s="116"/>
      <c r="M456" s="92"/>
      <c r="N456" s="31"/>
      <c r="O456" s="92"/>
      <c r="P456" s="92"/>
      <c r="Q456" s="31"/>
      <c r="R456" s="92"/>
      <c r="S456" s="92"/>
      <c r="T456" s="31"/>
      <c r="U456" s="92"/>
      <c r="V456" s="92"/>
      <c r="W456" s="31"/>
      <c r="AA456" s="93"/>
      <c r="AB456" s="93"/>
      <c r="AC456" s="83"/>
      <c r="AD456" s="83"/>
      <c r="AE456" s="93"/>
      <c r="AF456" s="93"/>
      <c r="AG456" s="83"/>
      <c r="AH456" s="83"/>
      <c r="AI456" s="93"/>
      <c r="AJ456" s="93"/>
      <c r="AK456" s="83"/>
      <c r="AL456" s="83"/>
      <c r="AM456" s="93"/>
      <c r="AN456" s="93"/>
      <c r="AO456" s="83"/>
      <c r="AP456" s="83"/>
      <c r="AQ456" s="93"/>
      <c r="AR456" s="93"/>
      <c r="AS456" s="83"/>
      <c r="AT456" s="83"/>
      <c r="AU456" s="93"/>
      <c r="AV456" s="93"/>
      <c r="AW456" s="83"/>
      <c r="AX456" s="83"/>
      <c r="AY456" s="93"/>
      <c r="AZ456" s="93"/>
    </row>
    <row r="457" spans="2:52" outlineLevel="1" x14ac:dyDescent="0.45">
      <c r="B457" s="1395" t="s">
        <v>707</v>
      </c>
      <c r="C457" s="11" t="s">
        <v>708</v>
      </c>
      <c r="D457" s="103"/>
      <c r="E457" s="11" t="s">
        <v>709</v>
      </c>
      <c r="F457" s="89"/>
      <c r="G457" s="89"/>
      <c r="H457" s="23"/>
      <c r="I457" s="92"/>
      <c r="J457" s="92"/>
      <c r="K457" s="31"/>
      <c r="L457" s="92"/>
      <c r="M457" s="92"/>
      <c r="N457" s="31"/>
      <c r="O457" s="92"/>
      <c r="P457" s="92"/>
      <c r="Q457" s="31"/>
      <c r="R457" s="92"/>
      <c r="S457" s="92"/>
      <c r="T457" s="31"/>
      <c r="U457" s="92"/>
      <c r="V457" s="92"/>
      <c r="W457" s="31"/>
      <c r="AA457" s="93"/>
      <c r="AB457" s="93"/>
      <c r="AC457" s="83"/>
      <c r="AD457" s="83"/>
      <c r="AE457" s="93"/>
      <c r="AF457" s="93"/>
      <c r="AG457" s="83"/>
      <c r="AH457" s="83"/>
      <c r="AI457" s="93"/>
      <c r="AJ457" s="93"/>
      <c r="AK457" s="83"/>
      <c r="AL457" s="83"/>
      <c r="AM457" s="93"/>
      <c r="AN457" s="93"/>
      <c r="AO457" s="83"/>
      <c r="AP457" s="83"/>
      <c r="AQ457" s="93"/>
      <c r="AR457" s="93"/>
      <c r="AS457" s="83"/>
      <c r="AT457" s="83"/>
      <c r="AU457" s="93"/>
      <c r="AV457" s="93"/>
      <c r="AW457" s="83"/>
      <c r="AX457" s="83"/>
      <c r="AY457" s="93"/>
      <c r="AZ457" s="93"/>
    </row>
    <row r="458" spans="2:52" outlineLevel="1" x14ac:dyDescent="0.45">
      <c r="B458" s="1395"/>
      <c r="C458" s="91" t="s">
        <v>710</v>
      </c>
      <c r="D458" s="115"/>
      <c r="E458" s="11" t="s">
        <v>316</v>
      </c>
      <c r="F458" s="89"/>
      <c r="G458" s="89"/>
      <c r="H458" s="23"/>
      <c r="I458" s="92"/>
      <c r="J458" s="92"/>
      <c r="K458" s="31"/>
      <c r="L458" s="92"/>
      <c r="M458" s="92"/>
      <c r="N458" s="31"/>
      <c r="O458" s="92"/>
      <c r="P458" s="92"/>
      <c r="Q458" s="31"/>
      <c r="R458" s="92"/>
      <c r="S458" s="92"/>
      <c r="T458" s="31"/>
      <c r="U458" s="92"/>
      <c r="V458" s="92"/>
      <c r="W458" s="31"/>
      <c r="AA458" s="93"/>
      <c r="AB458" s="93"/>
      <c r="AC458" s="83"/>
      <c r="AD458" s="83"/>
      <c r="AE458" s="93"/>
      <c r="AF458" s="93"/>
      <c r="AG458" s="83"/>
      <c r="AH458" s="83"/>
      <c r="AI458" s="93"/>
      <c r="AJ458" s="93"/>
      <c r="AK458" s="83"/>
      <c r="AL458" s="83"/>
      <c r="AM458" s="93"/>
      <c r="AN458" s="93"/>
      <c r="AO458" s="83"/>
      <c r="AP458" s="83"/>
      <c r="AQ458" s="93"/>
      <c r="AR458" s="93"/>
      <c r="AS458" s="83"/>
      <c r="AT458" s="83"/>
      <c r="AU458" s="93"/>
      <c r="AV458" s="93"/>
      <c r="AW458" s="83"/>
      <c r="AX458" s="83"/>
      <c r="AY458" s="93"/>
      <c r="AZ458" s="93"/>
    </row>
    <row r="459" spans="2:52" outlineLevel="1" x14ac:dyDescent="0.45">
      <c r="B459" s="1395"/>
      <c r="C459" s="91" t="s">
        <v>711</v>
      </c>
      <c r="D459" s="115"/>
      <c r="E459" s="12" t="s">
        <v>266</v>
      </c>
      <c r="F459" s="89"/>
      <c r="G459" s="89"/>
      <c r="H459" s="23"/>
      <c r="I459" s="92"/>
      <c r="J459" s="92"/>
      <c r="K459" s="31"/>
      <c r="L459" s="92"/>
      <c r="M459" s="92"/>
      <c r="N459" s="31"/>
      <c r="O459" s="92"/>
      <c r="P459" s="92"/>
      <c r="Q459" s="31"/>
      <c r="R459" s="92"/>
      <c r="S459" s="92"/>
      <c r="T459" s="31"/>
      <c r="U459" s="92"/>
      <c r="V459" s="92"/>
      <c r="W459" s="31"/>
      <c r="AA459" s="93"/>
      <c r="AB459" s="93"/>
      <c r="AC459" s="83"/>
      <c r="AD459" s="83"/>
      <c r="AE459" s="93"/>
      <c r="AF459" s="93"/>
      <c r="AG459" s="83"/>
      <c r="AH459" s="83"/>
      <c r="AI459" s="93"/>
      <c r="AJ459" s="93"/>
      <c r="AK459" s="83"/>
      <c r="AL459" s="83"/>
      <c r="AM459" s="93"/>
      <c r="AN459" s="93"/>
      <c r="AO459" s="83"/>
      <c r="AP459" s="83"/>
      <c r="AQ459" s="93"/>
      <c r="AR459" s="93"/>
      <c r="AS459" s="83"/>
      <c r="AT459" s="83"/>
      <c r="AU459" s="93"/>
      <c r="AV459" s="93"/>
      <c r="AW459" s="83"/>
      <c r="AX459" s="83"/>
      <c r="AY459" s="93"/>
      <c r="AZ459" s="93"/>
    </row>
    <row r="460" spans="2:52" outlineLevel="1" x14ac:dyDescent="0.45">
      <c r="B460" s="1395"/>
      <c r="C460" s="91" t="s">
        <v>712</v>
      </c>
      <c r="D460" s="115"/>
      <c r="E460" s="116" t="s">
        <v>319</v>
      </c>
      <c r="F460" s="130">
        <f t="shared" ref="F460:H464" si="116">I460+L460+O460+R460+U460</f>
        <v>1380744</v>
      </c>
      <c r="G460" s="130">
        <f t="shared" si="116"/>
        <v>1012908</v>
      </c>
      <c r="H460" s="131">
        <f t="shared" si="116"/>
        <v>485616</v>
      </c>
      <c r="I460" s="217">
        <v>1380744</v>
      </c>
      <c r="J460" s="217">
        <v>1012908</v>
      </c>
      <c r="K460" s="217">
        <v>485616</v>
      </c>
      <c r="L460" s="218"/>
      <c r="M460" s="217"/>
      <c r="N460" s="217"/>
      <c r="O460" s="218"/>
      <c r="P460" s="217"/>
      <c r="Q460" s="217"/>
      <c r="R460" s="218"/>
      <c r="S460" s="217"/>
      <c r="T460" s="217"/>
      <c r="U460" s="218"/>
      <c r="V460" s="217"/>
      <c r="W460" s="217"/>
      <c r="AA460" s="93"/>
      <c r="AB460" s="93"/>
      <c r="AC460" s="83"/>
      <c r="AD460" s="83"/>
      <c r="AE460" s="93"/>
      <c r="AF460" s="93"/>
      <c r="AG460" s="83"/>
      <c r="AH460" s="83"/>
      <c r="AI460" s="93"/>
      <c r="AJ460" s="93"/>
      <c r="AK460" s="83"/>
      <c r="AL460" s="83"/>
      <c r="AM460" s="93"/>
      <c r="AN460" s="93"/>
      <c r="AO460" s="83"/>
      <c r="AP460" s="83"/>
      <c r="AQ460" s="93"/>
      <c r="AR460" s="93"/>
      <c r="AS460" s="83"/>
      <c r="AT460" s="83"/>
      <c r="AU460" s="93"/>
      <c r="AV460" s="93"/>
      <c r="AW460" s="83"/>
      <c r="AX460" s="83"/>
      <c r="AY460" s="93"/>
      <c r="AZ460" s="93"/>
    </row>
    <row r="461" spans="2:52" outlineLevel="1" x14ac:dyDescent="0.45">
      <c r="B461" s="1395"/>
      <c r="C461" s="91" t="s">
        <v>713</v>
      </c>
      <c r="D461" s="115"/>
      <c r="E461" s="116" t="s">
        <v>509</v>
      </c>
      <c r="F461" s="130">
        <f t="shared" si="116"/>
        <v>0</v>
      </c>
      <c r="G461" s="130">
        <f t="shared" si="116"/>
        <v>0</v>
      </c>
      <c r="H461" s="131">
        <f t="shared" si="116"/>
        <v>0</v>
      </c>
      <c r="I461" s="217"/>
      <c r="J461" s="217"/>
      <c r="K461" s="217"/>
      <c r="L461" s="218"/>
      <c r="M461" s="217"/>
      <c r="N461" s="217"/>
      <c r="O461" s="218"/>
      <c r="P461" s="217"/>
      <c r="Q461" s="217"/>
      <c r="R461" s="218"/>
      <c r="S461" s="217"/>
      <c r="T461" s="217"/>
      <c r="U461" s="218"/>
      <c r="V461" s="217"/>
      <c r="W461" s="217"/>
      <c r="AA461" s="93"/>
      <c r="AB461" s="93"/>
      <c r="AC461" s="83"/>
      <c r="AD461" s="83"/>
      <c r="AE461" s="93"/>
      <c r="AF461" s="93"/>
      <c r="AG461" s="83"/>
      <c r="AH461" s="83"/>
      <c r="AI461" s="93"/>
      <c r="AJ461" s="93"/>
      <c r="AK461" s="83"/>
      <c r="AL461" s="83"/>
      <c r="AM461" s="93"/>
      <c r="AN461" s="93"/>
      <c r="AO461" s="83"/>
      <c r="AP461" s="83"/>
      <c r="AQ461" s="93"/>
      <c r="AR461" s="93"/>
      <c r="AS461" s="83"/>
      <c r="AT461" s="83"/>
      <c r="AU461" s="93"/>
      <c r="AV461" s="93"/>
      <c r="AW461" s="83"/>
      <c r="AX461" s="83"/>
      <c r="AY461" s="93"/>
      <c r="AZ461" s="93"/>
    </row>
    <row r="462" spans="2:52" outlineLevel="1" x14ac:dyDescent="0.45">
      <c r="B462" s="1395"/>
      <c r="C462" s="91" t="s">
        <v>714</v>
      </c>
      <c r="D462" s="115"/>
      <c r="E462" s="116" t="s">
        <v>324</v>
      </c>
      <c r="F462" s="130">
        <f t="shared" si="116"/>
        <v>92538</v>
      </c>
      <c r="G462" s="130">
        <f t="shared" si="116"/>
        <v>676761</v>
      </c>
      <c r="H462" s="131">
        <f t="shared" si="116"/>
        <v>542465</v>
      </c>
      <c r="I462" s="217">
        <v>92538</v>
      </c>
      <c r="J462" s="217">
        <v>676761</v>
      </c>
      <c r="K462" s="217">
        <v>542465</v>
      </c>
      <c r="L462" s="218"/>
      <c r="M462" s="217"/>
      <c r="N462" s="217"/>
      <c r="O462" s="218"/>
      <c r="P462" s="217"/>
      <c r="Q462" s="217"/>
      <c r="R462" s="218"/>
      <c r="S462" s="217"/>
      <c r="T462" s="217"/>
      <c r="U462" s="218"/>
      <c r="V462" s="217"/>
      <c r="W462" s="217"/>
      <c r="AA462" s="93"/>
      <c r="AB462" s="93"/>
      <c r="AC462" s="83"/>
      <c r="AD462" s="83"/>
      <c r="AE462" s="93"/>
      <c r="AF462" s="93"/>
      <c r="AG462" s="83"/>
      <c r="AH462" s="83"/>
      <c r="AI462" s="93"/>
      <c r="AJ462" s="93"/>
      <c r="AK462" s="83"/>
      <c r="AL462" s="83"/>
      <c r="AM462" s="93"/>
      <c r="AN462" s="93"/>
      <c r="AO462" s="83"/>
      <c r="AP462" s="83"/>
      <c r="AQ462" s="93"/>
      <c r="AR462" s="93"/>
      <c r="AS462" s="83"/>
      <c r="AT462" s="83"/>
      <c r="AU462" s="93"/>
      <c r="AV462" s="93"/>
      <c r="AW462" s="83"/>
      <c r="AX462" s="83"/>
      <c r="AY462" s="93"/>
      <c r="AZ462" s="93"/>
    </row>
    <row r="463" spans="2:52" outlineLevel="1" x14ac:dyDescent="0.45">
      <c r="B463" s="1395"/>
      <c r="C463" s="91" t="s">
        <v>715</v>
      </c>
      <c r="D463" s="115"/>
      <c r="E463" s="116" t="s">
        <v>444</v>
      </c>
      <c r="F463" s="130">
        <f t="shared" si="116"/>
        <v>0</v>
      </c>
      <c r="G463" s="130">
        <f t="shared" si="116"/>
        <v>0</v>
      </c>
      <c r="H463" s="131">
        <f t="shared" si="116"/>
        <v>0</v>
      </c>
      <c r="I463" s="217"/>
      <c r="J463" s="217"/>
      <c r="K463" s="217"/>
      <c r="L463" s="218"/>
      <c r="M463" s="217"/>
      <c r="N463" s="217"/>
      <c r="O463" s="218"/>
      <c r="P463" s="217"/>
      <c r="Q463" s="217"/>
      <c r="R463" s="218"/>
      <c r="S463" s="217"/>
      <c r="T463" s="217"/>
      <c r="U463" s="218"/>
      <c r="V463" s="217"/>
      <c r="W463" s="217"/>
      <c r="AA463" s="93"/>
      <c r="AB463" s="93"/>
      <c r="AC463" s="83"/>
      <c r="AD463" s="83"/>
      <c r="AE463" s="93"/>
      <c r="AF463" s="93"/>
      <c r="AG463" s="83"/>
      <c r="AH463" s="83"/>
      <c r="AI463" s="93"/>
      <c r="AJ463" s="93"/>
      <c r="AK463" s="83"/>
      <c r="AL463" s="83"/>
      <c r="AM463" s="93"/>
      <c r="AN463" s="93"/>
      <c r="AO463" s="83"/>
      <c r="AP463" s="83"/>
      <c r="AQ463" s="93"/>
      <c r="AR463" s="93"/>
      <c r="AS463" s="83"/>
      <c r="AT463" s="83"/>
      <c r="AU463" s="93"/>
      <c r="AV463" s="93"/>
      <c r="AW463" s="83"/>
      <c r="AX463" s="83"/>
      <c r="AY463" s="93"/>
      <c r="AZ463" s="93"/>
    </row>
    <row r="464" spans="2:52" outlineLevel="1" x14ac:dyDescent="0.45">
      <c r="B464" s="1395"/>
      <c r="C464" s="91" t="s">
        <v>716</v>
      </c>
      <c r="D464" s="115"/>
      <c r="E464" s="12" t="s">
        <v>330</v>
      </c>
      <c r="F464" s="130">
        <f t="shared" si="116"/>
        <v>1473282</v>
      </c>
      <c r="G464" s="130">
        <f t="shared" si="116"/>
        <v>1689669</v>
      </c>
      <c r="H464" s="131">
        <f t="shared" si="116"/>
        <v>1028081</v>
      </c>
      <c r="I464" s="223">
        <f t="shared" ref="I464:W464" si="117">SUM(I460:I463)</f>
        <v>1473282</v>
      </c>
      <c r="J464" s="224">
        <f t="shared" si="117"/>
        <v>1689669</v>
      </c>
      <c r="K464" s="225">
        <f t="shared" si="117"/>
        <v>1028081</v>
      </c>
      <c r="L464" s="224">
        <f t="shared" si="117"/>
        <v>0</v>
      </c>
      <c r="M464" s="224">
        <f t="shared" si="117"/>
        <v>0</v>
      </c>
      <c r="N464" s="225">
        <f t="shared" si="117"/>
        <v>0</v>
      </c>
      <c r="O464" s="224">
        <f t="shared" si="117"/>
        <v>0</v>
      </c>
      <c r="P464" s="224">
        <f t="shared" si="117"/>
        <v>0</v>
      </c>
      <c r="Q464" s="225">
        <f t="shared" si="117"/>
        <v>0</v>
      </c>
      <c r="R464" s="224">
        <f t="shared" si="117"/>
        <v>0</v>
      </c>
      <c r="S464" s="224">
        <f t="shared" si="117"/>
        <v>0</v>
      </c>
      <c r="T464" s="225">
        <f t="shared" si="117"/>
        <v>0</v>
      </c>
      <c r="U464" s="224">
        <f t="shared" si="117"/>
        <v>0</v>
      </c>
      <c r="V464" s="224">
        <f t="shared" si="117"/>
        <v>0</v>
      </c>
      <c r="W464" s="225">
        <f t="shared" si="117"/>
        <v>0</v>
      </c>
      <c r="AA464" s="93"/>
      <c r="AB464" s="93"/>
      <c r="AC464" s="83"/>
      <c r="AD464" s="83"/>
      <c r="AE464" s="93"/>
      <c r="AF464" s="93"/>
      <c r="AG464" s="83"/>
      <c r="AH464" s="83"/>
      <c r="AI464" s="93"/>
      <c r="AJ464" s="93"/>
      <c r="AK464" s="83"/>
      <c r="AL464" s="83"/>
      <c r="AM464" s="93"/>
      <c r="AN464" s="93"/>
      <c r="AO464" s="83"/>
      <c r="AP464" s="83"/>
      <c r="AQ464" s="93"/>
      <c r="AR464" s="93"/>
      <c r="AS464" s="83"/>
      <c r="AT464" s="83"/>
      <c r="AU464" s="93"/>
      <c r="AV464" s="93"/>
      <c r="AW464" s="83"/>
      <c r="AX464" s="83"/>
      <c r="AY464" s="93"/>
      <c r="AZ464" s="93"/>
    </row>
    <row r="465" spans="2:52" outlineLevel="1" x14ac:dyDescent="0.45">
      <c r="B465" s="1395"/>
      <c r="C465" s="91" t="s">
        <v>717</v>
      </c>
      <c r="D465" s="115"/>
      <c r="E465" s="12" t="s">
        <v>332</v>
      </c>
      <c r="F465" s="89"/>
      <c r="G465" s="89"/>
      <c r="H465" s="23"/>
      <c r="I465" s="226"/>
      <c r="J465" s="227"/>
      <c r="K465" s="228"/>
      <c r="L465" s="227"/>
      <c r="M465" s="227"/>
      <c r="N465" s="228"/>
      <c r="O465" s="227"/>
      <c r="P465" s="227"/>
      <c r="Q465" s="228"/>
      <c r="R465" s="227"/>
      <c r="S465" s="227"/>
      <c r="T465" s="228"/>
      <c r="U465" s="227"/>
      <c r="V465" s="227"/>
      <c r="W465" s="228"/>
      <c r="AA465" s="93"/>
      <c r="AB465" s="93"/>
      <c r="AC465" s="83"/>
      <c r="AD465" s="83"/>
      <c r="AE465" s="93"/>
      <c r="AF465" s="93"/>
      <c r="AG465" s="83"/>
      <c r="AH465" s="83"/>
      <c r="AI465" s="93"/>
      <c r="AJ465" s="93"/>
      <c r="AK465" s="83"/>
      <c r="AL465" s="83"/>
      <c r="AM465" s="93"/>
      <c r="AN465" s="93"/>
      <c r="AO465" s="83"/>
      <c r="AP465" s="83"/>
      <c r="AQ465" s="93"/>
      <c r="AR465" s="93"/>
      <c r="AS465" s="83"/>
      <c r="AT465" s="83"/>
      <c r="AU465" s="93"/>
      <c r="AV465" s="93"/>
      <c r="AW465" s="83"/>
      <c r="AX465" s="83"/>
      <c r="AY465" s="93"/>
      <c r="AZ465" s="93"/>
    </row>
    <row r="466" spans="2:52" outlineLevel="1" x14ac:dyDescent="0.45">
      <c r="B466" s="1395"/>
      <c r="C466" s="91" t="s">
        <v>718</v>
      </c>
      <c r="D466" s="115"/>
      <c r="E466" s="229" t="s">
        <v>334</v>
      </c>
      <c r="F466" s="89"/>
      <c r="G466" s="89"/>
      <c r="H466" s="23"/>
      <c r="I466" s="226"/>
      <c r="J466" s="227"/>
      <c r="K466" s="228"/>
      <c r="L466" s="227"/>
      <c r="M466" s="227"/>
      <c r="N466" s="228"/>
      <c r="O466" s="227"/>
      <c r="P466" s="227"/>
      <c r="Q466" s="228"/>
      <c r="R466" s="227"/>
      <c r="S466" s="227"/>
      <c r="T466" s="228"/>
      <c r="U466" s="227"/>
      <c r="V466" s="227"/>
      <c r="W466" s="228"/>
      <c r="AA466" s="93"/>
      <c r="AB466" s="93"/>
      <c r="AC466" s="83"/>
      <c r="AD466" s="83"/>
      <c r="AE466" s="93"/>
      <c r="AF466" s="93"/>
      <c r="AG466" s="83"/>
      <c r="AH466" s="83"/>
      <c r="AI466" s="93"/>
      <c r="AJ466" s="93"/>
      <c r="AK466" s="83"/>
      <c r="AL466" s="83"/>
      <c r="AM466" s="93"/>
      <c r="AN466" s="93"/>
      <c r="AO466" s="83"/>
      <c r="AP466" s="83"/>
      <c r="AQ466" s="93"/>
      <c r="AR466" s="93"/>
      <c r="AS466" s="83"/>
      <c r="AT466" s="83"/>
      <c r="AU466" s="93"/>
      <c r="AV466" s="93"/>
      <c r="AW466" s="83"/>
      <c r="AX466" s="83"/>
      <c r="AY466" s="93"/>
      <c r="AZ466" s="93"/>
    </row>
    <row r="467" spans="2:52" ht="15" customHeight="1" outlineLevel="1" x14ac:dyDescent="0.45">
      <c r="B467" s="1395"/>
      <c r="C467" s="91" t="s">
        <v>719</v>
      </c>
      <c r="D467" s="115"/>
      <c r="E467" s="116" t="s">
        <v>336</v>
      </c>
      <c r="F467" s="130">
        <f t="shared" ref="F467:H477" si="118">I467+L467+O467+R467+U467</f>
        <v>1116065</v>
      </c>
      <c r="G467" s="130">
        <f t="shared" si="118"/>
        <v>1590923</v>
      </c>
      <c r="H467" s="131">
        <f t="shared" si="118"/>
        <v>108876</v>
      </c>
      <c r="I467" s="217">
        <v>1116065</v>
      </c>
      <c r="J467" s="217">
        <v>1590923</v>
      </c>
      <c r="K467" s="217">
        <v>108876</v>
      </c>
      <c r="L467" s="218"/>
      <c r="M467" s="217"/>
      <c r="N467" s="217"/>
      <c r="O467" s="218"/>
      <c r="P467" s="217"/>
      <c r="Q467" s="217"/>
      <c r="R467" s="218"/>
      <c r="S467" s="217"/>
      <c r="T467" s="217"/>
      <c r="U467" s="218"/>
      <c r="V467" s="217"/>
      <c r="W467" s="217"/>
      <c r="AA467" s="93"/>
      <c r="AB467" s="93"/>
      <c r="AC467" s="83"/>
      <c r="AD467" s="83"/>
      <c r="AE467" s="93"/>
      <c r="AF467" s="93"/>
      <c r="AG467" s="83"/>
      <c r="AH467" s="83"/>
      <c r="AI467" s="93"/>
      <c r="AJ467" s="93"/>
      <c r="AK467" s="83"/>
      <c r="AL467" s="83"/>
      <c r="AM467" s="93"/>
      <c r="AN467" s="93"/>
      <c r="AO467" s="83"/>
      <c r="AP467" s="83"/>
      <c r="AQ467" s="93"/>
      <c r="AR467" s="93"/>
      <c r="AS467" s="83"/>
      <c r="AT467" s="83"/>
      <c r="AU467" s="93"/>
      <c r="AV467" s="93"/>
      <c r="AW467" s="83"/>
      <c r="AX467" s="83"/>
      <c r="AY467" s="93"/>
      <c r="AZ467" s="93"/>
    </row>
    <row r="468" spans="2:52" outlineLevel="1" x14ac:dyDescent="0.45">
      <c r="B468" s="1395"/>
      <c r="C468" s="91" t="s">
        <v>720</v>
      </c>
      <c r="D468" s="115"/>
      <c r="E468" s="116" t="s">
        <v>340</v>
      </c>
      <c r="F468" s="130">
        <f t="shared" si="118"/>
        <v>1986493.629015544</v>
      </c>
      <c r="G468" s="130">
        <f t="shared" si="118"/>
        <v>1396462.4550970874</v>
      </c>
      <c r="H468" s="131">
        <f t="shared" si="118"/>
        <v>1083923.9213630406</v>
      </c>
      <c r="I468" s="217">
        <v>1986493.629015544</v>
      </c>
      <c r="J468" s="217">
        <v>1396462.4550970874</v>
      </c>
      <c r="K468" s="217">
        <v>1083923.9213630406</v>
      </c>
      <c r="L468" s="218"/>
      <c r="M468" s="217"/>
      <c r="N468" s="217"/>
      <c r="O468" s="218"/>
      <c r="P468" s="217"/>
      <c r="Q468" s="217"/>
      <c r="R468" s="218"/>
      <c r="S468" s="217"/>
      <c r="T468" s="217"/>
      <c r="U468" s="218"/>
      <c r="V468" s="217"/>
      <c r="W468" s="217"/>
      <c r="AA468" s="93"/>
      <c r="AB468" s="93"/>
      <c r="AC468" s="83"/>
      <c r="AD468" s="83"/>
      <c r="AE468" s="93"/>
      <c r="AF468" s="93"/>
      <c r="AG468" s="83"/>
      <c r="AH468" s="83"/>
      <c r="AI468" s="93"/>
      <c r="AJ468" s="93"/>
      <c r="AK468" s="83"/>
      <c r="AL468" s="83"/>
      <c r="AM468" s="93"/>
      <c r="AN468" s="93"/>
      <c r="AO468" s="83"/>
      <c r="AP468" s="83"/>
      <c r="AQ468" s="93"/>
      <c r="AR468" s="93"/>
      <c r="AS468" s="83"/>
      <c r="AT468" s="83"/>
      <c r="AU468" s="93"/>
      <c r="AV468" s="93"/>
      <c r="AW468" s="83"/>
      <c r="AX468" s="83"/>
      <c r="AY468" s="93"/>
      <c r="AZ468" s="93"/>
    </row>
    <row r="469" spans="2:52" outlineLevel="1" x14ac:dyDescent="0.45">
      <c r="B469" s="1395"/>
      <c r="C469" s="91" t="s">
        <v>721</v>
      </c>
      <c r="D469" s="115"/>
      <c r="E469" s="116" t="s">
        <v>342</v>
      </c>
      <c r="F469" s="130">
        <f t="shared" si="118"/>
        <v>0</v>
      </c>
      <c r="G469" s="130">
        <f t="shared" si="118"/>
        <v>0</v>
      </c>
      <c r="H469" s="131">
        <f t="shared" si="118"/>
        <v>0</v>
      </c>
      <c r="I469" s="217"/>
      <c r="J469" s="217"/>
      <c r="K469" s="217"/>
      <c r="L469" s="218"/>
      <c r="M469" s="217"/>
      <c r="N469" s="217"/>
      <c r="O469" s="218"/>
      <c r="P469" s="217"/>
      <c r="Q469" s="217"/>
      <c r="R469" s="218"/>
      <c r="S469" s="217"/>
      <c r="T469" s="217"/>
      <c r="U469" s="218"/>
      <c r="V469" s="217"/>
      <c r="W469" s="217"/>
      <c r="AA469" s="93"/>
      <c r="AB469" s="93"/>
      <c r="AC469" s="83"/>
      <c r="AD469" s="83"/>
      <c r="AE469" s="93"/>
      <c r="AF469" s="93"/>
      <c r="AG469" s="83"/>
      <c r="AH469" s="83"/>
      <c r="AI469" s="93"/>
      <c r="AJ469" s="93"/>
      <c r="AK469" s="83"/>
      <c r="AL469" s="83"/>
      <c r="AM469" s="93"/>
      <c r="AN469" s="93"/>
      <c r="AO469" s="83"/>
      <c r="AP469" s="83"/>
      <c r="AQ469" s="93"/>
      <c r="AR469" s="93"/>
      <c r="AS469" s="83"/>
      <c r="AT469" s="83"/>
      <c r="AU469" s="93"/>
      <c r="AV469" s="93"/>
      <c r="AW469" s="83"/>
      <c r="AX469" s="83"/>
      <c r="AY469" s="93"/>
      <c r="AZ469" s="93"/>
    </row>
    <row r="470" spans="2:52" outlineLevel="1" x14ac:dyDescent="0.45">
      <c r="B470" s="1395"/>
      <c r="C470" s="91" t="s">
        <v>722</v>
      </c>
      <c r="D470" s="115"/>
      <c r="E470" s="116" t="s">
        <v>344</v>
      </c>
      <c r="F470" s="130">
        <f t="shared" si="118"/>
        <v>0</v>
      </c>
      <c r="G470" s="130">
        <f t="shared" si="118"/>
        <v>0</v>
      </c>
      <c r="H470" s="131">
        <f t="shared" si="118"/>
        <v>0</v>
      </c>
      <c r="I470" s="217"/>
      <c r="J470" s="217"/>
      <c r="K470" s="217"/>
      <c r="L470" s="218"/>
      <c r="M470" s="217"/>
      <c r="N470" s="217"/>
      <c r="O470" s="218"/>
      <c r="P470" s="217"/>
      <c r="Q470" s="217"/>
      <c r="R470" s="218"/>
      <c r="S470" s="217"/>
      <c r="T470" s="217"/>
      <c r="U470" s="218"/>
      <c r="V470" s="217"/>
      <c r="W470" s="217"/>
      <c r="AA470" s="93"/>
      <c r="AB470" s="93"/>
      <c r="AC470" s="83"/>
      <c r="AD470" s="83"/>
      <c r="AE470" s="93"/>
      <c r="AF470" s="93"/>
      <c r="AG470" s="83"/>
      <c r="AH470" s="83"/>
      <c r="AI470" s="93"/>
      <c r="AJ470" s="93"/>
      <c r="AK470" s="83"/>
      <c r="AL470" s="83"/>
      <c r="AM470" s="93"/>
      <c r="AN470" s="93"/>
      <c r="AO470" s="83"/>
      <c r="AP470" s="83"/>
      <c r="AQ470" s="93"/>
      <c r="AR470" s="93"/>
      <c r="AS470" s="83"/>
      <c r="AT470" s="83"/>
      <c r="AU470" s="93"/>
      <c r="AV470" s="93"/>
      <c r="AW470" s="83"/>
      <c r="AX470" s="83"/>
      <c r="AY470" s="93"/>
      <c r="AZ470" s="93"/>
    </row>
    <row r="471" spans="2:52" outlineLevel="1" x14ac:dyDescent="0.45">
      <c r="B471" s="1395"/>
      <c r="C471" s="91" t="s">
        <v>723</v>
      </c>
      <c r="D471" s="115"/>
      <c r="E471" s="230" t="s">
        <v>346</v>
      </c>
      <c r="F471" s="130">
        <f t="shared" si="118"/>
        <v>2858990</v>
      </c>
      <c r="G471" s="130">
        <f t="shared" si="118"/>
        <v>3028121</v>
      </c>
      <c r="H471" s="131">
        <f t="shared" si="118"/>
        <v>1025150</v>
      </c>
      <c r="I471" s="217">
        <v>2858990</v>
      </c>
      <c r="J471" s="217">
        <v>3028121</v>
      </c>
      <c r="K471" s="217">
        <v>1025150</v>
      </c>
      <c r="L471" s="218"/>
      <c r="M471" s="217"/>
      <c r="N471" s="217"/>
      <c r="O471" s="218"/>
      <c r="P471" s="217"/>
      <c r="Q471" s="217"/>
      <c r="R471" s="218"/>
      <c r="S471" s="217"/>
      <c r="T471" s="217"/>
      <c r="U471" s="218"/>
      <c r="V471" s="217"/>
      <c r="W471" s="217"/>
      <c r="AA471" s="93"/>
      <c r="AB471" s="93"/>
      <c r="AC471" s="83"/>
      <c r="AD471" s="83"/>
      <c r="AE471" s="93"/>
      <c r="AF471" s="93"/>
      <c r="AG471" s="83"/>
      <c r="AH471" s="83"/>
      <c r="AI471" s="93"/>
      <c r="AJ471" s="93"/>
      <c r="AK471" s="83"/>
      <c r="AL471" s="83"/>
      <c r="AM471" s="93"/>
      <c r="AN471" s="93"/>
      <c r="AO471" s="83"/>
      <c r="AP471" s="83"/>
      <c r="AQ471" s="93"/>
      <c r="AR471" s="93"/>
      <c r="AS471" s="83"/>
      <c r="AT471" s="83"/>
      <c r="AU471" s="93"/>
      <c r="AV471" s="93"/>
      <c r="AW471" s="83"/>
      <c r="AX471" s="83"/>
      <c r="AY471" s="93"/>
      <c r="AZ471" s="93"/>
    </row>
    <row r="472" spans="2:52" outlineLevel="1" x14ac:dyDescent="0.45">
      <c r="B472" s="1395"/>
      <c r="C472" s="91" t="s">
        <v>724</v>
      </c>
      <c r="D472" s="115"/>
      <c r="E472" s="230"/>
      <c r="F472" s="130">
        <f t="shared" si="118"/>
        <v>0</v>
      </c>
      <c r="G472" s="130">
        <f t="shared" si="118"/>
        <v>0</v>
      </c>
      <c r="H472" s="131">
        <f t="shared" si="118"/>
        <v>0</v>
      </c>
      <c r="I472" s="217"/>
      <c r="J472" s="217"/>
      <c r="K472" s="217"/>
      <c r="L472" s="218"/>
      <c r="M472" s="217"/>
      <c r="N472" s="217"/>
      <c r="O472" s="218"/>
      <c r="P472" s="217"/>
      <c r="Q472" s="217"/>
      <c r="R472" s="218"/>
      <c r="S472" s="217"/>
      <c r="T472" s="217"/>
      <c r="U472" s="218"/>
      <c r="V472" s="217"/>
      <c r="W472" s="217"/>
      <c r="AA472" s="93"/>
      <c r="AB472" s="93"/>
      <c r="AC472" s="83"/>
      <c r="AD472" s="83"/>
      <c r="AE472" s="93"/>
      <c r="AF472" s="93"/>
      <c r="AG472" s="83"/>
      <c r="AH472" s="83"/>
      <c r="AI472" s="93"/>
      <c r="AJ472" s="93"/>
      <c r="AK472" s="83"/>
      <c r="AL472" s="83"/>
      <c r="AM472" s="93"/>
      <c r="AN472" s="93"/>
      <c r="AO472" s="83"/>
      <c r="AP472" s="83"/>
      <c r="AQ472" s="93"/>
      <c r="AR472" s="93"/>
      <c r="AS472" s="83"/>
      <c r="AT472" s="83"/>
      <c r="AU472" s="93"/>
      <c r="AV472" s="93"/>
      <c r="AW472" s="83"/>
      <c r="AX472" s="83"/>
      <c r="AY472" s="93"/>
      <c r="AZ472" s="93"/>
    </row>
    <row r="473" spans="2:52" outlineLevel="1" x14ac:dyDescent="0.45">
      <c r="B473" s="1395"/>
      <c r="C473" s="91" t="s">
        <v>725</v>
      </c>
      <c r="D473" s="115"/>
      <c r="E473" s="230"/>
      <c r="F473" s="130">
        <f t="shared" si="118"/>
        <v>0</v>
      </c>
      <c r="G473" s="130">
        <f t="shared" si="118"/>
        <v>0</v>
      </c>
      <c r="H473" s="131">
        <f t="shared" si="118"/>
        <v>0</v>
      </c>
      <c r="I473" s="217"/>
      <c r="J473" s="217"/>
      <c r="K473" s="217"/>
      <c r="L473" s="218"/>
      <c r="M473" s="217"/>
      <c r="N473" s="217"/>
      <c r="O473" s="218"/>
      <c r="P473" s="217"/>
      <c r="Q473" s="217"/>
      <c r="R473" s="218"/>
      <c r="S473" s="217"/>
      <c r="T473" s="217"/>
      <c r="U473" s="218"/>
      <c r="V473" s="217"/>
      <c r="W473" s="217"/>
      <c r="AA473" s="93"/>
      <c r="AB473" s="93"/>
      <c r="AC473" s="83"/>
      <c r="AD473" s="83"/>
      <c r="AE473" s="93"/>
      <c r="AF473" s="93"/>
      <c r="AG473" s="83"/>
      <c r="AH473" s="83"/>
      <c r="AI473" s="93"/>
      <c r="AJ473" s="93"/>
      <c r="AK473" s="83"/>
      <c r="AL473" s="83"/>
      <c r="AM473" s="93"/>
      <c r="AN473" s="93"/>
      <c r="AO473" s="83"/>
      <c r="AP473" s="83"/>
      <c r="AQ473" s="93"/>
      <c r="AR473" s="93"/>
      <c r="AS473" s="83"/>
      <c r="AT473" s="83"/>
      <c r="AU473" s="93"/>
      <c r="AV473" s="93"/>
      <c r="AW473" s="83"/>
      <c r="AX473" s="83"/>
      <c r="AY473" s="93"/>
      <c r="AZ473" s="93"/>
    </row>
    <row r="474" spans="2:52" outlineLevel="1" x14ac:dyDescent="0.45">
      <c r="B474" s="1395"/>
      <c r="C474" s="91" t="s">
        <v>726</v>
      </c>
      <c r="D474" s="115"/>
      <c r="E474" s="230"/>
      <c r="F474" s="130">
        <f t="shared" si="118"/>
        <v>0</v>
      </c>
      <c r="G474" s="130">
        <f t="shared" si="118"/>
        <v>0</v>
      </c>
      <c r="H474" s="131">
        <f t="shared" si="118"/>
        <v>0</v>
      </c>
      <c r="I474" s="217"/>
      <c r="J474" s="217"/>
      <c r="K474" s="217"/>
      <c r="L474" s="218"/>
      <c r="M474" s="217"/>
      <c r="N474" s="217"/>
      <c r="O474" s="218"/>
      <c r="P474" s="217"/>
      <c r="Q474" s="217"/>
      <c r="R474" s="218"/>
      <c r="S474" s="217"/>
      <c r="T474" s="217"/>
      <c r="U474" s="218"/>
      <c r="V474" s="217"/>
      <c r="W474" s="217"/>
      <c r="AA474" s="93"/>
      <c r="AB474" s="93"/>
      <c r="AC474" s="83"/>
      <c r="AD474" s="83"/>
      <c r="AE474" s="93"/>
      <c r="AF474" s="93"/>
      <c r="AG474" s="83"/>
      <c r="AH474" s="83"/>
      <c r="AI474" s="93"/>
      <c r="AJ474" s="93"/>
      <c r="AK474" s="83"/>
      <c r="AL474" s="83"/>
      <c r="AM474" s="93"/>
      <c r="AN474" s="93"/>
      <c r="AO474" s="83"/>
      <c r="AP474" s="83"/>
      <c r="AQ474" s="93"/>
      <c r="AR474" s="93"/>
      <c r="AS474" s="83"/>
      <c r="AT474" s="83"/>
      <c r="AU474" s="93"/>
      <c r="AV474" s="93"/>
      <c r="AW474" s="83"/>
      <c r="AX474" s="83"/>
      <c r="AY474" s="93"/>
      <c r="AZ474" s="93"/>
    </row>
    <row r="475" spans="2:52" outlineLevel="1" x14ac:dyDescent="0.45">
      <c r="B475" s="1395"/>
      <c r="C475" s="91" t="s">
        <v>727</v>
      </c>
      <c r="D475" s="115"/>
      <c r="E475" s="230"/>
      <c r="F475" s="130">
        <f t="shared" si="118"/>
        <v>0</v>
      </c>
      <c r="G475" s="130">
        <f t="shared" si="118"/>
        <v>0</v>
      </c>
      <c r="H475" s="131">
        <f t="shared" si="118"/>
        <v>0</v>
      </c>
      <c r="I475" s="217"/>
      <c r="J475" s="217"/>
      <c r="K475" s="217"/>
      <c r="L475" s="218"/>
      <c r="M475" s="217"/>
      <c r="N475" s="217"/>
      <c r="O475" s="218"/>
      <c r="P475" s="217"/>
      <c r="Q475" s="217"/>
      <c r="R475" s="218"/>
      <c r="S475" s="217"/>
      <c r="T475" s="217"/>
      <c r="U475" s="218"/>
      <c r="V475" s="217"/>
      <c r="W475" s="217"/>
      <c r="AA475" s="93"/>
      <c r="AB475" s="93"/>
      <c r="AC475" s="83"/>
      <c r="AD475" s="83"/>
      <c r="AE475" s="93"/>
      <c r="AF475" s="93"/>
      <c r="AG475" s="83"/>
      <c r="AH475" s="83"/>
      <c r="AI475" s="93"/>
      <c r="AJ475" s="93"/>
      <c r="AK475" s="83"/>
      <c r="AL475" s="83"/>
      <c r="AM475" s="93"/>
      <c r="AN475" s="93"/>
      <c r="AO475" s="83"/>
      <c r="AP475" s="83"/>
      <c r="AQ475" s="93"/>
      <c r="AR475" s="93"/>
      <c r="AS475" s="83"/>
      <c r="AT475" s="83"/>
      <c r="AU475" s="93"/>
      <c r="AV475" s="93"/>
      <c r="AW475" s="83"/>
      <c r="AX475" s="83"/>
      <c r="AY475" s="93"/>
      <c r="AZ475" s="93"/>
    </row>
    <row r="476" spans="2:52" outlineLevel="1" x14ac:dyDescent="0.45">
      <c r="B476" s="1395"/>
      <c r="C476" s="91" t="s">
        <v>728</v>
      </c>
      <c r="D476" s="115"/>
      <c r="E476" s="230"/>
      <c r="F476" s="130">
        <f t="shared" si="118"/>
        <v>0</v>
      </c>
      <c r="G476" s="130">
        <f t="shared" si="118"/>
        <v>0</v>
      </c>
      <c r="H476" s="131">
        <f t="shared" si="118"/>
        <v>0</v>
      </c>
      <c r="I476" s="217"/>
      <c r="J476" s="217"/>
      <c r="K476" s="217"/>
      <c r="L476" s="218"/>
      <c r="M476" s="217"/>
      <c r="N476" s="217"/>
      <c r="O476" s="218"/>
      <c r="P476" s="217"/>
      <c r="Q476" s="217"/>
      <c r="R476" s="218"/>
      <c r="S476" s="217"/>
      <c r="T476" s="217"/>
      <c r="U476" s="218"/>
      <c r="V476" s="217"/>
      <c r="W476" s="217"/>
      <c r="AA476" s="93"/>
      <c r="AB476" s="93"/>
      <c r="AC476" s="83"/>
      <c r="AD476" s="83"/>
      <c r="AE476" s="93"/>
      <c r="AF476" s="93"/>
      <c r="AG476" s="83"/>
      <c r="AH476" s="83"/>
      <c r="AI476" s="93"/>
      <c r="AJ476" s="93"/>
      <c r="AK476" s="83"/>
      <c r="AL476" s="83"/>
      <c r="AM476" s="93"/>
      <c r="AN476" s="93"/>
      <c r="AO476" s="83"/>
      <c r="AP476" s="83"/>
      <c r="AQ476" s="93"/>
      <c r="AR476" s="93"/>
      <c r="AS476" s="83"/>
      <c r="AT476" s="83"/>
      <c r="AU476" s="93"/>
      <c r="AV476" s="93"/>
      <c r="AW476" s="83"/>
      <c r="AX476" s="83"/>
      <c r="AY476" s="93"/>
      <c r="AZ476" s="93"/>
    </row>
    <row r="477" spans="2:52" outlineLevel="1" x14ac:dyDescent="0.45">
      <c r="B477" s="1395"/>
      <c r="C477" s="91" t="s">
        <v>729</v>
      </c>
      <c r="D477" s="115"/>
      <c r="E477" s="230"/>
      <c r="F477" s="130">
        <f t="shared" si="118"/>
        <v>0</v>
      </c>
      <c r="G477" s="130">
        <f t="shared" si="118"/>
        <v>0</v>
      </c>
      <c r="H477" s="131">
        <f t="shared" si="118"/>
        <v>0</v>
      </c>
      <c r="I477" s="217"/>
      <c r="J477" s="217"/>
      <c r="K477" s="217"/>
      <c r="L477" s="218"/>
      <c r="M477" s="217"/>
      <c r="N477" s="217"/>
      <c r="O477" s="218"/>
      <c r="P477" s="217"/>
      <c r="Q477" s="217"/>
      <c r="R477" s="218"/>
      <c r="S477" s="217"/>
      <c r="T477" s="217"/>
      <c r="U477" s="218"/>
      <c r="V477" s="217"/>
      <c r="W477" s="217"/>
      <c r="AA477" s="93"/>
      <c r="AB477" s="93"/>
      <c r="AC477" s="83"/>
      <c r="AD477" s="83"/>
      <c r="AE477" s="93"/>
      <c r="AF477" s="93"/>
      <c r="AG477" s="83"/>
      <c r="AH477" s="83"/>
      <c r="AI477" s="93"/>
      <c r="AJ477" s="93"/>
      <c r="AK477" s="83"/>
      <c r="AL477" s="83"/>
      <c r="AM477" s="93"/>
      <c r="AN477" s="93"/>
      <c r="AO477" s="83"/>
      <c r="AP477" s="83"/>
      <c r="AQ477" s="93"/>
      <c r="AR477" s="93"/>
      <c r="AS477" s="83"/>
      <c r="AT477" s="83"/>
      <c r="AU477" s="93"/>
      <c r="AV477" s="93"/>
      <c r="AW477" s="83"/>
      <c r="AX477" s="83"/>
      <c r="AY477" s="93"/>
      <c r="AZ477" s="93"/>
    </row>
    <row r="478" spans="2:52" outlineLevel="1" x14ac:dyDescent="0.45">
      <c r="B478" s="1395"/>
      <c r="C478" s="91" t="s">
        <v>730</v>
      </c>
      <c r="D478" s="115"/>
      <c r="E478" s="235" t="s">
        <v>358</v>
      </c>
      <c r="F478" s="89"/>
      <c r="G478" s="89"/>
      <c r="H478" s="23"/>
      <c r="I478" s="236"/>
      <c r="J478" s="237"/>
      <c r="K478" s="238"/>
      <c r="L478" s="237"/>
      <c r="M478" s="237"/>
      <c r="N478" s="238"/>
      <c r="O478" s="237"/>
      <c r="P478" s="237"/>
      <c r="Q478" s="238"/>
      <c r="R478" s="237"/>
      <c r="S478" s="237"/>
      <c r="T478" s="238"/>
      <c r="U478" s="237"/>
      <c r="V478" s="237"/>
      <c r="W478" s="238"/>
      <c r="AA478" s="93"/>
      <c r="AB478" s="93"/>
      <c r="AC478" s="83"/>
      <c r="AD478" s="83"/>
      <c r="AE478" s="93"/>
      <c r="AF478" s="93"/>
      <c r="AG478" s="83"/>
      <c r="AH478" s="83"/>
      <c r="AI478" s="93"/>
      <c r="AJ478" s="93"/>
      <c r="AK478" s="83"/>
      <c r="AL478" s="83"/>
      <c r="AM478" s="93"/>
      <c r="AN478" s="93"/>
      <c r="AO478" s="83"/>
      <c r="AP478" s="83"/>
      <c r="AQ478" s="93"/>
      <c r="AR478" s="93"/>
      <c r="AS478" s="83"/>
      <c r="AT478" s="83"/>
      <c r="AU478" s="93"/>
      <c r="AV478" s="93"/>
      <c r="AW478" s="83"/>
      <c r="AX478" s="83"/>
      <c r="AY478" s="93"/>
      <c r="AZ478" s="93"/>
    </row>
    <row r="479" spans="2:52" outlineLevel="1" x14ac:dyDescent="0.45">
      <c r="B479" s="1395"/>
      <c r="C479" s="91" t="s">
        <v>731</v>
      </c>
      <c r="D479" s="115"/>
      <c r="E479" s="15" t="s">
        <v>360</v>
      </c>
      <c r="F479" s="130">
        <f t="shared" ref="F479:H484" si="119">I479+L479+O479+R479+U479</f>
        <v>436538</v>
      </c>
      <c r="G479" s="130">
        <f t="shared" si="119"/>
        <v>468842</v>
      </c>
      <c r="H479" s="131">
        <f t="shared" si="119"/>
        <v>501659</v>
      </c>
      <c r="I479" s="217">
        <v>436538</v>
      </c>
      <c r="J479" s="272">
        <v>468842</v>
      </c>
      <c r="K479" s="272">
        <v>501659</v>
      </c>
      <c r="L479" s="218"/>
      <c r="M479" s="272"/>
      <c r="N479" s="272"/>
      <c r="O479" s="218"/>
      <c r="P479" s="272"/>
      <c r="Q479" s="272"/>
      <c r="R479" s="218"/>
      <c r="S479" s="272"/>
      <c r="T479" s="272"/>
      <c r="U479" s="218"/>
      <c r="V479" s="272"/>
      <c r="W479" s="272"/>
      <c r="AA479" s="93"/>
      <c r="AB479" s="93"/>
      <c r="AC479" s="83"/>
      <c r="AD479" s="83"/>
      <c r="AE479" s="93"/>
      <c r="AF479" s="93"/>
      <c r="AG479" s="83"/>
      <c r="AH479" s="83"/>
      <c r="AI479" s="93"/>
      <c r="AJ479" s="93"/>
      <c r="AK479" s="83"/>
      <c r="AL479" s="83"/>
      <c r="AM479" s="93"/>
      <c r="AN479" s="93"/>
      <c r="AO479" s="83"/>
      <c r="AP479" s="83"/>
      <c r="AQ479" s="93"/>
      <c r="AR479" s="93"/>
      <c r="AS479" s="83"/>
      <c r="AT479" s="83"/>
      <c r="AU479" s="93"/>
      <c r="AV479" s="93"/>
      <c r="AW479" s="83"/>
      <c r="AX479" s="83"/>
      <c r="AY479" s="93"/>
      <c r="AZ479" s="93"/>
    </row>
    <row r="480" spans="2:52" outlineLevel="1" x14ac:dyDescent="0.45">
      <c r="B480" s="1395"/>
      <c r="C480" s="91" t="s">
        <v>732</v>
      </c>
      <c r="D480" s="115"/>
      <c r="E480" s="15" t="s">
        <v>365</v>
      </c>
      <c r="F480" s="130">
        <f t="shared" si="119"/>
        <v>0</v>
      </c>
      <c r="G480" s="130">
        <f t="shared" si="119"/>
        <v>0</v>
      </c>
      <c r="H480" s="131">
        <f t="shared" si="119"/>
        <v>0</v>
      </c>
      <c r="I480" s="217"/>
      <c r="J480" s="217"/>
      <c r="K480" s="217"/>
      <c r="L480" s="218"/>
      <c r="M480" s="217"/>
      <c r="N480" s="217"/>
      <c r="O480" s="218"/>
      <c r="P480" s="217"/>
      <c r="Q480" s="217"/>
      <c r="R480" s="218"/>
      <c r="S480" s="217"/>
      <c r="T480" s="217"/>
      <c r="U480" s="218"/>
      <c r="V480" s="217"/>
      <c r="W480" s="217"/>
      <c r="AA480" s="93"/>
      <c r="AB480" s="93"/>
      <c r="AC480" s="83"/>
      <c r="AD480" s="83"/>
      <c r="AE480" s="93"/>
      <c r="AF480" s="93"/>
      <c r="AG480" s="83"/>
      <c r="AH480" s="83"/>
      <c r="AI480" s="93"/>
      <c r="AJ480" s="93"/>
      <c r="AK480" s="83"/>
      <c r="AL480" s="83"/>
      <c r="AM480" s="93"/>
      <c r="AN480" s="93"/>
      <c r="AO480" s="83"/>
      <c r="AP480" s="83"/>
      <c r="AQ480" s="93"/>
      <c r="AR480" s="93"/>
      <c r="AS480" s="83"/>
      <c r="AT480" s="83"/>
      <c r="AU480" s="93"/>
      <c r="AV480" s="93"/>
      <c r="AW480" s="83"/>
      <c r="AX480" s="83"/>
      <c r="AY480" s="93"/>
      <c r="AZ480" s="93"/>
    </row>
    <row r="481" spans="2:52" outlineLevel="1" x14ac:dyDescent="0.45">
      <c r="B481" s="1395"/>
      <c r="C481" s="91" t="s">
        <v>733</v>
      </c>
      <c r="D481" s="115"/>
      <c r="E481" s="230"/>
      <c r="F481" s="130">
        <f t="shared" si="119"/>
        <v>0</v>
      </c>
      <c r="G481" s="130">
        <f t="shared" si="119"/>
        <v>0</v>
      </c>
      <c r="H481" s="131">
        <f t="shared" si="119"/>
        <v>0</v>
      </c>
      <c r="I481" s="217"/>
      <c r="J481" s="217"/>
      <c r="K481" s="217"/>
      <c r="L481" s="218"/>
      <c r="M481" s="217"/>
      <c r="N481" s="217"/>
      <c r="O481" s="218"/>
      <c r="P481" s="217"/>
      <c r="Q481" s="217"/>
      <c r="R481" s="218"/>
      <c r="S481" s="217"/>
      <c r="T481" s="217"/>
      <c r="U481" s="218"/>
      <c r="V481" s="217"/>
      <c r="W481" s="217"/>
      <c r="AA481" s="93"/>
      <c r="AB481" s="93"/>
      <c r="AC481" s="83"/>
      <c r="AD481" s="83"/>
      <c r="AE481" s="93"/>
      <c r="AF481" s="93"/>
      <c r="AG481" s="83"/>
      <c r="AH481" s="83"/>
      <c r="AI481" s="93"/>
      <c r="AJ481" s="93"/>
      <c r="AK481" s="83"/>
      <c r="AL481" s="83"/>
      <c r="AM481" s="93"/>
      <c r="AN481" s="93"/>
      <c r="AO481" s="83"/>
      <c r="AP481" s="83"/>
      <c r="AQ481" s="93"/>
      <c r="AR481" s="93"/>
      <c r="AS481" s="83"/>
      <c r="AT481" s="83"/>
      <c r="AU481" s="93"/>
      <c r="AV481" s="93"/>
      <c r="AW481" s="83"/>
      <c r="AX481" s="83"/>
      <c r="AY481" s="93"/>
      <c r="AZ481" s="93"/>
    </row>
    <row r="482" spans="2:52" outlineLevel="1" x14ac:dyDescent="0.45">
      <c r="B482" s="1395"/>
      <c r="C482" s="91" t="s">
        <v>734</v>
      </c>
      <c r="D482" s="115"/>
      <c r="E482" s="230"/>
      <c r="F482" s="130">
        <f t="shared" si="119"/>
        <v>0</v>
      </c>
      <c r="G482" s="130">
        <f t="shared" si="119"/>
        <v>0</v>
      </c>
      <c r="H482" s="131">
        <f t="shared" si="119"/>
        <v>0</v>
      </c>
      <c r="I482" s="217"/>
      <c r="J482" s="217"/>
      <c r="K482" s="217"/>
      <c r="L482" s="218"/>
      <c r="M482" s="217"/>
      <c r="N482" s="217"/>
      <c r="O482" s="218"/>
      <c r="P482" s="217"/>
      <c r="Q482" s="217"/>
      <c r="R482" s="218"/>
      <c r="S482" s="217"/>
      <c r="T482" s="217"/>
      <c r="U482" s="218"/>
      <c r="V482" s="217"/>
      <c r="W482" s="217"/>
      <c r="AA482" s="93"/>
      <c r="AB482" s="93"/>
      <c r="AC482" s="83"/>
      <c r="AD482" s="83"/>
      <c r="AE482" s="93"/>
      <c r="AF482" s="93"/>
      <c r="AG482" s="83"/>
      <c r="AH482" s="83"/>
      <c r="AI482" s="93"/>
      <c r="AJ482" s="93"/>
      <c r="AK482" s="83"/>
      <c r="AL482" s="83"/>
      <c r="AM482" s="93"/>
      <c r="AN482" s="93"/>
      <c r="AO482" s="83"/>
      <c r="AP482" s="83"/>
      <c r="AQ482" s="93"/>
      <c r="AR482" s="93"/>
      <c r="AS482" s="83"/>
      <c r="AT482" s="83"/>
      <c r="AU482" s="93"/>
      <c r="AV482" s="93"/>
      <c r="AW482" s="83"/>
      <c r="AX482" s="83"/>
      <c r="AY482" s="93"/>
      <c r="AZ482" s="93"/>
    </row>
    <row r="483" spans="2:52" outlineLevel="1" x14ac:dyDescent="0.45">
      <c r="B483" s="1395"/>
      <c r="C483" s="91" t="s">
        <v>735</v>
      </c>
      <c r="D483" s="115"/>
      <c r="E483" s="12" t="s">
        <v>466</v>
      </c>
      <c r="F483" s="130">
        <f t="shared" si="119"/>
        <v>6398086.6290155444</v>
      </c>
      <c r="G483" s="130">
        <f t="shared" si="119"/>
        <v>6484348.4550970877</v>
      </c>
      <c r="H483" s="131">
        <f t="shared" si="119"/>
        <v>2719608.9213630408</v>
      </c>
      <c r="I483" s="236">
        <f t="shared" ref="I483:W483" si="120">SUM(I467:I477,I479:I482)</f>
        <v>6398086.6290155444</v>
      </c>
      <c r="J483" s="237">
        <f t="shared" si="120"/>
        <v>6484348.4550970877</v>
      </c>
      <c r="K483" s="238">
        <f t="shared" si="120"/>
        <v>2719608.9213630408</v>
      </c>
      <c r="L483" s="237">
        <f t="shared" si="120"/>
        <v>0</v>
      </c>
      <c r="M483" s="237">
        <f t="shared" si="120"/>
        <v>0</v>
      </c>
      <c r="N483" s="238">
        <f t="shared" si="120"/>
        <v>0</v>
      </c>
      <c r="O483" s="237">
        <f t="shared" si="120"/>
        <v>0</v>
      </c>
      <c r="P483" s="237">
        <f t="shared" si="120"/>
        <v>0</v>
      </c>
      <c r="Q483" s="238">
        <f t="shared" si="120"/>
        <v>0</v>
      </c>
      <c r="R483" s="237">
        <f t="shared" si="120"/>
        <v>0</v>
      </c>
      <c r="S483" s="237">
        <f t="shared" si="120"/>
        <v>0</v>
      </c>
      <c r="T483" s="238">
        <f t="shared" si="120"/>
        <v>0</v>
      </c>
      <c r="U483" s="237">
        <f t="shared" si="120"/>
        <v>0</v>
      </c>
      <c r="V483" s="237">
        <f t="shared" si="120"/>
        <v>0</v>
      </c>
      <c r="W483" s="238">
        <f t="shared" si="120"/>
        <v>0</v>
      </c>
      <c r="AA483" s="93"/>
      <c r="AB483" s="93"/>
      <c r="AC483" s="83"/>
      <c r="AD483" s="83"/>
      <c r="AE483" s="93"/>
      <c r="AF483" s="93"/>
      <c r="AG483" s="83"/>
      <c r="AH483" s="83"/>
      <c r="AI483" s="93"/>
      <c r="AJ483" s="93"/>
      <c r="AK483" s="83"/>
      <c r="AL483" s="83"/>
      <c r="AM483" s="93"/>
      <c r="AN483" s="93"/>
      <c r="AO483" s="83"/>
      <c r="AP483" s="83"/>
      <c r="AQ483" s="93"/>
      <c r="AR483" s="93"/>
      <c r="AS483" s="83"/>
      <c r="AT483" s="83"/>
      <c r="AU483" s="93"/>
      <c r="AV483" s="93"/>
      <c r="AW483" s="83"/>
      <c r="AX483" s="83"/>
      <c r="AY483" s="93"/>
      <c r="AZ483" s="93"/>
    </row>
    <row r="484" spans="2:52" ht="14.65" outlineLevel="1" thickBot="1" x14ac:dyDescent="0.5">
      <c r="B484" s="1395"/>
      <c r="C484" s="91" t="s">
        <v>736</v>
      </c>
      <c r="D484" s="115"/>
      <c r="E484" s="169" t="s">
        <v>371</v>
      </c>
      <c r="F484" s="130">
        <f t="shared" si="119"/>
        <v>-4924804.6290155444</v>
      </c>
      <c r="G484" s="130">
        <f t="shared" si="119"/>
        <v>-4794679.4550970877</v>
      </c>
      <c r="H484" s="131">
        <f t="shared" si="119"/>
        <v>-1691527.9213630408</v>
      </c>
      <c r="I484" s="240">
        <f t="shared" ref="I484:W484" si="121">I464-I483</f>
        <v>-4924804.6290155444</v>
      </c>
      <c r="J484" s="241">
        <f t="shared" si="121"/>
        <v>-4794679.4550970877</v>
      </c>
      <c r="K484" s="242">
        <f t="shared" si="121"/>
        <v>-1691527.9213630408</v>
      </c>
      <c r="L484" s="241">
        <f t="shared" si="121"/>
        <v>0</v>
      </c>
      <c r="M484" s="241">
        <f t="shared" si="121"/>
        <v>0</v>
      </c>
      <c r="N484" s="242">
        <f t="shared" si="121"/>
        <v>0</v>
      </c>
      <c r="O484" s="241">
        <f t="shared" si="121"/>
        <v>0</v>
      </c>
      <c r="P484" s="241">
        <f t="shared" si="121"/>
        <v>0</v>
      </c>
      <c r="Q484" s="242">
        <f t="shared" si="121"/>
        <v>0</v>
      </c>
      <c r="R484" s="241">
        <f t="shared" si="121"/>
        <v>0</v>
      </c>
      <c r="S484" s="241">
        <f t="shared" si="121"/>
        <v>0</v>
      </c>
      <c r="T484" s="242">
        <f t="shared" si="121"/>
        <v>0</v>
      </c>
      <c r="U484" s="241">
        <f t="shared" si="121"/>
        <v>0</v>
      </c>
      <c r="V484" s="241">
        <f t="shared" si="121"/>
        <v>0</v>
      </c>
      <c r="W484" s="242">
        <f t="shared" si="121"/>
        <v>0</v>
      </c>
      <c r="AA484" s="93"/>
      <c r="AB484" s="93"/>
      <c r="AC484" s="83"/>
      <c r="AD484" s="83"/>
      <c r="AE484" s="93"/>
      <c r="AF484" s="93"/>
      <c r="AG484" s="83"/>
      <c r="AH484" s="83"/>
      <c r="AI484" s="93"/>
      <c r="AJ484" s="93"/>
      <c r="AK484" s="83"/>
      <c r="AL484" s="83"/>
      <c r="AM484" s="93"/>
      <c r="AN484" s="93"/>
      <c r="AO484" s="83"/>
      <c r="AP484" s="83"/>
      <c r="AQ484" s="93"/>
      <c r="AR484" s="93"/>
      <c r="AS484" s="83"/>
      <c r="AT484" s="83"/>
      <c r="AU484" s="93"/>
      <c r="AV484" s="93"/>
      <c r="AW484" s="83"/>
      <c r="AX484" s="83"/>
      <c r="AY484" s="93"/>
      <c r="AZ484" s="93"/>
    </row>
    <row r="485" spans="2:52" ht="14.65" outlineLevel="1" thickTop="1" x14ac:dyDescent="0.45">
      <c r="B485" s="1395"/>
      <c r="C485" s="91" t="s">
        <v>737</v>
      </c>
      <c r="D485" s="115"/>
      <c r="E485" s="91"/>
      <c r="F485" s="89"/>
      <c r="G485" s="89"/>
      <c r="H485" s="23"/>
      <c r="I485" s="91"/>
      <c r="J485" s="92"/>
      <c r="K485" s="31"/>
      <c r="L485" s="92"/>
      <c r="M485" s="92"/>
      <c r="N485" s="31"/>
      <c r="O485" s="92"/>
      <c r="P485" s="92"/>
      <c r="Q485" s="31"/>
      <c r="R485" s="92"/>
      <c r="S485" s="92"/>
      <c r="T485" s="31"/>
      <c r="U485" s="92"/>
      <c r="V485" s="92"/>
      <c r="W485" s="31"/>
      <c r="AA485" s="93"/>
      <c r="AB485" s="93"/>
      <c r="AC485" s="83"/>
      <c r="AD485" s="83"/>
      <c r="AE485" s="93"/>
      <c r="AF485" s="93"/>
      <c r="AG485" s="83"/>
      <c r="AH485" s="83"/>
      <c r="AI485" s="93"/>
      <c r="AJ485" s="93"/>
      <c r="AK485" s="83"/>
      <c r="AL485" s="83"/>
      <c r="AM485" s="93"/>
      <c r="AN485" s="93"/>
      <c r="AO485" s="83"/>
      <c r="AP485" s="83"/>
      <c r="AQ485" s="93"/>
      <c r="AR485" s="93"/>
      <c r="AS485" s="83"/>
      <c r="AT485" s="83"/>
      <c r="AU485" s="93"/>
      <c r="AV485" s="93"/>
      <c r="AW485" s="83"/>
      <c r="AX485" s="83"/>
      <c r="AY485" s="93"/>
      <c r="AZ485" s="93"/>
    </row>
    <row r="486" spans="2:52" outlineLevel="1" x14ac:dyDescent="0.45">
      <c r="B486" s="1395"/>
      <c r="C486" s="91" t="s">
        <v>738</v>
      </c>
      <c r="D486" s="115"/>
      <c r="E486" s="11" t="s">
        <v>374</v>
      </c>
      <c r="F486" s="89"/>
      <c r="G486" s="89"/>
      <c r="H486" s="23"/>
      <c r="I486" s="91"/>
      <c r="J486" s="92"/>
      <c r="K486" s="31"/>
      <c r="L486" s="92"/>
      <c r="M486" s="92"/>
      <c r="N486" s="31"/>
      <c r="O486" s="92"/>
      <c r="P486" s="92"/>
      <c r="Q486" s="31"/>
      <c r="R486" s="92"/>
      <c r="S486" s="92"/>
      <c r="T486" s="31"/>
      <c r="U486" s="92"/>
      <c r="V486" s="92"/>
      <c r="W486" s="31"/>
      <c r="AA486" s="93"/>
      <c r="AB486" s="93"/>
      <c r="AC486" s="83"/>
      <c r="AD486" s="83"/>
      <c r="AE486" s="93"/>
      <c r="AF486" s="93"/>
      <c r="AG486" s="83"/>
      <c r="AH486" s="83"/>
      <c r="AI486" s="93"/>
      <c r="AJ486" s="93"/>
      <c r="AK486" s="83"/>
      <c r="AL486" s="83"/>
      <c r="AM486" s="93"/>
      <c r="AN486" s="93"/>
      <c r="AO486" s="83"/>
      <c r="AP486" s="83"/>
      <c r="AQ486" s="93"/>
      <c r="AR486" s="93"/>
      <c r="AS486" s="83"/>
      <c r="AT486" s="83"/>
      <c r="AU486" s="93"/>
      <c r="AV486" s="93"/>
      <c r="AW486" s="83"/>
      <c r="AX486" s="83"/>
      <c r="AY486" s="93"/>
      <c r="AZ486" s="93"/>
    </row>
    <row r="487" spans="2:52" outlineLevel="1" x14ac:dyDescent="0.45">
      <c r="B487" s="1395"/>
      <c r="C487" s="91" t="s">
        <v>739</v>
      </c>
      <c r="D487" s="115"/>
      <c r="E487" s="91" t="s">
        <v>377</v>
      </c>
      <c r="F487" s="130">
        <f t="shared" ref="F487:H488" si="122">I487+L487+O487+R487+U487</f>
        <v>0</v>
      </c>
      <c r="G487" s="130">
        <f t="shared" si="122"/>
        <v>0</v>
      </c>
      <c r="H487" s="131">
        <f t="shared" si="122"/>
        <v>0</v>
      </c>
      <c r="I487" s="217"/>
      <c r="J487" s="217"/>
      <c r="K487" s="217"/>
      <c r="L487" s="218"/>
      <c r="M487" s="217"/>
      <c r="N487" s="217"/>
      <c r="O487" s="218"/>
      <c r="P487" s="217"/>
      <c r="Q487" s="217"/>
      <c r="R487" s="218"/>
      <c r="S487" s="217"/>
      <c r="T487" s="217"/>
      <c r="U487" s="218"/>
      <c r="V487" s="217"/>
      <c r="W487" s="217"/>
      <c r="AA487" s="93"/>
      <c r="AB487" s="93"/>
      <c r="AC487" s="83"/>
      <c r="AD487" s="83"/>
      <c r="AE487" s="93"/>
      <c r="AF487" s="93"/>
      <c r="AG487" s="83"/>
      <c r="AH487" s="83"/>
      <c r="AI487" s="93"/>
      <c r="AJ487" s="93"/>
      <c r="AK487" s="83"/>
      <c r="AL487" s="83"/>
      <c r="AM487" s="93"/>
      <c r="AN487" s="93"/>
      <c r="AO487" s="83"/>
      <c r="AP487" s="83"/>
      <c r="AQ487" s="93"/>
      <c r="AR487" s="93"/>
      <c r="AS487" s="83" t="s">
        <v>256</v>
      </c>
      <c r="AT487" s="83"/>
      <c r="AU487" s="93"/>
      <c r="AV487" s="93"/>
      <c r="AW487" s="83"/>
      <c r="AX487" s="83"/>
      <c r="AY487" s="93"/>
      <c r="AZ487" s="93"/>
    </row>
    <row r="488" spans="2:52" outlineLevel="1" x14ac:dyDescent="0.45">
      <c r="B488" s="1395"/>
      <c r="C488" s="91" t="s">
        <v>740</v>
      </c>
      <c r="D488" s="115"/>
      <c r="E488" s="91" t="s">
        <v>379</v>
      </c>
      <c r="F488" s="130">
        <f t="shared" si="122"/>
        <v>906373</v>
      </c>
      <c r="G488" s="130">
        <f t="shared" si="122"/>
        <v>9582</v>
      </c>
      <c r="H488" s="131">
        <f t="shared" si="122"/>
        <v>725</v>
      </c>
      <c r="I488" s="217">
        <v>906373</v>
      </c>
      <c r="J488" s="217">
        <v>9582</v>
      </c>
      <c r="K488" s="217">
        <v>725</v>
      </c>
      <c r="L488" s="218"/>
      <c r="M488" s="217"/>
      <c r="N488" s="217"/>
      <c r="O488" s="218"/>
      <c r="P488" s="217"/>
      <c r="Q488" s="217"/>
      <c r="R488" s="218"/>
      <c r="S488" s="217"/>
      <c r="T488" s="217"/>
      <c r="U488" s="218"/>
      <c r="V488" s="217"/>
      <c r="W488" s="217"/>
      <c r="AA488" s="93"/>
      <c r="AB488" s="93"/>
      <c r="AC488" s="83" t="s">
        <v>741</v>
      </c>
      <c r="AD488" s="83"/>
      <c r="AE488" s="93"/>
      <c r="AF488" s="93"/>
      <c r="AG488" s="83"/>
      <c r="AH488" s="83"/>
      <c r="AI488" s="93"/>
      <c r="AJ488" s="93"/>
      <c r="AK488" s="83"/>
      <c r="AL488" s="83"/>
      <c r="AM488" s="93"/>
      <c r="AN488" s="93"/>
      <c r="AO488" s="83"/>
      <c r="AP488" s="83"/>
      <c r="AQ488" s="93"/>
      <c r="AR488" s="93"/>
      <c r="AS488" s="83" t="s">
        <v>256</v>
      </c>
      <c r="AT488" s="83"/>
      <c r="AU488" s="93"/>
      <c r="AV488" s="93"/>
      <c r="AW488" s="83"/>
      <c r="AX488" s="83"/>
      <c r="AY488" s="93"/>
      <c r="AZ488" s="93"/>
    </row>
    <row r="489" spans="2:52" outlineLevel="1" x14ac:dyDescent="0.45">
      <c r="B489" s="1395"/>
      <c r="C489" s="91" t="s">
        <v>742</v>
      </c>
      <c r="D489" s="115"/>
      <c r="E489" s="91"/>
      <c r="F489" s="89"/>
      <c r="G489" s="89"/>
      <c r="H489" s="23"/>
      <c r="I489" s="92"/>
      <c r="J489" s="92"/>
      <c r="K489" s="31"/>
      <c r="L489" s="92"/>
      <c r="M489" s="92"/>
      <c r="N489" s="31"/>
      <c r="O489" s="92"/>
      <c r="P489" s="92"/>
      <c r="Q489" s="31"/>
      <c r="R489" s="92"/>
      <c r="S489" s="92"/>
      <c r="T489" s="31"/>
      <c r="U489" s="92"/>
      <c r="V489" s="92"/>
      <c r="W489" s="31"/>
      <c r="AA489" s="93"/>
      <c r="AB489" s="93"/>
      <c r="AC489" s="83"/>
      <c r="AD489" s="83"/>
      <c r="AE489" s="93"/>
      <c r="AF489" s="93"/>
      <c r="AG489" s="83"/>
      <c r="AH489" s="83"/>
      <c r="AI489" s="93"/>
      <c r="AJ489" s="93"/>
      <c r="AK489" s="83"/>
      <c r="AL489" s="83"/>
      <c r="AM489" s="93"/>
      <c r="AN489" s="93"/>
      <c r="AO489" s="83"/>
      <c r="AP489" s="83"/>
      <c r="AQ489" s="93"/>
      <c r="AR489" s="93"/>
      <c r="AS489" s="83"/>
      <c r="AT489" s="83"/>
      <c r="AU489" s="93"/>
      <c r="AV489" s="93"/>
      <c r="AW489" s="83"/>
      <c r="AX489" s="83"/>
      <c r="AY489" s="93"/>
      <c r="AZ489" s="93"/>
    </row>
    <row r="490" spans="2:52" outlineLevel="1" x14ac:dyDescent="0.45">
      <c r="B490" s="1395"/>
      <c r="C490" s="91" t="s">
        <v>743</v>
      </c>
      <c r="D490" s="115"/>
      <c r="E490" s="11" t="s">
        <v>383</v>
      </c>
      <c r="F490" s="89"/>
      <c r="G490" s="89"/>
      <c r="H490" s="23"/>
      <c r="I490" s="91"/>
      <c r="J490" s="92"/>
      <c r="K490" s="31"/>
      <c r="L490" s="92"/>
      <c r="M490" s="92"/>
      <c r="N490" s="31"/>
      <c r="O490" s="92"/>
      <c r="P490" s="92"/>
      <c r="Q490" s="31"/>
      <c r="R490" s="92"/>
      <c r="S490" s="92"/>
      <c r="T490" s="31"/>
      <c r="U490" s="92"/>
      <c r="V490" s="92"/>
      <c r="W490" s="31"/>
      <c r="AA490" s="93"/>
      <c r="AB490" s="93"/>
      <c r="AC490" s="83"/>
      <c r="AD490" s="83"/>
      <c r="AE490" s="93"/>
      <c r="AF490" s="93"/>
      <c r="AG490" s="83"/>
      <c r="AH490" s="83"/>
      <c r="AI490" s="93"/>
      <c r="AJ490" s="93"/>
      <c r="AK490" s="83"/>
      <c r="AL490" s="83"/>
      <c r="AM490" s="93"/>
      <c r="AN490" s="93"/>
      <c r="AO490" s="83"/>
      <c r="AP490" s="83"/>
      <c r="AQ490" s="93"/>
      <c r="AR490" s="93"/>
      <c r="AS490" s="83"/>
      <c r="AT490" s="83"/>
      <c r="AU490" s="93"/>
      <c r="AV490" s="93"/>
      <c r="AW490" s="83"/>
      <c r="AX490" s="83"/>
      <c r="AY490" s="93"/>
      <c r="AZ490" s="93"/>
    </row>
    <row r="491" spans="2:52" outlineLevel="1" x14ac:dyDescent="0.45">
      <c r="B491" s="1395"/>
      <c r="C491" s="91" t="s">
        <v>744</v>
      </c>
      <c r="D491" s="115"/>
      <c r="E491" s="91" t="s">
        <v>475</v>
      </c>
      <c r="F491" s="130">
        <f t="shared" ref="F491:H492" si="123">I491+L491+O491+R491+U491</f>
        <v>0</v>
      </c>
      <c r="G491" s="130">
        <f t="shared" si="123"/>
        <v>0</v>
      </c>
      <c r="H491" s="131">
        <f t="shared" si="123"/>
        <v>0</v>
      </c>
      <c r="I491" s="217"/>
      <c r="J491" s="217"/>
      <c r="K491" s="217"/>
      <c r="L491" s="218"/>
      <c r="M491" s="217"/>
      <c r="N491" s="217"/>
      <c r="O491" s="218"/>
      <c r="P491" s="217"/>
      <c r="Q491" s="217"/>
      <c r="R491" s="218"/>
      <c r="S491" s="217"/>
      <c r="T491" s="217"/>
      <c r="U491" s="218"/>
      <c r="V491" s="217"/>
      <c r="W491" s="217"/>
      <c r="AA491" s="93"/>
      <c r="AB491" s="93"/>
      <c r="AC491" s="83"/>
      <c r="AD491" s="83"/>
      <c r="AE491" s="93"/>
      <c r="AF491" s="93"/>
      <c r="AG491" s="83"/>
      <c r="AH491" s="83"/>
      <c r="AI491" s="93"/>
      <c r="AJ491" s="93"/>
      <c r="AK491" s="83"/>
      <c r="AL491" s="83"/>
      <c r="AM491" s="93"/>
      <c r="AN491" s="93"/>
      <c r="AO491" s="83"/>
      <c r="AP491" s="83"/>
      <c r="AQ491" s="93"/>
      <c r="AR491" s="93"/>
      <c r="AS491" s="83"/>
      <c r="AT491" s="83"/>
      <c r="AU491" s="93"/>
      <c r="AV491" s="93"/>
      <c r="AW491" s="83"/>
      <c r="AX491" s="83"/>
      <c r="AY491" s="93"/>
      <c r="AZ491" s="93"/>
    </row>
    <row r="492" spans="2:52" outlineLevel="1" x14ac:dyDescent="0.45">
      <c r="B492" s="1395"/>
      <c r="C492" s="91" t="s">
        <v>745</v>
      </c>
      <c r="D492" s="115"/>
      <c r="E492" s="91" t="s">
        <v>19</v>
      </c>
      <c r="F492" s="130">
        <f t="shared" si="123"/>
        <v>0</v>
      </c>
      <c r="G492" s="130">
        <f t="shared" si="123"/>
        <v>0</v>
      </c>
      <c r="H492" s="131">
        <f t="shared" si="123"/>
        <v>0</v>
      </c>
      <c r="I492" s="217"/>
      <c r="J492" s="217"/>
      <c r="K492" s="217"/>
      <c r="L492" s="218"/>
      <c r="M492" s="217"/>
      <c r="N492" s="217"/>
      <c r="O492" s="218"/>
      <c r="P492" s="217"/>
      <c r="Q492" s="217"/>
      <c r="R492" s="218"/>
      <c r="S492" s="217"/>
      <c r="T492" s="217"/>
      <c r="U492" s="218"/>
      <c r="V492" s="217"/>
      <c r="W492" s="217"/>
      <c r="AA492" s="93"/>
      <c r="AB492" s="93"/>
      <c r="AC492" s="83"/>
      <c r="AD492" s="83"/>
      <c r="AE492" s="93"/>
      <c r="AF492" s="93"/>
      <c r="AG492" s="83"/>
      <c r="AH492" s="83"/>
      <c r="AI492" s="93"/>
      <c r="AJ492" s="93"/>
      <c r="AK492" s="83"/>
      <c r="AL492" s="83"/>
      <c r="AM492" s="93"/>
      <c r="AN492" s="93"/>
      <c r="AO492" s="83"/>
      <c r="AP492" s="83"/>
      <c r="AQ492" s="93"/>
      <c r="AR492" s="93"/>
      <c r="AS492" s="83"/>
      <c r="AT492" s="83"/>
      <c r="AU492" s="93"/>
      <c r="AV492" s="93"/>
      <c r="AW492" s="83"/>
      <c r="AX492" s="83"/>
      <c r="AY492" s="93"/>
      <c r="AZ492" s="93"/>
    </row>
    <row r="493" spans="2:52" outlineLevel="1" x14ac:dyDescent="0.45">
      <c r="B493" s="1395"/>
      <c r="C493" s="91" t="s">
        <v>746</v>
      </c>
      <c r="D493" s="115"/>
      <c r="E493" s="91"/>
      <c r="F493" s="89"/>
      <c r="G493" s="89"/>
      <c r="H493" s="23"/>
      <c r="I493" s="92"/>
      <c r="J493" s="92"/>
      <c r="K493" s="31"/>
      <c r="L493" s="92"/>
      <c r="M493" s="92"/>
      <c r="N493" s="31"/>
      <c r="O493" s="92"/>
      <c r="P493" s="92"/>
      <c r="Q493" s="31"/>
      <c r="R493" s="92"/>
      <c r="S493" s="92"/>
      <c r="T493" s="31"/>
      <c r="U493" s="92"/>
      <c r="V493" s="92"/>
      <c r="W493" s="31"/>
      <c r="AA493" s="93"/>
      <c r="AB493" s="93"/>
      <c r="AC493" s="83"/>
      <c r="AD493" s="83"/>
      <c r="AE493" s="93"/>
      <c r="AF493" s="93"/>
      <c r="AG493" s="83"/>
      <c r="AH493" s="83"/>
      <c r="AI493" s="93"/>
      <c r="AJ493" s="93"/>
      <c r="AK493" s="83"/>
      <c r="AL493" s="83"/>
      <c r="AM493" s="93"/>
      <c r="AN493" s="93"/>
      <c r="AO493" s="83"/>
      <c r="AP493" s="83"/>
      <c r="AQ493" s="93"/>
      <c r="AR493" s="93"/>
      <c r="AS493" s="83"/>
      <c r="AT493" s="83"/>
      <c r="AU493" s="93"/>
      <c r="AV493" s="93"/>
      <c r="AW493" s="83"/>
      <c r="AX493" s="83"/>
      <c r="AY493" s="93"/>
      <c r="AZ493" s="93"/>
    </row>
    <row r="494" spans="2:52" outlineLevel="1" x14ac:dyDescent="0.45">
      <c r="B494" s="1395"/>
      <c r="C494" s="91" t="s">
        <v>747</v>
      </c>
      <c r="D494" s="115"/>
      <c r="E494" s="11" t="s">
        <v>479</v>
      </c>
      <c r="F494" s="89"/>
      <c r="G494" s="89"/>
      <c r="H494" s="23"/>
      <c r="I494" s="91"/>
      <c r="J494" s="92"/>
      <c r="K494" s="31"/>
      <c r="L494" s="92"/>
      <c r="M494" s="92"/>
      <c r="N494" s="31"/>
      <c r="O494" s="92"/>
      <c r="P494" s="92"/>
      <c r="Q494" s="31"/>
      <c r="R494" s="92"/>
      <c r="S494" s="92"/>
      <c r="T494" s="31"/>
      <c r="U494" s="92"/>
      <c r="V494" s="92"/>
      <c r="W494" s="31"/>
      <c r="AA494" s="93"/>
      <c r="AB494" s="93"/>
      <c r="AC494" s="83"/>
      <c r="AD494" s="83"/>
      <c r="AE494" s="93"/>
      <c r="AF494" s="93"/>
      <c r="AG494" s="83"/>
      <c r="AH494" s="83"/>
      <c r="AI494" s="93"/>
      <c r="AJ494" s="93"/>
      <c r="AK494" s="83"/>
      <c r="AL494" s="83"/>
      <c r="AM494" s="93"/>
      <c r="AN494" s="93"/>
      <c r="AO494" s="83"/>
      <c r="AP494" s="83"/>
      <c r="AQ494" s="93"/>
      <c r="AR494" s="93"/>
      <c r="AS494" s="83"/>
      <c r="AT494" s="83"/>
      <c r="AU494" s="93"/>
      <c r="AV494" s="93"/>
      <c r="AW494" s="83"/>
      <c r="AX494" s="83"/>
      <c r="AY494" s="93"/>
      <c r="AZ494" s="93"/>
    </row>
    <row r="495" spans="2:52" outlineLevel="1" x14ac:dyDescent="0.45">
      <c r="B495" s="1395"/>
      <c r="C495" s="91" t="s">
        <v>748</v>
      </c>
      <c r="D495" s="115"/>
      <c r="E495" s="91" t="s">
        <v>392</v>
      </c>
      <c r="F495" s="130">
        <f>I495+L495+O495+R495+U495</f>
        <v>13274959000</v>
      </c>
      <c r="G495" s="130">
        <f>J495+M495+P495+S495+V495</f>
        <v>13316096000</v>
      </c>
      <c r="H495" s="131">
        <f>K495+N495+Q495+T495+W495</f>
        <v>0</v>
      </c>
      <c r="I495" s="217">
        <v>2523803000</v>
      </c>
      <c r="J495" s="217">
        <v>2392718000</v>
      </c>
      <c r="K495" s="217"/>
      <c r="L495" s="218">
        <v>1350936000</v>
      </c>
      <c r="M495" s="217">
        <v>1061756000</v>
      </c>
      <c r="N495" s="217"/>
      <c r="O495" s="218">
        <v>4108399000</v>
      </c>
      <c r="P495" s="217">
        <v>4417641000</v>
      </c>
      <c r="Q495" s="217"/>
      <c r="R495" s="218">
        <v>3332584000</v>
      </c>
      <c r="S495" s="217">
        <v>3509045000</v>
      </c>
      <c r="T495" s="217"/>
      <c r="U495" s="218">
        <v>1959237000</v>
      </c>
      <c r="V495" s="217">
        <v>1934936000</v>
      </c>
      <c r="W495" s="217"/>
      <c r="AA495" s="93"/>
      <c r="AB495" s="93"/>
      <c r="AC495" s="83" t="s">
        <v>393</v>
      </c>
      <c r="AD495" s="83"/>
      <c r="AE495" s="93"/>
      <c r="AF495" s="93"/>
      <c r="AG495" s="83" t="s">
        <v>393</v>
      </c>
      <c r="AH495" s="83"/>
      <c r="AI495" s="93"/>
      <c r="AJ495" s="93"/>
      <c r="AK495" s="83" t="s">
        <v>393</v>
      </c>
      <c r="AL495" s="83"/>
      <c r="AM495" s="93"/>
      <c r="AN495" s="93"/>
      <c r="AO495" s="83" t="s">
        <v>393</v>
      </c>
      <c r="AP495" s="83"/>
      <c r="AQ495" s="93"/>
      <c r="AR495" s="93"/>
      <c r="AS495" s="83" t="s">
        <v>393</v>
      </c>
      <c r="AT495" s="83"/>
      <c r="AU495" s="93"/>
      <c r="AV495" s="93"/>
      <c r="AW495" s="83" t="s">
        <v>393</v>
      </c>
      <c r="AX495" s="83"/>
      <c r="AY495" s="93"/>
      <c r="AZ495" s="93"/>
    </row>
    <row r="496" spans="2:52" outlineLevel="1" x14ac:dyDescent="0.45">
      <c r="B496" s="1395"/>
      <c r="C496" s="91" t="s">
        <v>749</v>
      </c>
      <c r="D496" s="115"/>
      <c r="E496" s="91"/>
      <c r="F496" s="89"/>
      <c r="G496" s="89"/>
      <c r="H496" s="23"/>
      <c r="I496" s="92"/>
      <c r="J496" s="92"/>
      <c r="K496" s="31"/>
      <c r="L496" s="92"/>
      <c r="M496" s="92"/>
      <c r="N496" s="31"/>
      <c r="O496" s="92"/>
      <c r="P496" s="92"/>
      <c r="Q496" s="31"/>
      <c r="R496" s="92"/>
      <c r="S496" s="92"/>
      <c r="T496" s="31"/>
      <c r="U496" s="92"/>
      <c r="V496" s="92"/>
      <c r="W496" s="31"/>
      <c r="AA496" s="93"/>
      <c r="AB496" s="93"/>
      <c r="AC496" s="83"/>
      <c r="AD496" s="83"/>
      <c r="AE496" s="93"/>
      <c r="AF496" s="93"/>
      <c r="AG496" s="83"/>
      <c r="AH496" s="83"/>
      <c r="AI496" s="93"/>
      <c r="AJ496" s="93"/>
      <c r="AK496" s="83"/>
      <c r="AL496" s="83"/>
      <c r="AM496" s="93"/>
      <c r="AN496" s="93"/>
      <c r="AO496" s="83"/>
      <c r="AP496" s="83"/>
      <c r="AQ496" s="93"/>
      <c r="AR496" s="93"/>
      <c r="AS496" s="83"/>
      <c r="AT496" s="83"/>
      <c r="AU496" s="93"/>
      <c r="AV496" s="93"/>
      <c r="AW496" s="83"/>
      <c r="AX496" s="83"/>
      <c r="AY496" s="93"/>
      <c r="AZ496" s="93"/>
    </row>
    <row r="497" spans="2:52" outlineLevel="1" x14ac:dyDescent="0.45">
      <c r="B497" s="1395"/>
      <c r="C497" s="91" t="s">
        <v>750</v>
      </c>
      <c r="D497" s="115"/>
      <c r="E497" s="91"/>
      <c r="F497" s="89"/>
      <c r="G497" s="89"/>
      <c r="H497" s="23"/>
      <c r="I497" s="92"/>
      <c r="J497" s="92"/>
      <c r="K497" s="31"/>
      <c r="L497" s="92"/>
      <c r="M497" s="92"/>
      <c r="N497" s="31"/>
      <c r="O497" s="92"/>
      <c r="P497" s="92"/>
      <c r="Q497" s="31"/>
      <c r="R497" s="92"/>
      <c r="S497" s="92"/>
      <c r="T497" s="31"/>
      <c r="U497" s="92"/>
      <c r="V497" s="92"/>
      <c r="W497" s="31"/>
      <c r="AA497" s="93"/>
      <c r="AB497" s="93"/>
      <c r="AC497" s="83"/>
      <c r="AD497" s="83"/>
      <c r="AE497" s="93"/>
      <c r="AF497" s="93"/>
      <c r="AG497" s="83"/>
      <c r="AH497" s="83"/>
      <c r="AI497" s="93"/>
      <c r="AJ497" s="93"/>
      <c r="AK497" s="83"/>
      <c r="AL497" s="83"/>
      <c r="AM497" s="93"/>
      <c r="AN497" s="93"/>
      <c r="AO497" s="83"/>
      <c r="AP497" s="83"/>
      <c r="AQ497" s="93"/>
      <c r="AR497" s="93"/>
      <c r="AS497" s="83"/>
      <c r="AT497" s="83"/>
      <c r="AU497" s="93"/>
      <c r="AV497" s="93"/>
      <c r="AW497" s="83"/>
      <c r="AX497" s="83"/>
      <c r="AY497" s="93"/>
      <c r="AZ497" s="93"/>
    </row>
    <row r="498" spans="2:52" outlineLevel="1" x14ac:dyDescent="0.45">
      <c r="B498" s="1395"/>
      <c r="C498" s="91" t="s">
        <v>751</v>
      </c>
      <c r="D498" s="115"/>
      <c r="E498" s="91"/>
      <c r="F498" s="89"/>
      <c r="G498" s="89"/>
      <c r="H498" s="23"/>
      <c r="I498" s="92"/>
      <c r="J498" s="92"/>
      <c r="K498" s="31"/>
      <c r="L498" s="92"/>
      <c r="M498" s="92"/>
      <c r="N498" s="31"/>
      <c r="O498" s="92"/>
      <c r="P498" s="92"/>
      <c r="Q498" s="31"/>
      <c r="R498" s="92"/>
      <c r="S498" s="92"/>
      <c r="T498" s="31"/>
      <c r="U498" s="92"/>
      <c r="V498" s="92"/>
      <c r="W498" s="31"/>
      <c r="AA498" s="93"/>
      <c r="AB498" s="93"/>
      <c r="AC498" s="83"/>
      <c r="AD498" s="83"/>
      <c r="AE498" s="93"/>
      <c r="AF498" s="93"/>
      <c r="AG498" s="83"/>
      <c r="AH498" s="83"/>
      <c r="AI498" s="93"/>
      <c r="AJ498" s="93"/>
      <c r="AK498" s="83"/>
      <c r="AL498" s="83"/>
      <c r="AM498" s="93"/>
      <c r="AN498" s="93"/>
      <c r="AO498" s="83"/>
      <c r="AP498" s="83"/>
      <c r="AQ498" s="93"/>
      <c r="AR498" s="93"/>
      <c r="AS498" s="83"/>
      <c r="AT498" s="83"/>
      <c r="AU498" s="93"/>
      <c r="AV498" s="93"/>
      <c r="AW498" s="83"/>
      <c r="AX498" s="83"/>
      <c r="AY498" s="93"/>
      <c r="AZ498" s="93"/>
    </row>
    <row r="499" spans="2:52" outlineLevel="1" x14ac:dyDescent="0.45">
      <c r="B499" s="1395"/>
      <c r="C499" s="91" t="s">
        <v>752</v>
      </c>
      <c r="D499" s="115"/>
      <c r="E499" s="11" t="s">
        <v>400</v>
      </c>
      <c r="F499" s="89"/>
      <c r="G499" s="89"/>
      <c r="H499" s="23"/>
      <c r="I499" s="92"/>
      <c r="J499" s="92"/>
      <c r="K499" s="31"/>
      <c r="L499" s="92"/>
      <c r="M499" s="92"/>
      <c r="N499" s="31"/>
      <c r="O499" s="92"/>
      <c r="P499" s="92"/>
      <c r="Q499" s="31"/>
      <c r="R499" s="92"/>
      <c r="S499" s="92"/>
      <c r="T499" s="31"/>
      <c r="U499" s="92"/>
      <c r="V499" s="92"/>
      <c r="W499" s="31"/>
      <c r="AA499" s="93"/>
      <c r="AB499" s="93"/>
      <c r="AC499" s="83"/>
      <c r="AD499" s="83"/>
      <c r="AE499" s="93"/>
      <c r="AF499" s="93"/>
      <c r="AG499" s="83"/>
      <c r="AH499" s="83"/>
      <c r="AI499" s="93"/>
      <c r="AJ499" s="93"/>
      <c r="AK499" s="83"/>
      <c r="AL499" s="83"/>
      <c r="AM499" s="93"/>
      <c r="AN499" s="93"/>
      <c r="AO499" s="83"/>
      <c r="AP499" s="83"/>
      <c r="AQ499" s="93"/>
      <c r="AR499" s="93"/>
      <c r="AS499" s="83"/>
      <c r="AT499" s="83"/>
      <c r="AU499" s="93"/>
      <c r="AV499" s="93"/>
      <c r="AW499" s="83"/>
      <c r="AX499" s="83"/>
      <c r="AY499" s="93"/>
      <c r="AZ499" s="93"/>
    </row>
    <row r="500" spans="2:52" outlineLevel="1" x14ac:dyDescent="0.45">
      <c r="B500" s="1395"/>
      <c r="C500" s="91" t="s">
        <v>753</v>
      </c>
      <c r="D500" s="115">
        <v>1</v>
      </c>
      <c r="E500" s="87" t="s">
        <v>402</v>
      </c>
      <c r="F500" s="247">
        <f>IF(F462&lt;&gt;0,F487/F462,0)</f>
        <v>0</v>
      </c>
      <c r="G500" s="247">
        <f>IF(G462&lt;&gt;0,G487/G462,0)</f>
        <v>0</v>
      </c>
      <c r="H500" s="248">
        <f>IF(H462&lt;&gt;0,H487/H462,0)</f>
        <v>0</v>
      </c>
      <c r="I500" s="249">
        <f t="shared" ref="I500:W500" si="124">IF(I462&lt;&gt;0,I487/I462,0)</f>
        <v>0</v>
      </c>
      <c r="J500" s="247">
        <f t="shared" si="124"/>
        <v>0</v>
      </c>
      <c r="K500" s="248">
        <f t="shared" si="124"/>
        <v>0</v>
      </c>
      <c r="L500" s="247">
        <f t="shared" si="124"/>
        <v>0</v>
      </c>
      <c r="M500" s="247">
        <f t="shared" si="124"/>
        <v>0</v>
      </c>
      <c r="N500" s="248">
        <f t="shared" si="124"/>
        <v>0</v>
      </c>
      <c r="O500" s="247">
        <f t="shared" si="124"/>
        <v>0</v>
      </c>
      <c r="P500" s="247">
        <f t="shared" si="124"/>
        <v>0</v>
      </c>
      <c r="Q500" s="248">
        <f t="shared" si="124"/>
        <v>0</v>
      </c>
      <c r="R500" s="247">
        <f t="shared" si="124"/>
        <v>0</v>
      </c>
      <c r="S500" s="247">
        <f t="shared" si="124"/>
        <v>0</v>
      </c>
      <c r="T500" s="248">
        <f t="shared" si="124"/>
        <v>0</v>
      </c>
      <c r="U500" s="247">
        <f t="shared" si="124"/>
        <v>0</v>
      </c>
      <c r="V500" s="247">
        <f t="shared" si="124"/>
        <v>0</v>
      </c>
      <c r="W500" s="248">
        <f t="shared" si="124"/>
        <v>0</v>
      </c>
      <c r="AA500" s="93"/>
      <c r="AB500" s="93"/>
      <c r="AC500" s="83"/>
      <c r="AD500" s="83"/>
      <c r="AE500" s="93"/>
      <c r="AF500" s="93"/>
      <c r="AG500" s="83"/>
      <c r="AH500" s="83"/>
      <c r="AI500" s="93"/>
      <c r="AJ500" s="93"/>
      <c r="AK500" s="83"/>
      <c r="AL500" s="83"/>
      <c r="AM500" s="93"/>
      <c r="AN500" s="93"/>
      <c r="AO500" s="83"/>
      <c r="AP500" s="83"/>
      <c r="AQ500" s="93"/>
      <c r="AR500" s="93"/>
      <c r="AS500" s="83" t="s">
        <v>403</v>
      </c>
      <c r="AT500" s="83"/>
      <c r="AU500" s="93"/>
      <c r="AV500" s="93"/>
      <c r="AW500" s="83"/>
      <c r="AX500" s="83"/>
      <c r="AY500" s="93"/>
      <c r="AZ500" s="93"/>
    </row>
    <row r="501" spans="2:52" outlineLevel="1" x14ac:dyDescent="0.45">
      <c r="B501" s="1395"/>
      <c r="C501" s="91" t="s">
        <v>754</v>
      </c>
      <c r="D501" s="115">
        <v>2</v>
      </c>
      <c r="E501" s="87" t="s">
        <v>405</v>
      </c>
      <c r="F501" s="247">
        <f>IF(F460&lt;&gt;0,F488/F460,0)</f>
        <v>0.65643812321473061</v>
      </c>
      <c r="G501" s="247">
        <f>IF(G460&lt;&gt;0,G488/G460,0)</f>
        <v>9.459891717707827E-3</v>
      </c>
      <c r="H501" s="248">
        <f>IF(H460&lt;&gt;0,H488/H460,0)</f>
        <v>1.4929491614773813E-3</v>
      </c>
      <c r="I501" s="249">
        <f t="shared" ref="I501:W501" si="125">IF(I460&lt;&gt;0,I488/I460,0)</f>
        <v>0.65643812321473061</v>
      </c>
      <c r="J501" s="247">
        <f t="shared" si="125"/>
        <v>9.459891717707827E-3</v>
      </c>
      <c r="K501" s="248">
        <f t="shared" si="125"/>
        <v>1.4929491614773813E-3</v>
      </c>
      <c r="L501" s="247">
        <f t="shared" si="125"/>
        <v>0</v>
      </c>
      <c r="M501" s="247">
        <f t="shared" si="125"/>
        <v>0</v>
      </c>
      <c r="N501" s="248">
        <f t="shared" si="125"/>
        <v>0</v>
      </c>
      <c r="O501" s="247">
        <f t="shared" si="125"/>
        <v>0</v>
      </c>
      <c r="P501" s="247">
        <f t="shared" si="125"/>
        <v>0</v>
      </c>
      <c r="Q501" s="248">
        <f t="shared" si="125"/>
        <v>0</v>
      </c>
      <c r="R501" s="247">
        <f t="shared" si="125"/>
        <v>0</v>
      </c>
      <c r="S501" s="247">
        <f t="shared" si="125"/>
        <v>0</v>
      </c>
      <c r="T501" s="248">
        <f t="shared" si="125"/>
        <v>0</v>
      </c>
      <c r="U501" s="247">
        <f t="shared" si="125"/>
        <v>0</v>
      </c>
      <c r="V501" s="247">
        <f t="shared" si="125"/>
        <v>0</v>
      </c>
      <c r="W501" s="248">
        <f t="shared" si="125"/>
        <v>0</v>
      </c>
      <c r="AA501" s="93"/>
      <c r="AB501" s="93"/>
      <c r="AC501" s="83"/>
      <c r="AD501" s="83"/>
      <c r="AE501" s="93"/>
      <c r="AF501" s="93"/>
      <c r="AG501" s="83"/>
      <c r="AH501" s="83"/>
      <c r="AI501" s="93"/>
      <c r="AJ501" s="93"/>
      <c r="AK501" s="83"/>
      <c r="AL501" s="83"/>
      <c r="AM501" s="93"/>
      <c r="AN501" s="93"/>
      <c r="AO501" s="83"/>
      <c r="AP501" s="83"/>
      <c r="AQ501" s="93"/>
      <c r="AR501" s="93"/>
      <c r="AS501" s="83" t="s">
        <v>403</v>
      </c>
      <c r="AT501" s="83"/>
      <c r="AU501" s="93"/>
      <c r="AV501" s="93"/>
      <c r="AW501" s="83"/>
      <c r="AX501" s="83"/>
      <c r="AY501" s="93"/>
      <c r="AZ501" s="93"/>
    </row>
    <row r="502" spans="2:52" outlineLevel="1" x14ac:dyDescent="0.45">
      <c r="B502" s="1395"/>
      <c r="C502" s="91" t="s">
        <v>755</v>
      </c>
      <c r="D502" s="115">
        <v>3</v>
      </c>
      <c r="E502" s="87" t="s">
        <v>407</v>
      </c>
      <c r="F502" s="195">
        <f>IF(F$85&lt;&gt;0,F$86/F$85,0)</f>
        <v>3.7890504175688212E-2</v>
      </c>
      <c r="G502" s="195">
        <f>IF(G$85&lt;&gt;0,G$86/G$85,0)</f>
        <v>3.5734020998342234E-2</v>
      </c>
      <c r="H502" s="196">
        <f>IF(H$85&lt;&gt;0,H$86/H$85,0)</f>
        <v>3.8430744595676539E-2</v>
      </c>
      <c r="I502" s="250">
        <f>IF(I$85&lt;&gt;0,I$86/I$85,0)</f>
        <v>0.10743801652892562</v>
      </c>
      <c r="J502" s="195">
        <f t="shared" ref="J502:W502" si="126">IF(J$85&lt;&gt;0,J$86/J$85,0)</f>
        <v>0.12605042016806722</v>
      </c>
      <c r="K502" s="196">
        <f t="shared" si="126"/>
        <v>0.11504424778761062</v>
      </c>
      <c r="L502" s="195">
        <f t="shared" si="126"/>
        <v>0</v>
      </c>
      <c r="M502" s="195">
        <f t="shared" si="126"/>
        <v>0</v>
      </c>
      <c r="N502" s="196">
        <f t="shared" si="126"/>
        <v>0</v>
      </c>
      <c r="O502" s="195">
        <f t="shared" si="126"/>
        <v>7.3394495412844041E-3</v>
      </c>
      <c r="P502" s="195">
        <f t="shared" si="126"/>
        <v>8.0459770114942528E-3</v>
      </c>
      <c r="Q502" s="196">
        <f t="shared" si="126"/>
        <v>6.9444444444444441E-3</v>
      </c>
      <c r="R502" s="195">
        <f t="shared" si="126"/>
        <v>2.0463320463320462E-2</v>
      </c>
      <c r="S502" s="195">
        <f t="shared" si="126"/>
        <v>2.36318407960199E-2</v>
      </c>
      <c r="T502" s="196">
        <f t="shared" si="126"/>
        <v>2.8169014084507043E-2</v>
      </c>
      <c r="U502" s="195">
        <f t="shared" si="126"/>
        <v>6.4165103189493436E-2</v>
      </c>
      <c r="V502" s="195">
        <f t="shared" si="126"/>
        <v>5.6706114398422089E-2</v>
      </c>
      <c r="W502" s="196">
        <f t="shared" si="126"/>
        <v>6.1881188118811881E-2</v>
      </c>
      <c r="AA502" s="93"/>
      <c r="AB502" s="93"/>
      <c r="AC502" s="83"/>
      <c r="AD502" s="83"/>
      <c r="AE502" s="93"/>
      <c r="AF502" s="93"/>
      <c r="AG502" s="83"/>
      <c r="AH502" s="83"/>
      <c r="AI502" s="93"/>
      <c r="AJ502" s="93"/>
      <c r="AK502" s="83"/>
      <c r="AL502" s="83"/>
      <c r="AM502" s="93"/>
      <c r="AN502" s="93"/>
      <c r="AO502" s="83"/>
      <c r="AP502" s="83"/>
      <c r="AQ502" s="93"/>
      <c r="AR502" s="93"/>
      <c r="AS502" s="83" t="s">
        <v>403</v>
      </c>
      <c r="AT502" s="83"/>
      <c r="AU502" s="93"/>
      <c r="AV502" s="93"/>
      <c r="AW502" s="83"/>
      <c r="AX502" s="83"/>
      <c r="AY502" s="93"/>
      <c r="AZ502" s="93"/>
    </row>
    <row r="503" spans="2:52" outlineLevel="1" x14ac:dyDescent="0.45">
      <c r="B503" s="1395"/>
      <c r="C503" s="91" t="s">
        <v>756</v>
      </c>
      <c r="D503" s="115">
        <v>4</v>
      </c>
      <c r="E503" s="87" t="s">
        <v>409</v>
      </c>
      <c r="F503" s="195">
        <f>IF(F$139&lt;&gt;0,F$140/F$139,0)</f>
        <v>0.30743887636552802</v>
      </c>
      <c r="G503" s="195">
        <f>IF(G$139&lt;&gt;0,G$140/G$139,0)</f>
        <v>0.28598200899550225</v>
      </c>
      <c r="H503" s="196">
        <f>IF(H$139&lt;&gt;0,H$140/H$139,0)</f>
        <v>0.3328814872192099</v>
      </c>
      <c r="I503" s="250">
        <f>IF(I$139&lt;&gt;0,I$140/I$139,0)</f>
        <v>0.74698795180722888</v>
      </c>
      <c r="J503" s="195">
        <f t="shared" ref="J503:W503" si="127">IF(J$139&lt;&gt;0,J$140/J$139,0)</f>
        <v>0.4375</v>
      </c>
      <c r="K503" s="196">
        <f t="shared" si="127"/>
        <v>0.54736842105263162</v>
      </c>
      <c r="L503" s="195">
        <f t="shared" si="127"/>
        <v>9.5238095238095233E-2</v>
      </c>
      <c r="M503" s="195">
        <f t="shared" si="127"/>
        <v>3.125E-2</v>
      </c>
      <c r="N503" s="196">
        <f t="shared" si="127"/>
        <v>0</v>
      </c>
      <c r="O503" s="195">
        <f t="shared" si="127"/>
        <v>6.4215148188803514E-2</v>
      </c>
      <c r="P503" s="195">
        <f t="shared" si="127"/>
        <v>4.1759465478841871E-2</v>
      </c>
      <c r="Q503" s="196">
        <f t="shared" si="127"/>
        <v>4.6690307328605199E-2</v>
      </c>
      <c r="R503" s="195">
        <f t="shared" si="127"/>
        <v>0.23907956318252729</v>
      </c>
      <c r="S503" s="195">
        <f t="shared" si="127"/>
        <v>0.27137096774193548</v>
      </c>
      <c r="T503" s="196">
        <f t="shared" si="127"/>
        <v>0.35398230088495575</v>
      </c>
      <c r="U503" s="195">
        <f t="shared" si="127"/>
        <v>0.82199546485260766</v>
      </c>
      <c r="V503" s="195">
        <f t="shared" si="127"/>
        <v>0.83685446009389675</v>
      </c>
      <c r="W503" s="196">
        <f t="shared" si="127"/>
        <v>0.83985765124555156</v>
      </c>
      <c r="AA503" s="93"/>
      <c r="AB503" s="93"/>
      <c r="AC503" s="83"/>
      <c r="AD503" s="83"/>
      <c r="AE503" s="93"/>
      <c r="AF503" s="93"/>
      <c r="AG503" s="83"/>
      <c r="AH503" s="83"/>
      <c r="AI503" s="93"/>
      <c r="AJ503" s="93"/>
      <c r="AK503" s="83"/>
      <c r="AL503" s="83"/>
      <c r="AM503" s="93"/>
      <c r="AN503" s="93"/>
      <c r="AO503" s="83"/>
      <c r="AP503" s="83"/>
      <c r="AQ503" s="93"/>
      <c r="AR503" s="93"/>
      <c r="AS503" s="83" t="s">
        <v>403</v>
      </c>
      <c r="AT503" s="83"/>
      <c r="AU503" s="93"/>
      <c r="AV503" s="93"/>
      <c r="AW503" s="83"/>
      <c r="AX503" s="83"/>
      <c r="AY503" s="93"/>
      <c r="AZ503" s="93"/>
    </row>
    <row r="504" spans="2:52" outlineLevel="1" x14ac:dyDescent="0.45">
      <c r="B504" s="1395"/>
      <c r="C504" s="91" t="s">
        <v>757</v>
      </c>
      <c r="D504" s="115">
        <v>5</v>
      </c>
      <c r="E504" s="116" t="s">
        <v>411</v>
      </c>
      <c r="F504" s="251"/>
      <c r="G504" s="195">
        <f>IF(F$130&lt;&gt;0,G$130/F$130,0)</f>
        <v>0.73369537590465173</v>
      </c>
      <c r="H504" s="196">
        <f>IF(G$130&lt;&gt;0,H$130/G$130,0)</f>
        <v>58.305580012254282</v>
      </c>
      <c r="I504" s="252"/>
      <c r="J504" s="195">
        <f>IF(I$130&lt;&gt;0,J$130/I$130,0)</f>
        <v>0.73369537590465173</v>
      </c>
      <c r="K504" s="196">
        <f>IF(J$130&lt;&gt;0,K$130/J$130,0)</f>
        <v>0.61576389611397953</v>
      </c>
      <c r="L504" s="251"/>
      <c r="M504" s="195">
        <f>IF(L$130&lt;&gt;0,M$130/L$130,0)</f>
        <v>0</v>
      </c>
      <c r="N504" s="196">
        <f>IF(M$130&lt;&gt;0,N$130/M$130,0)</f>
        <v>0</v>
      </c>
      <c r="O504" s="251"/>
      <c r="P504" s="195">
        <f>IF(O$130&lt;&gt;0,P$130/O$130,0)</f>
        <v>0</v>
      </c>
      <c r="Q504" s="196">
        <f>IF(P$130&lt;&gt;0,Q$130/P$130,0)</f>
        <v>0</v>
      </c>
      <c r="R504" s="251"/>
      <c r="S504" s="195">
        <f>IF(R$130&lt;&gt;0,S$130/R$130,0)</f>
        <v>0</v>
      </c>
      <c r="T504" s="196">
        <f>IF(S$130&lt;&gt;0,T$130/S$130,0)</f>
        <v>0</v>
      </c>
      <c r="U504" s="251"/>
      <c r="V504" s="195">
        <f>IF(U$130&lt;&gt;0,V$130/U$130,0)</f>
        <v>0</v>
      </c>
      <c r="W504" s="196">
        <f>IF(V$130&lt;&gt;0,W$130/V$130,0)</f>
        <v>0</v>
      </c>
      <c r="AA504" s="93"/>
      <c r="AB504" s="93"/>
      <c r="AC504" s="83"/>
      <c r="AD504" s="83"/>
      <c r="AE504" s="93"/>
      <c r="AF504" s="93"/>
      <c r="AG504" s="83"/>
      <c r="AH504" s="83"/>
      <c r="AI504" s="93"/>
      <c r="AJ504" s="93"/>
      <c r="AK504" s="83"/>
      <c r="AL504" s="83"/>
      <c r="AM504" s="93"/>
      <c r="AN504" s="93"/>
      <c r="AO504" s="83"/>
      <c r="AP504" s="83"/>
      <c r="AQ504" s="93"/>
      <c r="AR504" s="93"/>
      <c r="AS504" s="83" t="s">
        <v>412</v>
      </c>
      <c r="AT504" s="83"/>
      <c r="AU504" s="93"/>
      <c r="AV504" s="93"/>
      <c r="AW504" s="83"/>
      <c r="AX504" s="83"/>
      <c r="AY504" s="93"/>
      <c r="AZ504" s="93"/>
    </row>
    <row r="505" spans="2:52" outlineLevel="1" x14ac:dyDescent="0.45">
      <c r="B505" s="1395"/>
      <c r="C505" s="91" t="s">
        <v>758</v>
      </c>
      <c r="D505" s="115">
        <v>6</v>
      </c>
      <c r="E505" s="116" t="s">
        <v>415</v>
      </c>
      <c r="F505" s="247">
        <f>IF(COUNTA(I505,L505,O505,R505,U505)&gt;0,SUM(I505,L505,O505,R505,U505)/COUNTA(I505,L505,O505,R505,U505),0)</f>
        <v>0</v>
      </c>
      <c r="G505" s="247">
        <f>IF(COUNTA(J505,M505,P505,S505,V505)&gt;0,SUM(J505,M505,P505,S505,V505)/COUNTA(J505,M505,P505,S505,V505),0)</f>
        <v>0</v>
      </c>
      <c r="H505" s="248">
        <f>IF(COUNTA(K505,N505,Q505,T505,W505)&gt;0,SUM(K505,N505,Q505,T505,W505)/COUNTA(K505,N505,Q505,T505,W505),0)</f>
        <v>0</v>
      </c>
      <c r="I505" s="273"/>
      <c r="J505" s="273"/>
      <c r="K505" s="273"/>
      <c r="L505" s="273"/>
      <c r="M505" s="273"/>
      <c r="N505" s="273"/>
      <c r="O505" s="273"/>
      <c r="P505" s="273"/>
      <c r="Q505" s="273"/>
      <c r="R505" s="273"/>
      <c r="S505" s="273"/>
      <c r="T505" s="273"/>
      <c r="U505" s="273"/>
      <c r="V505" s="273"/>
      <c r="W505" s="273"/>
      <c r="AA505" s="93"/>
      <c r="AB505" s="93"/>
      <c r="AC505" s="83"/>
      <c r="AD505" s="83"/>
      <c r="AE505" s="93"/>
      <c r="AF505" s="93"/>
      <c r="AG505" s="83"/>
      <c r="AH505" s="83"/>
      <c r="AI505" s="93"/>
      <c r="AJ505" s="93"/>
      <c r="AK505" s="83"/>
      <c r="AL505" s="83"/>
      <c r="AM505" s="93"/>
      <c r="AN505" s="93"/>
      <c r="AO505" s="83"/>
      <c r="AP505" s="83"/>
      <c r="AQ505" s="93"/>
      <c r="AR505" s="93"/>
      <c r="AS505" s="83"/>
      <c r="AT505" s="83"/>
      <c r="AU505" s="93"/>
      <c r="AV505" s="93"/>
      <c r="AW505" s="83"/>
      <c r="AX505" s="83"/>
      <c r="AY505" s="93"/>
      <c r="AZ505" s="93"/>
    </row>
    <row r="506" spans="2:52" outlineLevel="1" x14ac:dyDescent="0.45">
      <c r="B506" s="1395"/>
      <c r="C506" s="91" t="s">
        <v>759</v>
      </c>
      <c r="D506" s="115">
        <v>7</v>
      </c>
      <c r="E506" s="116" t="s">
        <v>417</v>
      </c>
      <c r="F506" s="247">
        <f>IF(F464&lt;&gt;0,F483/F464,0)</f>
        <v>4.3427440429025435</v>
      </c>
      <c r="G506" s="247">
        <f>IF(G464&lt;&gt;0,G483/G464,0)</f>
        <v>3.8376442102548416</v>
      </c>
      <c r="H506" s="248">
        <f>IF(H464&lt;&gt;0,H483/H464,0)</f>
        <v>2.6453255350143041</v>
      </c>
      <c r="I506" s="249">
        <f t="shared" ref="I506:W506" si="128">IF(I464&lt;&gt;0,I483/I464,0)</f>
        <v>4.3427440429025435</v>
      </c>
      <c r="J506" s="247">
        <f t="shared" si="128"/>
        <v>3.8376442102548416</v>
      </c>
      <c r="K506" s="248">
        <f t="shared" si="128"/>
        <v>2.6453255350143041</v>
      </c>
      <c r="L506" s="247">
        <f t="shared" si="128"/>
        <v>0</v>
      </c>
      <c r="M506" s="247">
        <f t="shared" si="128"/>
        <v>0</v>
      </c>
      <c r="N506" s="248">
        <f t="shared" si="128"/>
        <v>0</v>
      </c>
      <c r="O506" s="247">
        <f t="shared" si="128"/>
        <v>0</v>
      </c>
      <c r="P506" s="247">
        <f t="shared" si="128"/>
        <v>0</v>
      </c>
      <c r="Q506" s="248">
        <f t="shared" si="128"/>
        <v>0</v>
      </c>
      <c r="R506" s="247">
        <f t="shared" si="128"/>
        <v>0</v>
      </c>
      <c r="S506" s="247">
        <f t="shared" si="128"/>
        <v>0</v>
      </c>
      <c r="T506" s="248">
        <f t="shared" si="128"/>
        <v>0</v>
      </c>
      <c r="U506" s="247">
        <f t="shared" si="128"/>
        <v>0</v>
      </c>
      <c r="V506" s="247">
        <f t="shared" si="128"/>
        <v>0</v>
      </c>
      <c r="W506" s="248">
        <f t="shared" si="128"/>
        <v>0</v>
      </c>
      <c r="AA506" s="93"/>
      <c r="AB506" s="93"/>
      <c r="AC506" s="83"/>
      <c r="AD506" s="83"/>
      <c r="AE506" s="93"/>
      <c r="AF506" s="93"/>
      <c r="AG506" s="83"/>
      <c r="AH506" s="83"/>
      <c r="AI506" s="93"/>
      <c r="AJ506" s="93"/>
      <c r="AK506" s="83"/>
      <c r="AL506" s="83"/>
      <c r="AM506" s="93"/>
      <c r="AN506" s="93"/>
      <c r="AO506" s="83"/>
      <c r="AP506" s="83"/>
      <c r="AQ506" s="93"/>
      <c r="AR506" s="93"/>
      <c r="AS506" s="83"/>
      <c r="AT506" s="83"/>
      <c r="AU506" s="93"/>
      <c r="AV506" s="93"/>
      <c r="AW506" s="83"/>
      <c r="AX506" s="83"/>
      <c r="AY506" s="93"/>
      <c r="AZ506" s="93"/>
    </row>
    <row r="507" spans="2:52" outlineLevel="1" x14ac:dyDescent="0.45">
      <c r="B507" s="1395"/>
      <c r="C507" s="91" t="s">
        <v>760</v>
      </c>
      <c r="D507" s="115">
        <v>8</v>
      </c>
      <c r="E507" s="13" t="s">
        <v>419</v>
      </c>
      <c r="F507" s="247">
        <f>IF(F483&lt;&gt;0,F469/F483,0)</f>
        <v>0</v>
      </c>
      <c r="G507" s="247">
        <f>IF(G483&lt;&gt;0,G469/G483,0)</f>
        <v>0</v>
      </c>
      <c r="H507" s="248">
        <f>IF(H483&lt;&gt;0,H469/H483,0)</f>
        <v>0</v>
      </c>
      <c r="I507" s="249">
        <f t="shared" ref="I507:W507" si="129">IF(I483&lt;&gt;0,I469/I483,0)</f>
        <v>0</v>
      </c>
      <c r="J507" s="247">
        <f t="shared" si="129"/>
        <v>0</v>
      </c>
      <c r="K507" s="248">
        <f t="shared" si="129"/>
        <v>0</v>
      </c>
      <c r="L507" s="247">
        <f t="shared" si="129"/>
        <v>0</v>
      </c>
      <c r="M507" s="247">
        <f t="shared" si="129"/>
        <v>0</v>
      </c>
      <c r="N507" s="248">
        <f t="shared" si="129"/>
        <v>0</v>
      </c>
      <c r="O507" s="247">
        <f t="shared" si="129"/>
        <v>0</v>
      </c>
      <c r="P507" s="247">
        <f t="shared" si="129"/>
        <v>0</v>
      </c>
      <c r="Q507" s="248">
        <f t="shared" si="129"/>
        <v>0</v>
      </c>
      <c r="R507" s="247">
        <f t="shared" si="129"/>
        <v>0</v>
      </c>
      <c r="S507" s="247">
        <f t="shared" si="129"/>
        <v>0</v>
      </c>
      <c r="T507" s="248">
        <f t="shared" si="129"/>
        <v>0</v>
      </c>
      <c r="U507" s="247">
        <f t="shared" si="129"/>
        <v>0</v>
      </c>
      <c r="V507" s="247">
        <f t="shared" si="129"/>
        <v>0</v>
      </c>
      <c r="W507" s="248">
        <f t="shared" si="129"/>
        <v>0</v>
      </c>
      <c r="AA507" s="93"/>
      <c r="AB507" s="93"/>
      <c r="AC507" s="83"/>
      <c r="AD507" s="83"/>
      <c r="AE507" s="93"/>
      <c r="AF507" s="93"/>
      <c r="AG507" s="83"/>
      <c r="AH507" s="83"/>
      <c r="AI507" s="93"/>
      <c r="AJ507" s="93"/>
      <c r="AK507" s="83"/>
      <c r="AL507" s="83"/>
      <c r="AM507" s="93"/>
      <c r="AN507" s="93"/>
      <c r="AO507" s="83"/>
      <c r="AP507" s="83"/>
      <c r="AQ507" s="93"/>
      <c r="AR507" s="93"/>
      <c r="AS507" s="83"/>
      <c r="AT507" s="83"/>
      <c r="AU507" s="93"/>
      <c r="AV507" s="93"/>
      <c r="AW507" s="83"/>
      <c r="AX507" s="83"/>
      <c r="AY507" s="93"/>
      <c r="AZ507" s="93"/>
    </row>
    <row r="508" spans="2:52" outlineLevel="1" x14ac:dyDescent="0.45">
      <c r="B508" s="1395"/>
      <c r="C508" s="91" t="s">
        <v>761</v>
      </c>
      <c r="D508" s="115">
        <v>9</v>
      </c>
      <c r="E508" s="13" t="s">
        <v>421</v>
      </c>
      <c r="F508" s="254">
        <f>IF(F$33&lt;&gt;0,F469/F$33,0)</f>
        <v>0</v>
      </c>
      <c r="G508" s="255">
        <f>IF(G$33&lt;&gt;0,G469/G$33,0)</f>
        <v>0</v>
      </c>
      <c r="H508" s="256">
        <f>IF(H$33&lt;&gt;0,H469/H$33,0)</f>
        <v>0</v>
      </c>
      <c r="I508" s="254">
        <f t="shared" ref="I508:W508" si="130">IF(I$33&lt;&gt;0,I469/I$33,0)</f>
        <v>0</v>
      </c>
      <c r="J508" s="255">
        <f t="shared" si="130"/>
        <v>0</v>
      </c>
      <c r="K508" s="256">
        <f t="shared" si="130"/>
        <v>0</v>
      </c>
      <c r="L508" s="254">
        <f t="shared" si="130"/>
        <v>0</v>
      </c>
      <c r="M508" s="255">
        <f t="shared" si="130"/>
        <v>0</v>
      </c>
      <c r="N508" s="256">
        <f t="shared" si="130"/>
        <v>0</v>
      </c>
      <c r="O508" s="254">
        <f t="shared" si="130"/>
        <v>0</v>
      </c>
      <c r="P508" s="255">
        <f t="shared" si="130"/>
        <v>0</v>
      </c>
      <c r="Q508" s="256">
        <f t="shared" si="130"/>
        <v>0</v>
      </c>
      <c r="R508" s="254">
        <f t="shared" si="130"/>
        <v>0</v>
      </c>
      <c r="S508" s="255">
        <f t="shared" si="130"/>
        <v>0</v>
      </c>
      <c r="T508" s="256">
        <f t="shared" si="130"/>
        <v>0</v>
      </c>
      <c r="U508" s="254">
        <f t="shared" si="130"/>
        <v>0</v>
      </c>
      <c r="V508" s="255">
        <f t="shared" si="130"/>
        <v>0</v>
      </c>
      <c r="W508" s="256">
        <f t="shared" si="130"/>
        <v>0</v>
      </c>
      <c r="AA508" s="93"/>
      <c r="AB508" s="93"/>
      <c r="AC508" s="83"/>
      <c r="AD508" s="83"/>
      <c r="AE508" s="93"/>
      <c r="AF508" s="93"/>
      <c r="AG508" s="83"/>
      <c r="AH508" s="83"/>
      <c r="AI508" s="93"/>
      <c r="AJ508" s="93"/>
      <c r="AK508" s="83"/>
      <c r="AL508" s="83"/>
      <c r="AM508" s="93"/>
      <c r="AN508" s="93"/>
      <c r="AO508" s="83"/>
      <c r="AP508" s="83"/>
      <c r="AQ508" s="93"/>
      <c r="AR508" s="93"/>
      <c r="AS508" s="83"/>
      <c r="AT508" s="83"/>
      <c r="AU508" s="93"/>
      <c r="AV508" s="93"/>
      <c r="AW508" s="83"/>
      <c r="AX508" s="83"/>
      <c r="AY508" s="93"/>
      <c r="AZ508" s="93"/>
    </row>
    <row r="509" spans="2:52" outlineLevel="1" x14ac:dyDescent="0.45">
      <c r="B509" s="1395"/>
      <c r="C509" s="91" t="s">
        <v>762</v>
      </c>
      <c r="D509" s="115">
        <v>10</v>
      </c>
      <c r="E509" s="13" t="s">
        <v>496</v>
      </c>
      <c r="F509" s="258">
        <v>5.6283986361087817E-3</v>
      </c>
      <c r="G509" s="258">
        <v>5.8277379008081645E-3</v>
      </c>
      <c r="H509" s="259">
        <f>IF(H495&lt;&gt;0,-H484/H495,0)</f>
        <v>0</v>
      </c>
      <c r="I509" s="258">
        <v>3.4563440450780035E-3</v>
      </c>
      <c r="J509" s="258">
        <v>3.9721327001343244E-3</v>
      </c>
      <c r="K509" s="258"/>
      <c r="L509" s="258">
        <v>5.0872661621275913E-4</v>
      </c>
      <c r="M509" s="258">
        <v>-3.7967291920177517E-6</v>
      </c>
      <c r="N509" s="258">
        <v>0</v>
      </c>
      <c r="O509" s="258">
        <v>1.0349453760455107E-2</v>
      </c>
      <c r="P509" s="258">
        <v>9.8155461387650095E-3</v>
      </c>
      <c r="Q509" s="258">
        <v>0</v>
      </c>
      <c r="R509" s="258">
        <v>9.6244102864323916E-3</v>
      </c>
      <c r="S509" s="258">
        <v>1.0521306118901294E-2</v>
      </c>
      <c r="T509" s="258">
        <v>0</v>
      </c>
      <c r="U509" s="258">
        <v>-4.7403497637090357E-3</v>
      </c>
      <c r="V509" s="258">
        <v>-6.2941309428322179E-3</v>
      </c>
      <c r="W509" s="258">
        <v>0</v>
      </c>
      <c r="AA509" s="93"/>
      <c r="AB509" s="93"/>
      <c r="AC509" s="83" t="s">
        <v>424</v>
      </c>
      <c r="AD509" s="83"/>
      <c r="AE509" s="93"/>
      <c r="AF509" s="93"/>
      <c r="AG509" s="83" t="s">
        <v>424</v>
      </c>
      <c r="AH509" s="83"/>
      <c r="AI509" s="93"/>
      <c r="AJ509" s="93"/>
      <c r="AK509" s="83" t="s">
        <v>424</v>
      </c>
      <c r="AL509" s="83"/>
      <c r="AM509" s="93"/>
      <c r="AN509" s="93"/>
      <c r="AO509" s="83" t="s">
        <v>424</v>
      </c>
      <c r="AP509" s="83"/>
      <c r="AQ509" s="93"/>
      <c r="AR509" s="93"/>
      <c r="AS509" s="83" t="s">
        <v>424</v>
      </c>
      <c r="AT509" s="83"/>
      <c r="AU509" s="93"/>
      <c r="AV509" s="93"/>
      <c r="AW509" s="83" t="s">
        <v>424</v>
      </c>
      <c r="AX509" s="83"/>
      <c r="AY509" s="93"/>
      <c r="AZ509" s="93"/>
    </row>
    <row r="510" spans="2:52" outlineLevel="1" x14ac:dyDescent="0.45">
      <c r="B510" s="1395"/>
      <c r="C510" s="91" t="s">
        <v>763</v>
      </c>
      <c r="D510" s="115">
        <v>11</v>
      </c>
      <c r="E510" s="13" t="s">
        <v>426</v>
      </c>
      <c r="F510" s="260">
        <f>IF(F495&lt;&gt;0,-F484/F495,0)</f>
        <v>3.7098454533950309E-4</v>
      </c>
      <c r="G510" s="261">
        <f>IF(G495&lt;&gt;0,-G484/G495,0)</f>
        <v>3.6006645304277526E-4</v>
      </c>
      <c r="H510" s="262">
        <f>IF(H495&lt;&gt;0,-H484/H495,0)</f>
        <v>0</v>
      </c>
      <c r="I510" s="263">
        <f t="shared" ref="I510:W510" si="131">IF(I495&lt;&gt;0,-I484/I495,0)</f>
        <v>1.9513427272316993E-3</v>
      </c>
      <c r="J510" s="263">
        <f t="shared" si="131"/>
        <v>2.0038631610984192E-3</v>
      </c>
      <c r="K510" s="264">
        <f t="shared" si="131"/>
        <v>0</v>
      </c>
      <c r="L510" s="263">
        <f t="shared" si="131"/>
        <v>0</v>
      </c>
      <c r="M510" s="263">
        <f t="shared" si="131"/>
        <v>0</v>
      </c>
      <c r="N510" s="264">
        <f t="shared" si="131"/>
        <v>0</v>
      </c>
      <c r="O510" s="263">
        <f t="shared" si="131"/>
        <v>0</v>
      </c>
      <c r="P510" s="263">
        <f t="shared" si="131"/>
        <v>0</v>
      </c>
      <c r="Q510" s="264">
        <f t="shared" si="131"/>
        <v>0</v>
      </c>
      <c r="R510" s="263">
        <f t="shared" si="131"/>
        <v>0</v>
      </c>
      <c r="S510" s="263">
        <f t="shared" si="131"/>
        <v>0</v>
      </c>
      <c r="T510" s="264">
        <f t="shared" si="131"/>
        <v>0</v>
      </c>
      <c r="U510" s="263">
        <f t="shared" si="131"/>
        <v>0</v>
      </c>
      <c r="V510" s="263">
        <f t="shared" si="131"/>
        <v>0</v>
      </c>
      <c r="W510" s="264">
        <f t="shared" si="131"/>
        <v>0</v>
      </c>
      <c r="AA510" s="93"/>
      <c r="AB510" s="93"/>
      <c r="AC510" s="83"/>
      <c r="AD510" s="83"/>
      <c r="AE510" s="93"/>
      <c r="AF510" s="93"/>
      <c r="AG510" s="83"/>
      <c r="AH510" s="83"/>
      <c r="AI510" s="93"/>
      <c r="AJ510" s="93"/>
      <c r="AK510" s="83"/>
      <c r="AL510" s="83"/>
      <c r="AM510" s="93"/>
      <c r="AN510" s="93"/>
      <c r="AO510" s="83"/>
      <c r="AP510" s="83"/>
      <c r="AQ510" s="93"/>
      <c r="AR510" s="93"/>
      <c r="AS510" s="83"/>
      <c r="AT510" s="83"/>
      <c r="AU510" s="93"/>
      <c r="AV510" s="93"/>
      <c r="AW510" s="83"/>
      <c r="AX510" s="83"/>
      <c r="AY510" s="93"/>
      <c r="AZ510" s="93"/>
    </row>
    <row r="511" spans="2:52" outlineLevel="1" x14ac:dyDescent="0.45">
      <c r="B511" s="1395"/>
      <c r="C511" s="91" t="s">
        <v>764</v>
      </c>
      <c r="D511" s="115"/>
      <c r="E511" s="13"/>
      <c r="F511" s="89"/>
      <c r="G511" s="89"/>
      <c r="H511" s="23"/>
      <c r="I511" s="92"/>
      <c r="J511" s="92"/>
      <c r="K511" s="31"/>
      <c r="L511" s="92"/>
      <c r="M511" s="92"/>
      <c r="N511" s="31"/>
      <c r="O511" s="92"/>
      <c r="P511" s="92"/>
      <c r="Q511" s="31"/>
      <c r="R511" s="92"/>
      <c r="S511" s="92"/>
      <c r="T511" s="31"/>
      <c r="U511" s="247"/>
      <c r="V511" s="247"/>
      <c r="W511" s="248"/>
      <c r="AA511" s="93"/>
      <c r="AB511" s="93"/>
      <c r="AC511" s="83"/>
      <c r="AD511" s="83"/>
      <c r="AE511" s="93"/>
      <c r="AF511" s="93"/>
      <c r="AG511" s="83"/>
      <c r="AH511" s="83"/>
      <c r="AI511" s="93"/>
      <c r="AJ511" s="93"/>
      <c r="AK511" s="83"/>
      <c r="AL511" s="83"/>
      <c r="AM511" s="93"/>
      <c r="AN511" s="93"/>
      <c r="AO511" s="83"/>
      <c r="AP511" s="83"/>
      <c r="AQ511" s="93"/>
      <c r="AR511" s="93"/>
      <c r="AS511" s="83"/>
      <c r="AT511" s="83"/>
      <c r="AU511" s="93"/>
      <c r="AV511" s="93"/>
      <c r="AW511" s="83"/>
      <c r="AX511" s="83"/>
      <c r="AY511" s="93"/>
      <c r="AZ511" s="93"/>
    </row>
    <row r="512" spans="2:52" outlineLevel="1" x14ac:dyDescent="0.45">
      <c r="B512" s="1395"/>
      <c r="C512" s="91" t="s">
        <v>765</v>
      </c>
      <c r="D512" s="115"/>
      <c r="E512" s="13"/>
      <c r="F512" s="89"/>
      <c r="G512" s="89"/>
      <c r="H512" s="23"/>
      <c r="I512" s="92"/>
      <c r="J512" s="92"/>
      <c r="K512" s="31"/>
      <c r="L512" s="92"/>
      <c r="M512" s="92"/>
      <c r="N512" s="31"/>
      <c r="O512" s="92"/>
      <c r="P512" s="92"/>
      <c r="Q512" s="31"/>
      <c r="R512" s="92"/>
      <c r="S512" s="92"/>
      <c r="T512" s="31"/>
      <c r="U512" s="92"/>
      <c r="V512" s="92"/>
      <c r="W512" s="31"/>
      <c r="AA512" s="93"/>
      <c r="AB512" s="93"/>
      <c r="AC512" s="83"/>
      <c r="AD512" s="83"/>
      <c r="AE512" s="93"/>
      <c r="AF512" s="93"/>
      <c r="AG512" s="83"/>
      <c r="AH512" s="83"/>
      <c r="AI512" s="93"/>
      <c r="AJ512" s="93"/>
      <c r="AK512" s="83"/>
      <c r="AL512" s="83"/>
      <c r="AM512" s="93"/>
      <c r="AN512" s="93"/>
      <c r="AO512" s="83"/>
      <c r="AP512" s="83"/>
      <c r="AQ512" s="93"/>
      <c r="AR512" s="93"/>
      <c r="AS512" s="83"/>
      <c r="AT512" s="83"/>
      <c r="AU512" s="93"/>
      <c r="AV512" s="93"/>
      <c r="AW512" s="83"/>
      <c r="AX512" s="83"/>
      <c r="AY512" s="93"/>
      <c r="AZ512" s="93"/>
    </row>
    <row r="513" spans="2:52" x14ac:dyDescent="0.45">
      <c r="B513" s="268"/>
      <c r="C513" s="13"/>
      <c r="D513" s="87"/>
      <c r="E513" s="14"/>
      <c r="F513" s="89"/>
      <c r="G513" s="89"/>
      <c r="H513" s="23"/>
      <c r="I513" s="14"/>
      <c r="J513" s="14"/>
      <c r="K513" s="277"/>
      <c r="L513" s="116"/>
      <c r="M513" s="92"/>
      <c r="N513" s="31"/>
      <c r="O513" s="92"/>
      <c r="P513" s="92"/>
      <c r="Q513" s="31"/>
      <c r="R513" s="92"/>
      <c r="S513" s="92"/>
      <c r="T513" s="31"/>
      <c r="U513" s="92"/>
      <c r="V513" s="92"/>
      <c r="W513" s="31"/>
      <c r="AA513" s="93"/>
      <c r="AB513" s="93"/>
      <c r="AC513" s="83"/>
      <c r="AD513" s="83"/>
      <c r="AE513" s="93"/>
      <c r="AF513" s="93"/>
      <c r="AG513" s="83"/>
      <c r="AH513" s="83"/>
      <c r="AI513" s="93"/>
      <c r="AJ513" s="93"/>
      <c r="AK513" s="83"/>
      <c r="AL513" s="83"/>
      <c r="AM513" s="93"/>
      <c r="AN513" s="93"/>
      <c r="AO513" s="83"/>
      <c r="AP513" s="83"/>
      <c r="AQ513" s="93"/>
      <c r="AR513" s="93"/>
      <c r="AS513" s="83"/>
      <c r="AT513" s="83"/>
      <c r="AU513" s="93"/>
      <c r="AV513" s="93"/>
      <c r="AW513" s="83"/>
      <c r="AX513" s="83"/>
      <c r="AY513" s="93"/>
      <c r="AZ513" s="93"/>
    </row>
    <row r="514" spans="2:52" ht="46.5" hidden="1" customHeight="1" outlineLevel="1" x14ac:dyDescent="0.45">
      <c r="B514" s="1396" t="s">
        <v>766</v>
      </c>
      <c r="C514" s="11" t="s">
        <v>767</v>
      </c>
      <c r="D514" s="103" t="s">
        <v>768</v>
      </c>
      <c r="E514" s="11" t="s">
        <v>769</v>
      </c>
      <c r="F514" s="89"/>
      <c r="G514" s="89"/>
      <c r="H514" s="23"/>
      <c r="I514" s="92"/>
      <c r="J514" s="92"/>
      <c r="K514" s="31"/>
      <c r="L514" s="92"/>
      <c r="M514" s="92"/>
      <c r="N514" s="31"/>
      <c r="O514" s="92"/>
      <c r="P514" s="92"/>
      <c r="Q514" s="31"/>
      <c r="R514" s="92"/>
      <c r="S514" s="92"/>
      <c r="T514" s="31"/>
      <c r="U514" s="92"/>
      <c r="V514" s="92"/>
      <c r="W514" s="31"/>
      <c r="AA514" s="93"/>
      <c r="AB514" s="93"/>
      <c r="AC514" s="83"/>
      <c r="AD514" s="83"/>
      <c r="AE514" s="93"/>
      <c r="AF514" s="93"/>
      <c r="AG514" s="83"/>
      <c r="AH514" s="83"/>
      <c r="AI514" s="93"/>
      <c r="AJ514" s="93"/>
      <c r="AK514" s="83"/>
      <c r="AL514" s="83"/>
      <c r="AM514" s="93"/>
      <c r="AN514" s="93"/>
      <c r="AO514" s="83"/>
      <c r="AP514" s="83"/>
      <c r="AQ514" s="93"/>
      <c r="AR514" s="93"/>
      <c r="AS514" s="83"/>
      <c r="AT514" s="83"/>
      <c r="AU514" s="93"/>
      <c r="AV514" s="93"/>
      <c r="AW514" s="83"/>
      <c r="AX514" s="83"/>
      <c r="AY514" s="93"/>
      <c r="AZ514" s="93"/>
    </row>
    <row r="515" spans="2:52" hidden="1" outlineLevel="1" x14ac:dyDescent="0.45">
      <c r="B515" s="1396"/>
      <c r="C515" s="91" t="s">
        <v>770</v>
      </c>
      <c r="D515" s="115"/>
      <c r="E515" s="11" t="s">
        <v>316</v>
      </c>
      <c r="F515" s="89"/>
      <c r="G515" s="89"/>
      <c r="H515" s="23"/>
      <c r="I515" s="92"/>
      <c r="J515" s="92"/>
      <c r="K515" s="31"/>
      <c r="L515" s="92"/>
      <c r="M515" s="92"/>
      <c r="N515" s="31"/>
      <c r="O515" s="92"/>
      <c r="P515" s="92"/>
      <c r="Q515" s="31"/>
      <c r="R515" s="92"/>
      <c r="S515" s="92"/>
      <c r="T515" s="31"/>
      <c r="U515" s="92"/>
      <c r="V515" s="92"/>
      <c r="W515" s="31"/>
      <c r="AA515" s="93"/>
      <c r="AB515" s="93"/>
      <c r="AC515" s="83"/>
      <c r="AD515" s="83"/>
      <c r="AE515" s="93"/>
      <c r="AF515" s="93"/>
      <c r="AG515" s="83"/>
      <c r="AH515" s="83"/>
      <c r="AI515" s="93"/>
      <c r="AJ515" s="93"/>
      <c r="AK515" s="83"/>
      <c r="AL515" s="83"/>
      <c r="AM515" s="93"/>
      <c r="AN515" s="93"/>
      <c r="AO515" s="83"/>
      <c r="AP515" s="83"/>
      <c r="AQ515" s="93"/>
      <c r="AR515" s="93"/>
      <c r="AS515" s="83"/>
      <c r="AT515" s="83"/>
      <c r="AU515" s="93"/>
      <c r="AV515" s="93"/>
      <c r="AW515" s="83"/>
      <c r="AX515" s="83"/>
      <c r="AY515" s="93"/>
      <c r="AZ515" s="93"/>
    </row>
    <row r="516" spans="2:52" hidden="1" outlineLevel="1" x14ac:dyDescent="0.45">
      <c r="B516" s="1396"/>
      <c r="C516" s="91" t="s">
        <v>771</v>
      </c>
      <c r="D516" s="115"/>
      <c r="E516" s="12" t="s">
        <v>266</v>
      </c>
      <c r="F516" s="89"/>
      <c r="G516" s="89"/>
      <c r="H516" s="23"/>
      <c r="I516" s="92"/>
      <c r="J516" s="92"/>
      <c r="K516" s="31"/>
      <c r="L516" s="92"/>
      <c r="M516" s="92"/>
      <c r="N516" s="31"/>
      <c r="O516" s="92"/>
      <c r="P516" s="92"/>
      <c r="Q516" s="31"/>
      <c r="R516" s="92"/>
      <c r="S516" s="92"/>
      <c r="T516" s="31"/>
      <c r="U516" s="92"/>
      <c r="V516" s="92"/>
      <c r="W516" s="31"/>
      <c r="AA516" s="93"/>
      <c r="AB516" s="93"/>
      <c r="AC516" s="83"/>
      <c r="AD516" s="83"/>
      <c r="AE516" s="93"/>
      <c r="AF516" s="93"/>
      <c r="AG516" s="83"/>
      <c r="AH516" s="83"/>
      <c r="AI516" s="93"/>
      <c r="AJ516" s="93"/>
      <c r="AK516" s="83"/>
      <c r="AL516" s="83"/>
      <c r="AM516" s="93"/>
      <c r="AN516" s="93"/>
      <c r="AO516" s="83"/>
      <c r="AP516" s="83"/>
      <c r="AQ516" s="93"/>
      <c r="AR516" s="93"/>
      <c r="AS516" s="83"/>
      <c r="AT516" s="83"/>
      <c r="AU516" s="93"/>
      <c r="AV516" s="93"/>
      <c r="AW516" s="83"/>
      <c r="AX516" s="83"/>
      <c r="AY516" s="93"/>
      <c r="AZ516" s="93"/>
    </row>
    <row r="517" spans="2:52" hidden="1" outlineLevel="1" x14ac:dyDescent="0.45">
      <c r="B517" s="1396"/>
      <c r="C517" s="91" t="s">
        <v>772</v>
      </c>
      <c r="D517" s="115"/>
      <c r="E517" s="116" t="s">
        <v>319</v>
      </c>
      <c r="F517" s="130" t="e">
        <f t="shared" ref="F517:H521" si="132">I517+L517+O517+R517+U517</f>
        <v>#REF!</v>
      </c>
      <c r="G517" s="130">
        <f t="shared" si="132"/>
        <v>90597733.590000004</v>
      </c>
      <c r="H517" s="131">
        <f t="shared" si="132"/>
        <v>90899472.230000004</v>
      </c>
      <c r="I517" s="217">
        <f>I170+I232+I288+U346+I460</f>
        <v>7425488</v>
      </c>
      <c r="J517" s="217">
        <f t="shared" ref="J517:W520" si="133">J170+J232+J288+J346+J460</f>
        <v>2025816</v>
      </c>
      <c r="K517" s="217">
        <f t="shared" si="133"/>
        <v>971232</v>
      </c>
      <c r="L517" s="217">
        <f t="shared" si="133"/>
        <v>1093189.52</v>
      </c>
      <c r="M517" s="217">
        <f>M170+M232+O288+M346+M460</f>
        <v>2773339.81</v>
      </c>
      <c r="N517" s="217">
        <f t="shared" si="133"/>
        <v>105335.85</v>
      </c>
      <c r="O517" s="217" t="e">
        <f>O170+O232+#REF!+O346+O460</f>
        <v>#REF!</v>
      </c>
      <c r="P517" s="217">
        <f t="shared" si="133"/>
        <v>3569069.7800000003</v>
      </c>
      <c r="Q517" s="217">
        <f t="shared" si="133"/>
        <v>3243775.38</v>
      </c>
      <c r="R517" s="217">
        <f t="shared" si="133"/>
        <v>2900000</v>
      </c>
      <c r="S517" s="217">
        <f t="shared" si="133"/>
        <v>4356000</v>
      </c>
      <c r="T517" s="217">
        <f t="shared" si="133"/>
        <v>3242000</v>
      </c>
      <c r="U517" s="217" t="e">
        <f>U170+U232+U288+#REF!+U460</f>
        <v>#REF!</v>
      </c>
      <c r="V517" s="217">
        <f t="shared" si="133"/>
        <v>77873508</v>
      </c>
      <c r="W517" s="217">
        <f t="shared" si="133"/>
        <v>83337129</v>
      </c>
      <c r="AA517" s="93"/>
      <c r="AB517" s="93"/>
      <c r="AC517" s="83"/>
      <c r="AD517" s="83"/>
      <c r="AE517" s="93"/>
      <c r="AF517" s="93"/>
      <c r="AG517" s="83"/>
      <c r="AH517" s="83"/>
      <c r="AI517" s="93"/>
      <c r="AJ517" s="93"/>
      <c r="AK517" s="83"/>
      <c r="AL517" s="83"/>
      <c r="AM517" s="93"/>
      <c r="AN517" s="93"/>
      <c r="AO517" s="83"/>
      <c r="AP517" s="83"/>
      <c r="AQ517" s="93"/>
      <c r="AR517" s="93"/>
      <c r="AS517" s="83" t="s">
        <v>256</v>
      </c>
      <c r="AT517" s="83"/>
      <c r="AU517" s="93"/>
      <c r="AV517" s="93"/>
      <c r="AW517" s="83"/>
      <c r="AX517" s="83"/>
      <c r="AY517" s="93"/>
      <c r="AZ517" s="93"/>
    </row>
    <row r="518" spans="2:52" hidden="1" outlineLevel="1" x14ac:dyDescent="0.45">
      <c r="B518" s="1396"/>
      <c r="C518" s="91" t="s">
        <v>773</v>
      </c>
      <c r="D518" s="115"/>
      <c r="E518" s="116" t="s">
        <v>509</v>
      </c>
      <c r="F518" s="130" t="e">
        <f t="shared" si="132"/>
        <v>#REF!</v>
      </c>
      <c r="G518" s="130">
        <f t="shared" si="132"/>
        <v>2194184308.7399998</v>
      </c>
      <c r="H518" s="131">
        <f t="shared" si="132"/>
        <v>2236636491.9000001</v>
      </c>
      <c r="I518" s="217">
        <f>I171+I233+I289+U347+I461</f>
        <v>5642064</v>
      </c>
      <c r="J518" s="217">
        <f t="shared" si="133"/>
        <v>1243913</v>
      </c>
      <c r="K518" s="217">
        <f t="shared" si="133"/>
        <v>313420</v>
      </c>
      <c r="L518" s="217">
        <f t="shared" si="133"/>
        <v>157500</v>
      </c>
      <c r="M518" s="217">
        <f>M171+M233+O289+M347+M461</f>
        <v>11609413</v>
      </c>
      <c r="N518" s="217">
        <f t="shared" si="133"/>
        <v>0</v>
      </c>
      <c r="O518" s="217" t="e">
        <f>O171+O233+#REF!+O347+O461</f>
        <v>#REF!</v>
      </c>
      <c r="P518" s="217">
        <f t="shared" si="133"/>
        <v>16355219.74</v>
      </c>
      <c r="Q518" s="217">
        <f t="shared" si="133"/>
        <v>16460124.9</v>
      </c>
      <c r="R518" s="217">
        <f t="shared" si="133"/>
        <v>10104396</v>
      </c>
      <c r="S518" s="217">
        <f t="shared" si="133"/>
        <v>13221991</v>
      </c>
      <c r="T518" s="217">
        <f t="shared" si="133"/>
        <v>8660989</v>
      </c>
      <c r="U518" s="217" t="e">
        <f>U171+U233+U289+#REF!+U461</f>
        <v>#REF!</v>
      </c>
      <c r="V518" s="217">
        <f t="shared" si="133"/>
        <v>2151753772</v>
      </c>
      <c r="W518" s="217">
        <f t="shared" si="133"/>
        <v>2211201958</v>
      </c>
      <c r="AA518" s="93"/>
      <c r="AB518" s="93"/>
      <c r="AC518" s="83"/>
      <c r="AD518" s="83"/>
      <c r="AE518" s="93"/>
      <c r="AF518" s="93"/>
      <c r="AG518" s="83"/>
      <c r="AH518" s="83"/>
      <c r="AI518" s="93"/>
      <c r="AJ518" s="93"/>
      <c r="AK518" s="83"/>
      <c r="AL518" s="83"/>
      <c r="AM518" s="93"/>
      <c r="AN518" s="93"/>
      <c r="AO518" s="83"/>
      <c r="AP518" s="83"/>
      <c r="AQ518" s="93"/>
      <c r="AR518" s="93"/>
      <c r="AS518" s="83"/>
      <c r="AT518" s="83"/>
      <c r="AU518" s="93"/>
      <c r="AV518" s="93"/>
      <c r="AW518" s="83"/>
      <c r="AX518" s="83"/>
      <c r="AY518" s="93"/>
      <c r="AZ518" s="93"/>
    </row>
    <row r="519" spans="2:52" hidden="1" outlineLevel="1" x14ac:dyDescent="0.45">
      <c r="B519" s="1396"/>
      <c r="C519" s="91" t="s">
        <v>774</v>
      </c>
      <c r="D519" s="115"/>
      <c r="E519" s="116" t="s">
        <v>324</v>
      </c>
      <c r="F519" s="130" t="e">
        <f t="shared" si="132"/>
        <v>#REF!</v>
      </c>
      <c r="G519" s="130">
        <f t="shared" si="132"/>
        <v>221223076.58000001</v>
      </c>
      <c r="H519" s="131">
        <f t="shared" si="132"/>
        <v>143454920.06</v>
      </c>
      <c r="I519" s="217">
        <f>I172+I234+I290+U348+I462</f>
        <v>4792076</v>
      </c>
      <c r="J519" s="217">
        <f t="shared" si="133"/>
        <v>1353522</v>
      </c>
      <c r="K519" s="217">
        <f t="shared" si="133"/>
        <v>1084930</v>
      </c>
      <c r="L519" s="217">
        <f t="shared" si="133"/>
        <v>0</v>
      </c>
      <c r="M519" s="217">
        <f>M172+M234+O290+M348+M462</f>
        <v>4738178.41</v>
      </c>
      <c r="N519" s="217">
        <f t="shared" si="133"/>
        <v>0</v>
      </c>
      <c r="O519" s="217" t="e">
        <f>O172+O234+#REF!+O348+O462</f>
        <v>#REF!</v>
      </c>
      <c r="P519" s="217">
        <f t="shared" si="133"/>
        <v>6998820.1699999999</v>
      </c>
      <c r="Q519" s="217">
        <f t="shared" si="133"/>
        <v>5362825.0599999996</v>
      </c>
      <c r="R519" s="217">
        <f t="shared" si="133"/>
        <v>0</v>
      </c>
      <c r="S519" s="217">
        <f t="shared" si="133"/>
        <v>0</v>
      </c>
      <c r="T519" s="217">
        <f t="shared" si="133"/>
        <v>0</v>
      </c>
      <c r="U519" s="217" t="e">
        <f>U172+U234+U290+#REF!+U462</f>
        <v>#REF!</v>
      </c>
      <c r="V519" s="217">
        <f t="shared" si="133"/>
        <v>208132556</v>
      </c>
      <c r="W519" s="217">
        <f t="shared" si="133"/>
        <v>137007165</v>
      </c>
      <c r="AA519" s="93"/>
      <c r="AB519" s="93"/>
      <c r="AC519" s="83"/>
      <c r="AD519" s="83"/>
      <c r="AE519" s="93"/>
      <c r="AF519" s="93"/>
      <c r="AG519" s="83"/>
      <c r="AH519" s="83"/>
      <c r="AI519" s="93"/>
      <c r="AJ519" s="93"/>
      <c r="AK519" s="83"/>
      <c r="AL519" s="83"/>
      <c r="AM519" s="93"/>
      <c r="AN519" s="93"/>
      <c r="AO519" s="83"/>
      <c r="AP519" s="83"/>
      <c r="AQ519" s="93"/>
      <c r="AR519" s="93"/>
      <c r="AS519" s="83" t="s">
        <v>256</v>
      </c>
      <c r="AT519" s="83"/>
      <c r="AU519" s="93"/>
      <c r="AV519" s="93"/>
      <c r="AW519" s="83"/>
      <c r="AX519" s="83"/>
      <c r="AY519" s="93"/>
      <c r="AZ519" s="93"/>
    </row>
    <row r="520" spans="2:52" hidden="1" outlineLevel="1" x14ac:dyDescent="0.45">
      <c r="B520" s="1396"/>
      <c r="C520" s="91" t="s">
        <v>775</v>
      </c>
      <c r="D520" s="115"/>
      <c r="E520" s="116" t="s">
        <v>444</v>
      </c>
      <c r="F520" s="130" t="e">
        <f t="shared" si="132"/>
        <v>#REF!</v>
      </c>
      <c r="G520" s="130">
        <f t="shared" si="132"/>
        <v>248399145.23999998</v>
      </c>
      <c r="H520" s="131">
        <f t="shared" si="132"/>
        <v>332736497</v>
      </c>
      <c r="I520" s="217">
        <f>I173+I235+I291+U349+I463</f>
        <v>43165180.920000002</v>
      </c>
      <c r="J520" s="217">
        <f t="shared" si="133"/>
        <v>897187.48</v>
      </c>
      <c r="K520" s="217">
        <f t="shared" si="133"/>
        <v>774351</v>
      </c>
      <c r="L520" s="217">
        <f t="shared" si="133"/>
        <v>13742.9</v>
      </c>
      <c r="M520" s="217">
        <f t="shared" si="133"/>
        <v>4031.2</v>
      </c>
      <c r="N520" s="217">
        <f t="shared" si="133"/>
        <v>125</v>
      </c>
      <c r="O520" s="217">
        <f t="shared" si="133"/>
        <v>23972525.309999999</v>
      </c>
      <c r="P520" s="217">
        <f t="shared" si="133"/>
        <v>18648409.489999998</v>
      </c>
      <c r="Q520" s="217">
        <f t="shared" si="133"/>
        <v>903268</v>
      </c>
      <c r="R520" s="217">
        <f t="shared" si="133"/>
        <v>297619404.39999998</v>
      </c>
      <c r="S520" s="217">
        <f t="shared" si="133"/>
        <v>185615322.5</v>
      </c>
      <c r="T520" s="217">
        <f t="shared" si="133"/>
        <v>307598485</v>
      </c>
      <c r="U520" s="217" t="e">
        <f>U173+U235+U291+#REF!+U463</f>
        <v>#REF!</v>
      </c>
      <c r="V520" s="217">
        <f t="shared" si="133"/>
        <v>43234194.57</v>
      </c>
      <c r="W520" s="217">
        <f t="shared" si="133"/>
        <v>23460268</v>
      </c>
      <c r="AA520" s="93"/>
      <c r="AB520" s="93"/>
      <c r="AC520" s="83"/>
      <c r="AD520" s="83"/>
      <c r="AE520" s="93"/>
      <c r="AF520" s="93"/>
      <c r="AG520" s="83"/>
      <c r="AH520" s="83"/>
      <c r="AI520" s="93"/>
      <c r="AJ520" s="93"/>
      <c r="AK520" s="83"/>
      <c r="AL520" s="83"/>
      <c r="AM520" s="93"/>
      <c r="AN520" s="93"/>
      <c r="AO520" s="83"/>
      <c r="AP520" s="83"/>
      <c r="AQ520" s="93"/>
      <c r="AR520" s="93"/>
      <c r="AS520" s="83"/>
      <c r="AT520" s="83"/>
      <c r="AU520" s="93"/>
      <c r="AV520" s="93"/>
      <c r="AW520" s="83"/>
      <c r="AX520" s="83"/>
      <c r="AY520" s="93"/>
      <c r="AZ520" s="93"/>
    </row>
    <row r="521" spans="2:52" hidden="1" outlineLevel="1" x14ac:dyDescent="0.45">
      <c r="B521" s="1396"/>
      <c r="C521" s="91" t="s">
        <v>776</v>
      </c>
      <c r="D521" s="115"/>
      <c r="E521" s="12" t="s">
        <v>330</v>
      </c>
      <c r="F521" s="130" t="e">
        <f t="shared" si="132"/>
        <v>#REF!</v>
      </c>
      <c r="G521" s="130">
        <f t="shared" si="132"/>
        <v>2754404264.1500001</v>
      </c>
      <c r="H521" s="131">
        <f t="shared" si="132"/>
        <v>2803727381.1900001</v>
      </c>
      <c r="I521" s="223">
        <f t="shared" ref="I521:W521" si="134">SUM(I517:I520)</f>
        <v>61024808.920000002</v>
      </c>
      <c r="J521" s="224">
        <f t="shared" si="134"/>
        <v>5520438.4800000004</v>
      </c>
      <c r="K521" s="225">
        <f t="shared" si="134"/>
        <v>3143933</v>
      </c>
      <c r="L521" s="224">
        <f t="shared" si="134"/>
        <v>1264432.42</v>
      </c>
      <c r="M521" s="224">
        <f t="shared" si="134"/>
        <v>19124962.419999998</v>
      </c>
      <c r="N521" s="225">
        <f t="shared" si="134"/>
        <v>105460.85</v>
      </c>
      <c r="O521" s="224" t="e">
        <f t="shared" si="134"/>
        <v>#REF!</v>
      </c>
      <c r="P521" s="224">
        <f t="shared" si="134"/>
        <v>45571519.179999992</v>
      </c>
      <c r="Q521" s="225">
        <f t="shared" si="134"/>
        <v>25969993.34</v>
      </c>
      <c r="R521" s="224">
        <f t="shared" si="134"/>
        <v>310623800.39999998</v>
      </c>
      <c r="S521" s="224">
        <f t="shared" si="134"/>
        <v>203193313.5</v>
      </c>
      <c r="T521" s="225">
        <f t="shared" si="134"/>
        <v>319501474</v>
      </c>
      <c r="U521" s="224" t="e">
        <f t="shared" si="134"/>
        <v>#REF!</v>
      </c>
      <c r="V521" s="224">
        <f t="shared" si="134"/>
        <v>2480994030.5700002</v>
      </c>
      <c r="W521" s="225">
        <f t="shared" si="134"/>
        <v>2455006520</v>
      </c>
      <c r="AA521" s="93"/>
      <c r="AB521" s="93"/>
      <c r="AC521" s="83"/>
      <c r="AD521" s="83"/>
      <c r="AE521" s="93"/>
      <c r="AF521" s="93"/>
      <c r="AG521" s="83"/>
      <c r="AH521" s="83"/>
      <c r="AI521" s="93"/>
      <c r="AJ521" s="93"/>
      <c r="AK521" s="83"/>
      <c r="AL521" s="83"/>
      <c r="AM521" s="93"/>
      <c r="AN521" s="93"/>
      <c r="AO521" s="83"/>
      <c r="AP521" s="83"/>
      <c r="AQ521" s="93"/>
      <c r="AR521" s="93"/>
      <c r="AS521" s="83"/>
      <c r="AT521" s="83"/>
      <c r="AU521" s="93"/>
      <c r="AV521" s="93"/>
      <c r="AW521" s="83"/>
      <c r="AX521" s="83"/>
      <c r="AY521" s="93"/>
      <c r="AZ521" s="93"/>
    </row>
    <row r="522" spans="2:52" hidden="1" outlineLevel="1" x14ac:dyDescent="0.45">
      <c r="B522" s="1396"/>
      <c r="C522" s="91" t="s">
        <v>777</v>
      </c>
      <c r="D522" s="115"/>
      <c r="E522" s="12" t="s">
        <v>332</v>
      </c>
      <c r="F522" s="89"/>
      <c r="G522" s="89"/>
      <c r="H522" s="23"/>
      <c r="I522" s="226"/>
      <c r="J522" s="227"/>
      <c r="K522" s="228"/>
      <c r="L522" s="227"/>
      <c r="M522" s="227"/>
      <c r="N522" s="228"/>
      <c r="O522" s="227"/>
      <c r="P522" s="227"/>
      <c r="Q522" s="228"/>
      <c r="R522" s="227"/>
      <c r="S522" s="227"/>
      <c r="T522" s="228"/>
      <c r="U522" s="227"/>
      <c r="V522" s="227"/>
      <c r="W522" s="228"/>
      <c r="AA522" s="93"/>
      <c r="AB522" s="93"/>
      <c r="AC522" s="83"/>
      <c r="AD522" s="83"/>
      <c r="AE522" s="93"/>
      <c r="AF522" s="93"/>
      <c r="AG522" s="83"/>
      <c r="AH522" s="83"/>
      <c r="AI522" s="93"/>
      <c r="AJ522" s="93"/>
      <c r="AK522" s="83"/>
      <c r="AL522" s="83"/>
      <c r="AM522" s="93"/>
      <c r="AN522" s="93"/>
      <c r="AO522" s="83"/>
      <c r="AP522" s="83"/>
      <c r="AQ522" s="93"/>
      <c r="AR522" s="93"/>
      <c r="AS522" s="83"/>
      <c r="AT522" s="83"/>
      <c r="AU522" s="93"/>
      <c r="AV522" s="93"/>
      <c r="AW522" s="83"/>
      <c r="AX522" s="83"/>
      <c r="AY522" s="93"/>
      <c r="AZ522" s="93"/>
    </row>
    <row r="523" spans="2:52" hidden="1" outlineLevel="1" x14ac:dyDescent="0.45">
      <c r="B523" s="1396"/>
      <c r="C523" s="91" t="s">
        <v>778</v>
      </c>
      <c r="D523" s="115"/>
      <c r="E523" s="229" t="s">
        <v>334</v>
      </c>
      <c r="F523" s="89"/>
      <c r="G523" s="89"/>
      <c r="H523" s="23"/>
      <c r="I523" s="226"/>
      <c r="J523" s="227"/>
      <c r="K523" s="228"/>
      <c r="L523" s="227"/>
      <c r="M523" s="227"/>
      <c r="N523" s="228"/>
      <c r="O523" s="227"/>
      <c r="P523" s="227"/>
      <c r="Q523" s="228"/>
      <c r="R523" s="227"/>
      <c r="S523" s="227"/>
      <c r="T523" s="228"/>
      <c r="U523" s="227"/>
      <c r="V523" s="227"/>
      <c r="W523" s="228"/>
      <c r="AA523" s="93"/>
      <c r="AB523" s="93"/>
      <c r="AC523" s="83"/>
      <c r="AD523" s="83"/>
      <c r="AE523" s="93"/>
      <c r="AF523" s="93"/>
      <c r="AG523" s="83"/>
      <c r="AH523" s="83"/>
      <c r="AI523" s="93"/>
      <c r="AJ523" s="93"/>
      <c r="AK523" s="83"/>
      <c r="AL523" s="83"/>
      <c r="AM523" s="93"/>
      <c r="AN523" s="93"/>
      <c r="AO523" s="83"/>
      <c r="AP523" s="83"/>
      <c r="AQ523" s="93"/>
      <c r="AR523" s="93"/>
      <c r="AS523" s="83"/>
      <c r="AT523" s="83"/>
      <c r="AU523" s="93"/>
      <c r="AV523" s="93"/>
      <c r="AW523" s="83"/>
      <c r="AX523" s="83"/>
      <c r="AY523" s="93"/>
      <c r="AZ523" s="93"/>
    </row>
    <row r="524" spans="2:52" hidden="1" outlineLevel="1" x14ac:dyDescent="0.45">
      <c r="B524" s="1396"/>
      <c r="C524" s="91" t="s">
        <v>779</v>
      </c>
      <c r="D524" s="115"/>
      <c r="E524" s="116" t="s">
        <v>336</v>
      </c>
      <c r="F524" s="130" t="e">
        <f t="shared" ref="F524:H534" si="135">I524+L524+O524+R524+U524</f>
        <v>#REF!</v>
      </c>
      <c r="G524" s="130">
        <f t="shared" si="135"/>
        <v>103109110.81999999</v>
      </c>
      <c r="H524" s="131">
        <f t="shared" si="135"/>
        <v>53636121.140000001</v>
      </c>
      <c r="I524" s="217">
        <f t="shared" ref="I524:I534" si="136">I177+I239+I295+U353+I467</f>
        <v>18071130</v>
      </c>
      <c r="J524" s="217">
        <f t="shared" ref="J524:W534" si="137">J177+J239+J295+J353+J467</f>
        <v>3181846</v>
      </c>
      <c r="K524" s="217">
        <f t="shared" si="137"/>
        <v>217752</v>
      </c>
      <c r="L524" s="217">
        <f t="shared" si="137"/>
        <v>0</v>
      </c>
      <c r="M524" s="217">
        <f t="shared" si="137"/>
        <v>591000</v>
      </c>
      <c r="N524" s="217">
        <f t="shared" si="137"/>
        <v>0</v>
      </c>
      <c r="O524" s="217">
        <f t="shared" si="137"/>
        <v>51302454.760000005</v>
      </c>
      <c r="P524" s="217">
        <f t="shared" si="137"/>
        <v>40308996.979999997</v>
      </c>
      <c r="Q524" s="217">
        <f t="shared" si="137"/>
        <v>18267708.699999999</v>
      </c>
      <c r="R524" s="217">
        <f t="shared" si="137"/>
        <v>20026132.399999999</v>
      </c>
      <c r="S524" s="217">
        <f t="shared" si="137"/>
        <v>19977853.48</v>
      </c>
      <c r="T524" s="217">
        <f t="shared" si="137"/>
        <v>25553795.780000001</v>
      </c>
      <c r="U524" s="217" t="e">
        <f>U177+U239+U295+#REF!+U467</f>
        <v>#REF!</v>
      </c>
      <c r="V524" s="217">
        <f t="shared" si="137"/>
        <v>39049414.359999999</v>
      </c>
      <c r="W524" s="217">
        <f t="shared" si="137"/>
        <v>9596864.6600000001</v>
      </c>
      <c r="AA524" s="93"/>
      <c r="AB524" s="93"/>
      <c r="AC524" s="83"/>
      <c r="AD524" s="83"/>
      <c r="AE524" s="93"/>
      <c r="AF524" s="93"/>
      <c r="AG524" s="83"/>
      <c r="AH524" s="83"/>
      <c r="AI524" s="93"/>
      <c r="AJ524" s="93"/>
      <c r="AK524" s="83"/>
      <c r="AL524" s="83"/>
      <c r="AM524" s="93"/>
      <c r="AN524" s="93"/>
      <c r="AO524" s="83"/>
      <c r="AP524" s="83"/>
      <c r="AQ524" s="93"/>
      <c r="AR524" s="93"/>
      <c r="AS524" s="1384" t="s">
        <v>337</v>
      </c>
      <c r="AT524" s="83"/>
      <c r="AU524" s="93"/>
      <c r="AV524" s="93"/>
      <c r="AW524" s="1385" t="s">
        <v>338</v>
      </c>
      <c r="AX524" s="83"/>
      <c r="AY524" s="93"/>
      <c r="AZ524" s="93"/>
    </row>
    <row r="525" spans="2:52" hidden="1" outlineLevel="1" x14ac:dyDescent="0.45">
      <c r="B525" s="1396"/>
      <c r="C525" s="91" t="s">
        <v>780</v>
      </c>
      <c r="D525" s="115"/>
      <c r="E525" s="116" t="s">
        <v>340</v>
      </c>
      <c r="F525" s="130" t="e">
        <f t="shared" si="135"/>
        <v>#REF!</v>
      </c>
      <c r="G525" s="130">
        <f t="shared" si="135"/>
        <v>170936297.71019417</v>
      </c>
      <c r="H525" s="131">
        <f t="shared" si="135"/>
        <v>155025175.64272606</v>
      </c>
      <c r="I525" s="217">
        <f t="shared" si="136"/>
        <v>125818987.2580311</v>
      </c>
      <c r="J525" s="217">
        <f t="shared" si="137"/>
        <v>2792924.9101941749</v>
      </c>
      <c r="K525" s="217">
        <f t="shared" si="137"/>
        <v>2167847.8427260811</v>
      </c>
      <c r="L525" s="217">
        <f t="shared" si="137"/>
        <v>0</v>
      </c>
      <c r="M525" s="217">
        <f t="shared" si="137"/>
        <v>0</v>
      </c>
      <c r="N525" s="217">
        <f t="shared" si="137"/>
        <v>0</v>
      </c>
      <c r="O525" s="217">
        <f t="shared" si="137"/>
        <v>15432316.280000001</v>
      </c>
      <c r="P525" s="217">
        <f t="shared" si="137"/>
        <v>3696465.18</v>
      </c>
      <c r="Q525" s="217">
        <f t="shared" si="137"/>
        <v>3455164.6</v>
      </c>
      <c r="R525" s="217">
        <f t="shared" si="137"/>
        <v>3885966.44</v>
      </c>
      <c r="S525" s="217">
        <f t="shared" si="137"/>
        <v>14691907.619999999</v>
      </c>
      <c r="T525" s="217">
        <f t="shared" si="137"/>
        <v>11325163.199999999</v>
      </c>
      <c r="U525" s="217" t="e">
        <f>U178+U240+U296+#REF!+U468</f>
        <v>#REF!</v>
      </c>
      <c r="V525" s="217">
        <f t="shared" si="137"/>
        <v>149755000</v>
      </c>
      <c r="W525" s="217">
        <f t="shared" si="137"/>
        <v>138077000</v>
      </c>
      <c r="AA525" s="93"/>
      <c r="AB525" s="93"/>
      <c r="AC525" s="83"/>
      <c r="AD525" s="83"/>
      <c r="AE525" s="93"/>
      <c r="AF525" s="93"/>
      <c r="AG525" s="83"/>
      <c r="AH525" s="83"/>
      <c r="AI525" s="93"/>
      <c r="AJ525" s="93"/>
      <c r="AK525" s="83"/>
      <c r="AL525" s="83"/>
      <c r="AM525" s="93"/>
      <c r="AN525" s="93"/>
      <c r="AO525" s="83"/>
      <c r="AP525" s="83"/>
      <c r="AQ525" s="93"/>
      <c r="AR525" s="93"/>
      <c r="AS525" s="1385"/>
      <c r="AT525" s="83"/>
      <c r="AU525" s="93"/>
      <c r="AV525" s="93"/>
      <c r="AW525" s="1385"/>
      <c r="AX525" s="83"/>
      <c r="AY525" s="93"/>
      <c r="AZ525" s="93"/>
    </row>
    <row r="526" spans="2:52" hidden="1" outlineLevel="1" x14ac:dyDescent="0.45">
      <c r="B526" s="1396"/>
      <c r="C526" s="91" t="s">
        <v>781</v>
      </c>
      <c r="D526" s="115"/>
      <c r="E526" s="116" t="s">
        <v>342</v>
      </c>
      <c r="F526" s="130" t="e">
        <f t="shared" si="135"/>
        <v>#REF!</v>
      </c>
      <c r="G526" s="130">
        <f t="shared" si="135"/>
        <v>88932325.780000001</v>
      </c>
      <c r="H526" s="131">
        <f t="shared" si="135"/>
        <v>114847685.90000001</v>
      </c>
      <c r="I526" s="217">
        <f t="shared" si="136"/>
        <v>0</v>
      </c>
      <c r="J526" s="217">
        <f t="shared" si="137"/>
        <v>0</v>
      </c>
      <c r="K526" s="217">
        <f t="shared" si="137"/>
        <v>0</v>
      </c>
      <c r="L526" s="217">
        <f t="shared" si="137"/>
        <v>0</v>
      </c>
      <c r="M526" s="217">
        <f>M179+M241+M300+M355+M469</f>
        <v>0</v>
      </c>
      <c r="N526" s="217">
        <f t="shared" si="137"/>
        <v>0</v>
      </c>
      <c r="O526" s="217">
        <f t="shared" si="137"/>
        <v>59572252.899999999</v>
      </c>
      <c r="P526" s="217">
        <f t="shared" si="137"/>
        <v>43130474.939999998</v>
      </c>
      <c r="Q526" s="217">
        <f t="shared" si="137"/>
        <v>54124801</v>
      </c>
      <c r="R526" s="217">
        <f t="shared" si="137"/>
        <v>42915453.5</v>
      </c>
      <c r="S526" s="217">
        <f t="shared" si="137"/>
        <v>44540357.159999996</v>
      </c>
      <c r="T526" s="217">
        <f t="shared" si="137"/>
        <v>60121284.980000004</v>
      </c>
      <c r="U526" s="217" t="e">
        <f>U179+U241+U297+#REF!+U469</f>
        <v>#REF!</v>
      </c>
      <c r="V526" s="217">
        <f t="shared" si="137"/>
        <v>1261493.68</v>
      </c>
      <c r="W526" s="217">
        <f t="shared" si="137"/>
        <v>601599.92000000004</v>
      </c>
      <c r="AA526" s="93"/>
      <c r="AB526" s="93"/>
      <c r="AC526" s="83"/>
      <c r="AD526" s="83"/>
      <c r="AE526" s="93"/>
      <c r="AF526" s="93"/>
      <c r="AG526" s="83"/>
      <c r="AH526" s="83"/>
      <c r="AI526" s="93"/>
      <c r="AJ526" s="93"/>
      <c r="AK526" s="83"/>
      <c r="AL526" s="83"/>
      <c r="AM526" s="93"/>
      <c r="AN526" s="93"/>
      <c r="AO526" s="83"/>
      <c r="AP526" s="83"/>
      <c r="AQ526" s="93"/>
      <c r="AR526" s="93"/>
      <c r="AS526" s="1385"/>
      <c r="AT526" s="83"/>
      <c r="AU526" s="93"/>
      <c r="AV526" s="93"/>
      <c r="AW526" s="1385"/>
      <c r="AX526" s="83"/>
      <c r="AY526" s="93"/>
      <c r="AZ526" s="93"/>
    </row>
    <row r="527" spans="2:52" hidden="1" outlineLevel="1" x14ac:dyDescent="0.45">
      <c r="B527" s="1396"/>
      <c r="C527" s="91" t="s">
        <v>782</v>
      </c>
      <c r="D527" s="115"/>
      <c r="E527" s="116" t="s">
        <v>344</v>
      </c>
      <c r="F527" s="130" t="e">
        <f t="shared" si="135"/>
        <v>#REF!</v>
      </c>
      <c r="G527" s="130">
        <f t="shared" si="135"/>
        <v>2376377329.4899998</v>
      </c>
      <c r="H527" s="131">
        <f t="shared" si="135"/>
        <v>2177023731</v>
      </c>
      <c r="I527" s="217">
        <f t="shared" si="136"/>
        <v>691992000</v>
      </c>
      <c r="J527" s="217">
        <f t="shared" si="137"/>
        <v>0</v>
      </c>
      <c r="K527" s="217">
        <f t="shared" si="137"/>
        <v>0</v>
      </c>
      <c r="L527" s="217">
        <f t="shared" si="137"/>
        <v>0</v>
      </c>
      <c r="M527" s="217">
        <f>M180+M242+O298+M356+M470</f>
        <v>3654481.17</v>
      </c>
      <c r="N527" s="217">
        <f t="shared" si="137"/>
        <v>0</v>
      </c>
      <c r="O527" s="217" t="e">
        <f>O180+O242+#REF!+O356+O470</f>
        <v>#REF!</v>
      </c>
      <c r="P527" s="217">
        <f t="shared" si="137"/>
        <v>8365983.3200000003</v>
      </c>
      <c r="Q527" s="217">
        <f t="shared" si="137"/>
        <v>1637</v>
      </c>
      <c r="R527" s="217">
        <f t="shared" si="137"/>
        <v>1211567.92</v>
      </c>
      <c r="S527" s="217">
        <f t="shared" si="137"/>
        <v>0</v>
      </c>
      <c r="T527" s="217">
        <f t="shared" si="137"/>
        <v>0</v>
      </c>
      <c r="U527" s="217" t="e">
        <f>U180+U242+U298+#REF!+U470</f>
        <v>#REF!</v>
      </c>
      <c r="V527" s="217">
        <f t="shared" si="137"/>
        <v>2364356865</v>
      </c>
      <c r="W527" s="217">
        <f t="shared" si="137"/>
        <v>2177022094</v>
      </c>
      <c r="AA527" s="93"/>
      <c r="AB527" s="93"/>
      <c r="AC527" s="83"/>
      <c r="AD527" s="83"/>
      <c r="AE527" s="93"/>
      <c r="AF527" s="93"/>
      <c r="AG527" s="83"/>
      <c r="AH527" s="83"/>
      <c r="AI527" s="93"/>
      <c r="AJ527" s="93"/>
      <c r="AK527" s="83"/>
      <c r="AL527" s="83"/>
      <c r="AM527" s="93"/>
      <c r="AN527" s="93"/>
      <c r="AO527" s="83"/>
      <c r="AP527" s="83"/>
      <c r="AQ527" s="93"/>
      <c r="AR527" s="93"/>
      <c r="AS527" s="1386"/>
      <c r="AT527" s="83"/>
      <c r="AU527" s="93"/>
      <c r="AV527" s="93"/>
      <c r="AW527" s="1385"/>
      <c r="AX527" s="83"/>
      <c r="AY527" s="93"/>
      <c r="AZ527" s="93"/>
    </row>
    <row r="528" spans="2:52" hidden="1" outlineLevel="1" x14ac:dyDescent="0.45">
      <c r="B528" s="1396"/>
      <c r="C528" s="91" t="s">
        <v>783</v>
      </c>
      <c r="D528" s="115"/>
      <c r="E528" s="230"/>
      <c r="F528" s="130" t="e">
        <f t="shared" si="135"/>
        <v>#REF!</v>
      </c>
      <c r="G528" s="130">
        <f t="shared" si="135"/>
        <v>999726749.69000006</v>
      </c>
      <c r="H528" s="131">
        <f t="shared" si="135"/>
        <v>886122553.52999997</v>
      </c>
      <c r="I528" s="217">
        <f t="shared" si="136"/>
        <v>5717980</v>
      </c>
      <c r="J528" s="217">
        <f t="shared" si="137"/>
        <v>6056242</v>
      </c>
      <c r="K528" s="217">
        <f t="shared" si="137"/>
        <v>2050300</v>
      </c>
      <c r="L528" s="217">
        <f t="shared" si="137"/>
        <v>0</v>
      </c>
      <c r="M528" s="217">
        <f>M181+M243+O299+M357+M471</f>
        <v>207508254.19</v>
      </c>
      <c r="N528" s="217">
        <f t="shared" si="137"/>
        <v>0</v>
      </c>
      <c r="O528" s="217" t="e">
        <f>O181+O243+#REF!+O357+O471</f>
        <v>#REF!</v>
      </c>
      <c r="P528" s="217">
        <f t="shared" si="137"/>
        <v>184128899.5</v>
      </c>
      <c r="Q528" s="217">
        <f t="shared" si="137"/>
        <v>165424899.53</v>
      </c>
      <c r="R528" s="217">
        <f t="shared" si="137"/>
        <v>288078000</v>
      </c>
      <c r="S528" s="217">
        <f t="shared" si="137"/>
        <v>217080000</v>
      </c>
      <c r="T528" s="217">
        <f t="shared" si="137"/>
        <v>333694000</v>
      </c>
      <c r="U528" s="217" t="e">
        <f>U181+U243+U299+#REF!+U471</f>
        <v>#REF!</v>
      </c>
      <c r="V528" s="217">
        <f t="shared" si="137"/>
        <v>384953354</v>
      </c>
      <c r="W528" s="217">
        <f t="shared" si="137"/>
        <v>384953354</v>
      </c>
      <c r="AA528" s="93"/>
      <c r="AB528" s="93"/>
      <c r="AC528" s="83"/>
      <c r="AD528" s="83"/>
      <c r="AE528" s="93"/>
      <c r="AF528" s="93"/>
      <c r="AG528" s="83"/>
      <c r="AH528" s="83"/>
      <c r="AI528" s="93"/>
      <c r="AJ528" s="93"/>
      <c r="AK528" s="83"/>
      <c r="AL528" s="83"/>
      <c r="AM528" s="93"/>
      <c r="AN528" s="93"/>
      <c r="AO528" s="83"/>
      <c r="AP528" s="83"/>
      <c r="AQ528" s="93"/>
      <c r="AR528" s="93"/>
      <c r="AS528" s="83"/>
      <c r="AT528" s="83"/>
      <c r="AU528" s="93"/>
      <c r="AV528" s="93"/>
      <c r="AW528" s="83"/>
      <c r="AX528" s="83"/>
      <c r="AY528" s="93"/>
      <c r="AZ528" s="93"/>
    </row>
    <row r="529" spans="2:52" hidden="1" outlineLevel="1" x14ac:dyDescent="0.45">
      <c r="B529" s="1396"/>
      <c r="C529" s="91" t="s">
        <v>784</v>
      </c>
      <c r="D529" s="115"/>
      <c r="E529" s="230"/>
      <c r="F529" s="130" t="e">
        <f t="shared" si="135"/>
        <v>#REF!</v>
      </c>
      <c r="G529" s="130">
        <f t="shared" si="135"/>
        <v>18964292</v>
      </c>
      <c r="H529" s="131">
        <f t="shared" si="135"/>
        <v>58283413.850000001</v>
      </c>
      <c r="I529" s="217">
        <f t="shared" si="136"/>
        <v>2046000</v>
      </c>
      <c r="J529" s="217">
        <f t="shared" si="137"/>
        <v>0</v>
      </c>
      <c r="K529" s="217">
        <f t="shared" si="137"/>
        <v>0</v>
      </c>
      <c r="L529" s="217">
        <f t="shared" si="137"/>
        <v>0</v>
      </c>
      <c r="M529" s="217">
        <f>M182+M244+O300+M358+M472</f>
        <v>414479</v>
      </c>
      <c r="N529" s="217">
        <f t="shared" si="137"/>
        <v>0</v>
      </c>
      <c r="O529" s="217" t="e">
        <f>O182+O244+#REF!+O358+O472</f>
        <v>#REF!</v>
      </c>
      <c r="P529" s="217">
        <f t="shared" si="137"/>
        <v>65040</v>
      </c>
      <c r="Q529" s="217">
        <f t="shared" si="137"/>
        <v>3515464.85</v>
      </c>
      <c r="R529" s="217">
        <f t="shared" si="137"/>
        <v>0</v>
      </c>
      <c r="S529" s="217">
        <f t="shared" si="137"/>
        <v>0</v>
      </c>
      <c r="T529" s="217">
        <f t="shared" si="137"/>
        <v>0</v>
      </c>
      <c r="U529" s="217" t="e">
        <f>U182+U244+U300+#REF!+U472</f>
        <v>#REF!</v>
      </c>
      <c r="V529" s="217">
        <f t="shared" si="137"/>
        <v>18484773</v>
      </c>
      <c r="W529" s="217">
        <f t="shared" si="137"/>
        <v>54767949</v>
      </c>
      <c r="AA529" s="93"/>
      <c r="AB529" s="93"/>
      <c r="AC529" s="83"/>
      <c r="AD529" s="83"/>
      <c r="AE529" s="93"/>
      <c r="AF529" s="93"/>
      <c r="AG529" s="83"/>
      <c r="AH529" s="83"/>
      <c r="AI529" s="93"/>
      <c r="AJ529" s="93"/>
      <c r="AK529" s="83"/>
      <c r="AL529" s="83"/>
      <c r="AM529" s="93"/>
      <c r="AN529" s="93"/>
      <c r="AO529" s="83"/>
      <c r="AP529" s="83"/>
      <c r="AQ529" s="93"/>
      <c r="AR529" s="93"/>
      <c r="AS529" s="83"/>
      <c r="AT529" s="83"/>
      <c r="AU529" s="93"/>
      <c r="AV529" s="93"/>
      <c r="AW529" s="83"/>
      <c r="AX529" s="83"/>
      <c r="AY529" s="93"/>
      <c r="AZ529" s="93"/>
    </row>
    <row r="530" spans="2:52" hidden="1" outlineLevel="1" x14ac:dyDescent="0.45">
      <c r="B530" s="1396"/>
      <c r="C530" s="91" t="s">
        <v>785</v>
      </c>
      <c r="D530" s="115"/>
      <c r="E530" s="230"/>
      <c r="F530" s="130" t="e">
        <f t="shared" si="135"/>
        <v>#REF!</v>
      </c>
      <c r="G530" s="130">
        <f t="shared" si="135"/>
        <v>557446145</v>
      </c>
      <c r="H530" s="131">
        <f t="shared" si="135"/>
        <v>422845105</v>
      </c>
      <c r="I530" s="217">
        <f t="shared" si="136"/>
        <v>20193000</v>
      </c>
      <c r="J530" s="217">
        <f t="shared" si="137"/>
        <v>0</v>
      </c>
      <c r="K530" s="217">
        <f t="shared" si="137"/>
        <v>0</v>
      </c>
      <c r="L530" s="217">
        <f t="shared" si="137"/>
        <v>0</v>
      </c>
      <c r="M530" s="217">
        <f>M183+M245+O301+M359+M473</f>
        <v>56393400</v>
      </c>
      <c r="N530" s="217">
        <f t="shared" si="137"/>
        <v>0</v>
      </c>
      <c r="O530" s="217" t="e">
        <f>O183+O245+#REF!+O359+O473</f>
        <v>#REF!</v>
      </c>
      <c r="P530" s="217">
        <f t="shared" si="137"/>
        <v>105954000</v>
      </c>
      <c r="Q530" s="217">
        <f t="shared" si="137"/>
        <v>6904000</v>
      </c>
      <c r="R530" s="217">
        <f t="shared" si="137"/>
        <v>0</v>
      </c>
      <c r="S530" s="217">
        <f t="shared" si="137"/>
        <v>0</v>
      </c>
      <c r="T530" s="217">
        <f t="shared" si="137"/>
        <v>0</v>
      </c>
      <c r="U530" s="217" t="e">
        <f>U183+U245+U301+#REF!+U473</f>
        <v>#REF!</v>
      </c>
      <c r="V530" s="217">
        <f t="shared" si="137"/>
        <v>395098745</v>
      </c>
      <c r="W530" s="217">
        <f t="shared" si="137"/>
        <v>415941105</v>
      </c>
      <c r="AA530" s="93"/>
      <c r="AB530" s="93"/>
      <c r="AC530" s="83"/>
      <c r="AD530" s="83"/>
      <c r="AE530" s="93"/>
      <c r="AF530" s="93"/>
      <c r="AG530" s="83"/>
      <c r="AH530" s="83"/>
      <c r="AI530" s="93"/>
      <c r="AJ530" s="93"/>
      <c r="AK530" s="83"/>
      <c r="AL530" s="83"/>
      <c r="AM530" s="93"/>
      <c r="AN530" s="93"/>
      <c r="AO530" s="83"/>
      <c r="AP530" s="83"/>
      <c r="AQ530" s="93"/>
      <c r="AR530" s="93"/>
      <c r="AS530" s="83"/>
      <c r="AT530" s="83"/>
      <c r="AU530" s="93"/>
      <c r="AV530" s="93"/>
      <c r="AW530" s="83"/>
      <c r="AX530" s="83"/>
      <c r="AY530" s="93"/>
      <c r="AZ530" s="93"/>
    </row>
    <row r="531" spans="2:52" hidden="1" outlineLevel="1" x14ac:dyDescent="0.45">
      <c r="B531" s="1396"/>
      <c r="C531" s="91" t="s">
        <v>786</v>
      </c>
      <c r="D531" s="115"/>
      <c r="E531" s="230"/>
      <c r="F531" s="130" t="e">
        <f t="shared" si="135"/>
        <v>#REF!</v>
      </c>
      <c r="G531" s="130">
        <f t="shared" si="135"/>
        <v>1197049.3400000001</v>
      </c>
      <c r="H531" s="131">
        <f t="shared" si="135"/>
        <v>1132280.48</v>
      </c>
      <c r="I531" s="217">
        <f t="shared" si="136"/>
        <v>14000000</v>
      </c>
      <c r="J531" s="217">
        <f t="shared" si="137"/>
        <v>0</v>
      </c>
      <c r="K531" s="217">
        <f t="shared" si="137"/>
        <v>0</v>
      </c>
      <c r="L531" s="217">
        <f t="shared" si="137"/>
        <v>1197049.3400000001</v>
      </c>
      <c r="M531" s="217">
        <f t="shared" si="137"/>
        <v>1197049.3400000001</v>
      </c>
      <c r="N531" s="217">
        <f t="shared" si="137"/>
        <v>1132280.48</v>
      </c>
      <c r="O531" s="217">
        <f t="shared" si="137"/>
        <v>0</v>
      </c>
      <c r="P531" s="217">
        <f t="shared" si="137"/>
        <v>0</v>
      </c>
      <c r="Q531" s="217">
        <f t="shared" si="137"/>
        <v>0</v>
      </c>
      <c r="R531" s="217">
        <f t="shared" si="137"/>
        <v>0</v>
      </c>
      <c r="S531" s="217">
        <f t="shared" si="137"/>
        <v>0</v>
      </c>
      <c r="T531" s="217">
        <f t="shared" si="137"/>
        <v>0</v>
      </c>
      <c r="U531" s="217" t="e">
        <f>U184+U246+U302+#REF!+U474</f>
        <v>#REF!</v>
      </c>
      <c r="V531" s="217">
        <f t="shared" si="137"/>
        <v>0</v>
      </c>
      <c r="W531" s="217">
        <f t="shared" si="137"/>
        <v>0</v>
      </c>
      <c r="AA531" s="93"/>
      <c r="AB531" s="93"/>
      <c r="AC531" s="83"/>
      <c r="AD531" s="83"/>
      <c r="AE531" s="93"/>
      <c r="AF531" s="93"/>
      <c r="AG531" s="83"/>
      <c r="AH531" s="83"/>
      <c r="AI531" s="93"/>
      <c r="AJ531" s="93"/>
      <c r="AK531" s="83"/>
      <c r="AL531" s="83"/>
      <c r="AM531" s="93"/>
      <c r="AN531" s="93"/>
      <c r="AO531" s="83"/>
      <c r="AP531" s="83"/>
      <c r="AQ531" s="93"/>
      <c r="AR531" s="93"/>
      <c r="AS531" s="83"/>
      <c r="AT531" s="83"/>
      <c r="AU531" s="93"/>
      <c r="AV531" s="93"/>
      <c r="AW531" s="83"/>
      <c r="AX531" s="83"/>
      <c r="AY531" s="93"/>
      <c r="AZ531" s="93"/>
    </row>
    <row r="532" spans="2:52" hidden="1" outlineLevel="1" x14ac:dyDescent="0.45">
      <c r="B532" s="1396"/>
      <c r="C532" s="91" t="s">
        <v>787</v>
      </c>
      <c r="D532" s="115"/>
      <c r="E532" s="230"/>
      <c r="F532" s="130" t="e">
        <f t="shared" si="135"/>
        <v>#REF!</v>
      </c>
      <c r="G532" s="130">
        <f t="shared" si="135"/>
        <v>0</v>
      </c>
      <c r="H532" s="131">
        <f t="shared" si="135"/>
        <v>0</v>
      </c>
      <c r="I532" s="217">
        <f t="shared" si="136"/>
        <v>46309000</v>
      </c>
      <c r="J532" s="217">
        <f t="shared" si="137"/>
        <v>0</v>
      </c>
      <c r="K532" s="217">
        <f t="shared" si="137"/>
        <v>0</v>
      </c>
      <c r="L532" s="217">
        <f t="shared" si="137"/>
        <v>0</v>
      </c>
      <c r="M532" s="217">
        <f t="shared" si="137"/>
        <v>0</v>
      </c>
      <c r="N532" s="217">
        <f t="shared" si="137"/>
        <v>0</v>
      </c>
      <c r="O532" s="217">
        <f t="shared" si="137"/>
        <v>0</v>
      </c>
      <c r="P532" s="217">
        <f t="shared" si="137"/>
        <v>0</v>
      </c>
      <c r="Q532" s="217">
        <f t="shared" si="137"/>
        <v>0</v>
      </c>
      <c r="R532" s="217">
        <f t="shared" si="137"/>
        <v>0</v>
      </c>
      <c r="S532" s="217">
        <f t="shared" si="137"/>
        <v>0</v>
      </c>
      <c r="T532" s="217">
        <f t="shared" si="137"/>
        <v>0</v>
      </c>
      <c r="U532" s="217" t="e">
        <f>U185+U247+U303+#REF!+U475</f>
        <v>#REF!</v>
      </c>
      <c r="V532" s="217">
        <f t="shared" si="137"/>
        <v>0</v>
      </c>
      <c r="W532" s="217">
        <f t="shared" si="137"/>
        <v>0</v>
      </c>
      <c r="AA532" s="93"/>
      <c r="AB532" s="93"/>
      <c r="AC532" s="83"/>
      <c r="AD532" s="83"/>
      <c r="AE532" s="93"/>
      <c r="AF532" s="93"/>
      <c r="AG532" s="83"/>
      <c r="AH532" s="83"/>
      <c r="AI532" s="93"/>
      <c r="AJ532" s="93"/>
      <c r="AK532" s="83"/>
      <c r="AL532" s="83"/>
      <c r="AM532" s="93"/>
      <c r="AN532" s="93"/>
      <c r="AO532" s="83"/>
      <c r="AP532" s="83"/>
      <c r="AQ532" s="93"/>
      <c r="AR532" s="93"/>
      <c r="AS532" s="83"/>
      <c r="AT532" s="83"/>
      <c r="AU532" s="93"/>
      <c r="AV532" s="93"/>
      <c r="AW532" s="83"/>
      <c r="AX532" s="83"/>
      <c r="AY532" s="93"/>
      <c r="AZ532" s="93"/>
    </row>
    <row r="533" spans="2:52" hidden="1" outlineLevel="1" x14ac:dyDescent="0.45">
      <c r="B533" s="1396"/>
      <c r="C533" s="91" t="s">
        <v>788</v>
      </c>
      <c r="D533" s="115"/>
      <c r="E533" s="230"/>
      <c r="F533" s="130" t="e">
        <f t="shared" si="135"/>
        <v>#REF!</v>
      </c>
      <c r="G533" s="130">
        <f t="shared" si="135"/>
        <v>-547000</v>
      </c>
      <c r="H533" s="131">
        <f t="shared" si="135"/>
        <v>0</v>
      </c>
      <c r="I533" s="217">
        <f t="shared" si="136"/>
        <v>0</v>
      </c>
      <c r="J533" s="217">
        <f t="shared" si="137"/>
        <v>0</v>
      </c>
      <c r="K533" s="217">
        <f t="shared" si="137"/>
        <v>0</v>
      </c>
      <c r="L533" s="217">
        <f t="shared" si="137"/>
        <v>222000</v>
      </c>
      <c r="M533" s="217">
        <f t="shared" si="137"/>
        <v>-547000</v>
      </c>
      <c r="N533" s="217">
        <f t="shared" si="137"/>
        <v>0</v>
      </c>
      <c r="O533" s="217">
        <f t="shared" si="137"/>
        <v>0</v>
      </c>
      <c r="P533" s="217">
        <f t="shared" si="137"/>
        <v>0</v>
      </c>
      <c r="Q533" s="217">
        <f t="shared" si="137"/>
        <v>0</v>
      </c>
      <c r="R533" s="217">
        <f t="shared" si="137"/>
        <v>0</v>
      </c>
      <c r="S533" s="217">
        <f t="shared" si="137"/>
        <v>0</v>
      </c>
      <c r="T533" s="217">
        <f t="shared" si="137"/>
        <v>0</v>
      </c>
      <c r="U533" s="217" t="e">
        <f>U186+U248+U304+#REF!+U476</f>
        <v>#REF!</v>
      </c>
      <c r="V533" s="217">
        <f t="shared" si="137"/>
        <v>0</v>
      </c>
      <c r="W533" s="217">
        <f t="shared" si="137"/>
        <v>0</v>
      </c>
      <c r="AA533" s="93"/>
      <c r="AB533" s="93"/>
      <c r="AC533" s="83"/>
      <c r="AD533" s="83"/>
      <c r="AE533" s="93"/>
      <c r="AF533" s="93"/>
      <c r="AG533" s="83"/>
      <c r="AH533" s="83"/>
      <c r="AI533" s="93"/>
      <c r="AJ533" s="93"/>
      <c r="AK533" s="83"/>
      <c r="AL533" s="83"/>
      <c r="AM533" s="93"/>
      <c r="AN533" s="93"/>
      <c r="AO533" s="83"/>
      <c r="AP533" s="83"/>
      <c r="AQ533" s="93"/>
      <c r="AR533" s="93"/>
      <c r="AS533" s="83"/>
      <c r="AT533" s="83"/>
      <c r="AU533" s="93"/>
      <c r="AV533" s="93"/>
      <c r="AW533" s="83"/>
      <c r="AX533" s="83"/>
      <c r="AY533" s="93"/>
      <c r="AZ533" s="93"/>
    </row>
    <row r="534" spans="2:52" hidden="1" outlineLevel="1" x14ac:dyDescent="0.45">
      <c r="B534" s="1396"/>
      <c r="C534" s="91" t="s">
        <v>789</v>
      </c>
      <c r="D534" s="115"/>
      <c r="E534" s="230"/>
      <c r="F534" s="130" t="e">
        <f t="shared" si="135"/>
        <v>#REF!</v>
      </c>
      <c r="G534" s="130">
        <f t="shared" si="135"/>
        <v>16914255.324902914</v>
      </c>
      <c r="H534" s="131">
        <f t="shared" si="135"/>
        <v>9585430.9686369598</v>
      </c>
      <c r="I534" s="217">
        <f t="shared" si="136"/>
        <v>13399076.150984457</v>
      </c>
      <c r="J534" s="217">
        <f t="shared" si="137"/>
        <v>14787255.324902914</v>
      </c>
      <c r="K534" s="217">
        <f t="shared" si="137"/>
        <v>8183430.9686369598</v>
      </c>
      <c r="L534" s="217">
        <f t="shared" si="137"/>
        <v>2015000</v>
      </c>
      <c r="M534" s="217">
        <f t="shared" si="137"/>
        <v>2127000</v>
      </c>
      <c r="N534" s="217">
        <f t="shared" si="137"/>
        <v>1402000</v>
      </c>
      <c r="O534" s="217">
        <f t="shared" si="137"/>
        <v>0</v>
      </c>
      <c r="P534" s="217">
        <f t="shared" si="137"/>
        <v>0</v>
      </c>
      <c r="Q534" s="217">
        <f t="shared" si="137"/>
        <v>0</v>
      </c>
      <c r="R534" s="217">
        <f t="shared" si="137"/>
        <v>0</v>
      </c>
      <c r="S534" s="217">
        <f t="shared" si="137"/>
        <v>0</v>
      </c>
      <c r="T534" s="217">
        <f t="shared" si="137"/>
        <v>0</v>
      </c>
      <c r="U534" s="217" t="e">
        <f>U187+U249+U305+#REF!+U477</f>
        <v>#REF!</v>
      </c>
      <c r="V534" s="217">
        <f t="shared" si="137"/>
        <v>0</v>
      </c>
      <c r="W534" s="217">
        <f t="shared" si="137"/>
        <v>0</v>
      </c>
      <c r="AA534" s="93"/>
      <c r="AB534" s="93"/>
      <c r="AC534" s="83"/>
      <c r="AD534" s="83"/>
      <c r="AE534" s="93"/>
      <c r="AF534" s="93"/>
      <c r="AG534" s="83"/>
      <c r="AH534" s="83"/>
      <c r="AI534" s="93"/>
      <c r="AJ534" s="93"/>
      <c r="AK534" s="83"/>
      <c r="AL534" s="83"/>
      <c r="AM534" s="93"/>
      <c r="AN534" s="93"/>
      <c r="AO534" s="83"/>
      <c r="AP534" s="83"/>
      <c r="AQ534" s="93"/>
      <c r="AR534" s="93"/>
      <c r="AS534" s="83"/>
      <c r="AT534" s="83"/>
      <c r="AU534" s="93"/>
      <c r="AV534" s="93"/>
      <c r="AW534" s="83"/>
      <c r="AX534" s="83"/>
      <c r="AY534" s="93"/>
      <c r="AZ534" s="93"/>
    </row>
    <row r="535" spans="2:52" hidden="1" outlineLevel="1" x14ac:dyDescent="0.45">
      <c r="B535" s="1396"/>
      <c r="C535" s="91" t="s">
        <v>790</v>
      </c>
      <c r="D535" s="115"/>
      <c r="E535" s="235" t="s">
        <v>358</v>
      </c>
      <c r="F535" s="89"/>
      <c r="G535" s="89"/>
      <c r="H535" s="23"/>
      <c r="I535" s="236"/>
      <c r="J535" s="237"/>
      <c r="K535" s="238"/>
      <c r="L535" s="237"/>
      <c r="M535" s="237"/>
      <c r="N535" s="238"/>
      <c r="O535" s="237"/>
      <c r="P535" s="237"/>
      <c r="Q535" s="238"/>
      <c r="R535" s="237"/>
      <c r="S535" s="237"/>
      <c r="T535" s="238"/>
      <c r="U535" s="237"/>
      <c r="V535" s="237"/>
      <c r="W535" s="238"/>
      <c r="AA535" s="93"/>
      <c r="AB535" s="93"/>
      <c r="AC535" s="83"/>
      <c r="AD535" s="83"/>
      <c r="AE535" s="93"/>
      <c r="AF535" s="93"/>
      <c r="AG535" s="83"/>
      <c r="AH535" s="83"/>
      <c r="AI535" s="93"/>
      <c r="AJ535" s="93"/>
      <c r="AK535" s="83"/>
      <c r="AL535" s="83"/>
      <c r="AM535" s="93"/>
      <c r="AN535" s="93"/>
      <c r="AO535" s="83"/>
      <c r="AP535" s="83"/>
      <c r="AQ535" s="93"/>
      <c r="AR535" s="93"/>
      <c r="AS535" s="83"/>
      <c r="AT535" s="83"/>
      <c r="AU535" s="93"/>
      <c r="AV535" s="93"/>
      <c r="AW535" s="83"/>
      <c r="AX535" s="83"/>
      <c r="AY535" s="93"/>
      <c r="AZ535" s="93"/>
    </row>
    <row r="536" spans="2:52" hidden="1" outlineLevel="1" x14ac:dyDescent="0.45">
      <c r="B536" s="1396"/>
      <c r="C536" s="91" t="s">
        <v>791</v>
      </c>
      <c r="D536" s="115"/>
      <c r="E536" s="15" t="s">
        <v>360</v>
      </c>
      <c r="F536" s="130">
        <f t="shared" ref="F536:H541" si="138">I536+L536+O536+R536+U536</f>
        <v>57571196.333333336</v>
      </c>
      <c r="G536" s="130">
        <f t="shared" si="138"/>
        <v>64171816.583333336</v>
      </c>
      <c r="H536" s="131">
        <f t="shared" si="138"/>
        <v>70608804</v>
      </c>
      <c r="I536" s="217">
        <f t="shared" ref="I536:W539" si="139">I189+I251+I307+I365+I479</f>
        <v>20321512</v>
      </c>
      <c r="J536" s="217">
        <f t="shared" si="139"/>
        <v>23327679.700000003</v>
      </c>
      <c r="K536" s="217">
        <f t="shared" si="139"/>
        <v>26209225.399999999</v>
      </c>
      <c r="L536" s="217">
        <f t="shared" si="139"/>
        <v>352659.73333333334</v>
      </c>
      <c r="M536" s="217">
        <f t="shared" si="139"/>
        <v>386690.05333333334</v>
      </c>
      <c r="N536" s="217">
        <f t="shared" si="139"/>
        <v>420351.04</v>
      </c>
      <c r="O536" s="217">
        <f t="shared" si="139"/>
        <v>12445949.755555555</v>
      </c>
      <c r="P536" s="217">
        <f t="shared" si="139"/>
        <v>13646936.465555556</v>
      </c>
      <c r="Q536" s="217">
        <f t="shared" si="139"/>
        <v>14834888.786666667</v>
      </c>
      <c r="R536" s="217">
        <f t="shared" si="139"/>
        <v>18830560.344444446</v>
      </c>
      <c r="S536" s="217">
        <f t="shared" si="139"/>
        <v>20647637.639444444</v>
      </c>
      <c r="T536" s="217">
        <f t="shared" si="139"/>
        <v>22444994.07333333</v>
      </c>
      <c r="U536" s="217">
        <f t="shared" si="139"/>
        <v>5620514.5</v>
      </c>
      <c r="V536" s="217">
        <f t="shared" si="139"/>
        <v>6162872.7249999996</v>
      </c>
      <c r="W536" s="217">
        <f t="shared" si="139"/>
        <v>6699344.6999999993</v>
      </c>
      <c r="AA536" s="93"/>
      <c r="AB536" s="93"/>
      <c r="AC536" s="83"/>
      <c r="AD536" s="83"/>
      <c r="AE536" s="93"/>
      <c r="AF536" s="93"/>
      <c r="AG536" s="83"/>
      <c r="AH536" s="83"/>
      <c r="AI536" s="93"/>
      <c r="AJ536" s="93"/>
      <c r="AK536" s="83"/>
      <c r="AL536" s="83"/>
      <c r="AM536" s="93"/>
      <c r="AN536" s="93"/>
      <c r="AO536" s="83"/>
      <c r="AP536" s="83"/>
      <c r="AQ536" s="93"/>
      <c r="AR536" s="93"/>
      <c r="AS536" s="83"/>
      <c r="AT536" s="83"/>
      <c r="AU536" s="93"/>
      <c r="AV536" s="93"/>
      <c r="AW536" s="83"/>
      <c r="AX536" s="83"/>
      <c r="AY536" s="93"/>
      <c r="AZ536" s="93"/>
    </row>
    <row r="537" spans="2:52" hidden="1" outlineLevel="1" x14ac:dyDescent="0.45">
      <c r="B537" s="1396"/>
      <c r="C537" s="91" t="s">
        <v>792</v>
      </c>
      <c r="D537" s="115"/>
      <c r="E537" s="15" t="s">
        <v>365</v>
      </c>
      <c r="F537" s="130">
        <f t="shared" si="138"/>
        <v>0</v>
      </c>
      <c r="G537" s="130">
        <f t="shared" si="138"/>
        <v>0</v>
      </c>
      <c r="H537" s="131">
        <f t="shared" si="138"/>
        <v>0</v>
      </c>
      <c r="I537" s="217">
        <f t="shared" si="139"/>
        <v>0</v>
      </c>
      <c r="J537" s="217">
        <f t="shared" si="139"/>
        <v>0</v>
      </c>
      <c r="K537" s="217">
        <f t="shared" si="139"/>
        <v>0</v>
      </c>
      <c r="L537" s="217">
        <f t="shared" si="139"/>
        <v>0</v>
      </c>
      <c r="M537" s="217">
        <f t="shared" si="139"/>
        <v>0</v>
      </c>
      <c r="N537" s="217">
        <f t="shared" si="139"/>
        <v>0</v>
      </c>
      <c r="O537" s="217">
        <f t="shared" si="139"/>
        <v>0</v>
      </c>
      <c r="P537" s="217">
        <f t="shared" si="139"/>
        <v>0</v>
      </c>
      <c r="Q537" s="217">
        <f t="shared" si="139"/>
        <v>0</v>
      </c>
      <c r="R537" s="217">
        <f t="shared" si="139"/>
        <v>0</v>
      </c>
      <c r="S537" s="217">
        <f t="shared" si="139"/>
        <v>0</v>
      </c>
      <c r="T537" s="217">
        <f t="shared" si="139"/>
        <v>0</v>
      </c>
      <c r="U537" s="217">
        <f t="shared" si="139"/>
        <v>0</v>
      </c>
      <c r="V537" s="217">
        <f t="shared" si="139"/>
        <v>0</v>
      </c>
      <c r="W537" s="217">
        <f t="shared" si="139"/>
        <v>0</v>
      </c>
      <c r="AA537" s="93"/>
      <c r="AB537" s="93"/>
      <c r="AC537" s="83"/>
      <c r="AD537" s="83"/>
      <c r="AE537" s="93"/>
      <c r="AF537" s="93"/>
      <c r="AG537" s="83"/>
      <c r="AH537" s="83"/>
      <c r="AI537" s="93"/>
      <c r="AJ537" s="93"/>
      <c r="AK537" s="83"/>
      <c r="AL537" s="83"/>
      <c r="AM537" s="93"/>
      <c r="AN537" s="93"/>
      <c r="AO537" s="83"/>
      <c r="AP537" s="83"/>
      <c r="AQ537" s="93"/>
      <c r="AR537" s="93"/>
      <c r="AS537" s="83"/>
      <c r="AT537" s="83"/>
      <c r="AU537" s="93"/>
      <c r="AV537" s="93"/>
      <c r="AW537" s="83"/>
      <c r="AX537" s="83"/>
      <c r="AY537" s="93"/>
      <c r="AZ537" s="93"/>
    </row>
    <row r="538" spans="2:52" hidden="1" outlineLevel="1" x14ac:dyDescent="0.45">
      <c r="B538" s="1396"/>
      <c r="C538" s="91" t="s">
        <v>793</v>
      </c>
      <c r="D538" s="115"/>
      <c r="E538" s="230"/>
      <c r="F538" s="130">
        <f t="shared" si="138"/>
        <v>0</v>
      </c>
      <c r="G538" s="130">
        <f t="shared" si="138"/>
        <v>0</v>
      </c>
      <c r="H538" s="131">
        <f t="shared" si="138"/>
        <v>0</v>
      </c>
      <c r="I538" s="217">
        <f t="shared" si="139"/>
        <v>0</v>
      </c>
      <c r="J538" s="217">
        <f t="shared" si="139"/>
        <v>0</v>
      </c>
      <c r="K538" s="217">
        <f t="shared" si="139"/>
        <v>0</v>
      </c>
      <c r="L538" s="217">
        <f t="shared" si="139"/>
        <v>0</v>
      </c>
      <c r="M538" s="217">
        <f t="shared" si="139"/>
        <v>0</v>
      </c>
      <c r="N538" s="217">
        <f t="shared" si="139"/>
        <v>0</v>
      </c>
      <c r="O538" s="217">
        <f t="shared" si="139"/>
        <v>0</v>
      </c>
      <c r="P538" s="217">
        <f t="shared" si="139"/>
        <v>0</v>
      </c>
      <c r="Q538" s="217">
        <f t="shared" si="139"/>
        <v>0</v>
      </c>
      <c r="R538" s="217">
        <f t="shared" si="139"/>
        <v>0</v>
      </c>
      <c r="S538" s="217">
        <f t="shared" si="139"/>
        <v>0</v>
      </c>
      <c r="T538" s="217">
        <f t="shared" si="139"/>
        <v>0</v>
      </c>
      <c r="U538" s="217">
        <f t="shared" si="139"/>
        <v>0</v>
      </c>
      <c r="V538" s="217">
        <f t="shared" si="139"/>
        <v>0</v>
      </c>
      <c r="W538" s="217">
        <f t="shared" si="139"/>
        <v>0</v>
      </c>
      <c r="AA538" s="93"/>
      <c r="AB538" s="93"/>
      <c r="AC538" s="83"/>
      <c r="AD538" s="83"/>
      <c r="AE538" s="93"/>
      <c r="AF538" s="93"/>
      <c r="AG538" s="83"/>
      <c r="AH538" s="83"/>
      <c r="AI538" s="93"/>
      <c r="AJ538" s="93"/>
      <c r="AK538" s="83"/>
      <c r="AL538" s="83"/>
      <c r="AM538" s="93"/>
      <c r="AN538" s="93"/>
      <c r="AO538" s="83"/>
      <c r="AP538" s="83"/>
      <c r="AQ538" s="93"/>
      <c r="AR538" s="93"/>
      <c r="AS538" s="83"/>
      <c r="AT538" s="83"/>
      <c r="AU538" s="93"/>
      <c r="AV538" s="93"/>
      <c r="AW538" s="83"/>
      <c r="AX538" s="83"/>
      <c r="AY538" s="93"/>
      <c r="AZ538" s="93"/>
    </row>
    <row r="539" spans="2:52" hidden="1" outlineLevel="1" x14ac:dyDescent="0.45">
      <c r="B539" s="1396"/>
      <c r="C539" s="91" t="s">
        <v>794</v>
      </c>
      <c r="D539" s="115"/>
      <c r="E539" s="230"/>
      <c r="F539" s="130">
        <f t="shared" si="138"/>
        <v>1297615000</v>
      </c>
      <c r="G539" s="130">
        <f t="shared" si="138"/>
        <v>961614000</v>
      </c>
      <c r="H539" s="131">
        <f t="shared" si="138"/>
        <v>676657000</v>
      </c>
      <c r="I539" s="217">
        <f t="shared" si="139"/>
        <v>0</v>
      </c>
      <c r="J539" s="217">
        <f t="shared" si="139"/>
        <v>0</v>
      </c>
      <c r="K539" s="217">
        <f t="shared" si="139"/>
        <v>0</v>
      </c>
      <c r="L539" s="217">
        <f t="shared" si="139"/>
        <v>835000</v>
      </c>
      <c r="M539" s="217">
        <f t="shared" si="139"/>
        <v>769000</v>
      </c>
      <c r="N539" s="217">
        <f t="shared" si="139"/>
        <v>0</v>
      </c>
      <c r="O539" s="217">
        <f t="shared" si="139"/>
        <v>96477000</v>
      </c>
      <c r="P539" s="217">
        <f t="shared" si="139"/>
        <v>171703000</v>
      </c>
      <c r="Q539" s="217">
        <f t="shared" si="139"/>
        <v>0</v>
      </c>
      <c r="R539" s="217">
        <f t="shared" si="139"/>
        <v>288078000</v>
      </c>
      <c r="S539" s="217">
        <f t="shared" si="139"/>
        <v>217080000</v>
      </c>
      <c r="T539" s="217">
        <f t="shared" si="139"/>
        <v>333694000</v>
      </c>
      <c r="U539" s="217">
        <f t="shared" si="139"/>
        <v>912225000</v>
      </c>
      <c r="V539" s="217">
        <f t="shared" si="139"/>
        <v>572062000</v>
      </c>
      <c r="W539" s="217">
        <f t="shared" si="139"/>
        <v>342963000</v>
      </c>
      <c r="AA539" s="93"/>
      <c r="AB539" s="93"/>
      <c r="AC539" s="83"/>
      <c r="AD539" s="83"/>
      <c r="AE539" s="93"/>
      <c r="AF539" s="93"/>
      <c r="AG539" s="83"/>
      <c r="AH539" s="83"/>
      <c r="AI539" s="93"/>
      <c r="AJ539" s="93"/>
      <c r="AK539" s="83"/>
      <c r="AL539" s="83"/>
      <c r="AM539" s="93"/>
      <c r="AN539" s="93"/>
      <c r="AO539" s="83"/>
      <c r="AP539" s="83"/>
      <c r="AQ539" s="93"/>
      <c r="AR539" s="93"/>
      <c r="AS539" s="83"/>
      <c r="AT539" s="83"/>
      <c r="AU539" s="93"/>
      <c r="AV539" s="93"/>
      <c r="AW539" s="83"/>
      <c r="AX539" s="83"/>
      <c r="AY539" s="93"/>
      <c r="AZ539" s="93"/>
    </row>
    <row r="540" spans="2:52" hidden="1" outlineLevel="1" x14ac:dyDescent="0.45">
      <c r="B540" s="1396"/>
      <c r="C540" s="91" t="s">
        <v>795</v>
      </c>
      <c r="D540" s="115"/>
      <c r="E540" s="12" t="s">
        <v>466</v>
      </c>
      <c r="F540" s="130" t="e">
        <f t="shared" si="138"/>
        <v>#REF!</v>
      </c>
      <c r="G540" s="130">
        <f t="shared" si="138"/>
        <v>5358842371.73843</v>
      </c>
      <c r="H540" s="131">
        <f t="shared" si="138"/>
        <v>4625767301.511363</v>
      </c>
      <c r="I540" s="236">
        <f t="shared" ref="I540:W540" si="140">SUM(I524:I534,I536:I539)</f>
        <v>957868685.40901554</v>
      </c>
      <c r="J540" s="237">
        <f t="shared" si="140"/>
        <v>50145947.935097091</v>
      </c>
      <c r="K540" s="238">
        <f t="shared" si="140"/>
        <v>38828556.21136304</v>
      </c>
      <c r="L540" s="237">
        <f t="shared" si="140"/>
        <v>4621709.0733333332</v>
      </c>
      <c r="M540" s="237">
        <f t="shared" si="140"/>
        <v>272494353.75333333</v>
      </c>
      <c r="N540" s="238">
        <f t="shared" si="140"/>
        <v>2954631.52</v>
      </c>
      <c r="O540" s="237" t="e">
        <f t="shared" si="140"/>
        <v>#REF!</v>
      </c>
      <c r="P540" s="237">
        <f t="shared" si="140"/>
        <v>570999796.38555551</v>
      </c>
      <c r="Q540" s="238">
        <f t="shared" si="140"/>
        <v>266528564.46666664</v>
      </c>
      <c r="R540" s="237">
        <f t="shared" si="140"/>
        <v>663025680.6044445</v>
      </c>
      <c r="S540" s="237">
        <f t="shared" si="140"/>
        <v>534017755.89944446</v>
      </c>
      <c r="T540" s="238">
        <f t="shared" si="140"/>
        <v>786833238.0333333</v>
      </c>
      <c r="U540" s="237" t="e">
        <f t="shared" si="140"/>
        <v>#REF!</v>
      </c>
      <c r="V540" s="237">
        <f t="shared" si="140"/>
        <v>3931184517.7649999</v>
      </c>
      <c r="W540" s="238">
        <f t="shared" si="140"/>
        <v>3530622311.2799997</v>
      </c>
      <c r="AA540" s="93"/>
      <c r="AB540" s="93"/>
      <c r="AC540" s="83"/>
      <c r="AD540" s="83"/>
      <c r="AE540" s="93"/>
      <c r="AF540" s="93"/>
      <c r="AG540" s="83"/>
      <c r="AH540" s="83"/>
      <c r="AI540" s="93"/>
      <c r="AJ540" s="93"/>
      <c r="AK540" s="83"/>
      <c r="AL540" s="83"/>
      <c r="AM540" s="93"/>
      <c r="AN540" s="93"/>
      <c r="AO540" s="83"/>
      <c r="AP540" s="83"/>
      <c r="AQ540" s="93"/>
      <c r="AR540" s="93"/>
      <c r="AS540" s="83"/>
      <c r="AT540" s="83"/>
      <c r="AU540" s="93"/>
      <c r="AV540" s="93"/>
      <c r="AW540" s="83"/>
      <c r="AX540" s="83"/>
      <c r="AY540" s="93"/>
      <c r="AZ540" s="93"/>
    </row>
    <row r="541" spans="2:52" ht="14.65" hidden="1" outlineLevel="1" thickBot="1" x14ac:dyDescent="0.5">
      <c r="B541" s="1396"/>
      <c r="C541" s="91" t="s">
        <v>796</v>
      </c>
      <c r="D541" s="115"/>
      <c r="E541" s="169" t="s">
        <v>371</v>
      </c>
      <c r="F541" s="130" t="e">
        <f t="shared" si="138"/>
        <v>#REF!</v>
      </c>
      <c r="G541" s="130">
        <f t="shared" si="138"/>
        <v>-2604438107.5884299</v>
      </c>
      <c r="H541" s="131">
        <f t="shared" si="138"/>
        <v>-1822039920.3213627</v>
      </c>
      <c r="I541" s="240">
        <f t="shared" ref="I541:W541" si="141">I521-I540</f>
        <v>-896843876.48901558</v>
      </c>
      <c r="J541" s="241">
        <f t="shared" si="141"/>
        <v>-44625509.455097094</v>
      </c>
      <c r="K541" s="242">
        <f t="shared" si="141"/>
        <v>-35684623.21136304</v>
      </c>
      <c r="L541" s="241">
        <f t="shared" si="141"/>
        <v>-3357276.6533333333</v>
      </c>
      <c r="M541" s="241">
        <f t="shared" si="141"/>
        <v>-253369391.33333334</v>
      </c>
      <c r="N541" s="242">
        <f t="shared" si="141"/>
        <v>-2849170.67</v>
      </c>
      <c r="O541" s="241" t="e">
        <f t="shared" si="141"/>
        <v>#REF!</v>
      </c>
      <c r="P541" s="241">
        <f t="shared" si="141"/>
        <v>-525428277.2055555</v>
      </c>
      <c r="Q541" s="242">
        <f t="shared" si="141"/>
        <v>-240558571.12666664</v>
      </c>
      <c r="R541" s="241">
        <f t="shared" si="141"/>
        <v>-352401880.20444453</v>
      </c>
      <c r="S541" s="241">
        <f t="shared" si="141"/>
        <v>-330824442.39944446</v>
      </c>
      <c r="T541" s="242">
        <f t="shared" si="141"/>
        <v>-467331764.0333333</v>
      </c>
      <c r="U541" s="241" t="e">
        <f t="shared" si="141"/>
        <v>#REF!</v>
      </c>
      <c r="V541" s="241">
        <f t="shared" si="141"/>
        <v>-1450190487.1949997</v>
      </c>
      <c r="W541" s="242">
        <f t="shared" si="141"/>
        <v>-1075615791.2799997</v>
      </c>
      <c r="AA541" s="93"/>
      <c r="AB541" s="93"/>
      <c r="AC541" s="83"/>
      <c r="AD541" s="83"/>
      <c r="AE541" s="93"/>
      <c r="AF541" s="93"/>
      <c r="AG541" s="83"/>
      <c r="AH541" s="83"/>
      <c r="AI541" s="93"/>
      <c r="AJ541" s="93"/>
      <c r="AK541" s="83"/>
      <c r="AL541" s="83"/>
      <c r="AM541" s="93"/>
      <c r="AN541" s="93"/>
      <c r="AO541" s="83"/>
      <c r="AP541" s="83"/>
      <c r="AQ541" s="93"/>
      <c r="AR541" s="93"/>
      <c r="AS541" s="83"/>
      <c r="AT541" s="83"/>
      <c r="AU541" s="93"/>
      <c r="AV541" s="93"/>
      <c r="AW541" s="83"/>
      <c r="AX541" s="83"/>
      <c r="AY541" s="93"/>
      <c r="AZ541" s="93"/>
    </row>
    <row r="542" spans="2:52" hidden="1" outlineLevel="1" x14ac:dyDescent="0.45">
      <c r="B542" s="1396"/>
      <c r="C542" s="91" t="s">
        <v>797</v>
      </c>
      <c r="D542" s="115"/>
      <c r="E542" s="91"/>
      <c r="F542" s="89"/>
      <c r="G542" s="89"/>
      <c r="H542" s="23"/>
      <c r="I542" s="91"/>
      <c r="J542" s="92"/>
      <c r="K542" s="31"/>
      <c r="L542" s="92"/>
      <c r="M542" s="92"/>
      <c r="N542" s="31"/>
      <c r="O542" s="92"/>
      <c r="P542" s="92"/>
      <c r="Q542" s="31"/>
      <c r="R542" s="92"/>
      <c r="S542" s="92"/>
      <c r="T542" s="31"/>
      <c r="U542" s="92"/>
      <c r="V542" s="92"/>
      <c r="W542" s="31"/>
      <c r="AA542" s="93"/>
      <c r="AB542" s="93"/>
      <c r="AC542" s="83"/>
      <c r="AD542" s="83"/>
      <c r="AE542" s="93"/>
      <c r="AF542" s="93"/>
      <c r="AG542" s="83"/>
      <c r="AH542" s="83"/>
      <c r="AI542" s="93"/>
      <c r="AJ542" s="93"/>
      <c r="AK542" s="83"/>
      <c r="AL542" s="83"/>
      <c r="AM542" s="93"/>
      <c r="AN542" s="93"/>
      <c r="AO542" s="83"/>
      <c r="AP542" s="83"/>
      <c r="AQ542" s="93"/>
      <c r="AR542" s="93"/>
      <c r="AS542" s="83"/>
      <c r="AT542" s="83"/>
      <c r="AU542" s="93"/>
      <c r="AV542" s="93"/>
      <c r="AW542" s="83"/>
      <c r="AX542" s="83"/>
      <c r="AY542" s="93"/>
      <c r="AZ542" s="93"/>
    </row>
    <row r="543" spans="2:52" hidden="1" outlineLevel="1" x14ac:dyDescent="0.45">
      <c r="B543" s="1396"/>
      <c r="C543" s="91" t="s">
        <v>798</v>
      </c>
      <c r="D543" s="115"/>
      <c r="E543" s="11" t="s">
        <v>374</v>
      </c>
      <c r="F543" s="89"/>
      <c r="G543" s="89"/>
      <c r="H543" s="23"/>
      <c r="I543" s="91"/>
      <c r="J543" s="92"/>
      <c r="K543" s="31"/>
      <c r="L543" s="92"/>
      <c r="M543" s="92"/>
      <c r="N543" s="31"/>
      <c r="O543" s="92"/>
      <c r="P543" s="92"/>
      <c r="Q543" s="31"/>
      <c r="R543" s="92"/>
      <c r="S543" s="92"/>
      <c r="T543" s="31"/>
      <c r="U543" s="92"/>
      <c r="V543" s="92"/>
      <c r="W543" s="31"/>
      <c r="AA543" s="93"/>
      <c r="AB543" s="93"/>
      <c r="AC543" s="83"/>
      <c r="AD543" s="83"/>
      <c r="AE543" s="93"/>
      <c r="AF543" s="93"/>
      <c r="AG543" s="83"/>
      <c r="AH543" s="83"/>
      <c r="AI543" s="93"/>
      <c r="AJ543" s="93"/>
      <c r="AK543" s="83"/>
      <c r="AL543" s="83"/>
      <c r="AM543" s="93"/>
      <c r="AN543" s="93"/>
      <c r="AO543" s="83"/>
      <c r="AP543" s="83"/>
      <c r="AQ543" s="93"/>
      <c r="AR543" s="93"/>
      <c r="AS543" s="83"/>
      <c r="AT543" s="83"/>
      <c r="AU543" s="93"/>
      <c r="AV543" s="93"/>
      <c r="AW543" s="83"/>
      <c r="AX543" s="83"/>
      <c r="AY543" s="93"/>
      <c r="AZ543" s="93"/>
    </row>
    <row r="544" spans="2:52" hidden="1" outlineLevel="1" x14ac:dyDescent="0.45">
      <c r="B544" s="1396"/>
      <c r="C544" s="91" t="s">
        <v>799</v>
      </c>
      <c r="D544" s="115"/>
      <c r="E544" s="91" t="s">
        <v>377</v>
      </c>
      <c r="F544" s="130">
        <f t="shared" ref="F544:H545" si="142">I544+L544+O544+R544+U544</f>
        <v>101881123.33</v>
      </c>
      <c r="G544" s="130">
        <f t="shared" si="142"/>
        <v>15034078.289999999</v>
      </c>
      <c r="H544" s="131">
        <f t="shared" si="142"/>
        <v>10367522.720000001</v>
      </c>
      <c r="I544" s="217">
        <f t="shared" ref="I544:W545" si="143">I197+I259+I315+I373+I487</f>
        <v>103109.91</v>
      </c>
      <c r="J544" s="217">
        <f t="shared" si="143"/>
        <v>699694.66999999993</v>
      </c>
      <c r="K544" s="217">
        <f t="shared" si="143"/>
        <v>554558.53</v>
      </c>
      <c r="L544" s="217">
        <f t="shared" si="143"/>
        <v>57000</v>
      </c>
      <c r="M544" s="217">
        <f t="shared" si="143"/>
        <v>240000</v>
      </c>
      <c r="N544" s="217">
        <f t="shared" si="143"/>
        <v>125.2</v>
      </c>
      <c r="O544" s="217">
        <f t="shared" si="143"/>
        <v>1665038.01</v>
      </c>
      <c r="P544" s="217">
        <f t="shared" si="143"/>
        <v>2307162.38</v>
      </c>
      <c r="Q544" s="217">
        <f t="shared" si="143"/>
        <v>808054</v>
      </c>
      <c r="R544" s="217">
        <f t="shared" si="143"/>
        <v>1888587.97</v>
      </c>
      <c r="S544" s="217">
        <f t="shared" si="143"/>
        <v>2606057.1599999997</v>
      </c>
      <c r="T544" s="217">
        <f t="shared" si="143"/>
        <v>2289636.41</v>
      </c>
      <c r="U544" s="217">
        <f t="shared" si="143"/>
        <v>98167387.439999998</v>
      </c>
      <c r="V544" s="217">
        <f t="shared" si="143"/>
        <v>9181164.0800000001</v>
      </c>
      <c r="W544" s="217">
        <f t="shared" si="143"/>
        <v>6715148.580000001</v>
      </c>
      <c r="AA544" s="93"/>
      <c r="AB544" s="93"/>
      <c r="AC544" s="83"/>
      <c r="AD544" s="83"/>
      <c r="AE544" s="93"/>
      <c r="AF544" s="93"/>
      <c r="AG544" s="83"/>
      <c r="AH544" s="83"/>
      <c r="AI544" s="93"/>
      <c r="AJ544" s="93"/>
      <c r="AK544" s="83"/>
      <c r="AL544" s="83"/>
      <c r="AM544" s="93"/>
      <c r="AN544" s="93"/>
      <c r="AO544" s="83"/>
      <c r="AP544" s="83"/>
      <c r="AQ544" s="93"/>
      <c r="AR544" s="93"/>
      <c r="AS544" s="83" t="s">
        <v>256</v>
      </c>
      <c r="AT544" s="83"/>
      <c r="AU544" s="93"/>
      <c r="AV544" s="93"/>
      <c r="AW544" s="83"/>
      <c r="AX544" s="83"/>
      <c r="AY544" s="93"/>
      <c r="AZ544" s="93"/>
    </row>
    <row r="545" spans="2:52" hidden="1" outlineLevel="1" x14ac:dyDescent="0.45">
      <c r="B545" s="1396"/>
      <c r="C545" s="91" t="s">
        <v>800</v>
      </c>
      <c r="D545" s="115"/>
      <c r="E545" s="91" t="s">
        <v>379</v>
      </c>
      <c r="F545" s="130">
        <f t="shared" si="142"/>
        <v>6426991.4900000002</v>
      </c>
      <c r="G545" s="130">
        <f t="shared" si="142"/>
        <v>4884419.1400000006</v>
      </c>
      <c r="H545" s="131">
        <f t="shared" si="142"/>
        <v>5635828.0299999993</v>
      </c>
      <c r="I545" s="217">
        <f t="shared" si="143"/>
        <v>1790016.0100000002</v>
      </c>
      <c r="J545" s="217">
        <f t="shared" si="143"/>
        <v>207074.81</v>
      </c>
      <c r="K545" s="217">
        <f t="shared" si="143"/>
        <v>220517.4</v>
      </c>
      <c r="L545" s="217">
        <f t="shared" si="143"/>
        <v>8057.1</v>
      </c>
      <c r="M545" s="217">
        <f t="shared" si="143"/>
        <v>4013.2</v>
      </c>
      <c r="N545" s="217">
        <f t="shared" si="143"/>
        <v>0</v>
      </c>
      <c r="O545" s="217">
        <f t="shared" si="143"/>
        <v>245920.3</v>
      </c>
      <c r="P545" s="217">
        <f t="shared" si="143"/>
        <v>80599.11</v>
      </c>
      <c r="Q545" s="217">
        <f t="shared" si="143"/>
        <v>68874.049999999988</v>
      </c>
      <c r="R545" s="217">
        <f t="shared" si="143"/>
        <v>841411.46</v>
      </c>
      <c r="S545" s="217">
        <f t="shared" si="143"/>
        <v>925045.98</v>
      </c>
      <c r="T545" s="217">
        <f t="shared" si="143"/>
        <v>1067847.6499999999</v>
      </c>
      <c r="U545" s="217">
        <f t="shared" si="143"/>
        <v>3541586.62</v>
      </c>
      <c r="V545" s="217">
        <f t="shared" si="143"/>
        <v>3667686.04</v>
      </c>
      <c r="W545" s="217">
        <f t="shared" si="143"/>
        <v>4278588.93</v>
      </c>
      <c r="AA545" s="93"/>
      <c r="AB545" s="93"/>
      <c r="AC545" s="83"/>
      <c r="AD545" s="83"/>
      <c r="AE545" s="93"/>
      <c r="AF545" s="93"/>
      <c r="AG545" s="83"/>
      <c r="AH545" s="83"/>
      <c r="AI545" s="93"/>
      <c r="AJ545" s="93"/>
      <c r="AK545" s="83"/>
      <c r="AL545" s="83"/>
      <c r="AM545" s="93"/>
      <c r="AN545" s="93"/>
      <c r="AO545" s="83"/>
      <c r="AP545" s="83"/>
      <c r="AQ545" s="93"/>
      <c r="AR545" s="93"/>
      <c r="AS545" s="83" t="s">
        <v>256</v>
      </c>
      <c r="AT545" s="83"/>
      <c r="AU545" s="93"/>
      <c r="AV545" s="93"/>
      <c r="AW545" s="83"/>
      <c r="AX545" s="83"/>
      <c r="AY545" s="93"/>
      <c r="AZ545" s="93"/>
    </row>
    <row r="546" spans="2:52" hidden="1" outlineLevel="1" x14ac:dyDescent="0.45">
      <c r="B546" s="1396"/>
      <c r="C546" s="91" t="s">
        <v>801</v>
      </c>
      <c r="D546" s="115"/>
      <c r="E546" s="91"/>
      <c r="F546" s="89"/>
      <c r="G546" s="89"/>
      <c r="H546" s="23"/>
      <c r="I546" s="92"/>
      <c r="J546" s="92"/>
      <c r="K546" s="31"/>
      <c r="L546" s="92"/>
      <c r="M546" s="92"/>
      <c r="N546" s="31"/>
      <c r="O546" s="92"/>
      <c r="P546" s="92"/>
      <c r="Q546" s="31"/>
      <c r="R546" s="92"/>
      <c r="S546" s="92"/>
      <c r="T546" s="31"/>
      <c r="U546" s="92"/>
      <c r="V546" s="92"/>
      <c r="W546" s="31"/>
      <c r="AA546" s="93"/>
      <c r="AB546" s="93"/>
      <c r="AC546" s="83"/>
      <c r="AD546" s="83"/>
      <c r="AE546" s="93"/>
      <c r="AF546" s="93"/>
      <c r="AG546" s="83"/>
      <c r="AH546" s="83"/>
      <c r="AI546" s="93"/>
      <c r="AJ546" s="93"/>
      <c r="AK546" s="83"/>
      <c r="AL546" s="83"/>
      <c r="AM546" s="93"/>
      <c r="AN546" s="93"/>
      <c r="AO546" s="83"/>
      <c r="AP546" s="83"/>
      <c r="AQ546" s="93"/>
      <c r="AR546" s="93"/>
      <c r="AS546" s="83"/>
      <c r="AT546" s="83"/>
      <c r="AU546" s="93"/>
      <c r="AV546" s="93"/>
      <c r="AW546" s="83"/>
      <c r="AX546" s="83"/>
      <c r="AY546" s="93"/>
      <c r="AZ546" s="93"/>
    </row>
    <row r="547" spans="2:52" hidden="1" outlineLevel="1" x14ac:dyDescent="0.45">
      <c r="B547" s="1396"/>
      <c r="C547" s="91" t="s">
        <v>802</v>
      </c>
      <c r="D547" s="115"/>
      <c r="E547" s="11" t="s">
        <v>383</v>
      </c>
      <c r="F547" s="89"/>
      <c r="G547" s="89"/>
      <c r="H547" s="23"/>
      <c r="I547" s="91"/>
      <c r="J547" s="92"/>
      <c r="K547" s="31"/>
      <c r="L547" s="92"/>
      <c r="M547" s="92"/>
      <c r="N547" s="31"/>
      <c r="O547" s="92"/>
      <c r="P547" s="92"/>
      <c r="Q547" s="31"/>
      <c r="R547" s="92"/>
      <c r="S547" s="92"/>
      <c r="T547" s="31"/>
      <c r="U547" s="92"/>
      <c r="V547" s="92"/>
      <c r="W547" s="31"/>
      <c r="AA547" s="93"/>
      <c r="AB547" s="93"/>
      <c r="AC547" s="83"/>
      <c r="AD547" s="83"/>
      <c r="AE547" s="93"/>
      <c r="AF547" s="93"/>
      <c r="AG547" s="83"/>
      <c r="AH547" s="83"/>
      <c r="AI547" s="93"/>
      <c r="AJ547" s="93"/>
      <c r="AK547" s="83"/>
      <c r="AL547" s="83"/>
      <c r="AM547" s="93"/>
      <c r="AN547" s="93"/>
      <c r="AO547" s="83"/>
      <c r="AP547" s="83"/>
      <c r="AQ547" s="93"/>
      <c r="AR547" s="93"/>
      <c r="AS547" s="83"/>
      <c r="AT547" s="83"/>
      <c r="AU547" s="93"/>
      <c r="AV547" s="93"/>
      <c r="AW547" s="83"/>
      <c r="AX547" s="83"/>
      <c r="AY547" s="93"/>
      <c r="AZ547" s="93"/>
    </row>
    <row r="548" spans="2:52" hidden="1" outlineLevel="1" x14ac:dyDescent="0.45">
      <c r="B548" s="1396"/>
      <c r="C548" s="91" t="s">
        <v>803</v>
      </c>
      <c r="D548" s="115"/>
      <c r="E548" s="91" t="s">
        <v>475</v>
      </c>
      <c r="F548" s="130">
        <f t="shared" ref="F548:H549" si="144">I548+L548+O548+R548+U548</f>
        <v>6373743000</v>
      </c>
      <c r="G548" s="130">
        <f t="shared" si="144"/>
        <v>6800350000</v>
      </c>
      <c r="H548" s="131">
        <f t="shared" si="144"/>
        <v>7089848000</v>
      </c>
      <c r="I548" s="217">
        <f t="shared" ref="I548:W549" si="145">I201+I263+I319+I377+I491</f>
        <v>0</v>
      </c>
      <c r="J548" s="217">
        <f t="shared" si="145"/>
        <v>0</v>
      </c>
      <c r="K548" s="217">
        <f t="shared" si="145"/>
        <v>0</v>
      </c>
      <c r="L548" s="217">
        <f t="shared" si="145"/>
        <v>804000</v>
      </c>
      <c r="M548" s="217">
        <f t="shared" si="145"/>
        <v>571000</v>
      </c>
      <c r="N548" s="217">
        <f t="shared" si="145"/>
        <v>0</v>
      </c>
      <c r="O548" s="217">
        <f t="shared" si="145"/>
        <v>1000418000</v>
      </c>
      <c r="P548" s="217">
        <f t="shared" si="145"/>
        <v>853114000</v>
      </c>
      <c r="Q548" s="217">
        <f t="shared" si="145"/>
        <v>0</v>
      </c>
      <c r="R548" s="217">
        <f t="shared" si="145"/>
        <v>1091081000</v>
      </c>
      <c r="S548" s="217">
        <f t="shared" si="145"/>
        <v>862004000</v>
      </c>
      <c r="T548" s="217">
        <f t="shared" si="145"/>
        <v>1157252000</v>
      </c>
      <c r="U548" s="217">
        <f t="shared" si="145"/>
        <v>4281440000</v>
      </c>
      <c r="V548" s="217">
        <f t="shared" si="145"/>
        <v>5084661000</v>
      </c>
      <c r="W548" s="217">
        <f t="shared" si="145"/>
        <v>5932596000</v>
      </c>
      <c r="AA548" s="93"/>
      <c r="AB548" s="93"/>
      <c r="AC548" s="83"/>
      <c r="AD548" s="83"/>
      <c r="AE548" s="93"/>
      <c r="AF548" s="93"/>
      <c r="AG548" s="83"/>
      <c r="AH548" s="83"/>
      <c r="AI548" s="93"/>
      <c r="AJ548" s="93"/>
      <c r="AK548" s="83"/>
      <c r="AL548" s="83"/>
      <c r="AM548" s="93"/>
      <c r="AN548" s="93"/>
      <c r="AO548" s="83"/>
      <c r="AP548" s="83"/>
      <c r="AQ548" s="93"/>
      <c r="AR548" s="93"/>
      <c r="AS548" s="83"/>
      <c r="AT548" s="83"/>
      <c r="AU548" s="93"/>
      <c r="AV548" s="93"/>
      <c r="AW548" s="83"/>
      <c r="AX548" s="83"/>
      <c r="AY548" s="93"/>
      <c r="AZ548" s="93"/>
    </row>
    <row r="549" spans="2:52" hidden="1" outlineLevel="1" x14ac:dyDescent="0.45">
      <c r="B549" s="1396"/>
      <c r="C549" s="91" t="s">
        <v>804</v>
      </c>
      <c r="D549" s="115"/>
      <c r="E549" s="91" t="s">
        <v>19</v>
      </c>
      <c r="F549" s="130">
        <f t="shared" si="144"/>
        <v>45246000</v>
      </c>
      <c r="G549" s="130">
        <f t="shared" si="144"/>
        <v>15704000</v>
      </c>
      <c r="H549" s="131">
        <f t="shared" si="144"/>
        <v>112717987.64</v>
      </c>
      <c r="I549" s="217">
        <f t="shared" si="145"/>
        <v>0</v>
      </c>
      <c r="J549" s="217">
        <f t="shared" si="145"/>
        <v>0</v>
      </c>
      <c r="K549" s="217">
        <f t="shared" si="145"/>
        <v>1018152.36</v>
      </c>
      <c r="L549" s="217">
        <f t="shared" si="145"/>
        <v>78000</v>
      </c>
      <c r="M549" s="217">
        <f t="shared" si="145"/>
        <v>81000</v>
      </c>
      <c r="N549" s="217">
        <f t="shared" si="145"/>
        <v>1513477.1</v>
      </c>
      <c r="O549" s="217">
        <f t="shared" si="145"/>
        <v>4616000</v>
      </c>
      <c r="P549" s="217">
        <f t="shared" si="145"/>
        <v>3868000</v>
      </c>
      <c r="Q549" s="217">
        <f t="shared" si="145"/>
        <v>31984426.030000001</v>
      </c>
      <c r="R549" s="217">
        <f t="shared" si="145"/>
        <v>10855000</v>
      </c>
      <c r="S549" s="217">
        <f t="shared" si="145"/>
        <v>8841000</v>
      </c>
      <c r="T549" s="217">
        <f t="shared" si="145"/>
        <v>56775194.789999999</v>
      </c>
      <c r="U549" s="217">
        <f t="shared" si="145"/>
        <v>29697000</v>
      </c>
      <c r="V549" s="217">
        <f t="shared" si="145"/>
        <v>2914000</v>
      </c>
      <c r="W549" s="217">
        <f t="shared" si="145"/>
        <v>21426737.359999999</v>
      </c>
      <c r="AA549" s="93"/>
      <c r="AB549" s="93"/>
      <c r="AC549" s="83"/>
      <c r="AD549" s="83"/>
      <c r="AE549" s="93"/>
      <c r="AF549" s="93"/>
      <c r="AG549" s="83"/>
      <c r="AH549" s="83"/>
      <c r="AI549" s="93"/>
      <c r="AJ549" s="93"/>
      <c r="AK549" s="83"/>
      <c r="AL549" s="83"/>
      <c r="AM549" s="93"/>
      <c r="AN549" s="93"/>
      <c r="AO549" s="83"/>
      <c r="AP549" s="83"/>
      <c r="AQ549" s="93"/>
      <c r="AR549" s="93"/>
      <c r="AS549" s="83"/>
      <c r="AT549" s="83"/>
      <c r="AU549" s="93"/>
      <c r="AV549" s="93"/>
      <c r="AW549" s="83"/>
      <c r="AX549" s="83"/>
      <c r="AY549" s="93"/>
      <c r="AZ549" s="93"/>
    </row>
    <row r="550" spans="2:52" hidden="1" outlineLevel="1" x14ac:dyDescent="0.45">
      <c r="B550" s="1396"/>
      <c r="C550" s="91" t="s">
        <v>805</v>
      </c>
      <c r="D550" s="115"/>
      <c r="E550" s="91"/>
      <c r="F550" s="89"/>
      <c r="G550" s="89"/>
      <c r="H550" s="23"/>
      <c r="I550" s="92"/>
      <c r="J550" s="92"/>
      <c r="K550" s="31"/>
      <c r="L550" s="92"/>
      <c r="M550" s="92"/>
      <c r="N550" s="31"/>
      <c r="O550" s="92"/>
      <c r="P550" s="92"/>
      <c r="Q550" s="31"/>
      <c r="R550" s="92"/>
      <c r="S550" s="92"/>
      <c r="T550" s="31"/>
      <c r="U550" s="92"/>
      <c r="V550" s="92"/>
      <c r="W550" s="31"/>
      <c r="AA550" s="93"/>
      <c r="AB550" s="93"/>
      <c r="AC550" s="83"/>
      <c r="AD550" s="83"/>
      <c r="AE550" s="93"/>
      <c r="AF550" s="93"/>
      <c r="AG550" s="83"/>
      <c r="AH550" s="83"/>
      <c r="AI550" s="93"/>
      <c r="AJ550" s="93"/>
      <c r="AK550" s="83"/>
      <c r="AL550" s="83"/>
      <c r="AM550" s="93"/>
      <c r="AN550" s="93"/>
      <c r="AO550" s="83"/>
      <c r="AP550" s="83"/>
      <c r="AQ550" s="93"/>
      <c r="AR550" s="93"/>
      <c r="AS550" s="83"/>
      <c r="AT550" s="83"/>
      <c r="AU550" s="93"/>
      <c r="AV550" s="93"/>
      <c r="AW550" s="83"/>
      <c r="AX550" s="83"/>
      <c r="AY550" s="93"/>
      <c r="AZ550" s="93"/>
    </row>
    <row r="551" spans="2:52" hidden="1" outlineLevel="1" x14ac:dyDescent="0.45">
      <c r="B551" s="1396"/>
      <c r="C551" s="91" t="s">
        <v>806</v>
      </c>
      <c r="D551" s="115"/>
      <c r="E551" s="11" t="s">
        <v>479</v>
      </c>
      <c r="F551" s="89"/>
      <c r="G551" s="89"/>
      <c r="H551" s="23"/>
      <c r="I551" s="91"/>
      <c r="J551" s="92"/>
      <c r="K551" s="31"/>
      <c r="L551" s="92"/>
      <c r="M551" s="92"/>
      <c r="N551" s="31"/>
      <c r="O551" s="92"/>
      <c r="P551" s="92"/>
      <c r="Q551" s="31"/>
      <c r="R551" s="92"/>
      <c r="S551" s="92"/>
      <c r="T551" s="31"/>
      <c r="U551" s="92"/>
      <c r="V551" s="92"/>
      <c r="W551" s="31"/>
      <c r="AA551" s="93"/>
      <c r="AB551" s="93"/>
      <c r="AC551" s="83"/>
      <c r="AD551" s="83"/>
      <c r="AE551" s="93"/>
      <c r="AF551" s="93"/>
      <c r="AG551" s="83"/>
      <c r="AH551" s="83"/>
      <c r="AI551" s="93"/>
      <c r="AJ551" s="93"/>
      <c r="AK551" s="83"/>
      <c r="AL551" s="83"/>
      <c r="AM551" s="93"/>
      <c r="AN551" s="93"/>
      <c r="AO551" s="83"/>
      <c r="AP551" s="83"/>
      <c r="AQ551" s="93"/>
      <c r="AR551" s="93"/>
      <c r="AS551" s="83"/>
      <c r="AT551" s="83"/>
      <c r="AU551" s="93"/>
      <c r="AV551" s="93"/>
      <c r="AW551" s="83"/>
      <c r="AX551" s="83"/>
      <c r="AY551" s="93"/>
      <c r="AZ551" s="93"/>
    </row>
    <row r="552" spans="2:52" hidden="1" outlineLevel="1" x14ac:dyDescent="0.45">
      <c r="B552" s="1396"/>
      <c r="C552" s="91" t="s">
        <v>807</v>
      </c>
      <c r="D552" s="115"/>
      <c r="E552" s="91" t="s">
        <v>392</v>
      </c>
      <c r="F552" s="130">
        <f>I552+L552+O552+R552+U552</f>
        <v>13274959000</v>
      </c>
      <c r="G552" s="130">
        <f>J552+M552+P552+S552+V552</f>
        <v>13316096000</v>
      </c>
      <c r="H552" s="131">
        <f>K552+N552+Q552+T552+W552</f>
        <v>0</v>
      </c>
      <c r="I552" s="217">
        <v>2523803000</v>
      </c>
      <c r="J552" s="217">
        <v>2392718000</v>
      </c>
      <c r="K552" s="217"/>
      <c r="L552" s="218">
        <v>1350936000</v>
      </c>
      <c r="M552" s="217">
        <v>1061756000</v>
      </c>
      <c r="N552" s="217"/>
      <c r="O552" s="218">
        <v>4108399000</v>
      </c>
      <c r="P552" s="217">
        <v>4417641000</v>
      </c>
      <c r="Q552" s="217"/>
      <c r="R552" s="218">
        <v>3332584000</v>
      </c>
      <c r="S552" s="217">
        <v>3509045000</v>
      </c>
      <c r="T552" s="217"/>
      <c r="U552" s="218">
        <v>1959237000</v>
      </c>
      <c r="V552" s="217">
        <v>1934936000</v>
      </c>
      <c r="W552" s="217"/>
      <c r="AA552" s="93"/>
      <c r="AB552" s="93"/>
      <c r="AC552" s="83" t="s">
        <v>393</v>
      </c>
      <c r="AD552" s="83"/>
      <c r="AE552" s="93"/>
      <c r="AF552" s="93"/>
      <c r="AG552" s="83" t="s">
        <v>393</v>
      </c>
      <c r="AH552" s="83"/>
      <c r="AI552" s="93"/>
      <c r="AJ552" s="93"/>
      <c r="AK552" s="83" t="s">
        <v>393</v>
      </c>
      <c r="AL552" s="83"/>
      <c r="AM552" s="93"/>
      <c r="AN552" s="93"/>
      <c r="AO552" s="83" t="s">
        <v>393</v>
      </c>
      <c r="AP552" s="83"/>
      <c r="AQ552" s="93"/>
      <c r="AR552" s="93"/>
      <c r="AS552" s="83" t="s">
        <v>393</v>
      </c>
      <c r="AT552" s="83"/>
      <c r="AU552" s="93"/>
      <c r="AV552" s="93"/>
      <c r="AW552" s="83" t="s">
        <v>393</v>
      </c>
      <c r="AX552" s="83"/>
      <c r="AY552" s="93"/>
      <c r="AZ552" s="93"/>
    </row>
    <row r="553" spans="2:52" hidden="1" outlineLevel="1" x14ac:dyDescent="0.45">
      <c r="B553" s="1396"/>
      <c r="C553" s="91" t="s">
        <v>808</v>
      </c>
      <c r="D553" s="115"/>
      <c r="E553" s="91"/>
      <c r="F553" s="89"/>
      <c r="G553" s="89"/>
      <c r="H553" s="23"/>
      <c r="I553" s="92"/>
      <c r="J553" s="92"/>
      <c r="K553" s="31"/>
      <c r="L553" s="92"/>
      <c r="M553" s="92"/>
      <c r="N553" s="31"/>
      <c r="O553" s="92"/>
      <c r="P553" s="92"/>
      <c r="Q553" s="31"/>
      <c r="R553" s="92"/>
      <c r="S553" s="92"/>
      <c r="T553" s="31"/>
      <c r="U553" s="92"/>
      <c r="V553" s="92"/>
      <c r="W553" s="31"/>
      <c r="AA553" s="93"/>
      <c r="AB553" s="93"/>
      <c r="AC553" s="83"/>
      <c r="AD553" s="83"/>
      <c r="AE553" s="93"/>
      <c r="AF553" s="93"/>
      <c r="AG553" s="83"/>
      <c r="AH553" s="83"/>
      <c r="AI553" s="93"/>
      <c r="AJ553" s="93"/>
      <c r="AK553" s="83"/>
      <c r="AL553" s="83"/>
      <c r="AM553" s="93"/>
      <c r="AN553" s="93"/>
      <c r="AO553" s="83"/>
      <c r="AP553" s="83"/>
      <c r="AQ553" s="93"/>
      <c r="AR553" s="93"/>
      <c r="AS553" s="83"/>
      <c r="AT553" s="83"/>
      <c r="AU553" s="93"/>
      <c r="AV553" s="93"/>
      <c r="AW553" s="83"/>
      <c r="AX553" s="83"/>
      <c r="AY553" s="93"/>
      <c r="AZ553" s="93"/>
    </row>
    <row r="554" spans="2:52" hidden="1" outlineLevel="1" x14ac:dyDescent="0.45">
      <c r="B554" s="1396"/>
      <c r="C554" s="91" t="s">
        <v>809</v>
      </c>
      <c r="D554" s="115"/>
      <c r="E554" s="91"/>
      <c r="F554" s="89"/>
      <c r="G554" s="89"/>
      <c r="H554" s="23"/>
      <c r="I554" s="92"/>
      <c r="J554" s="92"/>
      <c r="K554" s="31"/>
      <c r="L554" s="92"/>
      <c r="M554" s="92"/>
      <c r="N554" s="31"/>
      <c r="O554" s="92"/>
      <c r="P554" s="92"/>
      <c r="Q554" s="31"/>
      <c r="R554" s="92"/>
      <c r="S554" s="92"/>
      <c r="T554" s="31"/>
      <c r="U554" s="92"/>
      <c r="V554" s="92"/>
      <c r="W554" s="31"/>
      <c r="AA554" s="93"/>
      <c r="AB554" s="93"/>
      <c r="AC554" s="83"/>
      <c r="AD554" s="83"/>
      <c r="AE554" s="93"/>
      <c r="AF554" s="93"/>
      <c r="AG554" s="83"/>
      <c r="AH554" s="83"/>
      <c r="AI554" s="93"/>
      <c r="AJ554" s="93"/>
      <c r="AK554" s="83"/>
      <c r="AL554" s="83"/>
      <c r="AM554" s="93"/>
      <c r="AN554" s="93"/>
      <c r="AO554" s="83"/>
      <c r="AP554" s="83"/>
      <c r="AQ554" s="93"/>
      <c r="AR554" s="93"/>
      <c r="AS554" s="83"/>
      <c r="AT554" s="83"/>
      <c r="AU554" s="93"/>
      <c r="AV554" s="93"/>
      <c r="AW554" s="83"/>
      <c r="AX554" s="83"/>
      <c r="AY554" s="93"/>
      <c r="AZ554" s="93"/>
    </row>
    <row r="555" spans="2:52" hidden="1" outlineLevel="1" x14ac:dyDescent="0.45">
      <c r="B555" s="1396"/>
      <c r="C555" s="91" t="s">
        <v>810</v>
      </c>
      <c r="D555" s="115"/>
      <c r="E555" s="91"/>
      <c r="F555" s="89"/>
      <c r="G555" s="89"/>
      <c r="H555" s="23"/>
      <c r="I555" s="92"/>
      <c r="J555" s="92"/>
      <c r="K555" s="31"/>
      <c r="L555" s="92"/>
      <c r="M555" s="92"/>
      <c r="N555" s="31"/>
      <c r="O555" s="92"/>
      <c r="P555" s="92"/>
      <c r="Q555" s="31"/>
      <c r="R555" s="92"/>
      <c r="S555" s="92"/>
      <c r="T555" s="31"/>
      <c r="U555" s="92"/>
      <c r="V555" s="92"/>
      <c r="W555" s="31"/>
      <c r="AA555" s="93"/>
      <c r="AB555" s="93"/>
      <c r="AC555" s="83"/>
      <c r="AD555" s="83"/>
      <c r="AE555" s="93"/>
      <c r="AF555" s="93"/>
      <c r="AG555" s="83"/>
      <c r="AH555" s="83"/>
      <c r="AI555" s="93"/>
      <c r="AJ555" s="93"/>
      <c r="AK555" s="83"/>
      <c r="AL555" s="83"/>
      <c r="AM555" s="93"/>
      <c r="AN555" s="93"/>
      <c r="AO555" s="83"/>
      <c r="AP555" s="83"/>
      <c r="AQ555" s="93"/>
      <c r="AR555" s="93"/>
      <c r="AS555" s="83"/>
      <c r="AT555" s="83"/>
      <c r="AU555" s="93"/>
      <c r="AV555" s="93"/>
      <c r="AW555" s="83"/>
      <c r="AX555" s="83"/>
      <c r="AY555" s="93"/>
      <c r="AZ555" s="93"/>
    </row>
    <row r="556" spans="2:52" hidden="1" outlineLevel="1" x14ac:dyDescent="0.45">
      <c r="B556" s="1396"/>
      <c r="C556" s="91" t="s">
        <v>811</v>
      </c>
      <c r="D556" s="115"/>
      <c r="E556" s="11" t="s">
        <v>400</v>
      </c>
      <c r="F556" s="89"/>
      <c r="G556" s="89"/>
      <c r="H556" s="23"/>
      <c r="I556" s="92"/>
      <c r="J556" s="92"/>
      <c r="K556" s="31"/>
      <c r="L556" s="92"/>
      <c r="M556" s="92"/>
      <c r="N556" s="31"/>
      <c r="O556" s="92"/>
      <c r="P556" s="92"/>
      <c r="Q556" s="31"/>
      <c r="R556" s="92"/>
      <c r="S556" s="92"/>
      <c r="T556" s="31"/>
      <c r="U556" s="92"/>
      <c r="V556" s="92"/>
      <c r="W556" s="31"/>
      <c r="AA556" s="93"/>
      <c r="AB556" s="93"/>
      <c r="AC556" s="83"/>
      <c r="AD556" s="83"/>
      <c r="AE556" s="93"/>
      <c r="AF556" s="93"/>
      <c r="AG556" s="83"/>
      <c r="AH556" s="83"/>
      <c r="AI556" s="93"/>
      <c r="AJ556" s="93"/>
      <c r="AK556" s="83"/>
      <c r="AL556" s="83"/>
      <c r="AM556" s="93"/>
      <c r="AN556" s="93"/>
      <c r="AO556" s="83"/>
      <c r="AP556" s="83"/>
      <c r="AQ556" s="93"/>
      <c r="AR556" s="93"/>
      <c r="AS556" s="83"/>
      <c r="AT556" s="83"/>
      <c r="AU556" s="93"/>
      <c r="AV556" s="93"/>
      <c r="AW556" s="83"/>
      <c r="AX556" s="83"/>
      <c r="AY556" s="93"/>
      <c r="AZ556" s="93"/>
    </row>
    <row r="557" spans="2:52" hidden="1" outlineLevel="1" x14ac:dyDescent="0.45">
      <c r="B557" s="1396"/>
      <c r="C557" s="91" t="s">
        <v>812</v>
      </c>
      <c r="D557" s="115">
        <v>1</v>
      </c>
      <c r="E557" s="87" t="s">
        <v>402</v>
      </c>
      <c r="F557" s="247" t="e">
        <f>IF(F519&lt;&gt;0,F544/F519,0)</f>
        <v>#REF!</v>
      </c>
      <c r="G557" s="247">
        <f>IF(G519&lt;&gt;0,G544/G519,0)</f>
        <v>6.7958906106991443E-2</v>
      </c>
      <c r="H557" s="248">
        <f>IF(H519&lt;&gt;0,H544/H519,0)</f>
        <v>7.2270248491050612E-2</v>
      </c>
      <c r="I557" s="249">
        <f t="shared" ref="I557:W557" si="146">IF(I519&lt;&gt;0,I544/I519,0)</f>
        <v>2.1516751821131386E-2</v>
      </c>
      <c r="J557" s="247">
        <f t="shared" si="146"/>
        <v>0.51694369947440821</v>
      </c>
      <c r="K557" s="248">
        <f t="shared" si="146"/>
        <v>0.51114682974938475</v>
      </c>
      <c r="L557" s="247">
        <f t="shared" si="146"/>
        <v>0</v>
      </c>
      <c r="M557" s="247">
        <f t="shared" si="146"/>
        <v>5.0652377186447058E-2</v>
      </c>
      <c r="N557" s="248">
        <f t="shared" si="146"/>
        <v>0</v>
      </c>
      <c r="O557" s="247" t="e">
        <f t="shared" si="146"/>
        <v>#REF!</v>
      </c>
      <c r="P557" s="247">
        <f t="shared" si="146"/>
        <v>0.32965018731149937</v>
      </c>
      <c r="Q557" s="248">
        <f t="shared" si="146"/>
        <v>0.15067692698519614</v>
      </c>
      <c r="R557" s="247">
        <f t="shared" si="146"/>
        <v>0</v>
      </c>
      <c r="S557" s="247">
        <f t="shared" si="146"/>
        <v>0</v>
      </c>
      <c r="T557" s="248">
        <f t="shared" si="146"/>
        <v>0</v>
      </c>
      <c r="U557" s="247" t="e">
        <f t="shared" si="146"/>
        <v>#REF!</v>
      </c>
      <c r="V557" s="247">
        <f t="shared" si="146"/>
        <v>4.4112099790865972E-2</v>
      </c>
      <c r="W557" s="248">
        <f t="shared" si="146"/>
        <v>4.9013119715308327E-2</v>
      </c>
      <c r="AA557" s="93"/>
      <c r="AB557" s="93"/>
      <c r="AC557" s="83"/>
      <c r="AD557" s="83"/>
      <c r="AE557" s="93"/>
      <c r="AF557" s="93"/>
      <c r="AG557" s="83"/>
      <c r="AH557" s="83"/>
      <c r="AI557" s="93"/>
      <c r="AJ557" s="93"/>
      <c r="AK557" s="83"/>
      <c r="AL557" s="83"/>
      <c r="AM557" s="93"/>
      <c r="AN557" s="93"/>
      <c r="AO557" s="83"/>
      <c r="AP557" s="83"/>
      <c r="AQ557" s="93"/>
      <c r="AR557" s="93"/>
      <c r="AS557" s="83" t="s">
        <v>403</v>
      </c>
      <c r="AT557" s="83"/>
      <c r="AU557" s="93"/>
      <c r="AV557" s="93"/>
      <c r="AW557" s="83"/>
      <c r="AX557" s="83"/>
      <c r="AY557" s="93"/>
      <c r="AZ557" s="93"/>
    </row>
    <row r="558" spans="2:52" hidden="1" outlineLevel="1" x14ac:dyDescent="0.45">
      <c r="B558" s="1396"/>
      <c r="C558" s="91" t="s">
        <v>813</v>
      </c>
      <c r="D558" s="115">
        <v>2</v>
      </c>
      <c r="E558" s="87" t="s">
        <v>405</v>
      </c>
      <c r="F558" s="247" t="e">
        <f>IF(F517&lt;&gt;0,F545/F517,0)</f>
        <v>#REF!</v>
      </c>
      <c r="G558" s="247">
        <f>IF(G517&lt;&gt;0,G545/G517,0)</f>
        <v>5.3913259708067721E-2</v>
      </c>
      <c r="H558" s="248">
        <f>IF(H517&lt;&gt;0,H545/H517,0)</f>
        <v>6.2000668339854001E-2</v>
      </c>
      <c r="I558" s="249">
        <f t="shared" ref="I558:W558" si="147">IF(I517&lt;&gt;0,I545/I517,0)</f>
        <v>0.24106375365497867</v>
      </c>
      <c r="J558" s="247">
        <f t="shared" si="147"/>
        <v>0.10221797537387403</v>
      </c>
      <c r="K558" s="248">
        <f t="shared" si="147"/>
        <v>0.22704914994563605</v>
      </c>
      <c r="L558" s="247">
        <f t="shared" si="147"/>
        <v>7.370268240405378E-3</v>
      </c>
      <c r="M558" s="247">
        <f t="shared" si="147"/>
        <v>1.4470639283110424E-3</v>
      </c>
      <c r="N558" s="248">
        <f t="shared" si="147"/>
        <v>0</v>
      </c>
      <c r="O558" s="247" t="e">
        <f t="shared" si="147"/>
        <v>#REF!</v>
      </c>
      <c r="P558" s="247">
        <f t="shared" si="147"/>
        <v>2.2582665783575685E-2</v>
      </c>
      <c r="Q558" s="248">
        <f t="shared" si="147"/>
        <v>2.1232681653807973E-2</v>
      </c>
      <c r="R558" s="247">
        <f t="shared" si="147"/>
        <v>0.29014188275862068</v>
      </c>
      <c r="S558" s="247">
        <f t="shared" si="147"/>
        <v>0.21236133608815427</v>
      </c>
      <c r="T558" s="248">
        <f t="shared" si="147"/>
        <v>0.32937928747686612</v>
      </c>
      <c r="U558" s="247" t="e">
        <f t="shared" si="147"/>
        <v>#REF!</v>
      </c>
      <c r="V558" s="247">
        <f t="shared" si="147"/>
        <v>4.7097994352585222E-2</v>
      </c>
      <c r="W558" s="248">
        <f t="shared" si="147"/>
        <v>5.1340728692489512E-2</v>
      </c>
      <c r="AA558" s="93"/>
      <c r="AB558" s="93"/>
      <c r="AC558" s="83"/>
      <c r="AD558" s="83"/>
      <c r="AE558" s="93"/>
      <c r="AF558" s="93"/>
      <c r="AG558" s="83"/>
      <c r="AH558" s="83"/>
      <c r="AI558" s="93"/>
      <c r="AJ558" s="93"/>
      <c r="AK558" s="83"/>
      <c r="AL558" s="83"/>
      <c r="AM558" s="93"/>
      <c r="AN558" s="93"/>
      <c r="AO558" s="83"/>
      <c r="AP558" s="83"/>
      <c r="AQ558" s="93"/>
      <c r="AR558" s="93"/>
      <c r="AS558" s="83" t="s">
        <v>403</v>
      </c>
      <c r="AT558" s="83"/>
      <c r="AU558" s="93"/>
      <c r="AV558" s="93"/>
      <c r="AW558" s="83"/>
      <c r="AX558" s="83"/>
      <c r="AY558" s="93"/>
      <c r="AZ558" s="93"/>
    </row>
    <row r="559" spans="2:52" hidden="1" outlineLevel="1" x14ac:dyDescent="0.45">
      <c r="B559" s="1396"/>
      <c r="C559" s="91" t="s">
        <v>814</v>
      </c>
      <c r="D559" s="115">
        <v>3</v>
      </c>
      <c r="E559" s="87" t="s">
        <v>407</v>
      </c>
      <c r="F559" s="195">
        <f>IF(F$85&lt;&gt;0,F$86/F$85,0)</f>
        <v>3.7890504175688212E-2</v>
      </c>
      <c r="G559" s="195">
        <f>IF(G$85&lt;&gt;0,G$86/G$85,0)</f>
        <v>3.5734020998342234E-2</v>
      </c>
      <c r="H559" s="196">
        <f>IF(H$85&lt;&gt;0,H$86/H$85,0)</f>
        <v>3.8430744595676539E-2</v>
      </c>
      <c r="I559" s="250">
        <f>IF(I$85&lt;&gt;0,I$86/I$85,0)</f>
        <v>0.10743801652892562</v>
      </c>
      <c r="J559" s="195">
        <f t="shared" ref="J559:W559" si="148">IF(J$85&lt;&gt;0,J$86/J$85,0)</f>
        <v>0.12605042016806722</v>
      </c>
      <c r="K559" s="196">
        <f t="shared" si="148"/>
        <v>0.11504424778761062</v>
      </c>
      <c r="L559" s="195">
        <f t="shared" si="148"/>
        <v>0</v>
      </c>
      <c r="M559" s="195">
        <f t="shared" si="148"/>
        <v>0</v>
      </c>
      <c r="N559" s="196">
        <f t="shared" si="148"/>
        <v>0</v>
      </c>
      <c r="O559" s="195">
        <f t="shared" si="148"/>
        <v>7.3394495412844041E-3</v>
      </c>
      <c r="P559" s="195">
        <f t="shared" si="148"/>
        <v>8.0459770114942528E-3</v>
      </c>
      <c r="Q559" s="196">
        <f t="shared" si="148"/>
        <v>6.9444444444444441E-3</v>
      </c>
      <c r="R559" s="195">
        <f t="shared" si="148"/>
        <v>2.0463320463320462E-2</v>
      </c>
      <c r="S559" s="195">
        <f t="shared" si="148"/>
        <v>2.36318407960199E-2</v>
      </c>
      <c r="T559" s="196">
        <f t="shared" si="148"/>
        <v>2.8169014084507043E-2</v>
      </c>
      <c r="U559" s="195">
        <f t="shared" si="148"/>
        <v>6.4165103189493436E-2</v>
      </c>
      <c r="V559" s="195">
        <f t="shared" si="148"/>
        <v>5.6706114398422089E-2</v>
      </c>
      <c r="W559" s="196">
        <f t="shared" si="148"/>
        <v>6.1881188118811881E-2</v>
      </c>
      <c r="AA559" s="93"/>
      <c r="AB559" s="93"/>
      <c r="AC559" s="83"/>
      <c r="AD559" s="83"/>
      <c r="AE559" s="93"/>
      <c r="AF559" s="93"/>
      <c r="AG559" s="83"/>
      <c r="AH559" s="83"/>
      <c r="AI559" s="93"/>
      <c r="AJ559" s="93"/>
      <c r="AK559" s="83"/>
      <c r="AL559" s="83"/>
      <c r="AM559" s="93"/>
      <c r="AN559" s="93"/>
      <c r="AO559" s="83"/>
      <c r="AP559" s="83"/>
      <c r="AQ559" s="93"/>
      <c r="AR559" s="93"/>
      <c r="AS559" s="83" t="s">
        <v>403</v>
      </c>
      <c r="AT559" s="83"/>
      <c r="AU559" s="93"/>
      <c r="AV559" s="93"/>
      <c r="AW559" s="83"/>
      <c r="AX559" s="83"/>
      <c r="AY559" s="93"/>
      <c r="AZ559" s="93"/>
    </row>
    <row r="560" spans="2:52" hidden="1" outlineLevel="1" x14ac:dyDescent="0.45">
      <c r="B560" s="1396"/>
      <c r="C560" s="91" t="s">
        <v>815</v>
      </c>
      <c r="D560" s="115">
        <v>4</v>
      </c>
      <c r="E560" s="87" t="s">
        <v>409</v>
      </c>
      <c r="F560" s="195">
        <f>IF(F$139&lt;&gt;0,F$140/F$139,0)</f>
        <v>0.30743887636552802</v>
      </c>
      <c r="G560" s="195">
        <f>IF(G$139&lt;&gt;0,G$140/G$139,0)</f>
        <v>0.28598200899550225</v>
      </c>
      <c r="H560" s="196">
        <f>IF(H$139&lt;&gt;0,H$140/H$139,0)</f>
        <v>0.3328814872192099</v>
      </c>
      <c r="I560" s="250">
        <f>IF(I$139&lt;&gt;0,I$140/I$139,0)</f>
        <v>0.74698795180722888</v>
      </c>
      <c r="J560" s="195">
        <f t="shared" ref="J560:W560" si="149">IF(J$139&lt;&gt;0,J$140/J$139,0)</f>
        <v>0.4375</v>
      </c>
      <c r="K560" s="196">
        <f t="shared" si="149"/>
        <v>0.54736842105263162</v>
      </c>
      <c r="L560" s="195">
        <f t="shared" si="149"/>
        <v>9.5238095238095233E-2</v>
      </c>
      <c r="M560" s="195">
        <f t="shared" si="149"/>
        <v>3.125E-2</v>
      </c>
      <c r="N560" s="196">
        <f t="shared" si="149"/>
        <v>0</v>
      </c>
      <c r="O560" s="195">
        <f t="shared" si="149"/>
        <v>6.4215148188803514E-2</v>
      </c>
      <c r="P560" s="195">
        <f t="shared" si="149"/>
        <v>4.1759465478841871E-2</v>
      </c>
      <c r="Q560" s="196">
        <f t="shared" si="149"/>
        <v>4.6690307328605199E-2</v>
      </c>
      <c r="R560" s="195">
        <f t="shared" si="149"/>
        <v>0.23907956318252729</v>
      </c>
      <c r="S560" s="195">
        <f t="shared" si="149"/>
        <v>0.27137096774193548</v>
      </c>
      <c r="T560" s="196">
        <f t="shared" si="149"/>
        <v>0.35398230088495575</v>
      </c>
      <c r="U560" s="195">
        <f t="shared" si="149"/>
        <v>0.82199546485260766</v>
      </c>
      <c r="V560" s="195">
        <f t="shared" si="149"/>
        <v>0.83685446009389675</v>
      </c>
      <c r="W560" s="196">
        <f t="shared" si="149"/>
        <v>0.83985765124555156</v>
      </c>
      <c r="AA560" s="93"/>
      <c r="AB560" s="93"/>
      <c r="AC560" s="83"/>
      <c r="AD560" s="83"/>
      <c r="AE560" s="93"/>
      <c r="AF560" s="93"/>
      <c r="AG560" s="83"/>
      <c r="AH560" s="83"/>
      <c r="AI560" s="93"/>
      <c r="AJ560" s="93"/>
      <c r="AK560" s="83"/>
      <c r="AL560" s="83"/>
      <c r="AM560" s="93"/>
      <c r="AN560" s="93"/>
      <c r="AO560" s="83"/>
      <c r="AP560" s="83"/>
      <c r="AQ560" s="93"/>
      <c r="AR560" s="93"/>
      <c r="AS560" s="83" t="s">
        <v>403</v>
      </c>
      <c r="AT560" s="83"/>
      <c r="AU560" s="93"/>
      <c r="AV560" s="93"/>
      <c r="AW560" s="83"/>
      <c r="AX560" s="83"/>
      <c r="AY560" s="93"/>
      <c r="AZ560" s="93"/>
    </row>
    <row r="561" spans="1:52" hidden="1" outlineLevel="1" x14ac:dyDescent="0.45">
      <c r="B561" s="1396"/>
      <c r="C561" s="91" t="s">
        <v>816</v>
      </c>
      <c r="D561" s="115">
        <v>5</v>
      </c>
      <c r="E561" s="116" t="s">
        <v>411</v>
      </c>
      <c r="F561" s="251"/>
      <c r="G561" s="195">
        <f>IF(F$130&lt;&gt;0,G$130/F$130,0)</f>
        <v>0.73369537590465173</v>
      </c>
      <c r="H561" s="196">
        <f>IF(G$130&lt;&gt;0,H$130/G$130,0)</f>
        <v>58.305580012254282</v>
      </c>
      <c r="I561" s="252"/>
      <c r="J561" s="195">
        <f>IF(I$130&lt;&gt;0,J$130/I$130,0)</f>
        <v>0.73369537590465173</v>
      </c>
      <c r="K561" s="196">
        <f>IF(J$130&lt;&gt;0,K$130/J$130,0)</f>
        <v>0.61576389611397953</v>
      </c>
      <c r="L561" s="251"/>
      <c r="M561" s="195">
        <f>IF(L$130&lt;&gt;0,M$130/L$130,0)</f>
        <v>0</v>
      </c>
      <c r="N561" s="196">
        <f>IF(M$130&lt;&gt;0,N$130/M$130,0)</f>
        <v>0</v>
      </c>
      <c r="O561" s="251"/>
      <c r="P561" s="195">
        <f>IF(O$130&lt;&gt;0,P$130/O$130,0)</f>
        <v>0</v>
      </c>
      <c r="Q561" s="196">
        <f>IF(P$130&lt;&gt;0,Q$130/P$130,0)</f>
        <v>0</v>
      </c>
      <c r="R561" s="251"/>
      <c r="S561" s="195">
        <f>IF(R$130&lt;&gt;0,S$130/R$130,0)</f>
        <v>0</v>
      </c>
      <c r="T561" s="196">
        <f>IF(S$130&lt;&gt;0,T$130/S$130,0)</f>
        <v>0</v>
      </c>
      <c r="U561" s="251"/>
      <c r="V561" s="195">
        <f>IF(U$130&lt;&gt;0,V$130/U$130,0)</f>
        <v>0</v>
      </c>
      <c r="W561" s="196">
        <f>IF(V$130&lt;&gt;0,W$130/V$130,0)</f>
        <v>0</v>
      </c>
      <c r="AA561" s="93"/>
      <c r="AB561" s="93"/>
      <c r="AC561" s="83"/>
      <c r="AD561" s="83"/>
      <c r="AE561" s="93"/>
      <c r="AF561" s="93"/>
      <c r="AG561" s="83"/>
      <c r="AH561" s="83"/>
      <c r="AI561" s="93"/>
      <c r="AJ561" s="93"/>
      <c r="AK561" s="83"/>
      <c r="AL561" s="83"/>
      <c r="AM561" s="93"/>
      <c r="AN561" s="93"/>
      <c r="AO561" s="83"/>
      <c r="AP561" s="83"/>
      <c r="AQ561" s="93"/>
      <c r="AR561" s="93"/>
      <c r="AS561" s="83" t="s">
        <v>412</v>
      </c>
      <c r="AT561" s="83"/>
      <c r="AU561" s="93"/>
      <c r="AV561" s="93"/>
      <c r="AW561" s="83"/>
      <c r="AX561" s="83"/>
      <c r="AY561" s="93"/>
      <c r="AZ561" s="93"/>
    </row>
    <row r="562" spans="1:52" hidden="1" outlineLevel="1" x14ac:dyDescent="0.45">
      <c r="B562" s="1396"/>
      <c r="C562" s="91" t="s">
        <v>817</v>
      </c>
      <c r="D562" s="115">
        <v>6</v>
      </c>
      <c r="E562" s="116" t="s">
        <v>415</v>
      </c>
      <c r="F562" s="247">
        <f>IF(COUNTA(I562,L562,O562,R562,U562)&gt;0,SUM(I562,L562,O562,R562,U562)/COUNTA(I562,L562,O562,R562,U562),0)</f>
        <v>0</v>
      </c>
      <c r="G562" s="247">
        <f>IF(COUNTA(J562,M562,P562,S562,V562)&gt;0,SUM(J562,M562,P562,S562,V562)/COUNTA(J562,M562,P562,S562,V562),0)</f>
        <v>0</v>
      </c>
      <c r="H562" s="248">
        <f>IF(COUNTA(K562,N562,Q562,T562,W562)&gt;0,SUM(K562,N562,Q562,T562,W562)/COUNTA(K562,N562,Q562,T562,W562),0)</f>
        <v>0</v>
      </c>
      <c r="I562" s="273"/>
      <c r="J562" s="273"/>
      <c r="K562" s="273"/>
      <c r="L562" s="273"/>
      <c r="M562" s="273"/>
      <c r="N562" s="273"/>
      <c r="O562" s="273"/>
      <c r="P562" s="273"/>
      <c r="Q562" s="273"/>
      <c r="R562" s="273"/>
      <c r="S562" s="273"/>
      <c r="T562" s="273"/>
      <c r="U562" s="273"/>
      <c r="V562" s="273"/>
      <c r="W562" s="273"/>
      <c r="AA562" s="93"/>
      <c r="AB562" s="93"/>
      <c r="AC562" s="83"/>
      <c r="AD562" s="83"/>
      <c r="AE562" s="93"/>
      <c r="AF562" s="93"/>
      <c r="AG562" s="83"/>
      <c r="AH562" s="83"/>
      <c r="AI562" s="93"/>
      <c r="AJ562" s="93"/>
      <c r="AK562" s="83"/>
      <c r="AL562" s="83"/>
      <c r="AM562" s="93"/>
      <c r="AN562" s="93"/>
      <c r="AO562" s="83"/>
      <c r="AP562" s="83"/>
      <c r="AQ562" s="93"/>
      <c r="AR562" s="93"/>
      <c r="AS562" s="83"/>
      <c r="AT562" s="83"/>
      <c r="AU562" s="93"/>
      <c r="AV562" s="93"/>
      <c r="AW562" s="83"/>
      <c r="AX562" s="83"/>
      <c r="AY562" s="93"/>
      <c r="AZ562" s="93"/>
    </row>
    <row r="563" spans="1:52" hidden="1" outlineLevel="1" x14ac:dyDescent="0.45">
      <c r="B563" s="1396"/>
      <c r="C563" s="91" t="s">
        <v>818</v>
      </c>
      <c r="D563" s="115">
        <v>7</v>
      </c>
      <c r="E563" s="116" t="s">
        <v>417</v>
      </c>
      <c r="F563" s="247" t="e">
        <f>IF(F521&lt;&gt;0,F540/F521,0)</f>
        <v>#REF!</v>
      </c>
      <c r="G563" s="247">
        <f>IF(G521&lt;&gt;0,G540/G521,0)</f>
        <v>1.9455540501031539</v>
      </c>
      <c r="H563" s="248">
        <f>IF(H521&lt;&gt;0,H540/H521,0)</f>
        <v>1.649863439842723</v>
      </c>
      <c r="I563" s="249">
        <f t="shared" ref="I563:W563" si="150">IF(I521&lt;&gt;0,I540/I521,0)</f>
        <v>15.696381559583841</v>
      </c>
      <c r="J563" s="247">
        <f t="shared" si="150"/>
        <v>9.0836892969228575</v>
      </c>
      <c r="K563" s="248">
        <f t="shared" si="150"/>
        <v>12.350312876057805</v>
      </c>
      <c r="L563" s="247">
        <f t="shared" si="150"/>
        <v>3.6551649579922456</v>
      </c>
      <c r="M563" s="247">
        <f t="shared" si="150"/>
        <v>14.2480987815365</v>
      </c>
      <c r="N563" s="248">
        <f t="shared" si="150"/>
        <v>28.016382572300525</v>
      </c>
      <c r="O563" s="247" t="e">
        <f t="shared" si="150"/>
        <v>#REF!</v>
      </c>
      <c r="P563" s="247">
        <f t="shared" si="150"/>
        <v>12.529751183632927</v>
      </c>
      <c r="Q563" s="248">
        <f t="shared" si="150"/>
        <v>10.26294311967146</v>
      </c>
      <c r="R563" s="247">
        <f t="shared" si="150"/>
        <v>2.1344973558067526</v>
      </c>
      <c r="S563" s="247">
        <f t="shared" si="150"/>
        <v>2.6281266184452692</v>
      </c>
      <c r="T563" s="248">
        <f t="shared" si="150"/>
        <v>2.4626904789595221</v>
      </c>
      <c r="U563" s="247" t="e">
        <f t="shared" si="150"/>
        <v>#REF!</v>
      </c>
      <c r="V563" s="247">
        <f t="shared" si="150"/>
        <v>1.5845199421386045</v>
      </c>
      <c r="W563" s="248">
        <f t="shared" si="150"/>
        <v>1.4381315416139913</v>
      </c>
      <c r="AA563" s="93"/>
      <c r="AB563" s="93"/>
      <c r="AC563" s="83"/>
      <c r="AD563" s="83"/>
      <c r="AE563" s="93"/>
      <c r="AF563" s="93"/>
      <c r="AG563" s="83"/>
      <c r="AH563" s="83"/>
      <c r="AI563" s="93"/>
      <c r="AJ563" s="93"/>
      <c r="AK563" s="83"/>
      <c r="AL563" s="83"/>
      <c r="AM563" s="93"/>
      <c r="AN563" s="93"/>
      <c r="AO563" s="83"/>
      <c r="AP563" s="83"/>
      <c r="AQ563" s="93"/>
      <c r="AR563" s="93"/>
      <c r="AS563" s="83"/>
      <c r="AT563" s="83"/>
      <c r="AU563" s="93"/>
      <c r="AV563" s="93"/>
      <c r="AW563" s="83"/>
      <c r="AX563" s="83"/>
      <c r="AY563" s="93"/>
      <c r="AZ563" s="93"/>
    </row>
    <row r="564" spans="1:52" hidden="1" outlineLevel="1" x14ac:dyDescent="0.45">
      <c r="B564" s="1396"/>
      <c r="C564" s="91" t="s">
        <v>819</v>
      </c>
      <c r="D564" s="115">
        <v>8</v>
      </c>
      <c r="E564" s="13" t="s">
        <v>419</v>
      </c>
      <c r="F564" s="247" t="e">
        <f>IF(F540&lt;&gt;0,F526/F540,0)</f>
        <v>#REF!</v>
      </c>
      <c r="G564" s="247">
        <f>IF(G540&lt;&gt;0,G526/G540,0)</f>
        <v>1.6595436030925836E-2</v>
      </c>
      <c r="H564" s="248">
        <f>IF(H540&lt;&gt;0,H526/H540,0)</f>
        <v>2.482781307708154E-2</v>
      </c>
      <c r="I564" s="249">
        <f t="shared" ref="I564:W564" si="151">IF(I540&lt;&gt;0,I526/I540,0)</f>
        <v>0</v>
      </c>
      <c r="J564" s="247">
        <f t="shared" si="151"/>
        <v>0</v>
      </c>
      <c r="K564" s="248">
        <f t="shared" si="151"/>
        <v>0</v>
      </c>
      <c r="L564" s="247">
        <f t="shared" si="151"/>
        <v>0</v>
      </c>
      <c r="M564" s="247">
        <f t="shared" si="151"/>
        <v>0</v>
      </c>
      <c r="N564" s="248">
        <f t="shared" si="151"/>
        <v>0</v>
      </c>
      <c r="O564" s="247" t="e">
        <f t="shared" si="151"/>
        <v>#REF!</v>
      </c>
      <c r="P564" s="247">
        <f t="shared" si="151"/>
        <v>7.5535009317020951E-2</v>
      </c>
      <c r="Q564" s="248">
        <f t="shared" si="151"/>
        <v>0.20307317194427432</v>
      </c>
      <c r="R564" s="247">
        <f t="shared" si="151"/>
        <v>6.4726683679697458E-2</v>
      </c>
      <c r="S564" s="247">
        <f t="shared" si="151"/>
        <v>8.3406135222939937E-2</v>
      </c>
      <c r="T564" s="248">
        <f t="shared" si="151"/>
        <v>7.6409183132974151E-2</v>
      </c>
      <c r="U564" s="247" t="e">
        <f t="shared" si="151"/>
        <v>#REF!</v>
      </c>
      <c r="V564" s="247">
        <f t="shared" si="151"/>
        <v>3.2089403951895859E-4</v>
      </c>
      <c r="W564" s="248">
        <f t="shared" si="151"/>
        <v>1.7039486723854487E-4</v>
      </c>
      <c r="AA564" s="93"/>
      <c r="AB564" s="93"/>
      <c r="AC564" s="83"/>
      <c r="AD564" s="83"/>
      <c r="AE564" s="93"/>
      <c r="AF564" s="93"/>
      <c r="AG564" s="83"/>
      <c r="AH564" s="83"/>
      <c r="AI564" s="93"/>
      <c r="AJ564" s="93"/>
      <c r="AK564" s="83"/>
      <c r="AL564" s="83"/>
      <c r="AM564" s="93"/>
      <c r="AN564" s="93"/>
      <c r="AO564" s="83"/>
      <c r="AP564" s="83"/>
      <c r="AQ564" s="93"/>
      <c r="AR564" s="93"/>
      <c r="AS564" s="83"/>
      <c r="AT564" s="83"/>
      <c r="AU564" s="93"/>
      <c r="AV564" s="93"/>
      <c r="AW564" s="83"/>
      <c r="AX564" s="83"/>
      <c r="AY564" s="93"/>
      <c r="AZ564" s="93"/>
    </row>
    <row r="565" spans="1:52" hidden="1" outlineLevel="1" x14ac:dyDescent="0.45">
      <c r="B565" s="1396"/>
      <c r="C565" s="91" t="s">
        <v>820</v>
      </c>
      <c r="D565" s="115">
        <v>9</v>
      </c>
      <c r="E565" s="13" t="s">
        <v>421</v>
      </c>
      <c r="F565" s="254" t="e">
        <f>IF(F$33&lt;&gt;0,F526/F$33,0)</f>
        <v>#REF!</v>
      </c>
      <c r="G565" s="255">
        <f>IF(G$33&lt;&gt;0,G526/G$33,0)</f>
        <v>684094.81369230768</v>
      </c>
      <c r="H565" s="256">
        <f>IF(H$33&lt;&gt;0,H526/H$33,0)</f>
        <v>22257.30346899225</v>
      </c>
      <c r="I565" s="254">
        <f t="shared" ref="I565:W565" si="152">IF(I$33&lt;&gt;0,I526/I$33,0)</f>
        <v>0</v>
      </c>
      <c r="J565" s="255">
        <f t="shared" si="152"/>
        <v>0</v>
      </c>
      <c r="K565" s="256">
        <f t="shared" si="152"/>
        <v>0</v>
      </c>
      <c r="L565" s="254">
        <f t="shared" si="152"/>
        <v>0</v>
      </c>
      <c r="M565" s="255">
        <f t="shared" si="152"/>
        <v>0</v>
      </c>
      <c r="N565" s="256">
        <f t="shared" si="152"/>
        <v>0</v>
      </c>
      <c r="O565" s="254">
        <f t="shared" si="152"/>
        <v>0</v>
      </c>
      <c r="P565" s="255">
        <f t="shared" si="152"/>
        <v>0</v>
      </c>
      <c r="Q565" s="256">
        <f t="shared" si="152"/>
        <v>31950.886068476979</v>
      </c>
      <c r="R565" s="254">
        <f t="shared" si="152"/>
        <v>0</v>
      </c>
      <c r="S565" s="255">
        <f t="shared" si="152"/>
        <v>0</v>
      </c>
      <c r="T565" s="256">
        <f t="shared" si="152"/>
        <v>23457.387818962154</v>
      </c>
      <c r="U565" s="254">
        <f t="shared" si="152"/>
        <v>0</v>
      </c>
      <c r="V565" s="255">
        <f t="shared" si="152"/>
        <v>0</v>
      </c>
      <c r="W565" s="256">
        <f t="shared" si="152"/>
        <v>786.40512418300659</v>
      </c>
      <c r="AA565" s="93"/>
      <c r="AB565" s="93"/>
      <c r="AC565" s="83"/>
      <c r="AD565" s="83"/>
      <c r="AE565" s="93"/>
      <c r="AF565" s="93"/>
      <c r="AG565" s="83"/>
      <c r="AH565" s="83"/>
      <c r="AI565" s="93"/>
      <c r="AJ565" s="93"/>
      <c r="AK565" s="83"/>
      <c r="AL565" s="83"/>
      <c r="AM565" s="93"/>
      <c r="AN565" s="93"/>
      <c r="AO565" s="83"/>
      <c r="AP565" s="83"/>
      <c r="AQ565" s="93"/>
      <c r="AR565" s="93"/>
      <c r="AS565" s="83"/>
      <c r="AT565" s="83"/>
      <c r="AU565" s="93"/>
      <c r="AV565" s="93"/>
      <c r="AW565" s="83"/>
      <c r="AX565" s="83"/>
      <c r="AY565" s="93"/>
      <c r="AZ565" s="93"/>
    </row>
    <row r="566" spans="1:52" hidden="1" outlineLevel="1" x14ac:dyDescent="0.45">
      <c r="B566" s="1396"/>
      <c r="C566" s="91" t="s">
        <v>821</v>
      </c>
      <c r="D566" s="115">
        <v>10</v>
      </c>
      <c r="E566" s="13" t="s">
        <v>496</v>
      </c>
      <c r="F566" s="258">
        <v>5.6283986361087817E-3</v>
      </c>
      <c r="G566" s="258">
        <v>5.8277379008081645E-3</v>
      </c>
      <c r="H566" s="259">
        <f>IF(H552&lt;&gt;0,-H541/H552,0)</f>
        <v>0</v>
      </c>
      <c r="I566" s="258">
        <v>3.4563440450780035E-3</v>
      </c>
      <c r="J566" s="258">
        <v>3.9721327001343244E-3</v>
      </c>
      <c r="K566" s="258"/>
      <c r="L566" s="258">
        <v>5.0872661621275913E-4</v>
      </c>
      <c r="M566" s="258">
        <v>-3.7967291920177517E-6</v>
      </c>
      <c r="N566" s="258">
        <v>0</v>
      </c>
      <c r="O566" s="258">
        <v>1.0349453760455107E-2</v>
      </c>
      <c r="P566" s="258">
        <v>9.8155461387650095E-3</v>
      </c>
      <c r="Q566" s="258">
        <v>0</v>
      </c>
      <c r="R566" s="258">
        <v>9.6244102864323916E-3</v>
      </c>
      <c r="S566" s="258">
        <v>1.0521306118901294E-2</v>
      </c>
      <c r="T566" s="258">
        <v>0</v>
      </c>
      <c r="U566" s="258">
        <v>-4.7403497637090357E-3</v>
      </c>
      <c r="V566" s="258">
        <v>-6.2941309428322179E-3</v>
      </c>
      <c r="W566" s="258">
        <v>0</v>
      </c>
      <c r="AA566" s="93"/>
      <c r="AB566" s="93"/>
      <c r="AC566" s="83" t="s">
        <v>424</v>
      </c>
      <c r="AD566" s="83"/>
      <c r="AE566" s="93"/>
      <c r="AF566" s="93"/>
      <c r="AG566" s="83" t="s">
        <v>424</v>
      </c>
      <c r="AH566" s="83"/>
      <c r="AI566" s="93"/>
      <c r="AJ566" s="93"/>
      <c r="AK566" s="83" t="s">
        <v>424</v>
      </c>
      <c r="AL566" s="83"/>
      <c r="AM566" s="93"/>
      <c r="AN566" s="93"/>
      <c r="AO566" s="83" t="s">
        <v>424</v>
      </c>
      <c r="AP566" s="83"/>
      <c r="AQ566" s="93"/>
      <c r="AR566" s="93"/>
      <c r="AS566" s="83" t="s">
        <v>424</v>
      </c>
      <c r="AT566" s="83"/>
      <c r="AU566" s="93"/>
      <c r="AV566" s="93"/>
      <c r="AW566" s="83" t="s">
        <v>424</v>
      </c>
      <c r="AX566" s="83"/>
      <c r="AY566" s="93"/>
      <c r="AZ566" s="93"/>
    </row>
    <row r="567" spans="1:52" hidden="1" outlineLevel="1" x14ac:dyDescent="0.45">
      <c r="B567" s="1396"/>
      <c r="C567" s="91" t="s">
        <v>822</v>
      </c>
      <c r="D567" s="115">
        <v>11</v>
      </c>
      <c r="E567" s="13" t="s">
        <v>426</v>
      </c>
      <c r="F567" s="260" t="e">
        <f>IF(F552&lt;&gt;0,-F541/F552,0)</f>
        <v>#REF!</v>
      </c>
      <c r="G567" s="261">
        <f>IF(G552&lt;&gt;0,-G541/G552,0)</f>
        <v>0.19558571127667074</v>
      </c>
      <c r="H567" s="262">
        <f>IF(H552&lt;&gt;0,-H541/H552,0)</f>
        <v>0</v>
      </c>
      <c r="I567" s="263">
        <f t="shared" ref="I567:W567" si="153">IF(I552&lt;&gt;0,-I541/I552,0)</f>
        <v>0.35535415263751391</v>
      </c>
      <c r="J567" s="263">
        <f t="shared" si="153"/>
        <v>1.8650551153582284E-2</v>
      </c>
      <c r="K567" s="264">
        <f t="shared" si="153"/>
        <v>0</v>
      </c>
      <c r="L567" s="263">
        <f t="shared" si="153"/>
        <v>2.4851485587276774E-3</v>
      </c>
      <c r="M567" s="263">
        <f t="shared" si="153"/>
        <v>0.23863240832482543</v>
      </c>
      <c r="N567" s="264">
        <f t="shared" si="153"/>
        <v>0</v>
      </c>
      <c r="O567" s="263" t="e">
        <f t="shared" si="153"/>
        <v>#REF!</v>
      </c>
      <c r="P567" s="263">
        <f t="shared" si="153"/>
        <v>0.11893865463616339</v>
      </c>
      <c r="Q567" s="264">
        <f t="shared" si="153"/>
        <v>0</v>
      </c>
      <c r="R567" s="263">
        <f t="shared" si="153"/>
        <v>0.10574433538792856</v>
      </c>
      <c r="S567" s="263">
        <f t="shared" si="153"/>
        <v>9.4277628927370405E-2</v>
      </c>
      <c r="T567" s="264">
        <f t="shared" si="153"/>
        <v>0</v>
      </c>
      <c r="U567" s="263" t="e">
        <f t="shared" si="153"/>
        <v>#REF!</v>
      </c>
      <c r="V567" s="263">
        <f t="shared" si="153"/>
        <v>0.74947723707399094</v>
      </c>
      <c r="W567" s="264">
        <f t="shared" si="153"/>
        <v>0</v>
      </c>
      <c r="AA567" s="93"/>
      <c r="AB567" s="93"/>
      <c r="AC567" s="83"/>
      <c r="AD567" s="83"/>
      <c r="AE567" s="93"/>
      <c r="AF567" s="93"/>
      <c r="AG567" s="83"/>
      <c r="AH567" s="83"/>
      <c r="AI567" s="93"/>
      <c r="AJ567" s="93"/>
      <c r="AK567" s="83"/>
      <c r="AL567" s="83"/>
      <c r="AM567" s="93"/>
      <c r="AN567" s="93"/>
      <c r="AO567" s="83"/>
      <c r="AP567" s="83"/>
      <c r="AQ567" s="93"/>
      <c r="AR567" s="93"/>
      <c r="AS567" s="83"/>
      <c r="AT567" s="83"/>
      <c r="AU567" s="93"/>
      <c r="AV567" s="93"/>
      <c r="AW567" s="83"/>
      <c r="AX567" s="83"/>
      <c r="AY567" s="93"/>
      <c r="AZ567" s="93"/>
    </row>
    <row r="568" spans="1:52" hidden="1" outlineLevel="1" x14ac:dyDescent="0.45">
      <c r="B568" s="1396"/>
      <c r="C568" s="91" t="s">
        <v>823</v>
      </c>
      <c r="D568" s="115"/>
      <c r="E568" s="13"/>
      <c r="F568" s="89"/>
      <c r="G568" s="89"/>
      <c r="H568" s="23"/>
      <c r="I568" s="92"/>
      <c r="J568" s="92"/>
      <c r="K568" s="31"/>
      <c r="L568" s="92"/>
      <c r="M568" s="92"/>
      <c r="N568" s="31"/>
      <c r="O568" s="92"/>
      <c r="P568" s="92"/>
      <c r="Q568" s="31"/>
      <c r="R568" s="92"/>
      <c r="S568" s="92"/>
      <c r="T568" s="31"/>
      <c r="U568" s="247"/>
      <c r="V568" s="247"/>
      <c r="W568" s="248"/>
      <c r="AA568" s="93"/>
      <c r="AB568" s="93"/>
      <c r="AC568" s="83"/>
      <c r="AD568" s="83"/>
      <c r="AE568" s="93"/>
      <c r="AF568" s="93"/>
      <c r="AG568" s="83"/>
      <c r="AH568" s="83"/>
      <c r="AI568" s="93"/>
      <c r="AJ568" s="93"/>
      <c r="AK568" s="83"/>
      <c r="AL568" s="83"/>
      <c r="AM568" s="93"/>
      <c r="AN568" s="93"/>
      <c r="AO568" s="83"/>
      <c r="AP568" s="83"/>
      <c r="AQ568" s="93"/>
      <c r="AR568" s="93"/>
      <c r="AS568" s="83"/>
      <c r="AT568" s="83"/>
      <c r="AU568" s="93"/>
      <c r="AV568" s="93"/>
      <c r="AW568" s="83"/>
      <c r="AX568" s="83"/>
      <c r="AY568" s="93"/>
      <c r="AZ568" s="93"/>
    </row>
    <row r="569" spans="1:52" hidden="1" outlineLevel="1" x14ac:dyDescent="0.45">
      <c r="B569" s="1396"/>
      <c r="C569" s="91" t="s">
        <v>824</v>
      </c>
      <c r="D569" s="115"/>
      <c r="E569" s="13"/>
      <c r="F569" s="89"/>
      <c r="G569" s="89"/>
      <c r="H569" s="23"/>
      <c r="I569" s="92"/>
      <c r="J569" s="92"/>
      <c r="K569" s="31"/>
      <c r="L569" s="92"/>
      <c r="M569" s="92"/>
      <c r="N569" s="31"/>
      <c r="O569" s="92"/>
      <c r="P569" s="92"/>
      <c r="Q569" s="31"/>
      <c r="R569" s="92"/>
      <c r="S569" s="92"/>
      <c r="T569" s="31"/>
      <c r="U569" s="92"/>
      <c r="V569" s="92"/>
      <c r="W569" s="31"/>
      <c r="AA569" s="93"/>
      <c r="AB569" s="93"/>
      <c r="AC569" s="83"/>
      <c r="AD569" s="83"/>
      <c r="AE569" s="93"/>
      <c r="AF569" s="93"/>
      <c r="AG569" s="83"/>
      <c r="AH569" s="83"/>
      <c r="AI569" s="93"/>
      <c r="AJ569" s="93"/>
      <c r="AK569" s="83"/>
      <c r="AL569" s="83"/>
      <c r="AM569" s="93"/>
      <c r="AN569" s="93"/>
      <c r="AO569" s="83"/>
      <c r="AP569" s="83"/>
      <c r="AQ569" s="93"/>
      <c r="AR569" s="93"/>
      <c r="AS569" s="83"/>
      <c r="AT569" s="83"/>
      <c r="AU569" s="93"/>
      <c r="AV569" s="93"/>
      <c r="AW569" s="83"/>
      <c r="AX569" s="83"/>
      <c r="AY569" s="93"/>
      <c r="AZ569" s="93"/>
    </row>
    <row r="570" spans="1:52" collapsed="1" x14ac:dyDescent="0.45">
      <c r="B570" s="268"/>
      <c r="C570" s="13"/>
      <c r="D570" s="87"/>
      <c r="E570" s="14"/>
      <c r="F570" s="89"/>
      <c r="G570" s="89"/>
      <c r="H570" s="23"/>
      <c r="I570" s="14"/>
      <c r="J570" s="14"/>
      <c r="K570" s="277"/>
      <c r="L570" s="116"/>
      <c r="M570" s="92"/>
      <c r="N570" s="31"/>
      <c r="O570" s="92"/>
      <c r="P570" s="92"/>
      <c r="Q570" s="31"/>
      <c r="R570" s="92"/>
      <c r="S570" s="92"/>
      <c r="T570" s="31"/>
      <c r="U570" s="92"/>
      <c r="V570" s="92"/>
      <c r="W570" s="31"/>
      <c r="AA570" s="93"/>
      <c r="AB570" s="93"/>
      <c r="AC570" s="83"/>
      <c r="AD570" s="83"/>
      <c r="AE570" s="93"/>
      <c r="AF570" s="93"/>
      <c r="AG570" s="83"/>
      <c r="AH570" s="83"/>
      <c r="AI570" s="93"/>
      <c r="AJ570" s="93"/>
      <c r="AK570" s="83"/>
      <c r="AL570" s="83"/>
      <c r="AM570" s="93"/>
      <c r="AN570" s="93"/>
      <c r="AO570" s="83"/>
      <c r="AP570" s="83"/>
      <c r="AQ570" s="93"/>
      <c r="AR570" s="93"/>
      <c r="AS570" s="83"/>
      <c r="AT570" s="83"/>
      <c r="AU570" s="93"/>
      <c r="AV570" s="93"/>
      <c r="AW570" s="83"/>
      <c r="AX570" s="83"/>
      <c r="AY570" s="93"/>
      <c r="AZ570" s="93"/>
    </row>
    <row r="571" spans="1:52" x14ac:dyDescent="0.45">
      <c r="B571" s="268"/>
      <c r="C571" s="13"/>
      <c r="D571" s="87"/>
      <c r="E571" s="14"/>
      <c r="F571" s="89"/>
      <c r="G571" s="89"/>
      <c r="H571" s="23"/>
      <c r="I571" s="14"/>
      <c r="J571" s="14"/>
      <c r="K571" s="277"/>
      <c r="L571" s="116"/>
      <c r="M571" s="92"/>
      <c r="N571" s="31"/>
      <c r="O571" s="92"/>
      <c r="P571" s="92"/>
      <c r="Q571" s="31"/>
      <c r="R571" s="92"/>
      <c r="S571" s="92"/>
      <c r="T571" s="31"/>
      <c r="U571" s="92"/>
      <c r="V571" s="92"/>
      <c r="W571" s="31"/>
      <c r="AA571" s="93"/>
      <c r="AB571" s="93"/>
      <c r="AC571" s="83"/>
      <c r="AD571" s="83"/>
      <c r="AE571" s="93"/>
      <c r="AF571" s="93"/>
      <c r="AG571" s="83"/>
      <c r="AH571" s="83"/>
      <c r="AI571" s="93"/>
      <c r="AJ571" s="93"/>
      <c r="AK571" s="83"/>
      <c r="AL571" s="83"/>
      <c r="AM571" s="93"/>
      <c r="AN571" s="93"/>
      <c r="AO571" s="83"/>
      <c r="AP571" s="83"/>
      <c r="AQ571" s="93"/>
      <c r="AR571" s="93"/>
      <c r="AS571" s="83"/>
      <c r="AT571" s="83"/>
      <c r="AU571" s="93"/>
      <c r="AV571" s="93"/>
      <c r="AW571" s="83"/>
      <c r="AX571" s="83"/>
      <c r="AY571" s="93"/>
      <c r="AZ571" s="93"/>
    </row>
    <row r="572" spans="1:52" x14ac:dyDescent="0.45">
      <c r="A572" s="61">
        <v>1</v>
      </c>
      <c r="B572" s="1380" t="s">
        <v>825</v>
      </c>
      <c r="C572" s="11" t="s">
        <v>826</v>
      </c>
      <c r="D572" s="103"/>
      <c r="E572" s="12" t="s">
        <v>827</v>
      </c>
      <c r="F572" s="89"/>
      <c r="G572" s="89"/>
      <c r="H572" s="23"/>
      <c r="I572" s="285"/>
      <c r="J572" s="116"/>
      <c r="K572" s="277"/>
      <c r="L572" s="116"/>
      <c r="M572" s="92"/>
      <c r="N572" s="31"/>
      <c r="O572" s="92"/>
      <c r="P572" s="92"/>
      <c r="Q572" s="31"/>
      <c r="R572" s="92"/>
      <c r="S572" s="92"/>
      <c r="T572" s="31"/>
      <c r="U572" s="92"/>
      <c r="V572" s="92"/>
      <c r="W572" s="31"/>
      <c r="AA572" s="93"/>
      <c r="AB572" s="93"/>
      <c r="AC572" s="83"/>
      <c r="AD572" s="83"/>
      <c r="AE572" s="93"/>
      <c r="AF572" s="93"/>
      <c r="AG572" s="83"/>
      <c r="AH572" s="83"/>
      <c r="AI572" s="93"/>
      <c r="AJ572" s="93"/>
      <c r="AK572" s="83"/>
      <c r="AL572" s="83"/>
      <c r="AM572" s="93"/>
      <c r="AN572" s="93"/>
      <c r="AO572" s="83"/>
      <c r="AP572" s="83"/>
      <c r="AQ572" s="93"/>
      <c r="AR572" s="93"/>
      <c r="AS572" s="83"/>
      <c r="AT572" s="83"/>
      <c r="AU572" s="93"/>
      <c r="AV572" s="93"/>
      <c r="AW572" s="83"/>
      <c r="AX572" s="83"/>
      <c r="AY572" s="93"/>
      <c r="AZ572" s="93"/>
    </row>
    <row r="573" spans="1:52" x14ac:dyDescent="0.45">
      <c r="A573" s="61">
        <v>2</v>
      </c>
      <c r="B573" s="1370"/>
      <c r="C573" s="117" t="s">
        <v>828</v>
      </c>
      <c r="D573" s="286" t="s">
        <v>829</v>
      </c>
      <c r="E573" s="12" t="s">
        <v>830</v>
      </c>
      <c r="F573" s="130"/>
      <c r="G573" s="89"/>
      <c r="H573" s="23"/>
      <c r="I573" s="285"/>
      <c r="J573" s="116"/>
      <c r="K573" s="277"/>
      <c r="L573" s="116"/>
      <c r="M573" s="92"/>
      <c r="N573" s="31"/>
      <c r="O573" s="92"/>
      <c r="P573" s="92"/>
      <c r="Q573" s="31"/>
      <c r="R573" s="92"/>
      <c r="S573" s="92"/>
      <c r="T573" s="31"/>
      <c r="U573" s="92"/>
      <c r="V573" s="92"/>
      <c r="W573" s="31"/>
      <c r="AA573" s="93"/>
      <c r="AB573" s="93"/>
      <c r="AC573" s="83"/>
      <c r="AD573" s="83"/>
      <c r="AE573" s="93"/>
      <c r="AF573" s="93"/>
      <c r="AG573" s="83"/>
      <c r="AH573" s="83"/>
      <c r="AI573" s="93"/>
      <c r="AJ573" s="93"/>
      <c r="AK573" s="83"/>
      <c r="AL573" s="83"/>
      <c r="AM573" s="93"/>
      <c r="AN573" s="93"/>
      <c r="AO573" s="83"/>
      <c r="AP573" s="83"/>
      <c r="AQ573" s="93"/>
      <c r="AR573" s="93"/>
      <c r="AS573" s="83"/>
      <c r="AT573" s="83"/>
      <c r="AU573" s="93"/>
      <c r="AV573" s="93"/>
      <c r="AW573" s="83"/>
      <c r="AX573" s="83"/>
      <c r="AY573" s="93"/>
      <c r="AZ573" s="93"/>
    </row>
    <row r="574" spans="1:52" x14ac:dyDescent="0.45">
      <c r="A574" s="61">
        <v>3</v>
      </c>
      <c r="B574" s="1370"/>
      <c r="C574" s="91" t="s">
        <v>831</v>
      </c>
      <c r="D574" s="115"/>
      <c r="E574" s="116" t="s">
        <v>832</v>
      </c>
      <c r="F574" s="287">
        <f t="shared" ref="F574:H577" si="154">IF((COUNTA(I574,L574,O574,R574,U574)-(COUNTIF(I574,0)+COUNTIF(L574,0)+COUNTIF(O574,0)+COUNTIF(R574,0)+COUNTIF(U574,0)))&lt;&gt;0,(I574+L574+O574+R574+U574)/(COUNTA(I574,L574,O574,R574,U574)-(COUNTIF(I574,0)+COUNTIF(L574,0)+COUNTIF(O574,0)+COUNTIF(R574,0)+COUNTIF(U574,0))),0)</f>
        <v>239.1</v>
      </c>
      <c r="G574" s="130">
        <f t="shared" si="154"/>
        <v>233.6166666666667</v>
      </c>
      <c r="H574" s="131">
        <f t="shared" si="154"/>
        <v>259.26666666666665</v>
      </c>
      <c r="I574" s="217">
        <f t="shared" ref="I574:W574" si="155">I56</f>
        <v>306</v>
      </c>
      <c r="J574" s="217">
        <f t="shared" si="155"/>
        <v>258</v>
      </c>
      <c r="K574" s="217">
        <f t="shared" si="155"/>
        <v>300</v>
      </c>
      <c r="L574" s="218">
        <f t="shared" si="155"/>
        <v>189.08333333333334</v>
      </c>
      <c r="M574" s="217">
        <f t="shared" si="155"/>
        <v>175.16666666666666</v>
      </c>
      <c r="N574" s="217">
        <f t="shared" si="155"/>
        <v>224.91666666666666</v>
      </c>
      <c r="O574" s="218">
        <f t="shared" si="155"/>
        <v>88.333333333333329</v>
      </c>
      <c r="P574" s="217">
        <f t="shared" si="155"/>
        <v>90.583333333333329</v>
      </c>
      <c r="Q574" s="217">
        <f t="shared" si="155"/>
        <v>89.5</v>
      </c>
      <c r="R574" s="218">
        <f t="shared" si="155"/>
        <v>127.83333333333333</v>
      </c>
      <c r="S574" s="217">
        <f t="shared" si="155"/>
        <v>130.75</v>
      </c>
      <c r="T574" s="217">
        <f t="shared" si="155"/>
        <v>129.41666666666666</v>
      </c>
      <c r="U574" s="218">
        <f t="shared" si="155"/>
        <v>484.25</v>
      </c>
      <c r="V574" s="217">
        <f t="shared" si="155"/>
        <v>513.58333333333337</v>
      </c>
      <c r="W574" s="217">
        <f t="shared" si="155"/>
        <v>552.5</v>
      </c>
      <c r="AA574" s="93"/>
      <c r="AB574" s="93"/>
      <c r="AC574" s="83"/>
      <c r="AD574" s="83"/>
      <c r="AE574" s="93"/>
      <c r="AF574" s="93"/>
      <c r="AG574" s="83"/>
      <c r="AH574" s="83"/>
      <c r="AI574" s="93"/>
      <c r="AJ574" s="93"/>
      <c r="AK574" s="83"/>
      <c r="AL574" s="83"/>
      <c r="AM574" s="93"/>
      <c r="AN574" s="93"/>
      <c r="AO574" s="83"/>
      <c r="AP574" s="83"/>
      <c r="AQ574" s="93"/>
      <c r="AR574" s="93"/>
      <c r="AS574" s="83"/>
      <c r="AT574" s="83"/>
      <c r="AU574" s="93"/>
      <c r="AV574" s="93"/>
      <c r="AW574" s="83"/>
      <c r="AX574" s="83"/>
      <c r="AY574" s="93"/>
      <c r="AZ574" s="93"/>
    </row>
    <row r="575" spans="1:52" x14ac:dyDescent="0.45">
      <c r="A575" s="61">
        <v>4</v>
      </c>
      <c r="B575" s="1370"/>
      <c r="C575" s="91" t="s">
        <v>833</v>
      </c>
      <c r="D575" s="115"/>
      <c r="E575" s="116" t="s">
        <v>834</v>
      </c>
      <c r="F575" s="287">
        <f t="shared" si="154"/>
        <v>0</v>
      </c>
      <c r="G575" s="130">
        <f t="shared" si="154"/>
        <v>0</v>
      </c>
      <c r="H575" s="131">
        <f t="shared" si="154"/>
        <v>390</v>
      </c>
      <c r="I575" s="217"/>
      <c r="J575" s="217"/>
      <c r="K575" s="217">
        <f>650*0.6</f>
        <v>390</v>
      </c>
      <c r="L575" s="218"/>
      <c r="M575" s="217"/>
      <c r="N575" s="217">
        <v>390</v>
      </c>
      <c r="O575" s="218"/>
      <c r="P575" s="217"/>
      <c r="Q575" s="217">
        <v>390</v>
      </c>
      <c r="R575" s="218"/>
      <c r="S575" s="217"/>
      <c r="T575" s="217">
        <v>390</v>
      </c>
      <c r="U575" s="218"/>
      <c r="V575" s="217"/>
      <c r="W575" s="217">
        <v>390</v>
      </c>
      <c r="AA575" s="93"/>
      <c r="AB575" s="93"/>
      <c r="AC575" s="119" t="s">
        <v>835</v>
      </c>
      <c r="AD575" s="83"/>
      <c r="AE575" s="93"/>
      <c r="AF575" s="93"/>
      <c r="AG575" s="83"/>
      <c r="AH575" s="83"/>
      <c r="AI575" s="93"/>
      <c r="AJ575" s="93"/>
      <c r="AK575" s="83"/>
      <c r="AL575" s="83"/>
      <c r="AM575" s="93"/>
      <c r="AN575" s="93"/>
      <c r="AO575" s="83"/>
      <c r="AP575" s="83"/>
      <c r="AQ575" s="93"/>
      <c r="AR575" s="93"/>
      <c r="AS575" s="83"/>
      <c r="AT575" s="83"/>
      <c r="AU575" s="93"/>
      <c r="AV575" s="93"/>
      <c r="AW575" s="83"/>
      <c r="AX575" s="83"/>
      <c r="AY575" s="93"/>
      <c r="AZ575" s="93"/>
    </row>
    <row r="576" spans="1:52" x14ac:dyDescent="0.45">
      <c r="A576" s="61">
        <v>5</v>
      </c>
      <c r="B576" s="1370"/>
      <c r="C576" s="91" t="s">
        <v>836</v>
      </c>
      <c r="D576" s="115"/>
      <c r="E576" s="116" t="s">
        <v>837</v>
      </c>
      <c r="F576" s="287">
        <f t="shared" si="154"/>
        <v>0</v>
      </c>
      <c r="G576" s="130">
        <f t="shared" si="154"/>
        <v>0</v>
      </c>
      <c r="H576" s="131">
        <f t="shared" si="154"/>
        <v>750</v>
      </c>
      <c r="I576" s="217">
        <v>0</v>
      </c>
      <c r="J576" s="217">
        <v>0</v>
      </c>
      <c r="K576" s="217">
        <v>750</v>
      </c>
      <c r="L576" s="217">
        <v>0</v>
      </c>
      <c r="M576" s="217">
        <v>0</v>
      </c>
      <c r="N576" s="217">
        <v>750</v>
      </c>
      <c r="O576" s="217">
        <v>0</v>
      </c>
      <c r="P576" s="217">
        <v>0</v>
      </c>
      <c r="Q576" s="217">
        <v>750</v>
      </c>
      <c r="R576" s="217">
        <v>0</v>
      </c>
      <c r="S576" s="217">
        <v>0</v>
      </c>
      <c r="T576" s="217">
        <v>750</v>
      </c>
      <c r="U576" s="217">
        <v>0</v>
      </c>
      <c r="V576" s="217">
        <v>0</v>
      </c>
      <c r="W576" s="217">
        <v>750</v>
      </c>
      <c r="AA576" s="93"/>
      <c r="AB576" s="93"/>
      <c r="AC576" s="119" t="s">
        <v>838</v>
      </c>
      <c r="AD576" s="83"/>
      <c r="AE576" s="93"/>
      <c r="AF576" s="93"/>
      <c r="AG576" s="83"/>
      <c r="AH576" s="83"/>
      <c r="AI576" s="93"/>
      <c r="AJ576" s="93"/>
      <c r="AK576" s="83"/>
      <c r="AL576" s="83"/>
      <c r="AM576" s="93"/>
      <c r="AN576" s="93"/>
      <c r="AO576" s="83"/>
      <c r="AP576" s="83"/>
      <c r="AQ576" s="93"/>
      <c r="AR576" s="93"/>
      <c r="AS576" s="83"/>
      <c r="AT576" s="83"/>
      <c r="AU576" s="93"/>
      <c r="AV576" s="93"/>
      <c r="AW576" s="83"/>
      <c r="AX576" s="83"/>
      <c r="AY576" s="93"/>
      <c r="AZ576" s="93"/>
    </row>
    <row r="577" spans="1:52" x14ac:dyDescent="0.45">
      <c r="A577" s="61">
        <v>6</v>
      </c>
      <c r="B577" s="1370"/>
      <c r="C577" s="91" t="s">
        <v>839</v>
      </c>
      <c r="D577" s="115"/>
      <c r="E577" s="116" t="s">
        <v>840</v>
      </c>
      <c r="F577" s="287">
        <f t="shared" si="154"/>
        <v>4954.6720000000005</v>
      </c>
      <c r="G577" s="130">
        <f t="shared" si="154"/>
        <v>5274.3720000000003</v>
      </c>
      <c r="H577" s="131">
        <f t="shared" si="154"/>
        <v>5664.9859999999999</v>
      </c>
      <c r="I577" s="217">
        <v>4362.16</v>
      </c>
      <c r="J577" s="217">
        <v>4690.5</v>
      </c>
      <c r="K577" s="217">
        <v>5127.29</v>
      </c>
      <c r="L577" s="218">
        <v>4076.43</v>
      </c>
      <c r="M577" s="217">
        <v>4391.25</v>
      </c>
      <c r="N577" s="217">
        <v>4790.26</v>
      </c>
      <c r="O577" s="218">
        <v>5539.81</v>
      </c>
      <c r="P577" s="217">
        <v>5814.23</v>
      </c>
      <c r="Q577" s="217">
        <v>6222.54</v>
      </c>
      <c r="R577" s="218">
        <v>5176.66</v>
      </c>
      <c r="S577" s="217">
        <v>5545.05</v>
      </c>
      <c r="T577" s="217">
        <v>5913.64</v>
      </c>
      <c r="U577" s="218">
        <v>5618.3</v>
      </c>
      <c r="V577" s="217">
        <v>5930.83</v>
      </c>
      <c r="W577" s="217">
        <v>6271.2</v>
      </c>
      <c r="AA577" s="93"/>
      <c r="AB577" s="93"/>
      <c r="AC577" s="83"/>
      <c r="AD577" s="83"/>
      <c r="AE577" s="93"/>
      <c r="AF577" s="93"/>
      <c r="AG577" s="83"/>
      <c r="AH577" s="83"/>
      <c r="AI577" s="93"/>
      <c r="AJ577" s="93"/>
      <c r="AK577" s="83"/>
      <c r="AL577" s="83"/>
      <c r="AM577" s="93"/>
      <c r="AN577" s="93"/>
      <c r="AO577" s="83"/>
      <c r="AP577" s="83"/>
      <c r="AQ577" s="93"/>
      <c r="AR577" s="93"/>
      <c r="AS577" s="83"/>
      <c r="AT577" s="83"/>
      <c r="AU577" s="93"/>
      <c r="AV577" s="93"/>
      <c r="AW577" s="83"/>
      <c r="AX577" s="83"/>
      <c r="AY577" s="93"/>
      <c r="AZ577" s="93"/>
    </row>
    <row r="578" spans="1:52" x14ac:dyDescent="0.45">
      <c r="A578" s="61">
        <v>7</v>
      </c>
      <c r="B578" s="1370"/>
      <c r="C578" s="91"/>
      <c r="D578" s="115"/>
      <c r="E578" s="116"/>
      <c r="F578" s="89"/>
      <c r="G578" s="89"/>
      <c r="H578" s="23"/>
      <c r="I578" s="285"/>
      <c r="J578" s="116"/>
      <c r="K578" s="277"/>
      <c r="L578" s="116"/>
      <c r="M578" s="92"/>
      <c r="N578" s="31"/>
      <c r="O578" s="92"/>
      <c r="P578" s="92"/>
      <c r="Q578" s="31"/>
      <c r="R578" s="92"/>
      <c r="S578" s="92"/>
      <c r="T578" s="31"/>
      <c r="U578" s="92"/>
      <c r="V578" s="92"/>
      <c r="W578" s="31"/>
      <c r="AA578" s="93"/>
      <c r="AB578" s="93"/>
      <c r="AC578" s="83"/>
      <c r="AD578" s="83"/>
      <c r="AE578" s="93"/>
      <c r="AF578" s="93"/>
      <c r="AG578" s="83"/>
      <c r="AH578" s="83"/>
      <c r="AI578" s="93"/>
      <c r="AJ578" s="93"/>
      <c r="AK578" s="83"/>
      <c r="AL578" s="83"/>
      <c r="AM578" s="93"/>
      <c r="AN578" s="93"/>
      <c r="AO578" s="83"/>
      <c r="AP578" s="83"/>
      <c r="AQ578" s="93"/>
      <c r="AR578" s="93"/>
      <c r="AS578" s="83"/>
      <c r="AT578" s="83"/>
      <c r="AU578" s="93"/>
      <c r="AV578" s="93"/>
      <c r="AW578" s="83"/>
      <c r="AX578" s="83"/>
      <c r="AY578" s="93"/>
      <c r="AZ578" s="93"/>
    </row>
    <row r="579" spans="1:52" x14ac:dyDescent="0.45">
      <c r="A579" s="61">
        <v>8</v>
      </c>
      <c r="B579" s="1370"/>
      <c r="C579" s="11" t="s">
        <v>841</v>
      </c>
      <c r="D579" s="286" t="s">
        <v>829</v>
      </c>
      <c r="E579" s="169" t="s">
        <v>842</v>
      </c>
      <c r="F579" s="89"/>
      <c r="G579" s="89"/>
      <c r="H579" s="23"/>
      <c r="I579" s="285"/>
      <c r="J579" s="116"/>
      <c r="K579" s="277"/>
      <c r="L579" s="116"/>
      <c r="M579" s="92"/>
      <c r="N579" s="31"/>
      <c r="O579" s="92"/>
      <c r="P579" s="92"/>
      <c r="Q579" s="31"/>
      <c r="R579" s="92"/>
      <c r="S579" s="92"/>
      <c r="T579" s="31"/>
      <c r="U579" s="92"/>
      <c r="V579" s="92"/>
      <c r="W579" s="31"/>
      <c r="AA579" s="93"/>
      <c r="AB579" s="93"/>
      <c r="AC579" s="83"/>
      <c r="AD579" s="83"/>
      <c r="AE579" s="93"/>
      <c r="AF579" s="93"/>
      <c r="AG579" s="83"/>
      <c r="AH579" s="83"/>
      <c r="AI579" s="93"/>
      <c r="AJ579" s="93"/>
      <c r="AK579" s="83"/>
      <c r="AL579" s="83"/>
      <c r="AM579" s="93"/>
      <c r="AN579" s="93"/>
      <c r="AO579" s="83"/>
      <c r="AP579" s="83"/>
      <c r="AQ579" s="93"/>
      <c r="AR579" s="93"/>
      <c r="AS579" s="83"/>
      <c r="AT579" s="83"/>
      <c r="AU579" s="93"/>
      <c r="AV579" s="93"/>
      <c r="AW579" s="83"/>
      <c r="AX579" s="83"/>
      <c r="AY579" s="93"/>
      <c r="AZ579" s="93"/>
    </row>
    <row r="580" spans="1:52" x14ac:dyDescent="0.45">
      <c r="A580" s="61">
        <v>9</v>
      </c>
      <c r="B580" s="1370"/>
      <c r="C580" s="91" t="s">
        <v>843</v>
      </c>
      <c r="D580" s="115"/>
      <c r="E580" s="116" t="s">
        <v>834</v>
      </c>
      <c r="F580" s="250">
        <f t="shared" ref="F580:W582" si="156">IF(F575&lt;&gt;0,F$574/F575,0)</f>
        <v>0</v>
      </c>
      <c r="G580" s="195">
        <f t="shared" si="156"/>
        <v>0</v>
      </c>
      <c r="H580" s="196">
        <f t="shared" si="156"/>
        <v>0.66478632478632471</v>
      </c>
      <c r="I580" s="250">
        <f t="shared" si="156"/>
        <v>0</v>
      </c>
      <c r="J580" s="195">
        <f t="shared" si="156"/>
        <v>0</v>
      </c>
      <c r="K580" s="196">
        <f t="shared" si="156"/>
        <v>0.76923076923076927</v>
      </c>
      <c r="L580" s="250">
        <f t="shared" si="156"/>
        <v>0</v>
      </c>
      <c r="M580" s="195">
        <f t="shared" si="156"/>
        <v>0</v>
      </c>
      <c r="N580" s="196">
        <f t="shared" si="156"/>
        <v>0.57670940170940166</v>
      </c>
      <c r="O580" s="250">
        <f t="shared" si="156"/>
        <v>0</v>
      </c>
      <c r="P580" s="195">
        <f t="shared" si="156"/>
        <v>0</v>
      </c>
      <c r="Q580" s="196">
        <f t="shared" si="156"/>
        <v>0.22948717948717948</v>
      </c>
      <c r="R580" s="250">
        <f t="shared" si="156"/>
        <v>0</v>
      </c>
      <c r="S580" s="195">
        <f t="shared" si="156"/>
        <v>0</v>
      </c>
      <c r="T580" s="196">
        <f t="shared" si="156"/>
        <v>0.33183760683760682</v>
      </c>
      <c r="U580" s="250">
        <f t="shared" si="156"/>
        <v>0</v>
      </c>
      <c r="V580" s="195">
        <f t="shared" si="156"/>
        <v>0</v>
      </c>
      <c r="W580" s="196">
        <f t="shared" si="156"/>
        <v>1.4166666666666667</v>
      </c>
      <c r="AA580" s="93"/>
      <c r="AB580" s="93"/>
      <c r="AC580" s="83"/>
      <c r="AD580" s="83"/>
      <c r="AE580" s="93"/>
      <c r="AF580" s="93"/>
      <c r="AG580" s="83"/>
      <c r="AH580" s="83"/>
      <c r="AI580" s="93"/>
      <c r="AJ580" s="93"/>
      <c r="AK580" s="83"/>
      <c r="AL580" s="83"/>
      <c r="AM580" s="93"/>
      <c r="AN580" s="93"/>
      <c r="AO580" s="83"/>
      <c r="AP580" s="83"/>
      <c r="AQ580" s="93"/>
      <c r="AR580" s="93"/>
      <c r="AS580" s="83"/>
      <c r="AT580" s="83"/>
      <c r="AU580" s="93"/>
      <c r="AV580" s="93"/>
      <c r="AW580" s="83"/>
      <c r="AX580" s="83"/>
      <c r="AY580" s="93"/>
      <c r="AZ580" s="93"/>
    </row>
    <row r="581" spans="1:52" x14ac:dyDescent="0.45">
      <c r="A581" s="61">
        <v>10</v>
      </c>
      <c r="B581" s="1370"/>
      <c r="C581" s="91" t="s">
        <v>844</v>
      </c>
      <c r="D581" s="115"/>
      <c r="E581" s="116" t="s">
        <v>837</v>
      </c>
      <c r="F581" s="250">
        <f t="shared" si="156"/>
        <v>0</v>
      </c>
      <c r="G581" s="195">
        <f t="shared" si="156"/>
        <v>0</v>
      </c>
      <c r="H581" s="196">
        <f t="shared" si="156"/>
        <v>0.34568888888888888</v>
      </c>
      <c r="I581" s="250">
        <f t="shared" si="156"/>
        <v>0</v>
      </c>
      <c r="J581" s="195">
        <f t="shared" si="156"/>
        <v>0</v>
      </c>
      <c r="K581" s="196">
        <f t="shared" si="156"/>
        <v>0.4</v>
      </c>
      <c r="L581" s="250">
        <f t="shared" si="156"/>
        <v>0</v>
      </c>
      <c r="M581" s="195">
        <f t="shared" si="156"/>
        <v>0</v>
      </c>
      <c r="N581" s="196">
        <f t="shared" si="156"/>
        <v>0.29988888888888887</v>
      </c>
      <c r="O581" s="250">
        <f t="shared" si="156"/>
        <v>0</v>
      </c>
      <c r="P581" s="195">
        <f t="shared" si="156"/>
        <v>0</v>
      </c>
      <c r="Q581" s="196">
        <f t="shared" si="156"/>
        <v>0.11933333333333333</v>
      </c>
      <c r="R581" s="250">
        <f t="shared" si="156"/>
        <v>0</v>
      </c>
      <c r="S581" s="195">
        <f t="shared" si="156"/>
        <v>0</v>
      </c>
      <c r="T581" s="196">
        <f t="shared" si="156"/>
        <v>0.17255555555555555</v>
      </c>
      <c r="U581" s="250">
        <f t="shared" si="156"/>
        <v>0</v>
      </c>
      <c r="V581" s="195">
        <f t="shared" si="156"/>
        <v>0</v>
      </c>
      <c r="W581" s="196">
        <f t="shared" si="156"/>
        <v>0.73666666666666669</v>
      </c>
      <c r="AA581" s="93"/>
      <c r="AB581" s="93"/>
      <c r="AC581" s="83"/>
      <c r="AD581" s="83"/>
      <c r="AE581" s="93"/>
      <c r="AF581" s="93"/>
      <c r="AG581" s="83"/>
      <c r="AH581" s="83"/>
      <c r="AI581" s="93"/>
      <c r="AJ581" s="93"/>
      <c r="AK581" s="83"/>
      <c r="AL581" s="83"/>
      <c r="AM581" s="93"/>
      <c r="AN581" s="93"/>
      <c r="AO581" s="83"/>
      <c r="AP581" s="83"/>
      <c r="AQ581" s="93"/>
      <c r="AR581" s="93"/>
      <c r="AS581" s="83"/>
      <c r="AT581" s="83"/>
      <c r="AU581" s="93"/>
      <c r="AV581" s="93"/>
      <c r="AW581" s="83"/>
      <c r="AX581" s="83"/>
      <c r="AY581" s="93"/>
      <c r="AZ581" s="93"/>
    </row>
    <row r="582" spans="1:52" x14ac:dyDescent="0.45">
      <c r="A582" s="61">
        <v>11</v>
      </c>
      <c r="B582" s="1370"/>
      <c r="C582" s="91" t="s">
        <v>845</v>
      </c>
      <c r="D582" s="115"/>
      <c r="E582" s="116" t="s">
        <v>840</v>
      </c>
      <c r="F582" s="250">
        <f t="shared" si="156"/>
        <v>4.8257483038231387E-2</v>
      </c>
      <c r="G582" s="195">
        <f t="shared" si="156"/>
        <v>4.4292792898693284E-2</v>
      </c>
      <c r="H582" s="196">
        <f t="shared" si="156"/>
        <v>4.576651498638596E-2</v>
      </c>
      <c r="I582" s="250">
        <f t="shared" si="156"/>
        <v>7.0148733654886566E-2</v>
      </c>
      <c r="J582" s="195">
        <f t="shared" si="156"/>
        <v>5.5004796929964822E-2</v>
      </c>
      <c r="K582" s="196">
        <f t="shared" si="156"/>
        <v>5.8510441188230039E-2</v>
      </c>
      <c r="L582" s="250">
        <f t="shared" si="156"/>
        <v>4.6384540721497329E-2</v>
      </c>
      <c r="M582" s="195">
        <f t="shared" si="156"/>
        <v>3.9889932631179424E-2</v>
      </c>
      <c r="N582" s="196">
        <f t="shared" si="156"/>
        <v>4.69529141772402E-2</v>
      </c>
      <c r="O582" s="250">
        <f t="shared" si="156"/>
        <v>1.5945191862777482E-2</v>
      </c>
      <c r="P582" s="195">
        <f t="shared" si="156"/>
        <v>1.5579592367920315E-2</v>
      </c>
      <c r="Q582" s="196">
        <f t="shared" si="156"/>
        <v>1.4383194001163512E-2</v>
      </c>
      <c r="R582" s="250">
        <f t="shared" si="156"/>
        <v>2.4694172175366614E-2</v>
      </c>
      <c r="S582" s="195">
        <f t="shared" si="156"/>
        <v>2.3579589002804303E-2</v>
      </c>
      <c r="T582" s="196">
        <f t="shared" si="156"/>
        <v>2.1884434403627317E-2</v>
      </c>
      <c r="U582" s="250">
        <f t="shared" si="156"/>
        <v>8.6191552604880484E-2</v>
      </c>
      <c r="V582" s="195">
        <f t="shared" si="156"/>
        <v>8.6595524291428583E-2</v>
      </c>
      <c r="W582" s="196">
        <f t="shared" si="156"/>
        <v>8.8101160862354894E-2</v>
      </c>
      <c r="AA582" s="93"/>
      <c r="AB582" s="93"/>
      <c r="AC582" s="83"/>
      <c r="AD582" s="83"/>
      <c r="AE582" s="93"/>
      <c r="AF582" s="93"/>
      <c r="AG582" s="83"/>
      <c r="AH582" s="83"/>
      <c r="AI582" s="93"/>
      <c r="AJ582" s="93"/>
      <c r="AK582" s="83"/>
      <c r="AL582" s="83"/>
      <c r="AM582" s="93"/>
      <c r="AN582" s="93"/>
      <c r="AO582" s="83"/>
      <c r="AP582" s="83"/>
      <c r="AQ582" s="93"/>
      <c r="AR582" s="93"/>
      <c r="AS582" s="83"/>
      <c r="AT582" s="83"/>
      <c r="AU582" s="93"/>
      <c r="AV582" s="93"/>
      <c r="AW582" s="83"/>
      <c r="AX582" s="83"/>
      <c r="AY582" s="93"/>
      <c r="AZ582" s="93"/>
    </row>
    <row r="583" spans="1:52" x14ac:dyDescent="0.45">
      <c r="A583" s="61">
        <v>12</v>
      </c>
      <c r="B583" s="1370"/>
      <c r="C583" s="91"/>
      <c r="D583" s="115"/>
      <c r="E583" s="116"/>
      <c r="F583" s="89"/>
      <c r="G583" s="89"/>
      <c r="H583" s="23"/>
      <c r="I583" s="285"/>
      <c r="J583" s="116"/>
      <c r="K583" s="277"/>
      <c r="L583" s="116"/>
      <c r="M583" s="92"/>
      <c r="N583" s="31"/>
      <c r="O583" s="92"/>
      <c r="P583" s="92"/>
      <c r="Q583" s="31"/>
      <c r="R583" s="92"/>
      <c r="S583" s="92"/>
      <c r="T583" s="31"/>
      <c r="U583" s="92"/>
      <c r="V583" s="92"/>
      <c r="W583" s="31"/>
      <c r="AA583" s="93"/>
      <c r="AB583" s="93"/>
      <c r="AC583" s="83"/>
      <c r="AD583" s="83"/>
      <c r="AE583" s="93"/>
      <c r="AF583" s="93"/>
      <c r="AG583" s="83"/>
      <c r="AH583" s="83"/>
      <c r="AI583" s="93"/>
      <c r="AJ583" s="93"/>
      <c r="AK583" s="83"/>
      <c r="AL583" s="83"/>
      <c r="AM583" s="93"/>
      <c r="AN583" s="93"/>
      <c r="AO583" s="83"/>
      <c r="AP583" s="83"/>
      <c r="AQ583" s="93"/>
      <c r="AR583" s="93"/>
      <c r="AS583" s="83"/>
      <c r="AT583" s="83"/>
      <c r="AU583" s="93"/>
      <c r="AV583" s="93"/>
      <c r="AW583" s="83"/>
      <c r="AX583" s="83"/>
      <c r="AY583" s="93"/>
      <c r="AZ583" s="93"/>
    </row>
    <row r="584" spans="1:52" x14ac:dyDescent="0.45">
      <c r="A584" s="61">
        <v>13</v>
      </c>
      <c r="B584" s="1370"/>
      <c r="C584" s="11" t="s">
        <v>846</v>
      </c>
      <c r="D584" s="286" t="s">
        <v>829</v>
      </c>
      <c r="E584" s="12" t="s">
        <v>847</v>
      </c>
      <c r="F584" s="89"/>
      <c r="G584" s="89"/>
      <c r="H584" s="23"/>
      <c r="I584" s="285"/>
      <c r="J584" s="116"/>
      <c r="K584" s="277"/>
      <c r="L584" s="116"/>
      <c r="M584" s="92"/>
      <c r="N584" s="31"/>
      <c r="O584" s="92"/>
      <c r="P584" s="92"/>
      <c r="Q584" s="31"/>
      <c r="R584" s="92"/>
      <c r="S584" s="92"/>
      <c r="T584" s="31"/>
      <c r="U584" s="92"/>
      <c r="V584" s="92"/>
      <c r="W584" s="31"/>
      <c r="AA584" s="93"/>
      <c r="AB584" s="93"/>
      <c r="AC584" s="83"/>
      <c r="AD584" s="83"/>
      <c r="AE584" s="93"/>
      <c r="AF584" s="93"/>
      <c r="AG584" s="83"/>
      <c r="AH584" s="83"/>
      <c r="AI584" s="93"/>
      <c r="AJ584" s="93"/>
      <c r="AK584" s="83"/>
      <c r="AL584" s="83"/>
      <c r="AM584" s="93"/>
      <c r="AN584" s="93"/>
      <c r="AO584" s="83"/>
      <c r="AP584" s="83"/>
      <c r="AQ584" s="93"/>
      <c r="AR584" s="93"/>
      <c r="AS584" s="83"/>
      <c r="AT584" s="83"/>
      <c r="AU584" s="93"/>
      <c r="AV584" s="93"/>
      <c r="AW584" s="83"/>
      <c r="AX584" s="83"/>
      <c r="AY584" s="93"/>
      <c r="AZ584" s="93"/>
    </row>
    <row r="585" spans="1:52" x14ac:dyDescent="0.45">
      <c r="A585" s="61">
        <v>14</v>
      </c>
      <c r="B585" s="1370"/>
      <c r="C585" s="91" t="s">
        <v>848</v>
      </c>
      <c r="D585" s="115"/>
      <c r="E585" s="116" t="s">
        <v>832</v>
      </c>
      <c r="F585" s="197">
        <f t="shared" ref="F585:H588" si="157">IF(COUNTA(I585,L585,O585,R585,U585)&lt;&gt;0,(I585+L585+O585+R585+U585)/COUNTA(I585,L585,O585,R585,U585),0)</f>
        <v>0</v>
      </c>
      <c r="G585" s="197">
        <f t="shared" si="157"/>
        <v>0</v>
      </c>
      <c r="H585" s="288">
        <f t="shared" si="157"/>
        <v>0</v>
      </c>
      <c r="I585" s="289">
        <v>0</v>
      </c>
      <c r="J585" s="289">
        <v>0</v>
      </c>
      <c r="K585" s="289">
        <v>0</v>
      </c>
      <c r="L585" s="290">
        <v>0</v>
      </c>
      <c r="M585" s="289">
        <v>0</v>
      </c>
      <c r="N585" s="289">
        <v>0</v>
      </c>
      <c r="O585" s="290">
        <v>0</v>
      </c>
      <c r="P585" s="289">
        <v>0</v>
      </c>
      <c r="Q585" s="289">
        <v>0</v>
      </c>
      <c r="R585" s="290">
        <v>0</v>
      </c>
      <c r="S585" s="289">
        <v>0</v>
      </c>
      <c r="T585" s="289">
        <v>0</v>
      </c>
      <c r="U585" s="290">
        <v>0</v>
      </c>
      <c r="V585" s="289">
        <v>0</v>
      </c>
      <c r="W585" s="289">
        <v>0</v>
      </c>
      <c r="AA585" s="93"/>
      <c r="AB585" s="93"/>
      <c r="AC585" s="83"/>
      <c r="AD585" s="83"/>
      <c r="AE585" s="93"/>
      <c r="AF585" s="93"/>
      <c r="AG585" s="83"/>
      <c r="AH585" s="83"/>
      <c r="AI585" s="93"/>
      <c r="AJ585" s="93"/>
      <c r="AK585" s="83"/>
      <c r="AL585" s="83"/>
      <c r="AM585" s="93"/>
      <c r="AN585" s="93"/>
      <c r="AO585" s="83"/>
      <c r="AP585" s="83"/>
      <c r="AQ585" s="93"/>
      <c r="AR585" s="93"/>
      <c r="AS585" s="83"/>
      <c r="AT585" s="83"/>
      <c r="AU585" s="93"/>
      <c r="AV585" s="93"/>
      <c r="AW585" s="83"/>
      <c r="AX585" s="83"/>
      <c r="AY585" s="93"/>
      <c r="AZ585" s="93"/>
    </row>
    <row r="586" spans="1:52" x14ac:dyDescent="0.45">
      <c r="A586" s="61">
        <v>15</v>
      </c>
      <c r="B586" s="1370"/>
      <c r="C586" s="91" t="s">
        <v>849</v>
      </c>
      <c r="D586" s="115"/>
      <c r="E586" s="116" t="s">
        <v>834</v>
      </c>
      <c r="F586" s="197">
        <f t="shared" si="157"/>
        <v>0</v>
      </c>
      <c r="G586" s="197">
        <f t="shared" si="157"/>
        <v>0</v>
      </c>
      <c r="H586" s="288">
        <f t="shared" si="157"/>
        <v>0</v>
      </c>
      <c r="I586" s="289">
        <v>0</v>
      </c>
      <c r="J586" s="289">
        <v>0</v>
      </c>
      <c r="K586" s="289">
        <v>0</v>
      </c>
      <c r="L586" s="290">
        <v>0</v>
      </c>
      <c r="M586" s="289">
        <v>0</v>
      </c>
      <c r="N586" s="289">
        <v>0</v>
      </c>
      <c r="O586" s="290">
        <v>0</v>
      </c>
      <c r="P586" s="289">
        <v>0</v>
      </c>
      <c r="Q586" s="289">
        <v>0</v>
      </c>
      <c r="R586" s="290">
        <v>0</v>
      </c>
      <c r="S586" s="289">
        <v>0</v>
      </c>
      <c r="T586" s="289">
        <v>0</v>
      </c>
      <c r="U586" s="290">
        <v>0</v>
      </c>
      <c r="V586" s="289">
        <v>0</v>
      </c>
      <c r="W586" s="289">
        <v>0</v>
      </c>
      <c r="AA586" s="93"/>
      <c r="AB586" s="93"/>
      <c r="AC586" s="83"/>
      <c r="AD586" s="83"/>
      <c r="AE586" s="93"/>
      <c r="AF586" s="93"/>
      <c r="AG586" s="83"/>
      <c r="AH586" s="83"/>
      <c r="AI586" s="93"/>
      <c r="AJ586" s="93"/>
      <c r="AK586" s="83"/>
      <c r="AL586" s="83"/>
      <c r="AM586" s="93"/>
      <c r="AN586" s="93"/>
      <c r="AO586" s="83"/>
      <c r="AP586" s="83"/>
      <c r="AQ586" s="93"/>
      <c r="AR586" s="93"/>
      <c r="AS586" s="83"/>
      <c r="AT586" s="83"/>
      <c r="AU586" s="93"/>
      <c r="AV586" s="93"/>
      <c r="AW586" s="83"/>
      <c r="AX586" s="83"/>
      <c r="AY586" s="93"/>
      <c r="AZ586" s="93"/>
    </row>
    <row r="587" spans="1:52" x14ac:dyDescent="0.45">
      <c r="A587" s="61">
        <v>16</v>
      </c>
      <c r="B587" s="1370"/>
      <c r="C587" s="91" t="s">
        <v>850</v>
      </c>
      <c r="D587" s="115"/>
      <c r="E587" s="116" t="s">
        <v>837</v>
      </c>
      <c r="F587" s="197">
        <f t="shared" si="157"/>
        <v>0.06</v>
      </c>
      <c r="G587" s="197">
        <f t="shared" si="157"/>
        <v>0.06</v>
      </c>
      <c r="H587" s="288">
        <f t="shared" si="157"/>
        <v>6.8000000000000005E-2</v>
      </c>
      <c r="I587" s="289">
        <v>0.06</v>
      </c>
      <c r="J587" s="289">
        <v>0.06</v>
      </c>
      <c r="K587" s="289">
        <v>6.8000000000000005E-2</v>
      </c>
      <c r="L587" s="289">
        <v>0.06</v>
      </c>
      <c r="M587" s="289">
        <v>0.06</v>
      </c>
      <c r="N587" s="289">
        <v>6.8000000000000005E-2</v>
      </c>
      <c r="O587" s="289">
        <v>0.06</v>
      </c>
      <c r="P587" s="289">
        <v>0.06</v>
      </c>
      <c r="Q587" s="289">
        <v>6.8000000000000005E-2</v>
      </c>
      <c r="R587" s="289">
        <v>0.06</v>
      </c>
      <c r="S587" s="289">
        <v>0.06</v>
      </c>
      <c r="T587" s="289">
        <v>6.8000000000000005E-2</v>
      </c>
      <c r="U587" s="289">
        <v>0.06</v>
      </c>
      <c r="V587" s="289">
        <v>0.06</v>
      </c>
      <c r="W587" s="289">
        <v>6.8000000000000005E-2</v>
      </c>
      <c r="AA587" s="93"/>
      <c r="AB587" s="93"/>
      <c r="AC587" s="83"/>
      <c r="AD587" s="83"/>
      <c r="AE587" s="93"/>
      <c r="AF587" s="93"/>
      <c r="AG587" s="83"/>
      <c r="AH587" s="83"/>
      <c r="AI587" s="93"/>
      <c r="AJ587" s="93"/>
      <c r="AK587" s="83"/>
      <c r="AL587" s="83"/>
      <c r="AM587" s="93"/>
      <c r="AN587" s="93"/>
      <c r="AO587" s="83"/>
      <c r="AP587" s="83"/>
      <c r="AQ587" s="93"/>
      <c r="AR587" s="93"/>
      <c r="AS587" s="83"/>
      <c r="AT587" s="83"/>
      <c r="AU587" s="93"/>
      <c r="AV587" s="93"/>
      <c r="AW587" s="83"/>
      <c r="AX587" s="83"/>
      <c r="AY587" s="93"/>
      <c r="AZ587" s="93"/>
    </row>
    <row r="588" spans="1:52" x14ac:dyDescent="0.45">
      <c r="A588" s="61">
        <v>17</v>
      </c>
      <c r="B588" s="1370"/>
      <c r="C588" s="91" t="s">
        <v>851</v>
      </c>
      <c r="D588" s="115"/>
      <c r="E588" s="116" t="s">
        <v>840</v>
      </c>
      <c r="F588" s="197">
        <f t="shared" si="157"/>
        <v>7.0860000000000006E-2</v>
      </c>
      <c r="G588" s="197">
        <f t="shared" si="157"/>
        <v>8.2139999999999991E-2</v>
      </c>
      <c r="H588" s="288">
        <f t="shared" si="157"/>
        <v>5.8380000000000001E-2</v>
      </c>
      <c r="I588" s="289">
        <v>8.3500000000000005E-2</v>
      </c>
      <c r="J588" s="289">
        <v>0.11940000000000001</v>
      </c>
      <c r="K588" s="289">
        <v>4.0899999999999999E-2</v>
      </c>
      <c r="L588" s="290">
        <v>6.0600000000000001E-2</v>
      </c>
      <c r="M588" s="289">
        <v>0.1105</v>
      </c>
      <c r="N588" s="289">
        <v>1.7500000000000002E-2</v>
      </c>
      <c r="O588" s="290">
        <v>6.3500000000000001E-2</v>
      </c>
      <c r="P588" s="289">
        <v>6.1600000000000002E-2</v>
      </c>
      <c r="Q588" s="289">
        <v>4.9599999999999998E-2</v>
      </c>
      <c r="R588" s="290">
        <v>7.6300000000000007E-2</v>
      </c>
      <c r="S588" s="289">
        <v>7.3599999999999999E-2</v>
      </c>
      <c r="T588" s="289">
        <v>7.1199999999999999E-2</v>
      </c>
      <c r="U588" s="290">
        <v>7.0400000000000004E-2</v>
      </c>
      <c r="V588" s="289">
        <v>4.5600000000000002E-2</v>
      </c>
      <c r="W588" s="289">
        <v>0.11269999999999999</v>
      </c>
      <c r="AA588" s="93"/>
      <c r="AB588" s="93"/>
      <c r="AC588" s="83"/>
      <c r="AD588" s="83"/>
      <c r="AE588" s="93"/>
      <c r="AF588" s="93"/>
      <c r="AG588" s="83"/>
      <c r="AH588" s="83"/>
      <c r="AI588" s="93"/>
      <c r="AJ588" s="93"/>
      <c r="AK588" s="83"/>
      <c r="AL588" s="83"/>
      <c r="AM588" s="93"/>
      <c r="AN588" s="93"/>
      <c r="AO588" s="83"/>
      <c r="AP588" s="83"/>
      <c r="AQ588" s="93"/>
      <c r="AR588" s="93"/>
      <c r="AS588" s="83"/>
      <c r="AT588" s="83"/>
      <c r="AU588" s="93"/>
      <c r="AV588" s="93"/>
      <c r="AW588" s="83"/>
      <c r="AX588" s="83"/>
      <c r="AY588" s="93"/>
      <c r="AZ588" s="93"/>
    </row>
    <row r="589" spans="1:52" x14ac:dyDescent="0.45">
      <c r="A589" s="61">
        <v>18</v>
      </c>
      <c r="B589" s="1370"/>
      <c r="C589" s="91"/>
      <c r="D589" s="115"/>
      <c r="E589" s="116"/>
      <c r="F589" s="89"/>
      <c r="G589" s="89"/>
      <c r="H589" s="23"/>
      <c r="I589" s="285"/>
      <c r="J589" s="116"/>
      <c r="K589" s="277"/>
      <c r="L589" s="116"/>
      <c r="M589" s="92"/>
      <c r="N589" s="31"/>
      <c r="O589" s="92"/>
      <c r="P589" s="92"/>
      <c r="Q589" s="31"/>
      <c r="R589" s="92"/>
      <c r="S589" s="92"/>
      <c r="T589" s="31"/>
      <c r="U589" s="92"/>
      <c r="V589" s="92"/>
      <c r="W589" s="31"/>
      <c r="AA589" s="93"/>
      <c r="AB589" s="93"/>
      <c r="AC589" s="83"/>
      <c r="AD589" s="83"/>
      <c r="AE589" s="93"/>
      <c r="AF589" s="93"/>
      <c r="AG589" s="83"/>
      <c r="AH589" s="83"/>
      <c r="AI589" s="93"/>
      <c r="AJ589" s="93"/>
      <c r="AK589" s="83"/>
      <c r="AL589" s="83"/>
      <c r="AM589" s="93"/>
      <c r="AN589" s="93"/>
      <c r="AO589" s="83"/>
      <c r="AP589" s="83"/>
      <c r="AQ589" s="93"/>
      <c r="AR589" s="93"/>
      <c r="AS589" s="83"/>
      <c r="AT589" s="83"/>
      <c r="AU589" s="93"/>
      <c r="AV589" s="93"/>
      <c r="AW589" s="83"/>
      <c r="AX589" s="83"/>
      <c r="AY589" s="93"/>
      <c r="AZ589" s="93"/>
    </row>
    <row r="590" spans="1:52" x14ac:dyDescent="0.45">
      <c r="A590" s="61">
        <v>19</v>
      </c>
      <c r="B590" s="1370"/>
      <c r="C590" s="11" t="s">
        <v>852</v>
      </c>
      <c r="D590" s="286" t="s">
        <v>829</v>
      </c>
      <c r="E590" s="12" t="s">
        <v>853</v>
      </c>
      <c r="F590" s="89"/>
      <c r="G590" s="89"/>
      <c r="H590" s="23"/>
      <c r="I590" s="285"/>
      <c r="J590" s="116"/>
      <c r="K590" s="277"/>
      <c r="L590" s="116"/>
      <c r="M590" s="92"/>
      <c r="N590" s="31"/>
      <c r="O590" s="92"/>
      <c r="P590" s="92"/>
      <c r="Q590" s="31"/>
      <c r="R590" s="92"/>
      <c r="S590" s="92"/>
      <c r="T590" s="31"/>
      <c r="U590" s="92"/>
      <c r="V590" s="92"/>
      <c r="W590" s="31"/>
      <c r="AA590" s="93"/>
      <c r="AB590" s="93"/>
      <c r="AC590" s="83"/>
      <c r="AD590" s="83"/>
      <c r="AE590" s="93"/>
      <c r="AF590" s="93"/>
      <c r="AG590" s="83"/>
      <c r="AH590" s="83"/>
      <c r="AI590" s="93"/>
      <c r="AJ590" s="93"/>
      <c r="AK590" s="83"/>
      <c r="AL590" s="83"/>
      <c r="AM590" s="93"/>
      <c r="AN590" s="93"/>
      <c r="AO590" s="83"/>
      <c r="AP590" s="83"/>
      <c r="AQ590" s="93"/>
      <c r="AR590" s="93"/>
      <c r="AS590" s="83"/>
      <c r="AT590" s="83"/>
      <c r="AU590" s="93"/>
      <c r="AV590" s="93"/>
      <c r="AW590" s="83"/>
      <c r="AX590" s="83"/>
      <c r="AY590" s="93"/>
      <c r="AZ590" s="93"/>
    </row>
    <row r="591" spans="1:52" x14ac:dyDescent="0.45">
      <c r="A591" s="61">
        <v>20</v>
      </c>
      <c r="B591" s="1370"/>
      <c r="C591" s="91" t="s">
        <v>854</v>
      </c>
      <c r="D591" s="115"/>
      <c r="E591" s="116" t="s">
        <v>832</v>
      </c>
      <c r="F591" s="197">
        <f t="shared" ref="F591:K591" si="158">F211</f>
        <v>0.43074995700024832</v>
      </c>
      <c r="G591" s="197">
        <f t="shared" si="158"/>
        <v>0.4175691893204192</v>
      </c>
      <c r="H591" s="288">
        <f t="shared" si="158"/>
        <v>0.4799755579961148</v>
      </c>
      <c r="I591" s="289">
        <f t="shared" si="158"/>
        <v>0.58054868799097703</v>
      </c>
      <c r="J591" s="289">
        <f t="shared" si="158"/>
        <v>0.44324765713763226</v>
      </c>
      <c r="K591" s="289">
        <f t="shared" si="158"/>
        <v>0.64104385848248757</v>
      </c>
      <c r="L591" s="289">
        <f t="shared" ref="L591:W591" si="159">L211</f>
        <v>4.2266858310417869E-2</v>
      </c>
      <c r="M591" s="289">
        <f t="shared" si="159"/>
        <v>2.984770471210263E-2</v>
      </c>
      <c r="N591" s="289">
        <f t="shared" si="159"/>
        <v>0</v>
      </c>
      <c r="O591" s="289">
        <f t="shared" si="159"/>
        <v>0.12024850296859706</v>
      </c>
      <c r="P591" s="289">
        <f t="shared" si="159"/>
        <v>4.127869112613522E-2</v>
      </c>
      <c r="Q591" s="289">
        <f t="shared" si="159"/>
        <v>3.7905623003453709E-2</v>
      </c>
      <c r="R591" s="289">
        <f t="shared" si="159"/>
        <v>0.2139386935825236</v>
      </c>
      <c r="S591" s="289">
        <f t="shared" si="159"/>
        <v>0.23776450641986749</v>
      </c>
      <c r="T591" s="289">
        <f t="shared" si="159"/>
        <v>0.2765409995924219</v>
      </c>
      <c r="U591" s="289">
        <f t="shared" si="159"/>
        <v>0.69096967354330041</v>
      </c>
      <c r="V591" s="289">
        <f t="shared" si="159"/>
        <v>0.69845383818231777</v>
      </c>
      <c r="W591" s="289">
        <f t="shared" si="159"/>
        <v>0.76546080658513083</v>
      </c>
      <c r="AA591" s="93"/>
      <c r="AB591" s="93"/>
      <c r="AC591" s="83"/>
      <c r="AD591" s="83"/>
      <c r="AE591" s="93"/>
      <c r="AF591" s="93"/>
      <c r="AG591" s="83"/>
      <c r="AH591" s="83"/>
      <c r="AI591" s="93"/>
      <c r="AJ591" s="93"/>
      <c r="AK591" s="83"/>
      <c r="AL591" s="83"/>
      <c r="AM591" s="93"/>
      <c r="AN591" s="93"/>
      <c r="AO591" s="83"/>
      <c r="AP591" s="83"/>
      <c r="AQ591" s="93"/>
      <c r="AR591" s="93"/>
      <c r="AS591" s="83"/>
      <c r="AT591" s="83"/>
      <c r="AU591" s="93"/>
      <c r="AV591" s="93"/>
      <c r="AW591" s="83"/>
      <c r="AX591" s="83"/>
      <c r="AY591" s="93"/>
      <c r="AZ591" s="93"/>
    </row>
    <row r="592" spans="1:52" x14ac:dyDescent="0.45">
      <c r="A592" s="61">
        <v>21</v>
      </c>
      <c r="B592" s="1370"/>
      <c r="C592" s="91" t="s">
        <v>855</v>
      </c>
      <c r="D592" s="115"/>
      <c r="E592" s="116" t="s">
        <v>834</v>
      </c>
      <c r="F592" s="197">
        <f t="shared" ref="F592:H594" si="160">IF(COUNTA(I592,L592,O592,R592,U592)&lt;&gt;0,(I592+L592+O592+R592+U592)/COUNTA(I592,L592,O592,R592,U592),0)</f>
        <v>0</v>
      </c>
      <c r="G592" s="197">
        <f t="shared" si="160"/>
        <v>0</v>
      </c>
      <c r="H592" s="288">
        <f t="shared" si="160"/>
        <v>0.18</v>
      </c>
      <c r="I592" s="289">
        <v>0</v>
      </c>
      <c r="J592" s="289">
        <v>0</v>
      </c>
      <c r="K592" s="289">
        <v>0.18</v>
      </c>
      <c r="L592" s="290">
        <v>0</v>
      </c>
      <c r="M592" s="289">
        <v>0</v>
      </c>
      <c r="N592" s="289">
        <v>0.18</v>
      </c>
      <c r="O592" s="290">
        <v>0</v>
      </c>
      <c r="P592" s="289">
        <v>0</v>
      </c>
      <c r="Q592" s="289">
        <v>0.18</v>
      </c>
      <c r="R592" s="290">
        <v>0</v>
      </c>
      <c r="S592" s="289">
        <v>0</v>
      </c>
      <c r="T592" s="289">
        <v>0.18</v>
      </c>
      <c r="U592" s="290">
        <v>0</v>
      </c>
      <c r="V592" s="289">
        <v>0</v>
      </c>
      <c r="W592" s="289">
        <v>0.18</v>
      </c>
      <c r="AA592" s="93"/>
      <c r="AB592" s="93"/>
      <c r="AC592" s="83"/>
      <c r="AD592" s="83"/>
      <c r="AE592" s="93"/>
      <c r="AF592" s="93"/>
      <c r="AG592" s="83"/>
      <c r="AH592" s="83"/>
      <c r="AI592" s="93"/>
      <c r="AJ592" s="93"/>
      <c r="AK592" s="83"/>
      <c r="AL592" s="83"/>
      <c r="AM592" s="93"/>
      <c r="AN592" s="93"/>
      <c r="AO592" s="83"/>
      <c r="AP592" s="83"/>
      <c r="AQ592" s="93"/>
      <c r="AR592" s="93"/>
      <c r="AS592" s="83"/>
      <c r="AT592" s="83"/>
      <c r="AU592" s="93"/>
      <c r="AV592" s="93"/>
      <c r="AW592" s="83"/>
      <c r="AX592" s="83"/>
      <c r="AY592" s="93"/>
      <c r="AZ592" s="93"/>
    </row>
    <row r="593" spans="1:52" x14ac:dyDescent="0.45">
      <c r="A593" s="61">
        <v>22</v>
      </c>
      <c r="B593" s="1370"/>
      <c r="C593" s="91" t="s">
        <v>856</v>
      </c>
      <c r="D593" s="115"/>
      <c r="E593" s="116" t="s">
        <v>837</v>
      </c>
      <c r="F593" s="197">
        <f t="shared" si="160"/>
        <v>0</v>
      </c>
      <c r="G593" s="197">
        <f t="shared" si="160"/>
        <v>0</v>
      </c>
      <c r="H593" s="288">
        <f t="shared" si="160"/>
        <v>0.9</v>
      </c>
      <c r="I593" s="289">
        <v>0</v>
      </c>
      <c r="J593" s="289">
        <v>0</v>
      </c>
      <c r="K593" s="289">
        <v>0.9</v>
      </c>
      <c r="L593" s="290">
        <v>0</v>
      </c>
      <c r="M593" s="289">
        <v>0</v>
      </c>
      <c r="N593" s="289">
        <v>0.9</v>
      </c>
      <c r="O593" s="290">
        <v>0</v>
      </c>
      <c r="P593" s="289">
        <v>0</v>
      </c>
      <c r="Q593" s="289">
        <v>0.9</v>
      </c>
      <c r="R593" s="290">
        <v>0</v>
      </c>
      <c r="S593" s="289">
        <v>0</v>
      </c>
      <c r="T593" s="289">
        <v>0.9</v>
      </c>
      <c r="U593" s="290">
        <v>0</v>
      </c>
      <c r="V593" s="289">
        <v>0</v>
      </c>
      <c r="W593" s="289">
        <v>0.9</v>
      </c>
      <c r="AA593" s="93"/>
      <c r="AB593" s="93"/>
      <c r="AC593" s="83"/>
      <c r="AD593" s="83"/>
      <c r="AE593" s="93"/>
      <c r="AF593" s="93"/>
      <c r="AG593" s="83"/>
      <c r="AH593" s="83"/>
      <c r="AI593" s="93"/>
      <c r="AJ593" s="93"/>
      <c r="AK593" s="83"/>
      <c r="AL593" s="83"/>
      <c r="AM593" s="93"/>
      <c r="AN593" s="93"/>
      <c r="AO593" s="83"/>
      <c r="AP593" s="83"/>
      <c r="AQ593" s="93"/>
      <c r="AR593" s="93"/>
      <c r="AS593" s="83"/>
      <c r="AT593" s="83"/>
      <c r="AU593" s="93"/>
      <c r="AV593" s="93"/>
      <c r="AW593" s="83"/>
      <c r="AX593" s="83"/>
      <c r="AY593" s="93"/>
      <c r="AZ593" s="93"/>
    </row>
    <row r="594" spans="1:52" x14ac:dyDescent="0.45">
      <c r="A594" s="61">
        <v>23</v>
      </c>
      <c r="B594" s="1370"/>
      <c r="C594" s="91" t="s">
        <v>857</v>
      </c>
      <c r="D594" s="115"/>
      <c r="E594" s="116" t="s">
        <v>840</v>
      </c>
      <c r="F594" s="197">
        <f t="shared" si="160"/>
        <v>0.67799999999999994</v>
      </c>
      <c r="G594" s="197">
        <f t="shared" si="160"/>
        <v>0.84799999999999986</v>
      </c>
      <c r="H594" s="288">
        <f t="shared" si="160"/>
        <v>0.84920000000000007</v>
      </c>
      <c r="I594" s="289">
        <v>0.88</v>
      </c>
      <c r="J594" s="289">
        <v>0.89</v>
      </c>
      <c r="K594" s="289">
        <v>0.88200000000000001</v>
      </c>
      <c r="L594" s="289">
        <v>0</v>
      </c>
      <c r="M594" s="289">
        <v>0.78</v>
      </c>
      <c r="N594" s="289">
        <v>0.81100000000000005</v>
      </c>
      <c r="O594" s="289">
        <v>0.82</v>
      </c>
      <c r="P594" s="289">
        <v>0.86</v>
      </c>
      <c r="Q594" s="289">
        <v>0.85399999999999998</v>
      </c>
      <c r="R594" s="289">
        <v>0.81</v>
      </c>
      <c r="S594" s="289">
        <v>0.82</v>
      </c>
      <c r="T594" s="289">
        <v>0.81200000000000006</v>
      </c>
      <c r="U594" s="289">
        <v>0.88</v>
      </c>
      <c r="V594" s="289">
        <v>0.89</v>
      </c>
      <c r="W594" s="289">
        <v>0.88700000000000001</v>
      </c>
      <c r="AA594" s="93"/>
      <c r="AB594" s="93"/>
      <c r="AC594" s="83"/>
      <c r="AD594" s="83"/>
      <c r="AE594" s="93"/>
      <c r="AF594" s="93"/>
      <c r="AG594" s="83"/>
      <c r="AH594" s="83"/>
      <c r="AI594" s="93"/>
      <c r="AJ594" s="93"/>
      <c r="AK594" s="83"/>
      <c r="AL594" s="83"/>
      <c r="AM594" s="93"/>
      <c r="AN594" s="93"/>
      <c r="AO594" s="83"/>
      <c r="AP594" s="83"/>
      <c r="AQ594" s="93"/>
      <c r="AR594" s="93"/>
      <c r="AS594" s="83"/>
      <c r="AT594" s="83"/>
      <c r="AU594" s="93"/>
      <c r="AV594" s="93"/>
      <c r="AW594" s="83"/>
      <c r="AX594" s="83"/>
      <c r="AY594" s="93"/>
      <c r="AZ594" s="93"/>
    </row>
    <row r="595" spans="1:52" x14ac:dyDescent="0.45">
      <c r="A595" s="61">
        <v>24</v>
      </c>
      <c r="B595" s="1370"/>
      <c r="C595" s="91"/>
      <c r="D595" s="115"/>
      <c r="E595" s="116"/>
      <c r="F595" s="89"/>
      <c r="G595" s="89"/>
      <c r="H595" s="23"/>
      <c r="I595" s="285"/>
      <c r="J595" s="116"/>
      <c r="K595" s="277"/>
      <c r="L595" s="116"/>
      <c r="M595" s="92"/>
      <c r="N595" s="31"/>
      <c r="O595" s="92"/>
      <c r="P595" s="92"/>
      <c r="Q595" s="31"/>
      <c r="R595" s="92"/>
      <c r="S595" s="92"/>
      <c r="T595" s="31"/>
      <c r="U595" s="92"/>
      <c r="V595" s="92"/>
      <c r="W595" s="31"/>
      <c r="AA595" s="93"/>
      <c r="AB595" s="93"/>
      <c r="AC595" s="83"/>
      <c r="AD595" s="83"/>
      <c r="AE595" s="93"/>
      <c r="AF595" s="93"/>
      <c r="AG595" s="83"/>
      <c r="AH595" s="83"/>
      <c r="AI595" s="93"/>
      <c r="AJ595" s="93"/>
      <c r="AK595" s="83"/>
      <c r="AL595" s="83"/>
      <c r="AM595" s="93"/>
      <c r="AN595" s="93"/>
      <c r="AO595" s="83"/>
      <c r="AP595" s="83"/>
      <c r="AQ595" s="93"/>
      <c r="AR595" s="93"/>
      <c r="AS595" s="83"/>
      <c r="AT595" s="83"/>
      <c r="AU595" s="93"/>
      <c r="AV595" s="93"/>
      <c r="AW595" s="83"/>
      <c r="AX595" s="83"/>
      <c r="AY595" s="93"/>
      <c r="AZ595" s="93"/>
    </row>
    <row r="596" spans="1:52" x14ac:dyDescent="0.45">
      <c r="A596" s="61">
        <v>25</v>
      </c>
      <c r="B596" s="1370"/>
      <c r="C596" s="11" t="s">
        <v>858</v>
      </c>
      <c r="D596" s="286" t="s">
        <v>829</v>
      </c>
      <c r="E596" s="12" t="s">
        <v>859</v>
      </c>
      <c r="F596" s="89"/>
      <c r="G596" s="89"/>
      <c r="H596" s="23"/>
      <c r="I596" s="285"/>
      <c r="J596" s="116"/>
      <c r="K596" s="277"/>
      <c r="L596" s="116"/>
      <c r="M596" s="92"/>
      <c r="N596" s="31"/>
      <c r="O596" s="92"/>
      <c r="P596" s="92"/>
      <c r="Q596" s="31"/>
      <c r="R596" s="92"/>
      <c r="S596" s="92"/>
      <c r="T596" s="31"/>
      <c r="U596" s="92"/>
      <c r="V596" s="92"/>
      <c r="W596" s="31"/>
      <c r="AA596" s="93"/>
      <c r="AB596" s="93"/>
      <c r="AC596" s="83"/>
      <c r="AD596" s="83"/>
      <c r="AE596" s="93"/>
      <c r="AF596" s="93"/>
      <c r="AG596" s="83"/>
      <c r="AH596" s="83"/>
      <c r="AI596" s="93"/>
      <c r="AJ596" s="93"/>
      <c r="AK596" s="83"/>
      <c r="AL596" s="83"/>
      <c r="AM596" s="93"/>
      <c r="AN596" s="93"/>
      <c r="AO596" s="83"/>
      <c r="AP596" s="83"/>
      <c r="AQ596" s="93"/>
      <c r="AR596" s="93"/>
      <c r="AS596" s="83"/>
      <c r="AT596" s="83"/>
      <c r="AU596" s="93"/>
      <c r="AV596" s="93"/>
      <c r="AW596" s="83"/>
      <c r="AX596" s="83"/>
      <c r="AY596" s="93"/>
      <c r="AZ596" s="93"/>
    </row>
    <row r="597" spans="1:52" x14ac:dyDescent="0.45">
      <c r="A597" s="61">
        <v>26</v>
      </c>
      <c r="B597" s="1370"/>
      <c r="C597" s="91" t="s">
        <v>860</v>
      </c>
      <c r="D597" s="115"/>
      <c r="E597" s="116" t="s">
        <v>832</v>
      </c>
      <c r="F597" s="287">
        <f t="shared" ref="F597:H600" si="161">IF(COUNTA(I597,L597,O597,R597,U597)&lt;&gt;0,(I597+L597+O597+R597+U597)/COUNTA(I597,L597,O597,R597,U597),0)</f>
        <v>0</v>
      </c>
      <c r="G597" s="130">
        <f t="shared" si="161"/>
        <v>0</v>
      </c>
      <c r="H597" s="131">
        <f t="shared" si="161"/>
        <v>3904.4910711249127</v>
      </c>
      <c r="I597" s="291"/>
      <c r="J597" s="291"/>
      <c r="K597" s="291">
        <f>IF(H50&lt;&gt;0,H193/H50/12,0)</f>
        <v>2312.9006639211889</v>
      </c>
      <c r="L597" s="292"/>
      <c r="M597" s="291"/>
      <c r="N597" s="291">
        <f>IF(K50&lt;&gt;0,K193/K50/12,0)</f>
        <v>10360.684342592593</v>
      </c>
      <c r="O597" s="292"/>
      <c r="P597" s="291"/>
      <c r="Q597" s="291">
        <f>IF(N50&lt;&gt;0,N193/N50/12,0)</f>
        <v>1946.79</v>
      </c>
      <c r="R597" s="292"/>
      <c r="S597" s="291"/>
      <c r="T597" s="291">
        <f>IF(Q50&lt;&gt;0,Q193/Q50/12,0)</f>
        <v>2595.3721928702612</v>
      </c>
      <c r="U597" s="292"/>
      <c r="V597" s="291"/>
      <c r="W597" s="291">
        <f>IF(T50&lt;&gt;0,T193/T50/12,0)</f>
        <v>2306.7081562405169</v>
      </c>
      <c r="AA597" s="93"/>
      <c r="AB597" s="93"/>
      <c r="AC597" s="83"/>
      <c r="AD597" s="83"/>
      <c r="AE597" s="93"/>
      <c r="AF597" s="93"/>
      <c r="AG597" s="83"/>
      <c r="AH597" s="83"/>
      <c r="AI597" s="93"/>
      <c r="AJ597" s="93"/>
      <c r="AK597" s="83"/>
      <c r="AL597" s="83"/>
      <c r="AM597" s="93"/>
      <c r="AN597" s="93"/>
      <c r="AO597" s="83"/>
      <c r="AP597" s="83"/>
      <c r="AQ597" s="93"/>
      <c r="AR597" s="93"/>
      <c r="AS597" s="83"/>
      <c r="AT597" s="83"/>
      <c r="AU597" s="93"/>
      <c r="AV597" s="93"/>
      <c r="AW597" s="83"/>
      <c r="AX597" s="83"/>
      <c r="AY597" s="93"/>
      <c r="AZ597" s="93"/>
    </row>
    <row r="598" spans="1:52" x14ac:dyDescent="0.45">
      <c r="A598" s="61">
        <v>27</v>
      </c>
      <c r="B598" s="1370"/>
      <c r="C598" s="91" t="s">
        <v>861</v>
      </c>
      <c r="D598" s="115"/>
      <c r="E598" s="116" t="s">
        <v>834</v>
      </c>
      <c r="F598" s="287">
        <f t="shared" si="161"/>
        <v>0</v>
      </c>
      <c r="G598" s="130">
        <f t="shared" si="161"/>
        <v>0</v>
      </c>
      <c r="H598" s="131">
        <f t="shared" si="161"/>
        <v>798.2</v>
      </c>
      <c r="I598" s="291"/>
      <c r="J598" s="291"/>
      <c r="K598" s="291">
        <f>K575*K592+728</f>
        <v>798.2</v>
      </c>
      <c r="L598" s="292"/>
      <c r="M598" s="291"/>
      <c r="N598" s="291">
        <f>N575*N592+728</f>
        <v>798.2</v>
      </c>
      <c r="O598" s="292"/>
      <c r="P598" s="291"/>
      <c r="Q598" s="291">
        <f>Q575*Q592+728</f>
        <v>798.2</v>
      </c>
      <c r="R598" s="292"/>
      <c r="S598" s="291"/>
      <c r="T598" s="291">
        <f>T575*T592+728</f>
        <v>798.2</v>
      </c>
      <c r="U598" s="292"/>
      <c r="V598" s="291"/>
      <c r="W598" s="291">
        <f>W575*W592+728</f>
        <v>798.2</v>
      </c>
      <c r="AA598" s="93"/>
      <c r="AB598" s="93"/>
      <c r="AC598" s="83"/>
      <c r="AD598" s="83"/>
      <c r="AE598" s="93"/>
      <c r="AF598" s="93"/>
      <c r="AG598" s="83"/>
      <c r="AH598" s="83"/>
      <c r="AI598" s="93"/>
      <c r="AJ598" s="93"/>
      <c r="AK598" s="83"/>
      <c r="AL598" s="83"/>
      <c r="AM598" s="93"/>
      <c r="AN598" s="93"/>
      <c r="AO598" s="83"/>
      <c r="AP598" s="83"/>
      <c r="AQ598" s="93"/>
      <c r="AR598" s="93"/>
      <c r="AS598" s="83"/>
      <c r="AT598" s="83"/>
      <c r="AU598" s="93"/>
      <c r="AV598" s="93"/>
      <c r="AW598" s="83"/>
      <c r="AX598" s="83"/>
      <c r="AY598" s="93"/>
      <c r="AZ598" s="93"/>
    </row>
    <row r="599" spans="1:52" x14ac:dyDescent="0.45">
      <c r="A599" s="61">
        <v>28</v>
      </c>
      <c r="B599" s="1370"/>
      <c r="C599" s="91" t="s">
        <v>862</v>
      </c>
      <c r="D599" s="115"/>
      <c r="E599" s="116" t="s">
        <v>837</v>
      </c>
      <c r="F599" s="287">
        <f t="shared" si="161"/>
        <v>0</v>
      </c>
      <c r="G599" s="130">
        <f t="shared" si="161"/>
        <v>0</v>
      </c>
      <c r="H599" s="131">
        <f t="shared" si="161"/>
        <v>1350</v>
      </c>
      <c r="I599" s="291"/>
      <c r="J599" s="291"/>
      <c r="K599" s="291">
        <v>1350</v>
      </c>
      <c r="L599" s="292"/>
      <c r="M599" s="291"/>
      <c r="N599" s="291">
        <v>1350</v>
      </c>
      <c r="O599" s="292"/>
      <c r="P599" s="291"/>
      <c r="Q599" s="291">
        <v>1350</v>
      </c>
      <c r="R599" s="292"/>
      <c r="S599" s="291"/>
      <c r="T599" s="291">
        <v>1350</v>
      </c>
      <c r="U599" s="292"/>
      <c r="V599" s="291"/>
      <c r="W599" s="291">
        <v>1350</v>
      </c>
      <c r="AA599" s="93"/>
      <c r="AB599" s="93"/>
      <c r="AC599" s="83"/>
      <c r="AD599" s="83"/>
      <c r="AE599" s="93"/>
      <c r="AF599" s="93"/>
      <c r="AG599" s="83"/>
      <c r="AH599" s="83"/>
      <c r="AI599" s="93"/>
      <c r="AJ599" s="93"/>
      <c r="AK599" s="83"/>
      <c r="AL599" s="83"/>
      <c r="AM599" s="93"/>
      <c r="AN599" s="93"/>
      <c r="AO599" s="83"/>
      <c r="AP599" s="83"/>
      <c r="AQ599" s="93"/>
      <c r="AR599" s="93"/>
      <c r="AS599" s="83"/>
      <c r="AT599" s="83"/>
      <c r="AU599" s="93"/>
      <c r="AV599" s="93"/>
      <c r="AW599" s="83"/>
      <c r="AX599" s="83"/>
      <c r="AY599" s="93"/>
      <c r="AZ599" s="93"/>
    </row>
    <row r="600" spans="1:52" x14ac:dyDescent="0.45">
      <c r="A600" s="61">
        <v>29</v>
      </c>
      <c r="B600" s="1370"/>
      <c r="C600" s="91" t="s">
        <v>863</v>
      </c>
      <c r="D600" s="115"/>
      <c r="E600" s="116" t="s">
        <v>840</v>
      </c>
      <c r="F600" s="287">
        <f t="shared" si="161"/>
        <v>0</v>
      </c>
      <c r="G600" s="130">
        <f t="shared" si="161"/>
        <v>0</v>
      </c>
      <c r="H600" s="131">
        <f t="shared" si="161"/>
        <v>950</v>
      </c>
      <c r="I600" s="291"/>
      <c r="J600" s="291"/>
      <c r="K600" s="291">
        <v>950</v>
      </c>
      <c r="L600" s="292"/>
      <c r="M600" s="291"/>
      <c r="N600" s="291">
        <v>950</v>
      </c>
      <c r="O600" s="292"/>
      <c r="P600" s="291"/>
      <c r="Q600" s="291">
        <v>950</v>
      </c>
      <c r="R600" s="292"/>
      <c r="S600" s="291"/>
      <c r="T600" s="291">
        <v>950</v>
      </c>
      <c r="U600" s="292"/>
      <c r="V600" s="291"/>
      <c r="W600" s="291">
        <v>950</v>
      </c>
      <c r="AA600" s="93"/>
      <c r="AB600" s="93"/>
      <c r="AC600" s="83"/>
      <c r="AD600" s="83"/>
      <c r="AE600" s="93"/>
      <c r="AF600" s="93"/>
      <c r="AG600" s="83"/>
      <c r="AH600" s="83"/>
      <c r="AI600" s="93"/>
      <c r="AJ600" s="93"/>
      <c r="AK600" s="83"/>
      <c r="AL600" s="83"/>
      <c r="AM600" s="93"/>
      <c r="AN600" s="93"/>
      <c r="AO600" s="83"/>
      <c r="AP600" s="83"/>
      <c r="AQ600" s="93"/>
      <c r="AR600" s="93"/>
      <c r="AS600" s="83"/>
      <c r="AT600" s="83"/>
      <c r="AU600" s="93"/>
      <c r="AV600" s="93"/>
      <c r="AW600" s="83"/>
      <c r="AX600" s="83"/>
      <c r="AY600" s="93"/>
      <c r="AZ600" s="93"/>
    </row>
    <row r="601" spans="1:52" x14ac:dyDescent="0.45">
      <c r="A601" s="61">
        <v>30</v>
      </c>
      <c r="B601" s="1370"/>
      <c r="C601" s="91"/>
      <c r="D601" s="115"/>
      <c r="E601" s="116"/>
      <c r="F601" s="89"/>
      <c r="G601" s="89"/>
      <c r="H601" s="23"/>
      <c r="I601" s="285"/>
      <c r="J601" s="116"/>
      <c r="K601" s="277"/>
      <c r="L601" s="116"/>
      <c r="M601" s="92"/>
      <c r="N601" s="31"/>
      <c r="O601" s="92"/>
      <c r="P601" s="92"/>
      <c r="Q601" s="31"/>
      <c r="R601" s="92"/>
      <c r="S601" s="92"/>
      <c r="T601" s="31"/>
      <c r="U601" s="92"/>
      <c r="V601" s="92"/>
      <c r="W601" s="31"/>
      <c r="AA601" s="93"/>
      <c r="AB601" s="93"/>
      <c r="AC601" s="83"/>
      <c r="AD601" s="83"/>
      <c r="AE601" s="93"/>
      <c r="AF601" s="93"/>
      <c r="AG601" s="83"/>
      <c r="AH601" s="83"/>
      <c r="AI601" s="93"/>
      <c r="AJ601" s="93"/>
      <c r="AK601" s="83"/>
      <c r="AL601" s="83"/>
      <c r="AM601" s="93"/>
      <c r="AN601" s="93"/>
      <c r="AO601" s="83"/>
      <c r="AP601" s="83"/>
      <c r="AQ601" s="93"/>
      <c r="AR601" s="93"/>
      <c r="AS601" s="83"/>
      <c r="AT601" s="83"/>
      <c r="AU601" s="93"/>
      <c r="AV601" s="93"/>
      <c r="AW601" s="83"/>
      <c r="AX601" s="83"/>
      <c r="AY601" s="93"/>
      <c r="AZ601" s="93"/>
    </row>
    <row r="602" spans="1:52" x14ac:dyDescent="0.45">
      <c r="A602" s="61">
        <v>31</v>
      </c>
      <c r="B602" s="1370"/>
      <c r="C602" s="11" t="s">
        <v>864</v>
      </c>
      <c r="D602" s="103"/>
      <c r="E602" s="12" t="s">
        <v>865</v>
      </c>
      <c r="F602" s="89"/>
      <c r="G602" s="89"/>
      <c r="H602" s="23"/>
      <c r="I602" s="285"/>
      <c r="J602" s="116"/>
      <c r="K602" s="277"/>
      <c r="L602" s="116"/>
      <c r="M602" s="92"/>
      <c r="N602" s="31"/>
      <c r="O602" s="92"/>
      <c r="P602" s="92"/>
      <c r="Q602" s="31"/>
      <c r="R602" s="92"/>
      <c r="S602" s="92"/>
      <c r="T602" s="31"/>
      <c r="U602" s="92"/>
      <c r="V602" s="92"/>
      <c r="W602" s="31"/>
      <c r="AA602" s="93"/>
      <c r="AB602" s="93"/>
      <c r="AC602" s="83"/>
      <c r="AD602" s="83"/>
      <c r="AE602" s="93"/>
      <c r="AF602" s="93"/>
      <c r="AG602" s="83"/>
      <c r="AH602" s="83"/>
      <c r="AI602" s="93"/>
      <c r="AJ602" s="93"/>
      <c r="AK602" s="83"/>
      <c r="AL602" s="83"/>
      <c r="AM602" s="93"/>
      <c r="AN602" s="93"/>
      <c r="AO602" s="83"/>
      <c r="AP602" s="83"/>
      <c r="AQ602" s="93"/>
      <c r="AR602" s="93"/>
      <c r="AS602" s="83"/>
      <c r="AT602" s="83"/>
      <c r="AU602" s="93"/>
      <c r="AV602" s="93"/>
      <c r="AW602" s="83"/>
      <c r="AX602" s="83"/>
      <c r="AY602" s="93"/>
      <c r="AZ602" s="93"/>
    </row>
    <row r="603" spans="1:52" x14ac:dyDescent="0.45">
      <c r="A603" s="61">
        <v>32</v>
      </c>
      <c r="B603" s="1370"/>
      <c r="C603" s="91" t="s">
        <v>866</v>
      </c>
      <c r="D603" s="115"/>
      <c r="E603" s="12" t="s">
        <v>867</v>
      </c>
      <c r="F603" s="89"/>
      <c r="G603" s="89"/>
      <c r="H603" s="23"/>
      <c r="I603" s="285"/>
      <c r="J603" s="116"/>
      <c r="K603" s="277"/>
      <c r="L603" s="116"/>
      <c r="M603" s="92"/>
      <c r="N603" s="31"/>
      <c r="O603" s="92"/>
      <c r="P603" s="92"/>
      <c r="Q603" s="31"/>
      <c r="R603" s="92"/>
      <c r="S603" s="92"/>
      <c r="T603" s="31"/>
      <c r="U603" s="92"/>
      <c r="V603" s="92"/>
      <c r="W603" s="31"/>
      <c r="AA603" s="93"/>
      <c r="AB603" s="93"/>
      <c r="AC603" s="83"/>
      <c r="AD603" s="83"/>
      <c r="AE603" s="93"/>
      <c r="AF603" s="93"/>
      <c r="AG603" s="83"/>
      <c r="AH603" s="83"/>
      <c r="AI603" s="93"/>
      <c r="AJ603" s="93"/>
      <c r="AK603" s="83"/>
      <c r="AL603" s="83"/>
      <c r="AM603" s="93"/>
      <c r="AN603" s="93"/>
      <c r="AO603" s="83"/>
      <c r="AP603" s="83"/>
      <c r="AQ603" s="93"/>
      <c r="AR603" s="93"/>
      <c r="AS603" s="83"/>
      <c r="AT603" s="83"/>
      <c r="AU603" s="93"/>
      <c r="AV603" s="93"/>
      <c r="AW603" s="83"/>
      <c r="AX603" s="83"/>
      <c r="AY603" s="93"/>
      <c r="AZ603" s="93"/>
    </row>
    <row r="604" spans="1:52" ht="33.75" customHeight="1" x14ac:dyDescent="0.45">
      <c r="A604" s="61">
        <v>33</v>
      </c>
      <c r="B604" s="1370"/>
      <c r="C604" s="91" t="s">
        <v>868</v>
      </c>
      <c r="D604" s="115"/>
      <c r="E604" s="293" t="s">
        <v>869</v>
      </c>
      <c r="F604" s="89"/>
      <c r="G604" s="89"/>
      <c r="H604" s="23"/>
      <c r="I604" s="285"/>
      <c r="J604" s="116"/>
      <c r="K604" s="277"/>
      <c r="L604" s="116"/>
      <c r="M604" s="92"/>
      <c r="N604" s="31"/>
      <c r="O604" s="92"/>
      <c r="P604" s="92"/>
      <c r="Q604" s="31"/>
      <c r="R604" s="92"/>
      <c r="S604" s="92"/>
      <c r="T604" s="31"/>
      <c r="U604" s="92"/>
      <c r="V604" s="92"/>
      <c r="W604" s="31"/>
      <c r="AA604" s="93"/>
      <c r="AB604" s="93"/>
      <c r="AC604" s="83"/>
      <c r="AD604" s="83"/>
      <c r="AE604" s="93"/>
      <c r="AF604" s="93"/>
      <c r="AG604" s="83"/>
      <c r="AH604" s="83"/>
      <c r="AI604" s="93"/>
      <c r="AJ604" s="93"/>
      <c r="AK604" s="83"/>
      <c r="AL604" s="83"/>
      <c r="AM604" s="93"/>
      <c r="AN604" s="93"/>
      <c r="AO604" s="83"/>
      <c r="AP604" s="83"/>
      <c r="AQ604" s="93"/>
      <c r="AR604" s="93"/>
      <c r="AS604" s="83"/>
      <c r="AT604" s="83"/>
      <c r="AU604" s="93"/>
      <c r="AV604" s="93"/>
      <c r="AW604" s="83"/>
      <c r="AX604" s="83"/>
      <c r="AY604" s="93"/>
      <c r="AZ604" s="93"/>
    </row>
    <row r="605" spans="1:52" ht="35.25" customHeight="1" x14ac:dyDescent="0.45">
      <c r="A605" s="61">
        <v>34</v>
      </c>
      <c r="B605" s="1370"/>
      <c r="C605" s="91" t="s">
        <v>870</v>
      </c>
      <c r="D605" s="115"/>
      <c r="E605" s="294" t="s">
        <v>871</v>
      </c>
      <c r="F605" s="89"/>
      <c r="G605" s="89"/>
      <c r="H605" s="23"/>
      <c r="I605" s="285"/>
      <c r="J605" s="116"/>
      <c r="K605" s="277"/>
      <c r="L605" s="116"/>
      <c r="M605" s="92"/>
      <c r="N605" s="31"/>
      <c r="O605" s="92"/>
      <c r="P605" s="92"/>
      <c r="Q605" s="31"/>
      <c r="R605" s="92"/>
      <c r="S605" s="92"/>
      <c r="T605" s="31"/>
      <c r="U605" s="92"/>
      <c r="V605" s="92"/>
      <c r="W605" s="31"/>
      <c r="AA605" s="93"/>
      <c r="AB605" s="93"/>
      <c r="AC605" s="83"/>
      <c r="AD605" s="83"/>
      <c r="AE605" s="93"/>
      <c r="AF605" s="93"/>
      <c r="AG605" s="83"/>
      <c r="AH605" s="83"/>
      <c r="AI605" s="93"/>
      <c r="AJ605" s="93"/>
      <c r="AK605" s="83"/>
      <c r="AL605" s="83"/>
      <c r="AM605" s="93"/>
      <c r="AN605" s="93"/>
      <c r="AO605" s="83"/>
      <c r="AP605" s="83"/>
      <c r="AQ605" s="93"/>
      <c r="AR605" s="93"/>
      <c r="AS605" s="83"/>
      <c r="AT605" s="83"/>
      <c r="AU605" s="93"/>
      <c r="AV605" s="93"/>
      <c r="AW605" s="83"/>
      <c r="AX605" s="83"/>
      <c r="AY605" s="93"/>
      <c r="AZ605" s="93"/>
    </row>
    <row r="606" spans="1:52" ht="35.25" customHeight="1" x14ac:dyDescent="0.45">
      <c r="A606" s="61">
        <v>35</v>
      </c>
      <c r="B606" s="1370"/>
      <c r="C606" s="91" t="s">
        <v>872</v>
      </c>
      <c r="D606" s="115"/>
      <c r="E606" s="294" t="s">
        <v>873</v>
      </c>
      <c r="F606" s="89"/>
      <c r="G606" s="89"/>
      <c r="H606" s="23"/>
      <c r="I606" s="285"/>
      <c r="J606" s="116"/>
      <c r="K606" s="277"/>
      <c r="L606" s="116"/>
      <c r="M606" s="92"/>
      <c r="N606" s="31"/>
      <c r="O606" s="92"/>
      <c r="P606" s="92"/>
      <c r="Q606" s="31"/>
      <c r="R606" s="92"/>
      <c r="S606" s="92"/>
      <c r="T606" s="31"/>
      <c r="U606" s="92"/>
      <c r="V606" s="92"/>
      <c r="W606" s="31"/>
      <c r="AA606" s="93"/>
      <c r="AB606" s="93"/>
      <c r="AC606" s="83"/>
      <c r="AD606" s="83"/>
      <c r="AE606" s="93"/>
      <c r="AF606" s="93"/>
      <c r="AG606" s="83"/>
      <c r="AH606" s="83"/>
      <c r="AI606" s="93"/>
      <c r="AJ606" s="93"/>
      <c r="AK606" s="83"/>
      <c r="AL606" s="83"/>
      <c r="AM606" s="93"/>
      <c r="AN606" s="93"/>
      <c r="AO606" s="83"/>
      <c r="AP606" s="83"/>
      <c r="AQ606" s="93"/>
      <c r="AR606" s="93"/>
      <c r="AS606" s="83"/>
      <c r="AT606" s="83"/>
      <c r="AU606" s="93"/>
      <c r="AV606" s="93"/>
      <c r="AW606" s="83"/>
      <c r="AX606" s="83"/>
      <c r="AY606" s="93"/>
      <c r="AZ606" s="93"/>
    </row>
    <row r="607" spans="1:52" x14ac:dyDescent="0.45">
      <c r="A607" s="61">
        <v>36</v>
      </c>
      <c r="B607" s="1370"/>
      <c r="C607" s="91" t="s">
        <v>874</v>
      </c>
      <c r="D607" s="115"/>
      <c r="E607" s="295" t="s">
        <v>875</v>
      </c>
      <c r="F607" s="89"/>
      <c r="G607" s="89"/>
      <c r="H607" s="23"/>
      <c r="I607" s="285"/>
      <c r="J607" s="116"/>
      <c r="K607" s="277"/>
      <c r="L607" s="116"/>
      <c r="M607" s="92"/>
      <c r="N607" s="31"/>
      <c r="O607" s="92"/>
      <c r="P607" s="92"/>
      <c r="Q607" s="31"/>
      <c r="R607" s="92"/>
      <c r="S607" s="92"/>
      <c r="T607" s="31"/>
      <c r="U607" s="92"/>
      <c r="V607" s="92"/>
      <c r="W607" s="31"/>
      <c r="AA607" s="93"/>
      <c r="AB607" s="93"/>
      <c r="AC607" s="83"/>
      <c r="AD607" s="83"/>
      <c r="AE607" s="93"/>
      <c r="AF607" s="93"/>
      <c r="AG607" s="83"/>
      <c r="AH607" s="83"/>
      <c r="AI607" s="93"/>
      <c r="AJ607" s="93"/>
      <c r="AK607" s="83"/>
      <c r="AL607" s="83"/>
      <c r="AM607" s="93"/>
      <c r="AN607" s="93"/>
      <c r="AO607" s="83"/>
      <c r="AP607" s="83"/>
      <c r="AQ607" s="93"/>
      <c r="AR607" s="93"/>
      <c r="AS607" s="83"/>
      <c r="AT607" s="83"/>
      <c r="AU607" s="93"/>
      <c r="AV607" s="93"/>
      <c r="AW607" s="83"/>
      <c r="AX607" s="83"/>
      <c r="AY607" s="93"/>
      <c r="AZ607" s="93"/>
    </row>
    <row r="608" spans="1:52" ht="60" customHeight="1" x14ac:dyDescent="0.45">
      <c r="A608" s="61">
        <v>37</v>
      </c>
      <c r="B608" s="1370"/>
      <c r="C608" s="91" t="s">
        <v>876</v>
      </c>
      <c r="D608" s="115"/>
      <c r="E608" s="295" t="s">
        <v>877</v>
      </c>
      <c r="F608" s="89"/>
      <c r="G608" s="89"/>
      <c r="H608" s="23"/>
      <c r="I608" s="285"/>
      <c r="J608" s="116"/>
      <c r="K608" s="277"/>
      <c r="L608" s="116"/>
      <c r="M608" s="92"/>
      <c r="N608" s="31"/>
      <c r="O608" s="92"/>
      <c r="P608" s="92"/>
      <c r="Q608" s="31"/>
      <c r="R608" s="92"/>
      <c r="S608" s="92"/>
      <c r="T608" s="31"/>
      <c r="U608" s="92"/>
      <c r="V608" s="92"/>
      <c r="W608" s="31"/>
      <c r="AA608" s="93"/>
      <c r="AB608" s="93"/>
      <c r="AC608" s="83"/>
      <c r="AD608" s="83"/>
      <c r="AE608" s="93"/>
      <c r="AF608" s="93"/>
      <c r="AG608" s="83"/>
      <c r="AH608" s="83"/>
      <c r="AI608" s="93"/>
      <c r="AJ608" s="93"/>
      <c r="AK608" s="83"/>
      <c r="AL608" s="83"/>
      <c r="AM608" s="93"/>
      <c r="AN608" s="93"/>
      <c r="AO608" s="83"/>
      <c r="AP608" s="83"/>
      <c r="AQ608" s="93"/>
      <c r="AR608" s="93"/>
      <c r="AS608" s="83"/>
      <c r="AT608" s="83"/>
      <c r="AU608" s="93"/>
      <c r="AV608" s="93"/>
      <c r="AW608" s="83"/>
      <c r="AX608" s="83"/>
      <c r="AY608" s="93"/>
      <c r="AZ608" s="93"/>
    </row>
    <row r="609" spans="1:52" x14ac:dyDescent="0.45">
      <c r="A609" s="61">
        <v>38</v>
      </c>
      <c r="B609" s="1370"/>
      <c r="C609" s="91" t="s">
        <v>878</v>
      </c>
      <c r="D609" s="115"/>
      <c r="E609" s="12"/>
      <c r="F609" s="89"/>
      <c r="G609" s="89"/>
      <c r="H609" s="23"/>
      <c r="I609" s="285"/>
      <c r="J609" s="116"/>
      <c r="K609" s="277"/>
      <c r="L609" s="116"/>
      <c r="M609" s="92"/>
      <c r="N609" s="31"/>
      <c r="O609" s="92"/>
      <c r="P609" s="92"/>
      <c r="Q609" s="31"/>
      <c r="R609" s="92"/>
      <c r="S609" s="92"/>
      <c r="T609" s="31"/>
      <c r="U609" s="92"/>
      <c r="V609" s="92"/>
      <c r="W609" s="31"/>
      <c r="AA609" s="93"/>
      <c r="AB609" s="93"/>
      <c r="AC609" s="83"/>
      <c r="AD609" s="83"/>
      <c r="AE609" s="93"/>
      <c r="AF609" s="93"/>
      <c r="AG609" s="83"/>
      <c r="AH609" s="83"/>
      <c r="AI609" s="93"/>
      <c r="AJ609" s="93"/>
      <c r="AK609" s="83"/>
      <c r="AL609" s="83"/>
      <c r="AM609" s="93"/>
      <c r="AN609" s="93"/>
      <c r="AO609" s="83"/>
      <c r="AP609" s="83"/>
      <c r="AQ609" s="93"/>
      <c r="AR609" s="93"/>
      <c r="AS609" s="83"/>
      <c r="AT609" s="83"/>
      <c r="AU609" s="93"/>
      <c r="AV609" s="93"/>
      <c r="AW609" s="83"/>
      <c r="AX609" s="83"/>
      <c r="AY609" s="93"/>
      <c r="AZ609" s="93"/>
    </row>
    <row r="610" spans="1:52" x14ac:dyDescent="0.45">
      <c r="A610" s="61">
        <v>39</v>
      </c>
      <c r="B610" s="1370"/>
      <c r="C610" s="91" t="s">
        <v>879</v>
      </c>
      <c r="D610" s="286" t="s">
        <v>829</v>
      </c>
      <c r="E610" s="116" t="s">
        <v>832</v>
      </c>
      <c r="F610" s="296">
        <f t="shared" ref="F610:H613" si="162">IF(COUNTA(I610,L610,O610,R610,U610)&lt;&gt;0,(I610+L610+O610+R610+U610)/COUNTA(I610,L610,O610,R610,U610),0)</f>
        <v>0</v>
      </c>
      <c r="G610" s="296">
        <f t="shared" si="162"/>
        <v>0</v>
      </c>
      <c r="H610" s="30">
        <f t="shared" si="162"/>
        <v>1</v>
      </c>
      <c r="I610" s="30"/>
      <c r="J610" s="30"/>
      <c r="K610" s="30">
        <v>1</v>
      </c>
      <c r="L610" s="30"/>
      <c r="M610" s="30"/>
      <c r="N610" s="30">
        <v>1</v>
      </c>
      <c r="O610" s="30"/>
      <c r="P610" s="30"/>
      <c r="Q610" s="30">
        <v>1</v>
      </c>
      <c r="R610" s="30"/>
      <c r="S610" s="30"/>
      <c r="T610" s="30">
        <v>1</v>
      </c>
      <c r="U610" s="30"/>
      <c r="V610" s="30"/>
      <c r="W610" s="30">
        <v>1</v>
      </c>
      <c r="AA610" s="93"/>
      <c r="AB610" s="93"/>
      <c r="AC610" s="83"/>
      <c r="AD610" s="83"/>
      <c r="AE610" s="93"/>
      <c r="AF610" s="93"/>
      <c r="AG610" s="83"/>
      <c r="AH610" s="83"/>
      <c r="AI610" s="93"/>
      <c r="AJ610" s="93"/>
      <c r="AK610" s="83"/>
      <c r="AL610" s="83"/>
      <c r="AM610" s="93"/>
      <c r="AN610" s="93"/>
      <c r="AO610" s="83"/>
      <c r="AP610" s="83"/>
      <c r="AQ610" s="93"/>
      <c r="AR610" s="93"/>
      <c r="AS610" s="83"/>
      <c r="AT610" s="83"/>
      <c r="AU610" s="93"/>
      <c r="AV610" s="93"/>
      <c r="AW610" s="83"/>
      <c r="AX610" s="83"/>
      <c r="AY610" s="93"/>
      <c r="AZ610" s="93"/>
    </row>
    <row r="611" spans="1:52" x14ac:dyDescent="0.45">
      <c r="A611" s="61">
        <v>40</v>
      </c>
      <c r="B611" s="1370"/>
      <c r="C611" s="91" t="s">
        <v>880</v>
      </c>
      <c r="D611" s="115"/>
      <c r="E611" s="116" t="s">
        <v>834</v>
      </c>
      <c r="F611" s="296">
        <f t="shared" si="162"/>
        <v>0</v>
      </c>
      <c r="G611" s="296">
        <f t="shared" si="162"/>
        <v>0</v>
      </c>
      <c r="H611" s="30">
        <f t="shared" si="162"/>
        <v>3</v>
      </c>
      <c r="I611" s="30"/>
      <c r="J611" s="30"/>
      <c r="K611" s="30">
        <v>3</v>
      </c>
      <c r="L611" s="30"/>
      <c r="M611" s="30"/>
      <c r="N611" s="30">
        <v>3</v>
      </c>
      <c r="O611" s="30"/>
      <c r="P611" s="30"/>
      <c r="Q611" s="30">
        <v>3</v>
      </c>
      <c r="R611" s="30"/>
      <c r="S611" s="30"/>
      <c r="T611" s="30">
        <v>3</v>
      </c>
      <c r="U611" s="30"/>
      <c r="V611" s="30"/>
      <c r="W611" s="30">
        <v>3</v>
      </c>
      <c r="AA611" s="93"/>
      <c r="AB611" s="93"/>
      <c r="AC611" s="83"/>
      <c r="AD611" s="83"/>
      <c r="AE611" s="93"/>
      <c r="AF611" s="93"/>
      <c r="AG611" s="83"/>
      <c r="AH611" s="83"/>
      <c r="AI611" s="93"/>
      <c r="AJ611" s="93"/>
      <c r="AK611" s="83"/>
      <c r="AL611" s="83"/>
      <c r="AM611" s="93"/>
      <c r="AN611" s="93"/>
      <c r="AO611" s="83"/>
      <c r="AP611" s="83"/>
      <c r="AQ611" s="93"/>
      <c r="AR611" s="93"/>
      <c r="AS611" s="83"/>
      <c r="AT611" s="83"/>
      <c r="AU611" s="93"/>
      <c r="AV611" s="93"/>
      <c r="AW611" s="83"/>
      <c r="AX611" s="83"/>
      <c r="AY611" s="93"/>
      <c r="AZ611" s="93"/>
    </row>
    <row r="612" spans="1:52" x14ac:dyDescent="0.45">
      <c r="A612" s="61">
        <v>41</v>
      </c>
      <c r="B612" s="1370"/>
      <c r="C612" s="91" t="s">
        <v>881</v>
      </c>
      <c r="D612" s="115"/>
      <c r="E612" s="116" t="s">
        <v>837</v>
      </c>
      <c r="F612" s="296">
        <f t="shared" si="162"/>
        <v>0</v>
      </c>
      <c r="G612" s="296">
        <f t="shared" si="162"/>
        <v>0</v>
      </c>
      <c r="H612" s="30">
        <f t="shared" si="162"/>
        <v>4</v>
      </c>
      <c r="I612" s="30"/>
      <c r="J612" s="30"/>
      <c r="K612" s="30">
        <v>4</v>
      </c>
      <c r="L612" s="30"/>
      <c r="M612" s="30"/>
      <c r="N612" s="30">
        <v>4</v>
      </c>
      <c r="O612" s="30"/>
      <c r="P612" s="30"/>
      <c r="Q612" s="30">
        <v>4</v>
      </c>
      <c r="R612" s="30"/>
      <c r="S612" s="30"/>
      <c r="T612" s="30">
        <v>4</v>
      </c>
      <c r="U612" s="30"/>
      <c r="V612" s="30"/>
      <c r="W612" s="30">
        <v>4</v>
      </c>
      <c r="AA612" s="93"/>
      <c r="AB612" s="93"/>
      <c r="AC612" s="83"/>
      <c r="AD612" s="83"/>
      <c r="AE612" s="93"/>
      <c r="AF612" s="93"/>
      <c r="AG612" s="83"/>
      <c r="AH612" s="83"/>
      <c r="AI612" s="93"/>
      <c r="AJ612" s="93"/>
      <c r="AK612" s="83"/>
      <c r="AL612" s="83"/>
      <c r="AM612" s="93"/>
      <c r="AN612" s="93"/>
      <c r="AO612" s="83"/>
      <c r="AP612" s="83"/>
      <c r="AQ612" s="93"/>
      <c r="AR612" s="93"/>
      <c r="AS612" s="83"/>
      <c r="AT612" s="83"/>
      <c r="AU612" s="93"/>
      <c r="AV612" s="93"/>
      <c r="AW612" s="83"/>
      <c r="AX612" s="83"/>
      <c r="AY612" s="93"/>
      <c r="AZ612" s="93"/>
    </row>
    <row r="613" spans="1:52" x14ac:dyDescent="0.45">
      <c r="A613" s="61">
        <v>42</v>
      </c>
      <c r="B613" s="1371"/>
      <c r="C613" s="91" t="s">
        <v>882</v>
      </c>
      <c r="D613" s="115"/>
      <c r="E613" s="116" t="s">
        <v>840</v>
      </c>
      <c r="F613" s="296">
        <f t="shared" si="162"/>
        <v>0</v>
      </c>
      <c r="G613" s="296">
        <f t="shared" si="162"/>
        <v>0</v>
      </c>
      <c r="H613" s="30">
        <f t="shared" si="162"/>
        <v>4</v>
      </c>
      <c r="I613" s="30"/>
      <c r="J613" s="30"/>
      <c r="K613" s="30">
        <v>4</v>
      </c>
      <c r="L613" s="30"/>
      <c r="M613" s="30"/>
      <c r="N613" s="30">
        <v>4</v>
      </c>
      <c r="O613" s="30"/>
      <c r="P613" s="30"/>
      <c r="Q613" s="30">
        <v>4</v>
      </c>
      <c r="R613" s="30"/>
      <c r="S613" s="30"/>
      <c r="T613" s="30">
        <v>4</v>
      </c>
      <c r="U613" s="30"/>
      <c r="V613" s="30"/>
      <c r="W613" s="30">
        <v>4</v>
      </c>
      <c r="AA613" s="93"/>
      <c r="AB613" s="93"/>
      <c r="AC613" s="83"/>
      <c r="AD613" s="83"/>
      <c r="AE613" s="93"/>
      <c r="AF613" s="93"/>
      <c r="AG613" s="83"/>
      <c r="AH613" s="83"/>
      <c r="AI613" s="93"/>
      <c r="AJ613" s="93"/>
      <c r="AK613" s="83"/>
      <c r="AL613" s="83"/>
      <c r="AM613" s="93"/>
      <c r="AN613" s="93"/>
      <c r="AO613" s="83"/>
      <c r="AP613" s="83"/>
      <c r="AQ613" s="93"/>
      <c r="AR613" s="93"/>
      <c r="AS613" s="83"/>
      <c r="AT613" s="83"/>
      <c r="AU613" s="93"/>
      <c r="AV613" s="93"/>
      <c r="AW613" s="83"/>
      <c r="AX613" s="83"/>
      <c r="AY613" s="93"/>
      <c r="AZ613" s="93"/>
    </row>
    <row r="614" spans="1:52" x14ac:dyDescent="0.45">
      <c r="B614" s="268"/>
      <c r="C614" s="91"/>
      <c r="D614" s="91"/>
      <c r="E614" s="14"/>
      <c r="F614" s="89"/>
      <c r="G614" s="89"/>
      <c r="H614" s="23"/>
      <c r="I614" s="116"/>
      <c r="J614" s="116"/>
      <c r="K614" s="277"/>
      <c r="L614" s="116"/>
      <c r="M614" s="92"/>
      <c r="N614" s="31"/>
      <c r="O614" s="92"/>
      <c r="P614" s="92"/>
      <c r="Q614" s="31"/>
      <c r="R614" s="92"/>
      <c r="S614" s="92"/>
      <c r="T614" s="31"/>
      <c r="U614" s="92"/>
      <c r="V614" s="92"/>
      <c r="W614" s="31"/>
      <c r="AA614" s="93"/>
      <c r="AB614" s="93"/>
      <c r="AC614" s="83"/>
      <c r="AD614" s="83"/>
      <c r="AE614" s="93"/>
      <c r="AF614" s="93"/>
      <c r="AG614" s="83"/>
      <c r="AH614" s="83"/>
      <c r="AI614" s="93"/>
      <c r="AJ614" s="93"/>
      <c r="AK614" s="83"/>
      <c r="AL614" s="83"/>
      <c r="AM614" s="93"/>
      <c r="AN614" s="93"/>
      <c r="AO614" s="83"/>
      <c r="AP614" s="83"/>
      <c r="AQ614" s="93"/>
      <c r="AR614" s="93"/>
      <c r="AS614" s="83"/>
      <c r="AT614" s="83"/>
      <c r="AU614" s="93"/>
      <c r="AV614" s="93"/>
      <c r="AW614" s="83"/>
      <c r="AX614" s="83"/>
      <c r="AY614" s="93"/>
      <c r="AZ614" s="93"/>
    </row>
    <row r="615" spans="1:52" x14ac:dyDescent="0.45">
      <c r="B615" s="268"/>
      <c r="C615" s="13"/>
      <c r="D615" s="13"/>
      <c r="E615" s="12"/>
      <c r="F615" s="89"/>
      <c r="G615" s="89"/>
      <c r="H615" s="23"/>
      <c r="I615" s="14"/>
      <c r="J615" s="14"/>
      <c r="K615" s="277"/>
      <c r="L615" s="116"/>
      <c r="M615" s="92"/>
      <c r="N615" s="31"/>
      <c r="O615" s="92"/>
      <c r="P615" s="92"/>
      <c r="Q615" s="31"/>
      <c r="R615" s="92"/>
      <c r="S615" s="92"/>
      <c r="T615" s="31"/>
      <c r="U615" s="92"/>
      <c r="V615" s="92"/>
      <c r="W615" s="31"/>
      <c r="AA615" s="93"/>
      <c r="AB615" s="93"/>
      <c r="AC615" s="83"/>
      <c r="AD615" s="83"/>
      <c r="AE615" s="93"/>
      <c r="AF615" s="93"/>
      <c r="AG615" s="83"/>
      <c r="AH615" s="83"/>
      <c r="AI615" s="93"/>
      <c r="AJ615" s="93"/>
      <c r="AK615" s="83"/>
      <c r="AL615" s="83"/>
      <c r="AM615" s="93"/>
      <c r="AN615" s="93"/>
      <c r="AO615" s="83"/>
      <c r="AP615" s="83"/>
      <c r="AQ615" s="93"/>
      <c r="AR615" s="93"/>
      <c r="AS615" s="83"/>
      <c r="AT615" s="83"/>
      <c r="AU615" s="93"/>
      <c r="AV615" s="93"/>
      <c r="AW615" s="83"/>
      <c r="AX615" s="83"/>
      <c r="AY615" s="93"/>
      <c r="AZ615" s="93"/>
    </row>
    <row r="616" spans="1:52" outlineLevel="1" x14ac:dyDescent="0.45">
      <c r="B616" s="268"/>
      <c r="C616" s="13"/>
      <c r="D616" s="13"/>
      <c r="E616" s="14"/>
      <c r="F616" s="89"/>
      <c r="G616" s="89"/>
      <c r="H616" s="23"/>
      <c r="I616" s="14"/>
      <c r="J616" s="14"/>
      <c r="K616" s="277"/>
      <c r="L616" s="116"/>
      <c r="M616" s="92"/>
      <c r="N616" s="31"/>
      <c r="O616" s="92"/>
      <c r="P616" s="92"/>
      <c r="Q616" s="31"/>
      <c r="R616" s="92"/>
      <c r="S616" s="92"/>
      <c r="T616" s="31"/>
      <c r="U616" s="92"/>
      <c r="V616" s="92"/>
      <c r="W616" s="31"/>
      <c r="AA616" s="93"/>
      <c r="AB616" s="93"/>
      <c r="AC616" s="83"/>
      <c r="AD616" s="83"/>
      <c r="AE616" s="93"/>
      <c r="AF616" s="93"/>
      <c r="AG616" s="83"/>
      <c r="AH616" s="83"/>
      <c r="AI616" s="93"/>
      <c r="AJ616" s="93"/>
      <c r="AK616" s="83"/>
      <c r="AL616" s="83"/>
      <c r="AM616" s="93"/>
      <c r="AN616" s="93"/>
      <c r="AO616" s="83"/>
      <c r="AP616" s="83"/>
      <c r="AQ616" s="93"/>
      <c r="AR616" s="93"/>
      <c r="AS616" s="83"/>
      <c r="AT616" s="83"/>
      <c r="AU616" s="93"/>
      <c r="AV616" s="93"/>
      <c r="AW616" s="83"/>
      <c r="AX616" s="83"/>
      <c r="AY616" s="93"/>
      <c r="AZ616" s="93"/>
    </row>
    <row r="617" spans="1:52" outlineLevel="1" x14ac:dyDescent="0.45">
      <c r="C617" s="13"/>
      <c r="D617" s="13"/>
      <c r="E617" s="14"/>
      <c r="F617" s="106"/>
      <c r="G617" s="106"/>
      <c r="H617" s="107"/>
      <c r="I617" s="120"/>
      <c r="J617" s="106"/>
      <c r="K617" s="107"/>
      <c r="L617" s="123"/>
      <c r="M617" s="123"/>
      <c r="N617" s="124"/>
      <c r="O617" s="123"/>
      <c r="P617" s="123"/>
      <c r="Q617" s="124"/>
      <c r="R617" s="123"/>
      <c r="S617" s="123"/>
      <c r="T617" s="124"/>
      <c r="U617" s="123"/>
      <c r="V617" s="123"/>
      <c r="W617" s="124"/>
      <c r="AA617" s="93"/>
      <c r="AB617" s="93"/>
      <c r="AC617" s="83"/>
      <c r="AD617" s="83"/>
      <c r="AE617" s="93"/>
      <c r="AF617" s="93"/>
      <c r="AG617" s="83"/>
      <c r="AH617" s="83"/>
      <c r="AI617" s="93"/>
      <c r="AJ617" s="93"/>
      <c r="AK617" s="83"/>
      <c r="AL617" s="83"/>
      <c r="AM617" s="93"/>
      <c r="AN617" s="93"/>
      <c r="AO617" s="83"/>
      <c r="AP617" s="83"/>
      <c r="AQ617" s="93"/>
      <c r="AR617" s="93"/>
      <c r="AS617" s="83"/>
      <c r="AT617" s="83"/>
      <c r="AU617" s="93"/>
      <c r="AV617" s="93"/>
      <c r="AW617" s="83"/>
      <c r="AX617" s="83"/>
      <c r="AY617" s="93"/>
      <c r="AZ617" s="93"/>
    </row>
    <row r="618" spans="1:52" outlineLevel="1" x14ac:dyDescent="0.45">
      <c r="C618" s="13"/>
      <c r="D618" s="13"/>
      <c r="E618" s="14"/>
      <c r="F618" s="89"/>
      <c r="G618" s="89"/>
      <c r="H618" s="23"/>
      <c r="I618" s="14"/>
      <c r="J618" s="14"/>
      <c r="K618" s="277"/>
      <c r="L618" s="116"/>
      <c r="M618" s="116"/>
      <c r="N618" s="277"/>
      <c r="O618" s="116"/>
      <c r="P618" s="116"/>
      <c r="Q618" s="277"/>
      <c r="R618" s="116"/>
      <c r="S618" s="116"/>
      <c r="T618" s="277"/>
      <c r="U618" s="116"/>
      <c r="V618" s="116"/>
      <c r="W618" s="277"/>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row>
    <row r="619" spans="1:52" outlineLevel="1" x14ac:dyDescent="0.45">
      <c r="C619" s="13"/>
      <c r="D619" s="13"/>
      <c r="E619" s="116"/>
      <c r="F619" s="89"/>
      <c r="G619" s="89"/>
      <c r="H619" s="23"/>
      <c r="I619" s="14"/>
      <c r="J619" s="14"/>
      <c r="K619" s="277"/>
      <c r="L619" s="116"/>
      <c r="M619" s="116"/>
      <c r="N619" s="277"/>
      <c r="O619" s="116"/>
      <c r="P619" s="116"/>
      <c r="Q619" s="277"/>
      <c r="R619" s="116"/>
      <c r="S619" s="116"/>
      <c r="T619" s="277"/>
      <c r="U619" s="116"/>
      <c r="V619" s="116"/>
      <c r="W619" s="277"/>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row>
    <row r="620" spans="1:52" outlineLevel="1" x14ac:dyDescent="0.45">
      <c r="C620" s="13"/>
      <c r="D620" s="13"/>
      <c r="E620" s="116"/>
      <c r="F620" s="89"/>
      <c r="G620" s="89"/>
      <c r="H620" s="23"/>
      <c r="I620" s="14"/>
      <c r="J620" s="14"/>
      <c r="K620" s="277"/>
      <c r="L620" s="116"/>
      <c r="M620" s="116"/>
      <c r="N620" s="277"/>
      <c r="O620" s="116"/>
      <c r="P620" s="116"/>
      <c r="Q620" s="277"/>
      <c r="R620" s="116"/>
      <c r="S620" s="116"/>
      <c r="T620" s="277"/>
      <c r="U620" s="116"/>
      <c r="V620" s="116"/>
      <c r="W620" s="277"/>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row>
    <row r="621" spans="1:52" outlineLevel="1" x14ac:dyDescent="0.45">
      <c r="C621" s="13"/>
      <c r="D621" s="13"/>
      <c r="E621" s="116"/>
      <c r="F621" s="89"/>
      <c r="G621" s="89"/>
      <c r="H621" s="23"/>
      <c r="I621" s="14"/>
      <c r="J621" s="14"/>
      <c r="K621" s="277"/>
      <c r="L621" s="116"/>
      <c r="M621" s="116"/>
      <c r="N621" s="277"/>
      <c r="O621" s="116"/>
      <c r="P621" s="116"/>
      <c r="Q621" s="277"/>
      <c r="R621" s="116"/>
      <c r="S621" s="116"/>
      <c r="T621" s="277"/>
      <c r="U621" s="116"/>
      <c r="V621" s="116"/>
      <c r="W621" s="277"/>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c r="AY621" s="14"/>
      <c r="AZ621" s="14"/>
    </row>
    <row r="622" spans="1:52" outlineLevel="1" x14ac:dyDescent="0.45">
      <c r="C622" s="13"/>
      <c r="D622" s="13"/>
      <c r="E622" s="116"/>
      <c r="F622" s="89"/>
      <c r="G622" s="89"/>
      <c r="H622" s="23"/>
      <c r="I622" s="14"/>
      <c r="J622" s="14"/>
      <c r="K622" s="277"/>
      <c r="L622" s="116"/>
      <c r="M622" s="116"/>
      <c r="N622" s="277"/>
      <c r="O622" s="116"/>
      <c r="P622" s="116"/>
      <c r="Q622" s="277"/>
      <c r="R622" s="116"/>
      <c r="S622" s="116"/>
      <c r="T622" s="277"/>
      <c r="U622" s="116"/>
      <c r="V622" s="116"/>
      <c r="W622" s="277"/>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row>
    <row r="623" spans="1:52" outlineLevel="1" x14ac:dyDescent="0.45">
      <c r="C623" s="13"/>
      <c r="D623" s="13"/>
      <c r="E623" s="14"/>
      <c r="F623" s="89"/>
      <c r="G623" s="89"/>
      <c r="H623" s="23"/>
      <c r="I623" s="14"/>
      <c r="J623" s="14"/>
      <c r="K623" s="277"/>
      <c r="L623" s="116"/>
      <c r="M623" s="116"/>
      <c r="N623" s="277"/>
      <c r="O623" s="116"/>
      <c r="P623" s="116"/>
      <c r="Q623" s="277"/>
      <c r="R623" s="116"/>
      <c r="S623" s="116"/>
      <c r="T623" s="277"/>
      <c r="U623" s="116"/>
      <c r="V623" s="116"/>
      <c r="W623" s="277"/>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c r="AY623" s="14"/>
      <c r="AZ623" s="14"/>
    </row>
    <row r="624" spans="1:52" outlineLevel="1" x14ac:dyDescent="0.45">
      <c r="C624" s="13"/>
      <c r="D624" s="13"/>
      <c r="E624" s="14"/>
      <c r="F624" s="89"/>
      <c r="G624" s="89"/>
      <c r="H624" s="23"/>
      <c r="I624" s="14"/>
      <c r="J624" s="14"/>
      <c r="K624" s="277"/>
      <c r="L624" s="116"/>
      <c r="M624" s="116"/>
      <c r="N624" s="277"/>
      <c r="O624" s="116"/>
      <c r="P624" s="116"/>
      <c r="Q624" s="277"/>
      <c r="R624" s="116"/>
      <c r="S624" s="116"/>
      <c r="T624" s="277"/>
      <c r="U624" s="116"/>
      <c r="V624" s="116"/>
      <c r="W624" s="277"/>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c r="AY624" s="14"/>
      <c r="AZ624" s="14"/>
    </row>
    <row r="625" spans="2:52" outlineLevel="1" x14ac:dyDescent="0.45">
      <c r="C625" s="13"/>
      <c r="D625" s="13"/>
      <c r="E625" s="14"/>
      <c r="F625" s="89"/>
      <c r="G625" s="89"/>
      <c r="H625" s="23"/>
      <c r="I625" s="14"/>
      <c r="J625" s="14"/>
      <c r="K625" s="277"/>
      <c r="L625" s="116"/>
      <c r="M625" s="116"/>
      <c r="N625" s="277"/>
      <c r="O625" s="116"/>
      <c r="P625" s="116"/>
      <c r="Q625" s="277"/>
      <c r="R625" s="116"/>
      <c r="S625" s="116"/>
      <c r="T625" s="277"/>
      <c r="U625" s="116"/>
      <c r="V625" s="116"/>
      <c r="W625" s="277"/>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row>
    <row r="626" spans="2:52" outlineLevel="1" x14ac:dyDescent="0.45">
      <c r="C626" s="13"/>
      <c r="D626" s="13"/>
      <c r="E626" s="14"/>
      <c r="F626" s="89"/>
      <c r="G626" s="89"/>
      <c r="H626" s="23"/>
      <c r="I626" s="14"/>
      <c r="J626" s="14"/>
      <c r="K626" s="277"/>
      <c r="L626" s="116"/>
      <c r="M626" s="116"/>
      <c r="N626" s="277"/>
      <c r="O626" s="116"/>
      <c r="P626" s="116"/>
      <c r="Q626" s="277"/>
      <c r="R626" s="116"/>
      <c r="S626" s="116"/>
      <c r="T626" s="277"/>
      <c r="U626" s="116"/>
      <c r="V626" s="116"/>
      <c r="W626" s="277"/>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row>
    <row r="627" spans="2:52" outlineLevel="1" x14ac:dyDescent="0.45">
      <c r="C627" s="13"/>
      <c r="D627" s="13"/>
      <c r="E627" s="14"/>
      <c r="F627" s="106"/>
      <c r="G627" s="106"/>
      <c r="H627" s="107"/>
      <c r="I627" s="207"/>
      <c r="J627" s="89"/>
      <c r="K627" s="23"/>
      <c r="L627" s="92"/>
      <c r="M627" s="92"/>
      <c r="N627" s="31"/>
      <c r="O627" s="92"/>
      <c r="P627" s="92"/>
      <c r="Q627" s="31"/>
      <c r="R627" s="92"/>
      <c r="S627" s="92"/>
      <c r="T627" s="31"/>
      <c r="U627" s="92"/>
      <c r="V627" s="92"/>
      <c r="W627" s="31"/>
      <c r="AA627" s="93"/>
      <c r="AB627" s="93"/>
      <c r="AC627" s="83"/>
      <c r="AD627" s="83"/>
      <c r="AE627" s="93"/>
      <c r="AF627" s="93"/>
      <c r="AG627" s="83"/>
      <c r="AH627" s="83"/>
      <c r="AI627" s="93"/>
      <c r="AJ627" s="93"/>
      <c r="AK627" s="83"/>
      <c r="AL627" s="83"/>
      <c r="AM627" s="93"/>
      <c r="AN627" s="93"/>
      <c r="AO627" s="83"/>
      <c r="AP627" s="83"/>
      <c r="AQ627" s="93"/>
      <c r="AR627" s="93"/>
      <c r="AS627" s="83"/>
      <c r="AT627" s="83"/>
      <c r="AU627" s="93"/>
      <c r="AV627" s="93"/>
      <c r="AW627" s="83"/>
      <c r="AX627" s="83"/>
      <c r="AY627" s="93"/>
      <c r="AZ627" s="93"/>
    </row>
    <row r="628" spans="2:52" outlineLevel="1" x14ac:dyDescent="0.45">
      <c r="C628" s="13"/>
      <c r="D628" s="13"/>
      <c r="E628" s="14"/>
      <c r="F628" s="106"/>
      <c r="G628" s="106"/>
      <c r="H628" s="107"/>
      <c r="I628" s="207"/>
      <c r="J628" s="89"/>
      <c r="K628" s="23"/>
      <c r="L628" s="92"/>
      <c r="M628" s="92"/>
      <c r="N628" s="31"/>
      <c r="O628" s="92"/>
      <c r="P628" s="92"/>
      <c r="Q628" s="31"/>
      <c r="R628" s="92"/>
      <c r="S628" s="92"/>
      <c r="T628" s="31"/>
      <c r="U628" s="92"/>
      <c r="V628" s="92"/>
      <c r="W628" s="31"/>
      <c r="AA628" s="93"/>
      <c r="AB628" s="93"/>
      <c r="AC628" s="83"/>
      <c r="AD628" s="83"/>
      <c r="AE628" s="93"/>
      <c r="AF628" s="93"/>
      <c r="AG628" s="83"/>
      <c r="AH628" s="83"/>
      <c r="AI628" s="93"/>
      <c r="AJ628" s="93"/>
      <c r="AK628" s="83"/>
      <c r="AL628" s="83"/>
      <c r="AM628" s="93"/>
      <c r="AN628" s="93"/>
      <c r="AO628" s="83"/>
      <c r="AP628" s="83"/>
      <c r="AQ628" s="93"/>
      <c r="AR628" s="93"/>
      <c r="AS628" s="83"/>
      <c r="AT628" s="83"/>
      <c r="AU628" s="93"/>
      <c r="AV628" s="93"/>
      <c r="AW628" s="83"/>
      <c r="AX628" s="83"/>
      <c r="AY628" s="93"/>
      <c r="AZ628" s="93"/>
    </row>
    <row r="629" spans="2:52" outlineLevel="1" x14ac:dyDescent="0.45">
      <c r="C629" s="13"/>
      <c r="D629" s="13"/>
      <c r="E629" s="14"/>
      <c r="F629" s="106"/>
      <c r="G629" s="106"/>
      <c r="H629" s="107"/>
      <c r="I629" s="207"/>
      <c r="J629" s="89"/>
      <c r="K629" s="23"/>
      <c r="L629" s="92"/>
      <c r="M629" s="92"/>
      <c r="N629" s="31"/>
      <c r="O629" s="92"/>
      <c r="P629" s="92"/>
      <c r="Q629" s="31"/>
      <c r="R629" s="92"/>
      <c r="S629" s="92"/>
      <c r="T629" s="31"/>
      <c r="U629" s="92"/>
      <c r="V629" s="92"/>
      <c r="W629" s="31"/>
      <c r="AA629" s="93"/>
      <c r="AB629" s="93"/>
      <c r="AC629" s="83"/>
      <c r="AD629" s="83"/>
      <c r="AE629" s="93"/>
      <c r="AF629" s="93"/>
      <c r="AG629" s="83"/>
      <c r="AH629" s="83"/>
      <c r="AI629" s="93"/>
      <c r="AJ629" s="93"/>
      <c r="AK629" s="83"/>
      <c r="AL629" s="83"/>
      <c r="AM629" s="93"/>
      <c r="AN629" s="93"/>
      <c r="AO629" s="83"/>
      <c r="AP629" s="83"/>
      <c r="AQ629" s="93"/>
      <c r="AR629" s="93"/>
      <c r="AS629" s="83"/>
      <c r="AT629" s="83"/>
      <c r="AU629" s="93"/>
      <c r="AV629" s="93"/>
      <c r="AW629" s="83"/>
      <c r="AX629" s="83"/>
      <c r="AY629" s="93"/>
      <c r="AZ629" s="93"/>
    </row>
    <row r="630" spans="2:52" outlineLevel="1" x14ac:dyDescent="0.45">
      <c r="C630" s="13"/>
      <c r="D630" s="13"/>
      <c r="E630" s="14"/>
      <c r="F630" s="106"/>
      <c r="G630" s="106"/>
      <c r="H630" s="107"/>
      <c r="I630" s="207"/>
      <c r="J630" s="89"/>
      <c r="K630" s="23"/>
      <c r="L630" s="92"/>
      <c r="M630" s="92"/>
      <c r="N630" s="31"/>
      <c r="O630" s="92"/>
      <c r="P630" s="92"/>
      <c r="Q630" s="31"/>
      <c r="R630" s="92"/>
      <c r="S630" s="92"/>
      <c r="T630" s="31"/>
      <c r="U630" s="92"/>
      <c r="V630" s="92"/>
      <c r="W630" s="31"/>
      <c r="AA630" s="93"/>
      <c r="AB630" s="93"/>
      <c r="AC630" s="83"/>
      <c r="AD630" s="83"/>
      <c r="AE630" s="93"/>
      <c r="AF630" s="93"/>
      <c r="AG630" s="83"/>
      <c r="AH630" s="83"/>
      <c r="AI630" s="93"/>
      <c r="AJ630" s="93"/>
      <c r="AK630" s="83"/>
      <c r="AL630" s="83"/>
      <c r="AM630" s="93"/>
      <c r="AN630" s="93"/>
      <c r="AO630" s="83"/>
      <c r="AP630" s="83"/>
      <c r="AQ630" s="93"/>
      <c r="AR630" s="93"/>
      <c r="AS630" s="83"/>
      <c r="AT630" s="83"/>
      <c r="AU630" s="93"/>
      <c r="AV630" s="93"/>
      <c r="AW630" s="83"/>
      <c r="AX630" s="83"/>
      <c r="AY630" s="93"/>
      <c r="AZ630" s="93"/>
    </row>
    <row r="631" spans="2:52" outlineLevel="1" x14ac:dyDescent="0.45">
      <c r="C631" s="13"/>
      <c r="D631" s="13"/>
      <c r="E631" s="14"/>
      <c r="F631" s="14"/>
      <c r="G631" s="14"/>
      <c r="H631" s="14"/>
      <c r="I631" s="207"/>
      <c r="J631" s="89"/>
      <c r="K631" s="23"/>
      <c r="L631" s="92"/>
      <c r="M631" s="92"/>
      <c r="N631" s="31"/>
      <c r="O631" s="92"/>
      <c r="P631" s="92"/>
      <c r="Q631" s="31"/>
      <c r="R631" s="92"/>
      <c r="S631" s="92"/>
      <c r="T631" s="31"/>
      <c r="U631" s="92"/>
      <c r="V631" s="92"/>
      <c r="W631" s="31"/>
      <c r="X631" s="106"/>
      <c r="Y631" s="106"/>
      <c r="Z631" s="107"/>
      <c r="AA631" s="93"/>
      <c r="AB631" s="93"/>
      <c r="AC631" s="83"/>
      <c r="AD631" s="83"/>
      <c r="AE631" s="93"/>
      <c r="AF631" s="93"/>
      <c r="AG631" s="83"/>
      <c r="AH631" s="83"/>
      <c r="AI631" s="93"/>
      <c r="AJ631" s="93"/>
      <c r="AK631" s="83"/>
      <c r="AL631" s="83"/>
      <c r="AM631" s="93"/>
      <c r="AN631" s="93"/>
      <c r="AO631" s="83"/>
      <c r="AP631" s="83"/>
      <c r="AQ631" s="93"/>
      <c r="AR631" s="93"/>
      <c r="AS631" s="83"/>
      <c r="AT631" s="83"/>
      <c r="AU631" s="93"/>
      <c r="AV631" s="93"/>
      <c r="AW631" s="83"/>
      <c r="AX631" s="83"/>
      <c r="AY631" s="93"/>
      <c r="AZ631" s="93"/>
    </row>
    <row r="632" spans="2:52" outlineLevel="1" x14ac:dyDescent="0.45">
      <c r="C632" s="13"/>
      <c r="D632" s="13"/>
      <c r="E632" s="14"/>
      <c r="F632" s="14"/>
      <c r="G632" s="14"/>
      <c r="H632" s="14"/>
      <c r="I632" s="207"/>
      <c r="J632" s="89"/>
      <c r="K632" s="23"/>
      <c r="L632" s="90"/>
      <c r="M632" s="92"/>
      <c r="N632" s="31"/>
      <c r="O632" s="90"/>
      <c r="P632" s="92"/>
      <c r="Q632" s="31"/>
      <c r="R632" s="90"/>
      <c r="S632" s="92"/>
      <c r="T632" s="31"/>
      <c r="U632" s="90"/>
      <c r="V632" s="92"/>
      <c r="W632" s="31"/>
      <c r="X632" s="120"/>
      <c r="Y632" s="106"/>
      <c r="Z632" s="107"/>
      <c r="AA632" s="93"/>
      <c r="AB632" s="93"/>
      <c r="AC632" s="83"/>
      <c r="AD632" s="83"/>
      <c r="AE632" s="93"/>
      <c r="AF632" s="93"/>
      <c r="AG632" s="83"/>
      <c r="AH632" s="83"/>
      <c r="AI632" s="93"/>
      <c r="AJ632" s="93"/>
      <c r="AK632" s="83"/>
      <c r="AL632" s="83"/>
      <c r="AM632" s="93"/>
      <c r="AN632" s="93"/>
      <c r="AO632" s="83"/>
      <c r="AP632" s="83"/>
      <c r="AQ632" s="93"/>
      <c r="AR632" s="93"/>
      <c r="AS632" s="83"/>
      <c r="AT632" s="83"/>
      <c r="AU632" s="93"/>
      <c r="AV632" s="93"/>
      <c r="AW632" s="83"/>
      <c r="AX632" s="83"/>
      <c r="AY632" s="93"/>
      <c r="AZ632" s="93"/>
    </row>
    <row r="633" spans="2:52" outlineLevel="1" x14ac:dyDescent="0.45">
      <c r="C633" s="13"/>
      <c r="D633" s="13"/>
      <c r="E633" s="14"/>
      <c r="F633" s="14"/>
      <c r="G633" s="14"/>
      <c r="H633" s="14"/>
      <c r="I633" s="207"/>
      <c r="J633" s="89"/>
      <c r="K633" s="23"/>
      <c r="L633" s="90"/>
      <c r="M633" s="92"/>
      <c r="N633" s="31"/>
      <c r="O633" s="90"/>
      <c r="P633" s="92"/>
      <c r="Q633" s="31"/>
      <c r="R633" s="90"/>
      <c r="S633" s="92"/>
      <c r="T633" s="31"/>
      <c r="U633" s="90"/>
      <c r="V633" s="92"/>
      <c r="W633" s="31"/>
      <c r="X633" s="120"/>
      <c r="Y633" s="106"/>
      <c r="Z633" s="107"/>
      <c r="AA633" s="93"/>
      <c r="AB633" s="93"/>
      <c r="AC633" s="83"/>
      <c r="AD633" s="83"/>
      <c r="AE633" s="93"/>
      <c r="AF633" s="93"/>
      <c r="AG633" s="83"/>
      <c r="AH633" s="83"/>
      <c r="AI633" s="93"/>
      <c r="AJ633" s="93"/>
      <c r="AK633" s="83"/>
      <c r="AL633" s="83"/>
      <c r="AM633" s="93"/>
      <c r="AN633" s="93"/>
      <c r="AO633" s="83"/>
      <c r="AP633" s="83"/>
      <c r="AQ633" s="93"/>
      <c r="AR633" s="93"/>
      <c r="AS633" s="83"/>
      <c r="AT633" s="83"/>
      <c r="AU633" s="93"/>
      <c r="AV633" s="93"/>
      <c r="AW633" s="83"/>
      <c r="AX633" s="83"/>
      <c r="AY633" s="93"/>
      <c r="AZ633" s="93"/>
    </row>
    <row r="634" spans="2:52" outlineLevel="1" x14ac:dyDescent="0.45">
      <c r="C634" s="13"/>
      <c r="D634" s="13"/>
      <c r="E634" s="297"/>
      <c r="F634" s="285"/>
      <c r="G634" s="285"/>
      <c r="H634" s="285"/>
      <c r="I634" s="207"/>
      <c r="J634" s="89"/>
      <c r="K634" s="23"/>
      <c r="L634" s="90"/>
      <c r="M634" s="92"/>
      <c r="N634" s="31"/>
      <c r="O634" s="90"/>
      <c r="P634" s="92"/>
      <c r="Q634" s="31"/>
      <c r="R634" s="90"/>
      <c r="S634" s="92"/>
      <c r="T634" s="31"/>
      <c r="U634" s="90"/>
      <c r="V634" s="92"/>
      <c r="W634" s="31"/>
      <c r="X634" s="120"/>
      <c r="Y634" s="106"/>
      <c r="Z634" s="107"/>
      <c r="AA634" s="93"/>
      <c r="AB634" s="93"/>
      <c r="AC634" s="83"/>
      <c r="AD634" s="83"/>
      <c r="AE634" s="93"/>
      <c r="AF634" s="93"/>
      <c r="AG634" s="83"/>
      <c r="AH634" s="83"/>
      <c r="AI634" s="93"/>
      <c r="AJ634" s="93"/>
      <c r="AK634" s="83"/>
      <c r="AL634" s="83"/>
      <c r="AM634" s="93"/>
      <c r="AN634" s="93"/>
      <c r="AO634" s="83"/>
      <c r="AP634" s="83"/>
      <c r="AQ634" s="93"/>
      <c r="AR634" s="93"/>
      <c r="AS634" s="83"/>
      <c r="AT634" s="83"/>
      <c r="AU634" s="93"/>
      <c r="AV634" s="93"/>
      <c r="AW634" s="83"/>
      <c r="AX634" s="83"/>
      <c r="AY634" s="93"/>
      <c r="AZ634" s="93"/>
    </row>
    <row r="635" spans="2:52" outlineLevel="1" x14ac:dyDescent="0.45">
      <c r="B635" s="298"/>
      <c r="C635" s="299"/>
      <c r="D635" s="299"/>
      <c r="E635" s="300" t="s">
        <v>883</v>
      </c>
      <c r="F635" s="301"/>
      <c r="G635" s="301"/>
      <c r="H635" s="301"/>
      <c r="I635" s="207"/>
      <c r="J635" s="89"/>
      <c r="K635" s="23"/>
      <c r="L635" s="90"/>
      <c r="M635" s="92"/>
      <c r="N635" s="31"/>
      <c r="O635" s="90"/>
      <c r="P635" s="92"/>
      <c r="Q635" s="31"/>
      <c r="R635" s="90"/>
      <c r="S635" s="92"/>
      <c r="T635" s="31"/>
      <c r="U635" s="90"/>
      <c r="V635" s="92"/>
      <c r="W635" s="31"/>
      <c r="X635" s="120"/>
      <c r="Y635" s="106"/>
      <c r="Z635" s="107"/>
      <c r="AA635" s="93"/>
      <c r="AB635" s="93"/>
      <c r="AC635" s="83"/>
      <c r="AD635" s="83"/>
      <c r="AE635" s="93"/>
      <c r="AF635" s="93"/>
      <c r="AG635" s="83"/>
      <c r="AH635" s="83"/>
      <c r="AI635" s="93"/>
      <c r="AJ635" s="93"/>
      <c r="AK635" s="83"/>
      <c r="AL635" s="83"/>
      <c r="AM635" s="93"/>
      <c r="AN635" s="93"/>
      <c r="AO635" s="83"/>
      <c r="AP635" s="83"/>
      <c r="AQ635" s="93"/>
      <c r="AR635" s="93"/>
      <c r="AS635" s="83"/>
      <c r="AT635" s="83"/>
      <c r="AU635" s="93"/>
      <c r="AV635" s="93"/>
      <c r="AW635" s="83"/>
      <c r="AX635" s="83"/>
      <c r="AY635" s="93"/>
      <c r="AZ635" s="93"/>
    </row>
    <row r="636" spans="2:52" outlineLevel="1" x14ac:dyDescent="0.45">
      <c r="B636" s="298"/>
      <c r="C636" s="302" t="s">
        <v>148</v>
      </c>
      <c r="D636" s="302"/>
      <c r="E636" s="297" t="s">
        <v>151</v>
      </c>
      <c r="F636" s="285"/>
      <c r="G636" s="285"/>
      <c r="H636" s="285"/>
      <c r="I636" s="207"/>
      <c r="J636" s="89"/>
      <c r="K636" s="23"/>
      <c r="L636" s="90"/>
      <c r="M636" s="92"/>
      <c r="N636" s="31"/>
      <c r="O636" s="90"/>
      <c r="P636" s="92"/>
      <c r="Q636" s="31"/>
      <c r="R636" s="90"/>
      <c r="S636" s="92"/>
      <c r="T636" s="31"/>
      <c r="U636" s="90"/>
      <c r="V636" s="92"/>
      <c r="W636" s="31"/>
      <c r="X636" s="120"/>
      <c r="Y636" s="106"/>
      <c r="Z636" s="107"/>
      <c r="AA636" s="93"/>
      <c r="AB636" s="93"/>
      <c r="AC636" s="83"/>
      <c r="AD636" s="83"/>
      <c r="AE636" s="93"/>
      <c r="AF636" s="93"/>
      <c r="AG636" s="83"/>
      <c r="AH636" s="83"/>
      <c r="AI636" s="93"/>
      <c r="AJ636" s="93"/>
      <c r="AK636" s="83"/>
      <c r="AL636" s="83"/>
      <c r="AM636" s="93"/>
      <c r="AN636" s="93"/>
      <c r="AO636" s="83"/>
      <c r="AP636" s="83"/>
      <c r="AQ636" s="93"/>
      <c r="AR636" s="93"/>
      <c r="AS636" s="83"/>
      <c r="AT636" s="83"/>
      <c r="AU636" s="93"/>
      <c r="AV636" s="93"/>
      <c r="AW636" s="83"/>
      <c r="AX636" s="83"/>
      <c r="AY636" s="93"/>
      <c r="AZ636" s="93"/>
    </row>
    <row r="637" spans="2:52" outlineLevel="1" x14ac:dyDescent="0.45">
      <c r="B637" s="298"/>
      <c r="C637" s="299">
        <v>1</v>
      </c>
      <c r="D637" s="299"/>
      <c r="E637" s="297" t="s">
        <v>884</v>
      </c>
      <c r="F637" s="285"/>
      <c r="G637" s="285"/>
      <c r="H637" s="285"/>
      <c r="I637" s="207"/>
      <c r="J637" s="89"/>
      <c r="K637" s="23"/>
      <c r="L637" s="90"/>
      <c r="M637" s="92"/>
      <c r="N637" s="31"/>
      <c r="O637" s="90"/>
      <c r="P637" s="92"/>
      <c r="Q637" s="31"/>
      <c r="R637" s="90"/>
      <c r="S637" s="92"/>
      <c r="T637" s="31"/>
      <c r="U637" s="90"/>
      <c r="V637" s="92"/>
      <c r="W637" s="31"/>
      <c r="X637" s="120"/>
      <c r="Y637" s="106"/>
      <c r="Z637" s="107"/>
      <c r="AA637" s="93"/>
      <c r="AB637" s="93"/>
      <c r="AC637" s="83"/>
      <c r="AD637" s="83"/>
      <c r="AE637" s="93"/>
      <c r="AF637" s="93"/>
      <c r="AG637" s="83"/>
      <c r="AH637" s="83"/>
      <c r="AI637" s="93"/>
      <c r="AJ637" s="93"/>
      <c r="AK637" s="83"/>
      <c r="AL637" s="83"/>
      <c r="AM637" s="93"/>
      <c r="AN637" s="93"/>
      <c r="AO637" s="83"/>
      <c r="AP637" s="83"/>
      <c r="AQ637" s="93"/>
      <c r="AR637" s="93"/>
      <c r="AS637" s="83"/>
      <c r="AT637" s="83"/>
      <c r="AU637" s="93"/>
      <c r="AV637" s="93"/>
      <c r="AW637" s="83"/>
      <c r="AX637" s="83"/>
      <c r="AY637" s="93"/>
      <c r="AZ637" s="93"/>
    </row>
    <row r="638" spans="2:52" outlineLevel="1" x14ac:dyDescent="0.45">
      <c r="B638" s="298"/>
      <c r="C638" s="299" t="s">
        <v>885</v>
      </c>
      <c r="D638" s="299"/>
      <c r="E638" s="297" t="s">
        <v>886</v>
      </c>
      <c r="F638" s="285"/>
      <c r="G638" s="285"/>
      <c r="H638" s="285"/>
      <c r="I638" s="207"/>
      <c r="J638" s="89"/>
      <c r="K638" s="23"/>
      <c r="L638" s="90"/>
      <c r="M638" s="92"/>
      <c r="N638" s="31"/>
      <c r="O638" s="90"/>
      <c r="P638" s="92"/>
      <c r="Q638" s="31"/>
      <c r="R638" s="90"/>
      <c r="S638" s="92"/>
      <c r="T638" s="31"/>
      <c r="U638" s="90"/>
      <c r="V638" s="92"/>
      <c r="W638" s="31"/>
      <c r="X638" s="120"/>
      <c r="Y638" s="106"/>
      <c r="Z638" s="107"/>
      <c r="AA638" s="93"/>
      <c r="AB638" s="93"/>
      <c r="AC638" s="83"/>
      <c r="AD638" s="83"/>
      <c r="AE638" s="93"/>
      <c r="AF638" s="93"/>
      <c r="AG638" s="83"/>
      <c r="AH638" s="83"/>
      <c r="AI638" s="93"/>
      <c r="AJ638" s="93"/>
      <c r="AK638" s="83"/>
      <c r="AL638" s="83"/>
      <c r="AM638" s="93"/>
      <c r="AN638" s="93"/>
      <c r="AO638" s="83"/>
      <c r="AP638" s="83"/>
      <c r="AQ638" s="93"/>
      <c r="AR638" s="93"/>
      <c r="AS638" s="83"/>
      <c r="AT638" s="83"/>
      <c r="AU638" s="93"/>
      <c r="AV638" s="93"/>
      <c r="AW638" s="83"/>
      <c r="AX638" s="83"/>
      <c r="AY638" s="93"/>
      <c r="AZ638" s="93"/>
    </row>
    <row r="639" spans="2:52" outlineLevel="1" x14ac:dyDescent="0.45">
      <c r="B639" s="298"/>
      <c r="C639" s="299" t="s">
        <v>90</v>
      </c>
      <c r="D639" s="299"/>
      <c r="E639" s="297" t="s">
        <v>188</v>
      </c>
      <c r="F639" s="285"/>
      <c r="G639" s="285"/>
      <c r="H639" s="285"/>
      <c r="I639" s="207"/>
      <c r="J639" s="89"/>
      <c r="K639" s="23"/>
      <c r="L639" s="90"/>
      <c r="M639" s="92"/>
      <c r="N639" s="31"/>
      <c r="O639" s="90"/>
      <c r="P639" s="92"/>
      <c r="Q639" s="31"/>
      <c r="R639" s="90"/>
      <c r="S639" s="92"/>
      <c r="T639" s="31"/>
      <c r="U639" s="90"/>
      <c r="V639" s="92"/>
      <c r="W639" s="31"/>
      <c r="X639" s="120"/>
      <c r="Y639" s="106"/>
      <c r="Z639" s="107"/>
      <c r="AA639" s="93"/>
      <c r="AB639" s="93"/>
      <c r="AC639" s="83"/>
      <c r="AD639" s="83"/>
      <c r="AE639" s="93"/>
      <c r="AF639" s="93"/>
      <c r="AG639" s="83"/>
      <c r="AH639" s="83"/>
      <c r="AI639" s="93"/>
      <c r="AJ639" s="93"/>
      <c r="AK639" s="83"/>
      <c r="AL639" s="83"/>
      <c r="AM639" s="93"/>
      <c r="AN639" s="93"/>
      <c r="AO639" s="83"/>
      <c r="AP639" s="83"/>
      <c r="AQ639" s="93"/>
      <c r="AR639" s="93"/>
      <c r="AS639" s="83"/>
      <c r="AT639" s="83"/>
      <c r="AU639" s="93"/>
      <c r="AV639" s="93"/>
      <c r="AW639" s="83"/>
      <c r="AX639" s="83"/>
      <c r="AY639" s="93"/>
      <c r="AZ639" s="93"/>
    </row>
    <row r="640" spans="2:52" outlineLevel="1" x14ac:dyDescent="0.45">
      <c r="B640" s="298"/>
      <c r="C640" s="299" t="s">
        <v>887</v>
      </c>
      <c r="D640" s="299"/>
      <c r="E640" s="297" t="s">
        <v>192</v>
      </c>
      <c r="F640" s="285"/>
      <c r="G640" s="285"/>
      <c r="H640" s="285"/>
      <c r="I640" s="207"/>
      <c r="J640" s="89"/>
      <c r="K640" s="23"/>
      <c r="L640" s="90"/>
      <c r="M640" s="92"/>
      <c r="N640" s="31"/>
      <c r="O640" s="90"/>
      <c r="P640" s="92"/>
      <c r="Q640" s="31"/>
      <c r="R640" s="90"/>
      <c r="S640" s="92"/>
      <c r="T640" s="31"/>
      <c r="U640" s="90"/>
      <c r="V640" s="92"/>
      <c r="W640" s="31"/>
      <c r="X640" s="120"/>
      <c r="Y640" s="106"/>
      <c r="Z640" s="107"/>
      <c r="AA640" s="93"/>
      <c r="AB640" s="93"/>
      <c r="AC640" s="83"/>
      <c r="AD640" s="83"/>
      <c r="AE640" s="93"/>
      <c r="AF640" s="93"/>
      <c r="AG640" s="83"/>
      <c r="AH640" s="83"/>
      <c r="AI640" s="93"/>
      <c r="AJ640" s="93"/>
      <c r="AK640" s="83"/>
      <c r="AL640" s="83"/>
      <c r="AM640" s="93"/>
      <c r="AN640" s="93"/>
      <c r="AO640" s="83"/>
      <c r="AP640" s="83"/>
      <c r="AQ640" s="93"/>
      <c r="AR640" s="93"/>
      <c r="AS640" s="83"/>
      <c r="AT640" s="83"/>
      <c r="AU640" s="93"/>
      <c r="AV640" s="93"/>
      <c r="AW640" s="83"/>
      <c r="AX640" s="83"/>
      <c r="AY640" s="93"/>
      <c r="AZ640" s="93"/>
    </row>
    <row r="641" spans="2:52" outlineLevel="1" x14ac:dyDescent="0.45">
      <c r="B641" s="298"/>
      <c r="C641" s="299">
        <v>2</v>
      </c>
      <c r="D641" s="299"/>
      <c r="E641" s="297" t="s">
        <v>888</v>
      </c>
      <c r="F641" s="285"/>
      <c r="G641" s="285"/>
      <c r="H641" s="285"/>
      <c r="I641" s="207"/>
      <c r="J641" s="89"/>
      <c r="K641" s="23"/>
      <c r="L641" s="90"/>
      <c r="M641" s="92"/>
      <c r="N641" s="31"/>
      <c r="O641" s="90"/>
      <c r="P641" s="92"/>
      <c r="Q641" s="31"/>
      <c r="R641" s="90"/>
      <c r="S641" s="92"/>
      <c r="T641" s="31"/>
      <c r="U641" s="90"/>
      <c r="V641" s="92"/>
      <c r="W641" s="31"/>
      <c r="X641" s="120"/>
      <c r="Y641" s="106"/>
      <c r="Z641" s="107"/>
      <c r="AA641" s="93"/>
      <c r="AB641" s="93"/>
      <c r="AC641" s="83"/>
      <c r="AD641" s="83"/>
      <c r="AE641" s="93"/>
      <c r="AF641" s="93"/>
      <c r="AG641" s="83"/>
      <c r="AH641" s="83"/>
      <c r="AI641" s="93"/>
      <c r="AJ641" s="93"/>
      <c r="AK641" s="83"/>
      <c r="AL641" s="83"/>
      <c r="AM641" s="93"/>
      <c r="AN641" s="93"/>
      <c r="AO641" s="83"/>
      <c r="AP641" s="83"/>
      <c r="AQ641" s="93"/>
      <c r="AR641" s="93"/>
      <c r="AS641" s="83"/>
      <c r="AT641" s="83"/>
      <c r="AU641" s="93"/>
      <c r="AV641" s="93"/>
      <c r="AW641" s="83"/>
      <c r="AX641" s="83"/>
      <c r="AY641" s="93"/>
      <c r="AZ641" s="93"/>
    </row>
    <row r="642" spans="2:52" outlineLevel="1" x14ac:dyDescent="0.45">
      <c r="B642" s="298"/>
      <c r="C642" s="299" t="s">
        <v>889</v>
      </c>
      <c r="D642" s="299"/>
      <c r="E642" s="297" t="s">
        <v>199</v>
      </c>
      <c r="F642" s="285"/>
      <c r="G642" s="285"/>
      <c r="H642" s="285"/>
      <c r="I642" s="207"/>
      <c r="J642" s="89"/>
      <c r="K642" s="23"/>
      <c r="L642" s="90"/>
      <c r="M642" s="92"/>
      <c r="N642" s="31"/>
      <c r="O642" s="90"/>
      <c r="P642" s="92"/>
      <c r="Q642" s="31"/>
      <c r="R642" s="90"/>
      <c r="S642" s="92"/>
      <c r="T642" s="31"/>
      <c r="U642" s="90"/>
      <c r="V642" s="92"/>
      <c r="W642" s="31"/>
      <c r="X642" s="120"/>
      <c r="Y642" s="106"/>
      <c r="Z642" s="107"/>
      <c r="AA642" s="93"/>
      <c r="AB642" s="93"/>
      <c r="AC642" s="83"/>
      <c r="AD642" s="83"/>
      <c r="AE642" s="93"/>
      <c r="AF642" s="93"/>
      <c r="AG642" s="83"/>
      <c r="AH642" s="83"/>
      <c r="AI642" s="93"/>
      <c r="AJ642" s="93"/>
      <c r="AK642" s="83"/>
      <c r="AL642" s="83"/>
      <c r="AM642" s="93"/>
      <c r="AN642" s="93"/>
      <c r="AO642" s="83"/>
      <c r="AP642" s="83"/>
      <c r="AQ642" s="93"/>
      <c r="AR642" s="93"/>
      <c r="AS642" s="83"/>
      <c r="AT642" s="83"/>
      <c r="AU642" s="93"/>
      <c r="AV642" s="93"/>
      <c r="AW642" s="83"/>
      <c r="AX642" s="83"/>
      <c r="AY642" s="93"/>
      <c r="AZ642" s="93"/>
    </row>
    <row r="643" spans="2:52" outlineLevel="1" x14ac:dyDescent="0.45">
      <c r="B643" s="298"/>
      <c r="C643" s="299" t="s">
        <v>890</v>
      </c>
      <c r="D643" s="299"/>
      <c r="E643" s="297" t="s">
        <v>202</v>
      </c>
      <c r="F643" s="285"/>
      <c r="G643" s="285"/>
      <c r="H643" s="285"/>
      <c r="I643" s="207"/>
      <c r="J643" s="89"/>
      <c r="K643" s="23"/>
      <c r="L643" s="90"/>
      <c r="M643" s="92"/>
      <c r="N643" s="31"/>
      <c r="O643" s="90"/>
      <c r="P643" s="92"/>
      <c r="Q643" s="31"/>
      <c r="R643" s="90"/>
      <c r="S643" s="92"/>
      <c r="T643" s="31"/>
      <c r="U643" s="90"/>
      <c r="V643" s="92"/>
      <c r="W643" s="31"/>
      <c r="X643" s="120"/>
      <c r="Y643" s="106"/>
      <c r="Z643" s="107"/>
      <c r="AA643" s="93"/>
      <c r="AB643" s="93"/>
      <c r="AC643" s="83"/>
      <c r="AD643" s="83"/>
      <c r="AE643" s="93"/>
      <c r="AF643" s="93"/>
      <c r="AG643" s="83"/>
      <c r="AH643" s="83"/>
      <c r="AI643" s="93"/>
      <c r="AJ643" s="93"/>
      <c r="AK643" s="83"/>
      <c r="AL643" s="83"/>
      <c r="AM643" s="93"/>
      <c r="AN643" s="93"/>
      <c r="AO643" s="83"/>
      <c r="AP643" s="83"/>
      <c r="AQ643" s="93"/>
      <c r="AR643" s="93"/>
      <c r="AS643" s="83"/>
      <c r="AT643" s="83"/>
      <c r="AU643" s="93"/>
      <c r="AV643" s="93"/>
      <c r="AW643" s="83"/>
      <c r="AX643" s="83"/>
      <c r="AY643" s="93"/>
      <c r="AZ643" s="93"/>
    </row>
    <row r="644" spans="2:52" outlineLevel="1" x14ac:dyDescent="0.45">
      <c r="B644" s="298"/>
      <c r="C644" s="299">
        <v>3</v>
      </c>
      <c r="D644" s="299"/>
      <c r="E644" s="297" t="s">
        <v>891</v>
      </c>
      <c r="F644" s="285"/>
      <c r="G644" s="285"/>
      <c r="H644" s="285"/>
      <c r="I644" s="207"/>
      <c r="J644" s="89"/>
      <c r="K644" s="23"/>
      <c r="L644" s="90"/>
      <c r="M644" s="92"/>
      <c r="N644" s="31"/>
      <c r="O644" s="90"/>
      <c r="P644" s="92"/>
      <c r="Q644" s="31"/>
      <c r="R644" s="90"/>
      <c r="S644" s="92"/>
      <c r="T644" s="31"/>
      <c r="U644" s="90"/>
      <c r="V644" s="92"/>
      <c r="W644" s="31"/>
      <c r="X644" s="120"/>
      <c r="Y644" s="106"/>
      <c r="Z644" s="107"/>
      <c r="AA644" s="93"/>
      <c r="AB644" s="93"/>
      <c r="AC644" s="83"/>
      <c r="AD644" s="83"/>
      <c r="AE644" s="93"/>
      <c r="AF644" s="93"/>
      <c r="AG644" s="83"/>
      <c r="AH644" s="83"/>
      <c r="AI644" s="93"/>
      <c r="AJ644" s="93"/>
      <c r="AK644" s="83"/>
      <c r="AL644" s="83"/>
      <c r="AM644" s="93"/>
      <c r="AN644" s="93"/>
      <c r="AO644" s="83"/>
      <c r="AP644" s="83"/>
      <c r="AQ644" s="93"/>
      <c r="AR644" s="93"/>
      <c r="AS644" s="83"/>
      <c r="AT644" s="83"/>
      <c r="AU644" s="93"/>
      <c r="AV644" s="93"/>
      <c r="AW644" s="83"/>
      <c r="AX644" s="83"/>
      <c r="AY644" s="93"/>
      <c r="AZ644" s="93"/>
    </row>
    <row r="645" spans="2:52" outlineLevel="1" x14ac:dyDescent="0.45">
      <c r="B645" s="298"/>
      <c r="C645" s="299" t="s">
        <v>892</v>
      </c>
      <c r="D645" s="299"/>
      <c r="E645" s="297" t="s">
        <v>215</v>
      </c>
      <c r="F645" s="285"/>
      <c r="G645" s="285"/>
      <c r="H645" s="285"/>
      <c r="I645" s="207"/>
      <c r="J645" s="89"/>
      <c r="K645" s="23"/>
      <c r="L645" s="90"/>
      <c r="M645" s="92"/>
      <c r="N645" s="31"/>
      <c r="O645" s="90"/>
      <c r="P645" s="92"/>
      <c r="Q645" s="31"/>
      <c r="R645" s="90"/>
      <c r="S645" s="92"/>
      <c r="T645" s="31"/>
      <c r="U645" s="90"/>
      <c r="V645" s="92"/>
      <c r="W645" s="31"/>
      <c r="X645" s="120"/>
      <c r="Y645" s="106"/>
      <c r="Z645" s="107"/>
      <c r="AA645" s="93"/>
      <c r="AB645" s="93"/>
      <c r="AC645" s="83"/>
      <c r="AD645" s="83"/>
      <c r="AE645" s="93"/>
      <c r="AF645" s="93"/>
      <c r="AG645" s="83"/>
      <c r="AH645" s="83"/>
      <c r="AI645" s="93"/>
      <c r="AJ645" s="93"/>
      <c r="AK645" s="83"/>
      <c r="AL645" s="83"/>
      <c r="AM645" s="93"/>
      <c r="AN645" s="93"/>
      <c r="AO645" s="83"/>
      <c r="AP645" s="83"/>
      <c r="AQ645" s="93"/>
      <c r="AR645" s="93"/>
      <c r="AS645" s="83"/>
      <c r="AT645" s="83"/>
      <c r="AU645" s="93"/>
      <c r="AV645" s="93"/>
      <c r="AW645" s="83"/>
      <c r="AX645" s="83"/>
      <c r="AY645" s="93"/>
      <c r="AZ645" s="93"/>
    </row>
    <row r="646" spans="2:52" outlineLevel="1" x14ac:dyDescent="0.45">
      <c r="B646" s="298"/>
      <c r="C646" s="299">
        <v>4</v>
      </c>
      <c r="D646" s="299"/>
      <c r="E646" s="297" t="s">
        <v>893</v>
      </c>
      <c r="F646" s="285"/>
      <c r="G646" s="285"/>
      <c r="H646" s="285"/>
      <c r="I646" s="207"/>
      <c r="J646" s="89"/>
      <c r="K646" s="23"/>
      <c r="L646" s="90"/>
      <c r="M646" s="92"/>
      <c r="N646" s="31"/>
      <c r="O646" s="90"/>
      <c r="P646" s="92"/>
      <c r="Q646" s="31"/>
      <c r="R646" s="90"/>
      <c r="S646" s="92"/>
      <c r="T646" s="31"/>
      <c r="U646" s="90"/>
      <c r="V646" s="92"/>
      <c r="W646" s="31"/>
      <c r="X646" s="120"/>
      <c r="Y646" s="106"/>
      <c r="Z646" s="107"/>
      <c r="AA646" s="93"/>
      <c r="AB646" s="93"/>
      <c r="AC646" s="83"/>
      <c r="AD646" s="83"/>
      <c r="AE646" s="93"/>
      <c r="AF646" s="93"/>
      <c r="AG646" s="83"/>
      <c r="AH646" s="83"/>
      <c r="AI646" s="93"/>
      <c r="AJ646" s="93"/>
      <c r="AK646" s="83"/>
      <c r="AL646" s="83"/>
      <c r="AM646" s="93"/>
      <c r="AN646" s="93"/>
      <c r="AO646" s="83"/>
      <c r="AP646" s="83"/>
      <c r="AQ646" s="93"/>
      <c r="AR646" s="93"/>
      <c r="AS646" s="83"/>
      <c r="AT646" s="83"/>
      <c r="AU646" s="93"/>
      <c r="AV646" s="93"/>
      <c r="AW646" s="83"/>
      <c r="AX646" s="83"/>
      <c r="AY646" s="93"/>
      <c r="AZ646" s="93"/>
    </row>
    <row r="647" spans="2:52" outlineLevel="1" x14ac:dyDescent="0.45">
      <c r="B647" s="298"/>
      <c r="C647" s="299" t="s">
        <v>894</v>
      </c>
      <c r="D647" s="299"/>
      <c r="E647" s="297" t="s">
        <v>895</v>
      </c>
      <c r="F647" s="285"/>
      <c r="G647" s="285"/>
      <c r="H647" s="285"/>
      <c r="I647" s="207"/>
      <c r="J647" s="89"/>
      <c r="K647" s="23"/>
      <c r="L647" s="90"/>
      <c r="M647" s="92"/>
      <c r="N647" s="31"/>
      <c r="O647" s="90"/>
      <c r="P647" s="92"/>
      <c r="Q647" s="31"/>
      <c r="R647" s="90"/>
      <c r="S647" s="92"/>
      <c r="T647" s="31"/>
      <c r="U647" s="90"/>
      <c r="V647" s="92"/>
      <c r="W647" s="31"/>
      <c r="X647" s="120"/>
      <c r="Y647" s="106"/>
      <c r="Z647" s="107"/>
      <c r="AA647" s="93"/>
      <c r="AB647" s="93"/>
      <c r="AC647" s="83"/>
      <c r="AD647" s="83"/>
      <c r="AE647" s="93"/>
      <c r="AF647" s="93"/>
      <c r="AG647" s="83"/>
      <c r="AH647" s="83"/>
      <c r="AI647" s="93"/>
      <c r="AJ647" s="93"/>
      <c r="AK647" s="83"/>
      <c r="AL647" s="83"/>
      <c r="AM647" s="93"/>
      <c r="AN647" s="93"/>
      <c r="AO647" s="83"/>
      <c r="AP647" s="83"/>
      <c r="AQ647" s="93"/>
      <c r="AR647" s="93"/>
      <c r="AS647" s="83"/>
      <c r="AT647" s="83"/>
      <c r="AU647" s="93"/>
      <c r="AV647" s="93"/>
      <c r="AW647" s="83"/>
      <c r="AX647" s="83"/>
      <c r="AY647" s="93"/>
      <c r="AZ647" s="93"/>
    </row>
    <row r="648" spans="2:52" outlineLevel="1" x14ac:dyDescent="0.45">
      <c r="B648" s="298"/>
      <c r="C648" s="303" t="s">
        <v>896</v>
      </c>
      <c r="D648" s="99"/>
      <c r="I648" s="207"/>
      <c r="J648" s="89"/>
      <c r="K648" s="23"/>
      <c r="L648" s="90"/>
      <c r="M648" s="92"/>
      <c r="N648" s="31"/>
      <c r="O648" s="90"/>
      <c r="P648" s="92"/>
      <c r="Q648" s="31"/>
      <c r="R648" s="90"/>
      <c r="S648" s="92"/>
      <c r="T648" s="31"/>
      <c r="U648" s="90"/>
      <c r="V648" s="92"/>
      <c r="W648" s="31"/>
      <c r="X648" s="120"/>
      <c r="Y648" s="106"/>
      <c r="Z648" s="107"/>
      <c r="AA648" s="93"/>
      <c r="AB648" s="93"/>
      <c r="AC648" s="83"/>
      <c r="AD648" s="83"/>
      <c r="AE648" s="93"/>
      <c r="AF648" s="93"/>
      <c r="AG648" s="83"/>
      <c r="AH648" s="83"/>
      <c r="AI648" s="93"/>
      <c r="AJ648" s="93"/>
      <c r="AK648" s="83"/>
      <c r="AL648" s="83"/>
      <c r="AM648" s="93"/>
      <c r="AN648" s="93"/>
      <c r="AO648" s="83"/>
      <c r="AP648" s="83"/>
      <c r="AQ648" s="93"/>
      <c r="AR648" s="93"/>
      <c r="AS648" s="83"/>
      <c r="AT648" s="83"/>
      <c r="AU648" s="93"/>
      <c r="AV648" s="93"/>
      <c r="AW648" s="83"/>
      <c r="AX648" s="83"/>
      <c r="AY648" s="93"/>
      <c r="AZ648" s="93"/>
    </row>
    <row r="649" spans="2:52" outlineLevel="1" x14ac:dyDescent="0.45">
      <c r="B649" s="298"/>
      <c r="E649" s="73" t="s">
        <v>897</v>
      </c>
      <c r="F649" s="304"/>
      <c r="G649" s="304"/>
      <c r="H649" s="304"/>
      <c r="I649" s="207"/>
      <c r="J649" s="89"/>
      <c r="K649" s="23"/>
      <c r="L649" s="90"/>
      <c r="M649" s="92"/>
      <c r="N649" s="31"/>
      <c r="O649" s="90"/>
      <c r="P649" s="92"/>
      <c r="Q649" s="31"/>
      <c r="R649" s="90"/>
      <c r="S649" s="92"/>
      <c r="T649" s="31"/>
      <c r="U649" s="90"/>
      <c r="V649" s="92"/>
      <c r="W649" s="31"/>
      <c r="X649" s="120"/>
      <c r="Y649" s="106"/>
      <c r="Z649" s="107"/>
      <c r="AA649" s="93"/>
      <c r="AB649" s="93"/>
      <c r="AC649" s="83"/>
      <c r="AD649" s="83"/>
      <c r="AE649" s="93"/>
      <c r="AF649" s="93"/>
      <c r="AG649" s="83"/>
      <c r="AH649" s="83"/>
      <c r="AI649" s="93"/>
      <c r="AJ649" s="93"/>
      <c r="AK649" s="83"/>
      <c r="AL649" s="83"/>
      <c r="AM649" s="93"/>
      <c r="AN649" s="93"/>
      <c r="AO649" s="83"/>
      <c r="AP649" s="83"/>
      <c r="AQ649" s="93"/>
      <c r="AR649" s="93"/>
      <c r="AS649" s="83"/>
      <c r="AT649" s="83"/>
      <c r="AU649" s="93"/>
      <c r="AV649" s="93"/>
      <c r="AW649" s="83"/>
      <c r="AX649" s="83"/>
      <c r="AY649" s="93"/>
      <c r="AZ649" s="93"/>
    </row>
    <row r="650" spans="2:52" outlineLevel="1" x14ac:dyDescent="0.45">
      <c r="B650" s="298"/>
      <c r="C650" s="305" t="s">
        <v>224</v>
      </c>
      <c r="D650" s="305"/>
      <c r="E650" s="73" t="s">
        <v>898</v>
      </c>
      <c r="F650" s="304"/>
      <c r="G650" s="304"/>
      <c r="H650" s="304"/>
      <c r="I650" s="207"/>
      <c r="J650" s="89"/>
      <c r="K650" s="23"/>
      <c r="L650" s="90"/>
      <c r="M650" s="92"/>
      <c r="N650" s="31"/>
      <c r="O650" s="90"/>
      <c r="P650" s="92"/>
      <c r="Q650" s="31"/>
      <c r="R650" s="90"/>
      <c r="S650" s="92"/>
      <c r="T650" s="31"/>
      <c r="U650" s="90"/>
      <c r="V650" s="92"/>
      <c r="W650" s="31"/>
      <c r="X650" s="120"/>
      <c r="Y650" s="106"/>
      <c r="Z650" s="107"/>
      <c r="AA650" s="93"/>
      <c r="AB650" s="93"/>
      <c r="AC650" s="83"/>
      <c r="AD650" s="83"/>
      <c r="AE650" s="93"/>
      <c r="AF650" s="93"/>
      <c r="AG650" s="83"/>
      <c r="AH650" s="83"/>
      <c r="AI650" s="93"/>
      <c r="AJ650" s="93"/>
      <c r="AK650" s="83"/>
      <c r="AL650" s="83"/>
      <c r="AM650" s="93"/>
      <c r="AN650" s="93"/>
      <c r="AO650" s="83"/>
      <c r="AP650" s="83"/>
      <c r="AQ650" s="93"/>
      <c r="AR650" s="93"/>
      <c r="AS650" s="83"/>
      <c r="AT650" s="83"/>
      <c r="AU650" s="93"/>
      <c r="AV650" s="93"/>
      <c r="AW650" s="83"/>
      <c r="AX650" s="83"/>
      <c r="AY650" s="93"/>
      <c r="AZ650" s="93"/>
    </row>
    <row r="651" spans="2:52" outlineLevel="1" x14ac:dyDescent="0.45">
      <c r="B651" s="298"/>
      <c r="C651" s="305"/>
      <c r="D651" s="305"/>
      <c r="E651" s="306" t="s">
        <v>266</v>
      </c>
      <c r="F651" s="307"/>
      <c r="G651" s="307"/>
      <c r="H651" s="307"/>
      <c r="I651" s="207"/>
      <c r="J651" s="89"/>
      <c r="K651" s="23"/>
      <c r="L651" s="90"/>
      <c r="M651" s="92"/>
      <c r="N651" s="31"/>
      <c r="O651" s="90"/>
      <c r="P651" s="92"/>
      <c r="Q651" s="31"/>
      <c r="R651" s="90"/>
      <c r="S651" s="92"/>
      <c r="T651" s="31"/>
      <c r="U651" s="90"/>
      <c r="V651" s="92"/>
      <c r="W651" s="31"/>
      <c r="X651" s="120"/>
      <c r="Y651" s="106"/>
      <c r="Z651" s="107"/>
      <c r="AA651" s="93"/>
      <c r="AB651" s="93"/>
      <c r="AC651" s="83"/>
      <c r="AD651" s="83"/>
      <c r="AE651" s="93"/>
      <c r="AF651" s="93"/>
      <c r="AG651" s="83"/>
      <c r="AH651" s="83"/>
      <c r="AI651" s="93"/>
      <c r="AJ651" s="93"/>
      <c r="AK651" s="83"/>
      <c r="AL651" s="83"/>
      <c r="AM651" s="93"/>
      <c r="AN651" s="93"/>
      <c r="AO651" s="83"/>
      <c r="AP651" s="83"/>
      <c r="AQ651" s="93"/>
      <c r="AR651" s="93"/>
      <c r="AS651" s="83"/>
      <c r="AT651" s="83"/>
      <c r="AU651" s="93"/>
      <c r="AV651" s="93"/>
      <c r="AW651" s="83"/>
      <c r="AX651" s="83"/>
      <c r="AY651" s="93"/>
      <c r="AZ651" s="93"/>
    </row>
    <row r="652" spans="2:52" outlineLevel="1" x14ac:dyDescent="0.45">
      <c r="B652" s="298"/>
      <c r="C652" s="303">
        <v>1</v>
      </c>
      <c r="D652" s="303"/>
      <c r="E652" s="306" t="s">
        <v>899</v>
      </c>
      <c r="F652" s="307"/>
      <c r="G652" s="307"/>
      <c r="H652" s="307"/>
      <c r="I652" s="207"/>
      <c r="J652" s="89"/>
      <c r="K652" s="23"/>
      <c r="L652" s="90"/>
      <c r="M652" s="92"/>
      <c r="N652" s="31"/>
      <c r="O652" s="90"/>
      <c r="P652" s="92"/>
      <c r="Q652" s="31"/>
      <c r="R652" s="90"/>
      <c r="S652" s="92"/>
      <c r="T652" s="31"/>
      <c r="U652" s="90"/>
      <c r="V652" s="92"/>
      <c r="W652" s="31"/>
      <c r="X652" s="120"/>
      <c r="Y652" s="106"/>
      <c r="Z652" s="107"/>
      <c r="AA652" s="93"/>
      <c r="AB652" s="93"/>
      <c r="AC652" s="83"/>
      <c r="AD652" s="83"/>
      <c r="AE652" s="93"/>
      <c r="AF652" s="93"/>
      <c r="AG652" s="83"/>
      <c r="AH652" s="83"/>
      <c r="AI652" s="93"/>
      <c r="AJ652" s="93"/>
      <c r="AK652" s="83"/>
      <c r="AL652" s="83"/>
      <c r="AM652" s="93"/>
      <c r="AN652" s="93"/>
      <c r="AO652" s="83"/>
      <c r="AP652" s="83"/>
      <c r="AQ652" s="93"/>
      <c r="AR652" s="93"/>
      <c r="AS652" s="83"/>
      <c r="AT652" s="83"/>
      <c r="AU652" s="93"/>
      <c r="AV652" s="93"/>
      <c r="AW652" s="83"/>
      <c r="AX652" s="83"/>
      <c r="AY652" s="93"/>
      <c r="AZ652" s="93"/>
    </row>
    <row r="653" spans="2:52" outlineLevel="1" x14ac:dyDescent="0.45">
      <c r="B653" s="298"/>
      <c r="C653" s="303"/>
      <c r="D653" s="303"/>
      <c r="E653" s="306" t="s">
        <v>900</v>
      </c>
      <c r="F653" s="307"/>
      <c r="G653" s="307"/>
      <c r="H653" s="307"/>
      <c r="I653" s="207"/>
      <c r="J653" s="89"/>
      <c r="K653" s="23"/>
      <c r="L653" s="90"/>
      <c r="M653" s="92"/>
      <c r="N653" s="31"/>
      <c r="O653" s="90"/>
      <c r="P653" s="92"/>
      <c r="Q653" s="31"/>
      <c r="R653" s="90"/>
      <c r="S653" s="92"/>
      <c r="T653" s="31"/>
      <c r="U653" s="90"/>
      <c r="V653" s="92"/>
      <c r="W653" s="31"/>
      <c r="X653" s="120"/>
      <c r="Y653" s="106"/>
      <c r="Z653" s="107"/>
      <c r="AA653" s="93"/>
      <c r="AB653" s="93"/>
      <c r="AC653" s="83"/>
      <c r="AD653" s="83"/>
      <c r="AE653" s="93"/>
      <c r="AF653" s="93"/>
      <c r="AG653" s="83"/>
      <c r="AH653" s="83"/>
      <c r="AI653" s="93"/>
      <c r="AJ653" s="93"/>
      <c r="AK653" s="83"/>
      <c r="AL653" s="83"/>
      <c r="AM653" s="93"/>
      <c r="AN653" s="93"/>
      <c r="AO653" s="83"/>
      <c r="AP653" s="83"/>
      <c r="AQ653" s="93"/>
      <c r="AR653" s="93"/>
      <c r="AS653" s="83"/>
      <c r="AT653" s="83"/>
      <c r="AU653" s="93"/>
      <c r="AV653" s="93"/>
      <c r="AW653" s="83"/>
      <c r="AX653" s="83"/>
      <c r="AY653" s="93"/>
      <c r="AZ653" s="93"/>
    </row>
    <row r="654" spans="2:52" outlineLevel="1" x14ac:dyDescent="0.45">
      <c r="B654" s="298"/>
      <c r="C654" s="303"/>
      <c r="D654" s="303"/>
      <c r="E654" s="306" t="s">
        <v>901</v>
      </c>
      <c r="F654" s="307"/>
      <c r="G654" s="307"/>
      <c r="H654" s="307"/>
      <c r="I654" s="207"/>
      <c r="J654" s="89"/>
      <c r="K654" s="23"/>
      <c r="L654" s="90"/>
      <c r="M654" s="92"/>
      <c r="N654" s="31"/>
      <c r="O654" s="90"/>
      <c r="P654" s="92"/>
      <c r="Q654" s="31"/>
      <c r="R654" s="90"/>
      <c r="S654" s="92"/>
      <c r="T654" s="31"/>
      <c r="U654" s="90"/>
      <c r="V654" s="92"/>
      <c r="W654" s="31"/>
      <c r="X654" s="120"/>
      <c r="Y654" s="106"/>
      <c r="Z654" s="107"/>
      <c r="AA654" s="93"/>
      <c r="AB654" s="93"/>
      <c r="AC654" s="83"/>
      <c r="AD654" s="83"/>
      <c r="AE654" s="93"/>
      <c r="AF654" s="93"/>
      <c r="AG654" s="83"/>
      <c r="AH654" s="83"/>
      <c r="AI654" s="93"/>
      <c r="AJ654" s="93"/>
      <c r="AK654" s="83"/>
      <c r="AL654" s="83"/>
      <c r="AM654" s="93"/>
      <c r="AN654" s="93"/>
      <c r="AO654" s="83"/>
      <c r="AP654" s="83"/>
      <c r="AQ654" s="93"/>
      <c r="AR654" s="93"/>
      <c r="AS654" s="83"/>
      <c r="AT654" s="83"/>
      <c r="AU654" s="93"/>
      <c r="AV654" s="93"/>
      <c r="AW654" s="83"/>
      <c r="AX654" s="83"/>
      <c r="AY654" s="93"/>
      <c r="AZ654" s="93"/>
    </row>
    <row r="655" spans="2:52" outlineLevel="1" x14ac:dyDescent="0.45">
      <c r="B655" s="298"/>
      <c r="C655" s="303"/>
      <c r="D655" s="303"/>
      <c r="E655" s="306" t="s">
        <v>902</v>
      </c>
      <c r="F655" s="307"/>
      <c r="G655" s="307"/>
      <c r="H655" s="307"/>
      <c r="I655" s="207"/>
      <c r="J655" s="89"/>
      <c r="K655" s="23"/>
      <c r="L655" s="90"/>
      <c r="M655" s="92"/>
      <c r="N655" s="31"/>
      <c r="O655" s="90"/>
      <c r="P655" s="92"/>
      <c r="Q655" s="31"/>
      <c r="R655" s="90"/>
      <c r="S655" s="92"/>
      <c r="T655" s="31"/>
      <c r="U655" s="90"/>
      <c r="V655" s="92"/>
      <c r="W655" s="31"/>
      <c r="X655" s="120"/>
      <c r="Y655" s="106"/>
      <c r="Z655" s="107"/>
      <c r="AA655" s="93"/>
      <c r="AB655" s="93"/>
      <c r="AC655" s="83"/>
      <c r="AD655" s="83"/>
      <c r="AE655" s="93"/>
      <c r="AF655" s="93"/>
      <c r="AG655" s="83"/>
      <c r="AH655" s="83"/>
      <c r="AI655" s="93"/>
      <c r="AJ655" s="93"/>
      <c r="AK655" s="83"/>
      <c r="AL655" s="83"/>
      <c r="AM655" s="93"/>
      <c r="AN655" s="93"/>
      <c r="AO655" s="83"/>
      <c r="AP655" s="83"/>
      <c r="AQ655" s="93"/>
      <c r="AR655" s="93"/>
      <c r="AS655" s="83"/>
      <c r="AT655" s="83"/>
      <c r="AU655" s="93"/>
      <c r="AV655" s="93"/>
      <c r="AW655" s="83"/>
      <c r="AX655" s="83"/>
      <c r="AY655" s="93"/>
      <c r="AZ655" s="93"/>
    </row>
    <row r="656" spans="2:52" outlineLevel="1" x14ac:dyDescent="0.45">
      <c r="B656" s="298"/>
      <c r="C656" s="303"/>
      <c r="D656" s="303"/>
      <c r="E656" s="306" t="s">
        <v>10</v>
      </c>
      <c r="F656" s="307"/>
      <c r="G656" s="307"/>
      <c r="H656" s="307"/>
      <c r="I656" s="207"/>
      <c r="J656" s="89"/>
      <c r="K656" s="23"/>
      <c r="L656" s="90"/>
      <c r="M656" s="92"/>
      <c r="N656" s="31"/>
      <c r="O656" s="90"/>
      <c r="P656" s="92"/>
      <c r="Q656" s="31"/>
      <c r="R656" s="90"/>
      <c r="S656" s="92"/>
      <c r="T656" s="31"/>
      <c r="U656" s="90"/>
      <c r="V656" s="92"/>
      <c r="W656" s="31"/>
      <c r="X656" s="120"/>
      <c r="Y656" s="106"/>
      <c r="Z656" s="107"/>
      <c r="AA656" s="93"/>
      <c r="AB656" s="93"/>
      <c r="AC656" s="83"/>
      <c r="AD656" s="83"/>
      <c r="AE656" s="93"/>
      <c r="AF656" s="93"/>
      <c r="AG656" s="83"/>
      <c r="AH656" s="83"/>
      <c r="AI656" s="93"/>
      <c r="AJ656" s="93"/>
      <c r="AK656" s="83"/>
      <c r="AL656" s="83"/>
      <c r="AM656" s="93"/>
      <c r="AN656" s="93"/>
      <c r="AO656" s="83"/>
      <c r="AP656" s="83"/>
      <c r="AQ656" s="93"/>
      <c r="AR656" s="93"/>
      <c r="AS656" s="83"/>
      <c r="AT656" s="83"/>
      <c r="AU656" s="93"/>
      <c r="AV656" s="93"/>
      <c r="AW656" s="83"/>
      <c r="AX656" s="83"/>
      <c r="AY656" s="93"/>
      <c r="AZ656" s="93"/>
    </row>
    <row r="657" spans="2:52" outlineLevel="1" x14ac:dyDescent="0.45">
      <c r="B657" s="298"/>
      <c r="C657" s="303"/>
      <c r="D657" s="303"/>
      <c r="E657" s="306" t="s">
        <v>332</v>
      </c>
      <c r="F657" s="307"/>
      <c r="G657" s="307"/>
      <c r="H657" s="307"/>
      <c r="I657" s="207"/>
      <c r="J657" s="89"/>
      <c r="K657" s="23"/>
      <c r="L657" s="90"/>
      <c r="M657" s="92"/>
      <c r="N657" s="31"/>
      <c r="O657" s="90"/>
      <c r="P657" s="92"/>
      <c r="Q657" s="31"/>
      <c r="R657" s="90"/>
      <c r="S657" s="92"/>
      <c r="T657" s="31"/>
      <c r="U657" s="90"/>
      <c r="V657" s="92"/>
      <c r="W657" s="31"/>
      <c r="X657" s="120"/>
      <c r="Y657" s="106"/>
      <c r="Z657" s="107"/>
      <c r="AA657" s="93"/>
      <c r="AB657" s="93"/>
      <c r="AC657" s="83"/>
      <c r="AD657" s="83"/>
      <c r="AE657" s="93"/>
      <c r="AF657" s="93"/>
      <c r="AG657" s="83"/>
      <c r="AH657" s="83"/>
      <c r="AI657" s="93"/>
      <c r="AJ657" s="93"/>
      <c r="AK657" s="83"/>
      <c r="AL657" s="83"/>
      <c r="AM657" s="93"/>
      <c r="AN657" s="93"/>
      <c r="AO657" s="83"/>
      <c r="AP657" s="83"/>
      <c r="AQ657" s="93"/>
      <c r="AR657" s="93"/>
      <c r="AS657" s="83"/>
      <c r="AT657" s="83"/>
      <c r="AU657" s="93"/>
      <c r="AV657" s="93"/>
      <c r="AW657" s="83"/>
      <c r="AX657" s="83"/>
      <c r="AY657" s="93"/>
      <c r="AZ657" s="93"/>
    </row>
    <row r="658" spans="2:52" outlineLevel="1" x14ac:dyDescent="0.45">
      <c r="B658" s="298"/>
      <c r="C658" s="303">
        <v>2</v>
      </c>
      <c r="D658" s="303"/>
      <c r="E658" s="306" t="s">
        <v>342</v>
      </c>
      <c r="F658" s="307"/>
      <c r="G658" s="307"/>
      <c r="H658" s="307"/>
      <c r="I658" s="207"/>
      <c r="J658" s="89"/>
      <c r="K658" s="23"/>
      <c r="L658" s="90"/>
      <c r="M658" s="92"/>
      <c r="N658" s="31"/>
      <c r="O658" s="90"/>
      <c r="P658" s="92"/>
      <c r="Q658" s="31"/>
      <c r="R658" s="90"/>
      <c r="S658" s="92"/>
      <c r="T658" s="31"/>
      <c r="U658" s="90"/>
      <c r="V658" s="92"/>
      <c r="W658" s="31"/>
      <c r="X658" s="120"/>
      <c r="Y658" s="106"/>
      <c r="Z658" s="107"/>
      <c r="AA658" s="93"/>
      <c r="AB658" s="93"/>
      <c r="AC658" s="83"/>
      <c r="AD658" s="83"/>
      <c r="AE658" s="93"/>
      <c r="AF658" s="93"/>
      <c r="AG658" s="83"/>
      <c r="AH658" s="83"/>
      <c r="AI658" s="93"/>
      <c r="AJ658" s="93"/>
      <c r="AK658" s="83"/>
      <c r="AL658" s="83"/>
      <c r="AM658" s="93"/>
      <c r="AN658" s="93"/>
      <c r="AO658" s="83"/>
      <c r="AP658" s="83"/>
      <c r="AQ658" s="93"/>
      <c r="AR658" s="93"/>
      <c r="AS658" s="83"/>
      <c r="AT658" s="83"/>
      <c r="AU658" s="93"/>
      <c r="AV658" s="93"/>
      <c r="AW658" s="83"/>
      <c r="AX658" s="83"/>
      <c r="AY658" s="93"/>
      <c r="AZ658" s="93"/>
    </row>
    <row r="659" spans="2:52" outlineLevel="1" x14ac:dyDescent="0.45">
      <c r="B659" s="298"/>
      <c r="C659" s="303"/>
      <c r="D659" s="303"/>
      <c r="E659" s="306" t="s">
        <v>903</v>
      </c>
      <c r="F659" s="307"/>
      <c r="G659" s="307"/>
      <c r="H659" s="307"/>
      <c r="I659" s="207"/>
      <c r="J659" s="89"/>
      <c r="K659" s="23"/>
      <c r="L659" s="90"/>
      <c r="M659" s="92"/>
      <c r="N659" s="31"/>
      <c r="O659" s="90"/>
      <c r="P659" s="92"/>
      <c r="Q659" s="31"/>
      <c r="R659" s="90"/>
      <c r="S659" s="92"/>
      <c r="T659" s="31"/>
      <c r="U659" s="90"/>
      <c r="V659" s="92"/>
      <c r="W659" s="31"/>
      <c r="X659" s="120"/>
      <c r="Y659" s="106"/>
      <c r="Z659" s="107"/>
      <c r="AA659" s="93"/>
      <c r="AB659" s="93"/>
      <c r="AC659" s="83"/>
      <c r="AD659" s="83"/>
      <c r="AE659" s="93"/>
      <c r="AF659" s="93"/>
      <c r="AG659" s="83"/>
      <c r="AH659" s="83"/>
      <c r="AI659" s="93"/>
      <c r="AJ659" s="93"/>
      <c r="AK659" s="83"/>
      <c r="AL659" s="83"/>
      <c r="AM659" s="93"/>
      <c r="AN659" s="93"/>
      <c r="AO659" s="83"/>
      <c r="AP659" s="83"/>
      <c r="AQ659" s="93"/>
      <c r="AR659" s="93"/>
      <c r="AS659" s="83"/>
      <c r="AT659" s="83"/>
      <c r="AU659" s="93"/>
      <c r="AV659" s="93"/>
      <c r="AW659" s="83"/>
      <c r="AX659" s="83"/>
      <c r="AY659" s="93"/>
      <c r="AZ659" s="93"/>
    </row>
    <row r="660" spans="2:52" outlineLevel="1" x14ac:dyDescent="0.45">
      <c r="B660" s="298"/>
      <c r="C660" s="303"/>
      <c r="D660" s="303"/>
      <c r="E660" s="306" t="s">
        <v>10</v>
      </c>
      <c r="F660" s="307"/>
      <c r="G660" s="307"/>
      <c r="H660" s="307"/>
      <c r="I660" s="207"/>
      <c r="J660" s="89"/>
      <c r="K660" s="23"/>
      <c r="L660" s="90"/>
      <c r="M660" s="92"/>
      <c r="N660" s="31"/>
      <c r="O660" s="90"/>
      <c r="P660" s="92"/>
      <c r="Q660" s="31"/>
      <c r="R660" s="90"/>
      <c r="S660" s="92"/>
      <c r="T660" s="31"/>
      <c r="U660" s="90"/>
      <c r="V660" s="92"/>
      <c r="W660" s="31"/>
      <c r="X660" s="120"/>
      <c r="Y660" s="106"/>
      <c r="Z660" s="107"/>
      <c r="AA660" s="93"/>
      <c r="AB660" s="93"/>
      <c r="AC660" s="83"/>
      <c r="AD660" s="83"/>
      <c r="AE660" s="93"/>
      <c r="AF660" s="93"/>
      <c r="AG660" s="83"/>
      <c r="AH660" s="83"/>
      <c r="AI660" s="93"/>
      <c r="AJ660" s="93"/>
      <c r="AK660" s="83"/>
      <c r="AL660" s="83"/>
      <c r="AM660" s="93"/>
      <c r="AN660" s="93"/>
      <c r="AO660" s="83"/>
      <c r="AP660" s="83"/>
      <c r="AQ660" s="93"/>
      <c r="AR660" s="93"/>
      <c r="AS660" s="83"/>
      <c r="AT660" s="83"/>
      <c r="AU660" s="93"/>
      <c r="AV660" s="93"/>
      <c r="AW660" s="83"/>
      <c r="AX660" s="83"/>
      <c r="AY660" s="93"/>
      <c r="AZ660" s="93"/>
    </row>
    <row r="661" spans="2:52" outlineLevel="1" x14ac:dyDescent="0.45">
      <c r="B661" s="298"/>
      <c r="C661" s="303"/>
      <c r="D661" s="303"/>
      <c r="E661" s="306" t="s">
        <v>904</v>
      </c>
      <c r="F661" s="307"/>
      <c r="G661" s="307"/>
      <c r="H661" s="307"/>
      <c r="I661" s="207"/>
      <c r="J661" s="89"/>
      <c r="K661" s="23"/>
      <c r="L661" s="90"/>
      <c r="M661" s="92"/>
      <c r="N661" s="31"/>
      <c r="O661" s="90"/>
      <c r="P661" s="92"/>
      <c r="Q661" s="31"/>
      <c r="R661" s="90"/>
      <c r="S661" s="92"/>
      <c r="T661" s="31"/>
      <c r="U661" s="90"/>
      <c r="V661" s="92"/>
      <c r="W661" s="31"/>
      <c r="X661" s="120"/>
      <c r="Y661" s="106"/>
      <c r="Z661" s="107"/>
      <c r="AA661" s="93"/>
      <c r="AB661" s="93"/>
      <c r="AC661" s="83"/>
      <c r="AD661" s="83"/>
      <c r="AE661" s="93"/>
      <c r="AF661" s="93"/>
      <c r="AG661" s="83"/>
      <c r="AH661" s="83"/>
      <c r="AI661" s="93"/>
      <c r="AJ661" s="93"/>
      <c r="AK661" s="83"/>
      <c r="AL661" s="83"/>
      <c r="AM661" s="93"/>
      <c r="AN661" s="93"/>
      <c r="AO661" s="83"/>
      <c r="AP661" s="83"/>
      <c r="AQ661" s="93"/>
      <c r="AR661" s="93"/>
      <c r="AS661" s="83"/>
      <c r="AT661" s="83"/>
      <c r="AU661" s="93"/>
      <c r="AV661" s="93"/>
      <c r="AW661" s="83"/>
      <c r="AX661" s="83"/>
      <c r="AY661" s="93"/>
      <c r="AZ661" s="93"/>
    </row>
    <row r="662" spans="2:52" outlineLevel="1" x14ac:dyDescent="0.45">
      <c r="B662" s="298"/>
      <c r="C662" s="303">
        <v>3</v>
      </c>
      <c r="D662" s="303"/>
      <c r="E662" s="306" t="s">
        <v>905</v>
      </c>
      <c r="F662" s="307"/>
      <c r="G662" s="307"/>
      <c r="H662" s="307"/>
      <c r="I662" s="207"/>
      <c r="J662" s="89"/>
      <c r="K662" s="23"/>
      <c r="L662" s="90"/>
      <c r="M662" s="92"/>
      <c r="N662" s="31"/>
      <c r="O662" s="90"/>
      <c r="P662" s="92"/>
      <c r="Q662" s="31"/>
      <c r="R662" s="90"/>
      <c r="S662" s="92"/>
      <c r="T662" s="31"/>
      <c r="U662" s="90"/>
      <c r="V662" s="92"/>
      <c r="W662" s="31"/>
      <c r="X662" s="120"/>
      <c r="Y662" s="106"/>
      <c r="Z662" s="107"/>
      <c r="AA662" s="93"/>
      <c r="AB662" s="93"/>
      <c r="AC662" s="83"/>
      <c r="AD662" s="83"/>
      <c r="AE662" s="93"/>
      <c r="AF662" s="93"/>
      <c r="AG662" s="83"/>
      <c r="AH662" s="83"/>
      <c r="AI662" s="93"/>
      <c r="AJ662" s="93"/>
      <c r="AK662" s="83"/>
      <c r="AL662" s="83"/>
      <c r="AM662" s="93"/>
      <c r="AN662" s="93"/>
      <c r="AO662" s="83"/>
      <c r="AP662" s="83"/>
      <c r="AQ662" s="93"/>
      <c r="AR662" s="93"/>
      <c r="AS662" s="83"/>
      <c r="AT662" s="83"/>
      <c r="AU662" s="93"/>
      <c r="AV662" s="93"/>
      <c r="AW662" s="83"/>
      <c r="AX662" s="83"/>
      <c r="AY662" s="93"/>
      <c r="AZ662" s="93"/>
    </row>
    <row r="663" spans="2:52" outlineLevel="1" x14ac:dyDescent="0.45">
      <c r="B663" s="298"/>
      <c r="C663" s="303"/>
      <c r="D663" s="303"/>
      <c r="E663" s="306" t="s">
        <v>906</v>
      </c>
      <c r="F663" s="307"/>
      <c r="G663" s="307"/>
      <c r="H663" s="307"/>
      <c r="I663" s="207"/>
      <c r="J663" s="89"/>
      <c r="K663" s="23"/>
      <c r="L663" s="90"/>
      <c r="M663" s="92"/>
      <c r="N663" s="31"/>
      <c r="O663" s="90"/>
      <c r="P663" s="92"/>
      <c r="Q663" s="31"/>
      <c r="R663" s="90"/>
      <c r="S663" s="92"/>
      <c r="T663" s="31"/>
      <c r="U663" s="90"/>
      <c r="V663" s="92"/>
      <c r="W663" s="31"/>
      <c r="X663" s="120"/>
      <c r="Y663" s="106"/>
      <c r="Z663" s="107"/>
      <c r="AA663" s="93"/>
      <c r="AB663" s="93"/>
      <c r="AC663" s="83"/>
      <c r="AD663" s="83"/>
      <c r="AE663" s="93"/>
      <c r="AF663" s="93"/>
      <c r="AG663" s="83"/>
      <c r="AH663" s="83"/>
      <c r="AI663" s="93"/>
      <c r="AJ663" s="93"/>
      <c r="AK663" s="83"/>
      <c r="AL663" s="83"/>
      <c r="AM663" s="93"/>
      <c r="AN663" s="93"/>
      <c r="AO663" s="83"/>
      <c r="AP663" s="83"/>
      <c r="AQ663" s="93"/>
      <c r="AR663" s="93"/>
      <c r="AS663" s="83"/>
      <c r="AT663" s="83"/>
      <c r="AU663" s="93"/>
      <c r="AV663" s="93"/>
      <c r="AW663" s="83"/>
      <c r="AX663" s="83"/>
      <c r="AY663" s="93"/>
      <c r="AZ663" s="93"/>
    </row>
    <row r="664" spans="2:52" outlineLevel="1" x14ac:dyDescent="0.45">
      <c r="B664" s="298"/>
      <c r="C664" s="303"/>
      <c r="D664" s="303"/>
      <c r="E664" s="306" t="s">
        <v>907</v>
      </c>
      <c r="F664" s="307"/>
      <c r="G664" s="307"/>
      <c r="H664" s="307"/>
      <c r="I664" s="207"/>
      <c r="J664" s="89"/>
      <c r="K664" s="23"/>
      <c r="L664" s="90"/>
      <c r="M664" s="92"/>
      <c r="N664" s="31"/>
      <c r="O664" s="90"/>
      <c r="P664" s="92"/>
      <c r="Q664" s="31"/>
      <c r="R664" s="90"/>
      <c r="S664" s="92"/>
      <c r="T664" s="31"/>
      <c r="U664" s="90"/>
      <c r="V664" s="92"/>
      <c r="W664" s="31"/>
      <c r="X664" s="120"/>
      <c r="Y664" s="106"/>
      <c r="Z664" s="107"/>
      <c r="AA664" s="93"/>
      <c r="AB664" s="93"/>
      <c r="AC664" s="83"/>
      <c r="AD664" s="83"/>
      <c r="AE664" s="93"/>
      <c r="AF664" s="93"/>
      <c r="AG664" s="83"/>
      <c r="AH664" s="83"/>
      <c r="AI664" s="93"/>
      <c r="AJ664" s="93"/>
      <c r="AK664" s="83"/>
      <c r="AL664" s="83"/>
      <c r="AM664" s="93"/>
      <c r="AN664" s="93"/>
      <c r="AO664" s="83"/>
      <c r="AP664" s="83"/>
      <c r="AQ664" s="93"/>
      <c r="AR664" s="93"/>
      <c r="AS664" s="83"/>
      <c r="AT664" s="83"/>
      <c r="AU664" s="93"/>
      <c r="AV664" s="93"/>
      <c r="AW664" s="83"/>
      <c r="AX664" s="83"/>
      <c r="AY664" s="93"/>
      <c r="AZ664" s="93"/>
    </row>
    <row r="665" spans="2:52" outlineLevel="1" x14ac:dyDescent="0.45">
      <c r="B665" s="298"/>
      <c r="C665" s="303"/>
      <c r="D665" s="303"/>
      <c r="E665" s="73" t="s">
        <v>908</v>
      </c>
      <c r="F665" s="304"/>
      <c r="G665" s="304"/>
      <c r="H665" s="304"/>
      <c r="I665" s="207"/>
      <c r="J665" s="89"/>
      <c r="K665" s="23"/>
      <c r="L665" s="90"/>
      <c r="M665" s="92"/>
      <c r="N665" s="31"/>
      <c r="O665" s="90"/>
      <c r="P665" s="92"/>
      <c r="Q665" s="31"/>
      <c r="R665" s="90"/>
      <c r="S665" s="92"/>
      <c r="T665" s="31"/>
      <c r="U665" s="90"/>
      <c r="V665" s="92"/>
      <c r="W665" s="31"/>
      <c r="X665" s="120"/>
      <c r="Y665" s="106"/>
      <c r="Z665" s="107"/>
      <c r="AA665" s="93"/>
      <c r="AB665" s="93"/>
      <c r="AC665" s="83"/>
      <c r="AD665" s="83"/>
      <c r="AE665" s="93"/>
      <c r="AF665" s="93"/>
      <c r="AG665" s="83"/>
      <c r="AH665" s="83"/>
      <c r="AI665" s="93"/>
      <c r="AJ665" s="93"/>
      <c r="AK665" s="83"/>
      <c r="AL665" s="83"/>
      <c r="AM665" s="93"/>
      <c r="AN665" s="93"/>
      <c r="AO665" s="83"/>
      <c r="AP665" s="83"/>
      <c r="AQ665" s="93"/>
      <c r="AR665" s="93"/>
      <c r="AS665" s="83"/>
      <c r="AT665" s="83"/>
      <c r="AU665" s="93"/>
      <c r="AV665" s="93"/>
      <c r="AW665" s="83"/>
      <c r="AX665" s="83"/>
      <c r="AY665" s="93"/>
      <c r="AZ665" s="93"/>
    </row>
    <row r="666" spans="2:52" outlineLevel="1" x14ac:dyDescent="0.45">
      <c r="B666" s="298"/>
      <c r="C666" s="303"/>
      <c r="D666" s="303"/>
      <c r="E666" s="306" t="s">
        <v>909</v>
      </c>
      <c r="F666" s="307"/>
      <c r="G666" s="307"/>
      <c r="H666" s="307"/>
      <c r="I666" s="207"/>
      <c r="J666" s="89"/>
      <c r="K666" s="23"/>
      <c r="L666" s="90"/>
      <c r="M666" s="92"/>
      <c r="N666" s="31"/>
      <c r="O666" s="90"/>
      <c r="P666" s="92"/>
      <c r="Q666" s="31"/>
      <c r="R666" s="90"/>
      <c r="S666" s="92"/>
      <c r="T666" s="31"/>
      <c r="U666" s="90"/>
      <c r="V666" s="92"/>
      <c r="W666" s="31"/>
      <c r="X666" s="120"/>
      <c r="Y666" s="106"/>
      <c r="Z666" s="107"/>
      <c r="AA666" s="93"/>
      <c r="AB666" s="93"/>
      <c r="AC666" s="83"/>
      <c r="AD666" s="83"/>
      <c r="AE666" s="93"/>
      <c r="AF666" s="93"/>
      <c r="AG666" s="83"/>
      <c r="AH666" s="83"/>
      <c r="AI666" s="93"/>
      <c r="AJ666" s="93"/>
      <c r="AK666" s="83"/>
      <c r="AL666" s="83"/>
      <c r="AM666" s="93"/>
      <c r="AN666" s="93"/>
      <c r="AO666" s="83"/>
      <c r="AP666" s="83"/>
      <c r="AQ666" s="93"/>
      <c r="AR666" s="93"/>
      <c r="AS666" s="83"/>
      <c r="AT666" s="83"/>
      <c r="AU666" s="93"/>
      <c r="AV666" s="93"/>
      <c r="AW666" s="83"/>
      <c r="AX666" s="83"/>
      <c r="AY666" s="93"/>
      <c r="AZ666" s="93"/>
    </row>
    <row r="667" spans="2:52" outlineLevel="1" x14ac:dyDescent="0.45">
      <c r="B667" s="298"/>
      <c r="C667" s="303">
        <v>1</v>
      </c>
      <c r="D667" s="303"/>
      <c r="E667" s="306" t="s">
        <v>910</v>
      </c>
      <c r="F667" s="307"/>
      <c r="G667" s="307"/>
      <c r="H667" s="307"/>
      <c r="I667" s="207"/>
      <c r="J667" s="89"/>
      <c r="K667" s="23"/>
      <c r="L667" s="90"/>
      <c r="M667" s="92"/>
      <c r="N667" s="31"/>
      <c r="O667" s="90"/>
      <c r="P667" s="92"/>
      <c r="Q667" s="31"/>
      <c r="R667" s="90"/>
      <c r="S667" s="92"/>
      <c r="T667" s="31"/>
      <c r="U667" s="90"/>
      <c r="V667" s="92"/>
      <c r="W667" s="31"/>
      <c r="X667" s="120"/>
      <c r="Y667" s="106"/>
      <c r="Z667" s="107"/>
      <c r="AA667" s="93"/>
      <c r="AB667" s="93"/>
      <c r="AC667" s="83"/>
      <c r="AD667" s="83"/>
      <c r="AE667" s="93"/>
      <c r="AF667" s="93"/>
      <c r="AG667" s="83"/>
      <c r="AH667" s="83"/>
      <c r="AI667" s="93"/>
      <c r="AJ667" s="93"/>
      <c r="AK667" s="83"/>
      <c r="AL667" s="83"/>
      <c r="AM667" s="93"/>
      <c r="AN667" s="93"/>
      <c r="AO667" s="83"/>
      <c r="AP667" s="83"/>
      <c r="AQ667" s="93"/>
      <c r="AR667" s="93"/>
      <c r="AS667" s="83"/>
      <c r="AT667" s="83"/>
      <c r="AU667" s="93"/>
      <c r="AV667" s="93"/>
      <c r="AW667" s="83"/>
      <c r="AX667" s="83"/>
      <c r="AY667" s="93"/>
      <c r="AZ667" s="93"/>
    </row>
    <row r="668" spans="2:52" outlineLevel="1" x14ac:dyDescent="0.45">
      <c r="B668" s="298"/>
      <c r="C668" s="303">
        <v>2</v>
      </c>
      <c r="D668" s="303"/>
      <c r="E668" s="306" t="s">
        <v>911</v>
      </c>
      <c r="F668" s="307"/>
      <c r="G668" s="307"/>
      <c r="H668" s="307"/>
      <c r="I668" s="207"/>
      <c r="J668" s="89"/>
      <c r="K668" s="23"/>
      <c r="L668" s="90"/>
      <c r="M668" s="92"/>
      <c r="N668" s="31"/>
      <c r="O668" s="90"/>
      <c r="P668" s="92"/>
      <c r="Q668" s="31"/>
      <c r="R668" s="90"/>
      <c r="S668" s="92"/>
      <c r="T668" s="31"/>
      <c r="U668" s="90"/>
      <c r="V668" s="92"/>
      <c r="W668" s="31"/>
      <c r="X668" s="120"/>
      <c r="Y668" s="106"/>
      <c r="Z668" s="107"/>
      <c r="AA668" s="93"/>
      <c r="AB668" s="93"/>
      <c r="AC668" s="83"/>
      <c r="AD668" s="83"/>
      <c r="AE668" s="93"/>
      <c r="AF668" s="93"/>
      <c r="AG668" s="83"/>
      <c r="AH668" s="83"/>
      <c r="AI668" s="93"/>
      <c r="AJ668" s="93"/>
      <c r="AK668" s="83"/>
      <c r="AL668" s="83"/>
      <c r="AM668" s="93"/>
      <c r="AN668" s="93"/>
      <c r="AO668" s="83"/>
      <c r="AP668" s="83"/>
      <c r="AQ668" s="93"/>
      <c r="AR668" s="93"/>
      <c r="AS668" s="83"/>
      <c r="AT668" s="83"/>
      <c r="AU668" s="93"/>
      <c r="AV668" s="93"/>
      <c r="AW668" s="83"/>
      <c r="AX668" s="83"/>
      <c r="AY668" s="93"/>
      <c r="AZ668" s="93"/>
    </row>
    <row r="669" spans="2:52" outlineLevel="1" x14ac:dyDescent="0.45">
      <c r="B669" s="298"/>
      <c r="C669" s="303">
        <v>3</v>
      </c>
      <c r="D669" s="99"/>
      <c r="I669" s="207"/>
      <c r="J669" s="89"/>
      <c r="K669" s="23"/>
      <c r="L669" s="90"/>
      <c r="M669" s="92"/>
      <c r="N669" s="31"/>
      <c r="O669" s="90"/>
      <c r="P669" s="92"/>
      <c r="Q669" s="31"/>
      <c r="R669" s="90"/>
      <c r="S669" s="92"/>
      <c r="T669" s="31"/>
      <c r="U669" s="90"/>
      <c r="V669" s="92"/>
      <c r="W669" s="31"/>
      <c r="X669" s="120"/>
      <c r="Y669" s="106"/>
      <c r="Z669" s="107"/>
      <c r="AA669" s="93"/>
      <c r="AB669" s="93"/>
      <c r="AC669" s="83"/>
      <c r="AD669" s="83"/>
      <c r="AE669" s="93"/>
      <c r="AF669" s="93"/>
      <c r="AG669" s="83"/>
      <c r="AH669" s="83"/>
      <c r="AI669" s="93"/>
      <c r="AJ669" s="93"/>
      <c r="AK669" s="83"/>
      <c r="AL669" s="83"/>
      <c r="AM669" s="93"/>
      <c r="AN669" s="93"/>
      <c r="AO669" s="83"/>
      <c r="AP669" s="83"/>
      <c r="AQ669" s="93"/>
      <c r="AR669" s="93"/>
      <c r="AS669" s="83"/>
      <c r="AT669" s="83"/>
      <c r="AU669" s="93"/>
      <c r="AV669" s="93"/>
      <c r="AW669" s="83"/>
      <c r="AX669" s="83"/>
      <c r="AY669" s="93"/>
      <c r="AZ669" s="93"/>
    </row>
    <row r="670" spans="2:52" outlineLevel="1" x14ac:dyDescent="0.45">
      <c r="B670" s="298"/>
      <c r="E670" s="73" t="s">
        <v>912</v>
      </c>
      <c r="F670" s="304"/>
      <c r="G670" s="304"/>
      <c r="H670" s="304"/>
      <c r="I670" s="207"/>
      <c r="J670" s="89"/>
      <c r="K670" s="23"/>
      <c r="L670" s="90"/>
      <c r="M670" s="92"/>
      <c r="N670" s="31"/>
      <c r="O670" s="90"/>
      <c r="P670" s="92"/>
      <c r="Q670" s="31"/>
      <c r="R670" s="90"/>
      <c r="S670" s="92"/>
      <c r="T670" s="31"/>
      <c r="U670" s="90"/>
      <c r="V670" s="92"/>
      <c r="W670" s="31"/>
      <c r="X670" s="120"/>
      <c r="Y670" s="106"/>
      <c r="Z670" s="107"/>
      <c r="AA670" s="93"/>
      <c r="AB670" s="93"/>
      <c r="AC670" s="83"/>
      <c r="AD670" s="83"/>
      <c r="AE670" s="93"/>
      <c r="AF670" s="93"/>
      <c r="AG670" s="83"/>
      <c r="AH670" s="83"/>
      <c r="AI670" s="93"/>
      <c r="AJ670" s="93"/>
      <c r="AK670" s="83"/>
      <c r="AL670" s="83"/>
      <c r="AM670" s="93"/>
      <c r="AN670" s="93"/>
      <c r="AO670" s="83"/>
      <c r="AP670" s="83"/>
      <c r="AQ670" s="93"/>
      <c r="AR670" s="93"/>
      <c r="AS670" s="83"/>
      <c r="AT670" s="83"/>
      <c r="AU670" s="93"/>
      <c r="AV670" s="93"/>
      <c r="AW670" s="83"/>
      <c r="AX670" s="83"/>
      <c r="AY670" s="93"/>
      <c r="AZ670" s="93"/>
    </row>
    <row r="671" spans="2:52" outlineLevel="1" x14ac:dyDescent="0.45">
      <c r="B671" s="298"/>
      <c r="C671" s="305" t="s">
        <v>242</v>
      </c>
      <c r="D671" s="305"/>
      <c r="E671" s="73" t="s">
        <v>898</v>
      </c>
      <c r="F671" s="304"/>
      <c r="G671" s="304"/>
      <c r="H671" s="304"/>
      <c r="I671" s="207"/>
      <c r="J671" s="89"/>
      <c r="K671" s="23"/>
      <c r="L671" s="90"/>
      <c r="M671" s="92"/>
      <c r="N671" s="31"/>
      <c r="O671" s="90"/>
      <c r="P671" s="92"/>
      <c r="Q671" s="31"/>
      <c r="R671" s="90"/>
      <c r="S671" s="92"/>
      <c r="T671" s="31"/>
      <c r="U671" s="90"/>
      <c r="V671" s="92"/>
      <c r="W671" s="31"/>
      <c r="X671" s="120"/>
      <c r="Y671" s="106"/>
      <c r="Z671" s="107"/>
      <c r="AA671" s="93"/>
      <c r="AB671" s="93"/>
      <c r="AC671" s="83"/>
      <c r="AD671" s="83"/>
      <c r="AE671" s="93"/>
      <c r="AF671" s="93"/>
      <c r="AG671" s="83"/>
      <c r="AH671" s="83"/>
      <c r="AI671" s="93"/>
      <c r="AJ671" s="93"/>
      <c r="AK671" s="83"/>
      <c r="AL671" s="83"/>
      <c r="AM671" s="93"/>
      <c r="AN671" s="93"/>
      <c r="AO671" s="83"/>
      <c r="AP671" s="83"/>
      <c r="AQ671" s="93"/>
      <c r="AR671" s="93"/>
      <c r="AS671" s="83"/>
      <c r="AT671" s="83"/>
      <c r="AU671" s="93"/>
      <c r="AV671" s="93"/>
      <c r="AW671" s="83"/>
      <c r="AX671" s="83"/>
      <c r="AY671" s="93"/>
      <c r="AZ671" s="93"/>
    </row>
    <row r="672" spans="2:52" outlineLevel="1" x14ac:dyDescent="0.45">
      <c r="B672" s="298"/>
      <c r="C672" s="303"/>
      <c r="D672" s="303"/>
      <c r="E672" s="306" t="s">
        <v>417</v>
      </c>
      <c r="F672" s="307"/>
      <c r="G672" s="307"/>
      <c r="H672" s="307"/>
      <c r="I672" s="207"/>
      <c r="J672" s="89"/>
      <c r="K672" s="23"/>
      <c r="L672" s="90"/>
      <c r="M672" s="92"/>
      <c r="N672" s="31"/>
      <c r="O672" s="90"/>
      <c r="P672" s="92"/>
      <c r="Q672" s="31"/>
      <c r="R672" s="90"/>
      <c r="S672" s="92"/>
      <c r="T672" s="31"/>
      <c r="U672" s="90"/>
      <c r="V672" s="92"/>
      <c r="W672" s="31"/>
      <c r="X672" s="120"/>
      <c r="Y672" s="106"/>
      <c r="Z672" s="107"/>
      <c r="AA672" s="93"/>
      <c r="AB672" s="93"/>
      <c r="AC672" s="83"/>
      <c r="AD672" s="83"/>
      <c r="AE672" s="93"/>
      <c r="AF672" s="93"/>
      <c r="AG672" s="83"/>
      <c r="AH672" s="83"/>
      <c r="AI672" s="93"/>
      <c r="AJ672" s="93"/>
      <c r="AK672" s="83"/>
      <c r="AL672" s="83"/>
      <c r="AM672" s="93"/>
      <c r="AN672" s="93"/>
      <c r="AO672" s="83"/>
      <c r="AP672" s="83"/>
      <c r="AQ672" s="93"/>
      <c r="AR672" s="93"/>
      <c r="AS672" s="83"/>
      <c r="AT672" s="83"/>
      <c r="AU672" s="93"/>
      <c r="AV672" s="93"/>
      <c r="AW672" s="83"/>
      <c r="AX672" s="83"/>
      <c r="AY672" s="93"/>
      <c r="AZ672" s="93"/>
    </row>
    <row r="673" spans="2:52" outlineLevel="1" x14ac:dyDescent="0.45">
      <c r="B673" s="298"/>
      <c r="C673" s="303">
        <v>1</v>
      </c>
      <c r="D673" s="303"/>
      <c r="E673" s="306" t="s">
        <v>913</v>
      </c>
      <c r="F673" s="307"/>
      <c r="G673" s="307"/>
      <c r="H673" s="307"/>
      <c r="I673" s="207"/>
      <c r="J673" s="89"/>
      <c r="K673" s="23"/>
      <c r="L673" s="90"/>
      <c r="M673" s="92"/>
      <c r="N673" s="31"/>
      <c r="O673" s="90"/>
      <c r="P673" s="92"/>
      <c r="Q673" s="31"/>
      <c r="R673" s="90"/>
      <c r="S673" s="92"/>
      <c r="T673" s="31"/>
      <c r="U673" s="90"/>
      <c r="V673" s="92"/>
      <c r="W673" s="31"/>
      <c r="X673" s="120"/>
      <c r="Y673" s="106"/>
      <c r="Z673" s="107"/>
      <c r="AA673" s="93"/>
      <c r="AB673" s="93"/>
      <c r="AC673" s="83"/>
      <c r="AD673" s="83"/>
      <c r="AE673" s="93"/>
      <c r="AF673" s="93"/>
      <c r="AG673" s="83"/>
      <c r="AH673" s="83"/>
      <c r="AI673" s="93"/>
      <c r="AJ673" s="93"/>
      <c r="AK673" s="83"/>
      <c r="AL673" s="83"/>
      <c r="AM673" s="93"/>
      <c r="AN673" s="93"/>
      <c r="AO673" s="83"/>
      <c r="AP673" s="83"/>
      <c r="AQ673" s="93"/>
      <c r="AR673" s="93"/>
      <c r="AS673" s="83"/>
      <c r="AT673" s="83"/>
      <c r="AU673" s="93"/>
      <c r="AV673" s="93"/>
      <c r="AW673" s="83"/>
      <c r="AX673" s="83"/>
      <c r="AY673" s="93"/>
      <c r="AZ673" s="93"/>
    </row>
    <row r="674" spans="2:52" outlineLevel="1" x14ac:dyDescent="0.45">
      <c r="B674" s="298"/>
      <c r="C674" s="303"/>
      <c r="D674" s="303"/>
      <c r="E674" s="306" t="s">
        <v>914</v>
      </c>
      <c r="F674" s="307"/>
      <c r="G674" s="307"/>
      <c r="H674" s="307"/>
      <c r="I674" s="207"/>
      <c r="J674" s="89"/>
      <c r="K674" s="23"/>
      <c r="L674" s="90"/>
      <c r="M674" s="92"/>
      <c r="N674" s="31"/>
      <c r="O674" s="90"/>
      <c r="P674" s="92"/>
      <c r="Q674" s="31"/>
      <c r="R674" s="90"/>
      <c r="S674" s="92"/>
      <c r="T674" s="31"/>
      <c r="U674" s="90"/>
      <c r="V674" s="92"/>
      <c r="W674" s="31"/>
      <c r="X674" s="120"/>
      <c r="Y674" s="106"/>
      <c r="Z674" s="107"/>
      <c r="AA674" s="93"/>
      <c r="AB674" s="93"/>
      <c r="AC674" s="83"/>
      <c r="AD674" s="83"/>
      <c r="AE674" s="93"/>
      <c r="AF674" s="93"/>
      <c r="AG674" s="83"/>
      <c r="AH674" s="83"/>
      <c r="AI674" s="93"/>
      <c r="AJ674" s="93"/>
      <c r="AK674" s="83"/>
      <c r="AL674" s="83"/>
      <c r="AM674" s="93"/>
      <c r="AN674" s="93"/>
      <c r="AO674" s="83"/>
      <c r="AP674" s="83"/>
      <c r="AQ674" s="93"/>
      <c r="AR674" s="93"/>
      <c r="AS674" s="83"/>
      <c r="AT674" s="83"/>
      <c r="AU674" s="93"/>
      <c r="AV674" s="93"/>
      <c r="AW674" s="83"/>
      <c r="AX674" s="83"/>
      <c r="AY674" s="93"/>
      <c r="AZ674" s="93"/>
    </row>
    <row r="675" spans="2:52" outlineLevel="1" x14ac:dyDescent="0.45">
      <c r="B675" s="298"/>
      <c r="C675" s="303"/>
      <c r="D675" s="303"/>
      <c r="E675" s="306" t="s">
        <v>915</v>
      </c>
      <c r="F675" s="307"/>
      <c r="G675" s="307"/>
      <c r="H675" s="307"/>
      <c r="I675" s="207"/>
      <c r="J675" s="89"/>
      <c r="K675" s="23"/>
      <c r="L675" s="90"/>
      <c r="M675" s="92"/>
      <c r="N675" s="31"/>
      <c r="O675" s="90"/>
      <c r="P675" s="92"/>
      <c r="Q675" s="31"/>
      <c r="R675" s="90"/>
      <c r="S675" s="92"/>
      <c r="T675" s="31"/>
      <c r="U675" s="90"/>
      <c r="V675" s="92"/>
      <c r="W675" s="31"/>
      <c r="X675" s="120"/>
      <c r="Y675" s="106"/>
      <c r="Z675" s="107"/>
      <c r="AA675" s="93"/>
      <c r="AB675" s="93"/>
      <c r="AC675" s="83"/>
      <c r="AD675" s="83"/>
      <c r="AE675" s="93"/>
      <c r="AF675" s="93"/>
      <c r="AG675" s="83"/>
      <c r="AH675" s="83"/>
      <c r="AI675" s="93"/>
      <c r="AJ675" s="93"/>
      <c r="AK675" s="83"/>
      <c r="AL675" s="83"/>
      <c r="AM675" s="93"/>
      <c r="AN675" s="93"/>
      <c r="AO675" s="83"/>
      <c r="AP675" s="83"/>
      <c r="AQ675" s="93"/>
      <c r="AR675" s="93"/>
      <c r="AS675" s="83"/>
      <c r="AT675" s="83"/>
      <c r="AU675" s="93"/>
      <c r="AV675" s="93"/>
      <c r="AW675" s="83"/>
      <c r="AX675" s="83"/>
      <c r="AY675" s="93"/>
      <c r="AZ675" s="93"/>
    </row>
    <row r="676" spans="2:52" outlineLevel="1" x14ac:dyDescent="0.45">
      <c r="B676" s="298"/>
      <c r="C676" s="303"/>
      <c r="D676" s="303"/>
      <c r="E676" s="306" t="s">
        <v>916</v>
      </c>
      <c r="F676" s="307"/>
      <c r="G676" s="307"/>
      <c r="H676" s="307"/>
      <c r="I676" s="207"/>
      <c r="J676" s="89"/>
      <c r="K676" s="23"/>
      <c r="L676" s="90"/>
      <c r="M676" s="92"/>
      <c r="N676" s="31"/>
      <c r="O676" s="90"/>
      <c r="P676" s="92"/>
      <c r="Q676" s="31"/>
      <c r="R676" s="90"/>
      <c r="S676" s="92"/>
      <c r="T676" s="31"/>
      <c r="U676" s="90"/>
      <c r="V676" s="92"/>
      <c r="W676" s="31"/>
      <c r="X676" s="120"/>
      <c r="Y676" s="106"/>
      <c r="Z676" s="107"/>
      <c r="AA676" s="93"/>
      <c r="AB676" s="93"/>
      <c r="AC676" s="83"/>
      <c r="AD676" s="83"/>
      <c r="AE676" s="93"/>
      <c r="AF676" s="93"/>
      <c r="AG676" s="83"/>
      <c r="AH676" s="83"/>
      <c r="AI676" s="93"/>
      <c r="AJ676" s="93"/>
      <c r="AK676" s="83"/>
      <c r="AL676" s="83"/>
      <c r="AM676" s="93"/>
      <c r="AN676" s="93"/>
      <c r="AO676" s="83"/>
      <c r="AP676" s="83"/>
      <c r="AQ676" s="93"/>
      <c r="AR676" s="93"/>
      <c r="AS676" s="83"/>
      <c r="AT676" s="83"/>
      <c r="AU676" s="93"/>
      <c r="AV676" s="93"/>
      <c r="AW676" s="83"/>
      <c r="AX676" s="83"/>
      <c r="AY676" s="93"/>
      <c r="AZ676" s="93"/>
    </row>
    <row r="677" spans="2:52" outlineLevel="1" x14ac:dyDescent="0.45">
      <c r="B677" s="298"/>
      <c r="C677" s="303"/>
      <c r="D677" s="303"/>
      <c r="E677" s="306" t="s">
        <v>415</v>
      </c>
      <c r="F677" s="307"/>
      <c r="G677" s="307"/>
      <c r="H677" s="307"/>
      <c r="I677" s="207"/>
      <c r="J677" s="89"/>
      <c r="K677" s="23"/>
      <c r="L677" s="90"/>
      <c r="M677" s="92"/>
      <c r="N677" s="31"/>
      <c r="O677" s="90"/>
      <c r="P677" s="92"/>
      <c r="Q677" s="31"/>
      <c r="R677" s="90"/>
      <c r="S677" s="92"/>
      <c r="T677" s="31"/>
      <c r="U677" s="90"/>
      <c r="V677" s="92"/>
      <c r="W677" s="31"/>
      <c r="X677" s="120"/>
      <c r="Y677" s="106"/>
      <c r="Z677" s="107"/>
      <c r="AA677" s="93"/>
      <c r="AB677" s="93"/>
      <c r="AC677" s="83"/>
      <c r="AD677" s="83"/>
      <c r="AE677" s="93"/>
      <c r="AF677" s="93"/>
      <c r="AG677" s="83"/>
      <c r="AH677" s="83"/>
      <c r="AI677" s="93"/>
      <c r="AJ677" s="93"/>
      <c r="AK677" s="83"/>
      <c r="AL677" s="83"/>
      <c r="AM677" s="93"/>
      <c r="AN677" s="93"/>
      <c r="AO677" s="83"/>
      <c r="AP677" s="83"/>
      <c r="AQ677" s="93"/>
      <c r="AR677" s="93"/>
      <c r="AS677" s="83"/>
      <c r="AT677" s="83"/>
      <c r="AU677" s="93"/>
      <c r="AV677" s="93"/>
      <c r="AW677" s="83"/>
      <c r="AX677" s="83"/>
      <c r="AY677" s="93"/>
      <c r="AZ677" s="93"/>
    </row>
    <row r="678" spans="2:52" outlineLevel="1" x14ac:dyDescent="0.45">
      <c r="B678" s="298"/>
      <c r="C678" s="303"/>
      <c r="D678" s="303"/>
      <c r="E678" s="306" t="s">
        <v>917</v>
      </c>
      <c r="F678" s="307"/>
      <c r="G678" s="307"/>
      <c r="H678" s="307"/>
      <c r="I678" s="207"/>
      <c r="J678" s="89"/>
      <c r="K678" s="23"/>
      <c r="L678" s="90"/>
      <c r="M678" s="92"/>
      <c r="N678" s="31"/>
      <c r="O678" s="90"/>
      <c r="P678" s="92"/>
      <c r="Q678" s="31"/>
      <c r="R678" s="90"/>
      <c r="S678" s="92"/>
      <c r="T678" s="31"/>
      <c r="U678" s="90"/>
      <c r="V678" s="92"/>
      <c r="W678" s="31"/>
      <c r="X678" s="120"/>
      <c r="Y678" s="106"/>
      <c r="Z678" s="107"/>
      <c r="AA678" s="93"/>
      <c r="AB678" s="93"/>
      <c r="AC678" s="83"/>
      <c r="AD678" s="83"/>
      <c r="AE678" s="93"/>
      <c r="AF678" s="93"/>
      <c r="AG678" s="83"/>
      <c r="AH678" s="83"/>
      <c r="AI678" s="93"/>
      <c r="AJ678" s="93"/>
      <c r="AK678" s="83"/>
      <c r="AL678" s="83"/>
      <c r="AM678" s="93"/>
      <c r="AN678" s="93"/>
      <c r="AO678" s="83"/>
      <c r="AP678" s="83"/>
      <c r="AQ678" s="93"/>
      <c r="AR678" s="93"/>
      <c r="AS678" s="83"/>
      <c r="AT678" s="83"/>
      <c r="AU678" s="93"/>
      <c r="AV678" s="93"/>
      <c r="AW678" s="83"/>
      <c r="AX678" s="83"/>
      <c r="AY678" s="93"/>
      <c r="AZ678" s="93"/>
    </row>
    <row r="679" spans="2:52" outlineLevel="1" x14ac:dyDescent="0.45">
      <c r="B679" s="298"/>
      <c r="C679" s="303"/>
      <c r="D679" s="303"/>
      <c r="E679" s="306" t="s">
        <v>918</v>
      </c>
      <c r="F679" s="307"/>
      <c r="G679" s="307"/>
      <c r="H679" s="307"/>
      <c r="I679" s="207"/>
      <c r="J679" s="89"/>
      <c r="K679" s="23"/>
      <c r="L679" s="90"/>
      <c r="M679" s="92"/>
      <c r="N679" s="31"/>
      <c r="O679" s="90"/>
      <c r="P679" s="92"/>
      <c r="Q679" s="31"/>
      <c r="R679" s="90"/>
      <c r="S679" s="92"/>
      <c r="T679" s="31"/>
      <c r="U679" s="90"/>
      <c r="V679" s="92"/>
      <c r="W679" s="31"/>
      <c r="X679" s="120"/>
      <c r="Y679" s="106"/>
      <c r="Z679" s="107"/>
      <c r="AA679" s="93"/>
      <c r="AB679" s="93"/>
      <c r="AC679" s="83"/>
      <c r="AD679" s="83"/>
      <c r="AE679" s="93"/>
      <c r="AF679" s="93"/>
      <c r="AG679" s="83"/>
      <c r="AH679" s="83"/>
      <c r="AI679" s="93"/>
      <c r="AJ679" s="93"/>
      <c r="AK679" s="83"/>
      <c r="AL679" s="83"/>
      <c r="AM679" s="93"/>
      <c r="AN679" s="93"/>
      <c r="AO679" s="83"/>
      <c r="AP679" s="83"/>
      <c r="AQ679" s="93"/>
      <c r="AR679" s="93"/>
      <c r="AS679" s="83"/>
      <c r="AT679" s="83"/>
      <c r="AU679" s="93"/>
      <c r="AV679" s="93"/>
      <c r="AW679" s="83"/>
      <c r="AX679" s="83"/>
      <c r="AY679" s="93"/>
      <c r="AZ679" s="93"/>
    </row>
    <row r="680" spans="2:52" outlineLevel="1" x14ac:dyDescent="0.45">
      <c r="B680" s="298"/>
      <c r="C680" s="303"/>
      <c r="D680" s="303"/>
      <c r="E680" s="306" t="s">
        <v>919</v>
      </c>
      <c r="F680" s="307"/>
      <c r="G680" s="307"/>
      <c r="H680" s="307"/>
      <c r="I680" s="207"/>
      <c r="J680" s="89"/>
      <c r="K680" s="23"/>
      <c r="L680" s="90"/>
      <c r="M680" s="92"/>
      <c r="N680" s="31"/>
      <c r="O680" s="90"/>
      <c r="P680" s="92"/>
      <c r="Q680" s="31"/>
      <c r="R680" s="90"/>
      <c r="S680" s="92"/>
      <c r="T680" s="31"/>
      <c r="U680" s="90"/>
      <c r="V680" s="92"/>
      <c r="W680" s="31"/>
      <c r="X680" s="120"/>
      <c r="Y680" s="106"/>
      <c r="Z680" s="107"/>
      <c r="AA680" s="93"/>
      <c r="AB680" s="93"/>
      <c r="AC680" s="83"/>
      <c r="AD680" s="83"/>
      <c r="AE680" s="93"/>
      <c r="AF680" s="93"/>
      <c r="AG680" s="83"/>
      <c r="AH680" s="83"/>
      <c r="AI680" s="93"/>
      <c r="AJ680" s="93"/>
      <c r="AK680" s="83"/>
      <c r="AL680" s="83"/>
      <c r="AM680" s="93"/>
      <c r="AN680" s="93"/>
      <c r="AO680" s="83"/>
      <c r="AP680" s="83"/>
      <c r="AQ680" s="93"/>
      <c r="AR680" s="93"/>
      <c r="AS680" s="83"/>
      <c r="AT680" s="83"/>
      <c r="AU680" s="93"/>
      <c r="AV680" s="93"/>
      <c r="AW680" s="83"/>
      <c r="AX680" s="83"/>
      <c r="AY680" s="93"/>
      <c r="AZ680" s="93"/>
    </row>
    <row r="681" spans="2:52" outlineLevel="1" x14ac:dyDescent="0.45">
      <c r="B681" s="298"/>
      <c r="C681" s="303"/>
      <c r="D681" s="303"/>
      <c r="E681" s="306" t="s">
        <v>920</v>
      </c>
      <c r="F681" s="307"/>
      <c r="G681" s="307"/>
      <c r="H681" s="307"/>
      <c r="I681" s="207"/>
      <c r="J681" s="89"/>
      <c r="K681" s="23"/>
      <c r="L681" s="90"/>
      <c r="M681" s="92"/>
      <c r="N681" s="31"/>
      <c r="O681" s="90"/>
      <c r="P681" s="92"/>
      <c r="Q681" s="31"/>
      <c r="R681" s="90"/>
      <c r="S681" s="92"/>
      <c r="T681" s="31"/>
      <c r="U681" s="90"/>
      <c r="V681" s="92"/>
      <c r="W681" s="31"/>
      <c r="X681" s="120"/>
      <c r="Y681" s="106"/>
      <c r="Z681" s="107"/>
      <c r="AA681" s="93"/>
      <c r="AB681" s="93"/>
      <c r="AC681" s="83"/>
      <c r="AD681" s="83"/>
      <c r="AE681" s="93"/>
      <c r="AF681" s="93"/>
      <c r="AG681" s="83"/>
      <c r="AH681" s="83"/>
      <c r="AI681" s="93"/>
      <c r="AJ681" s="93"/>
      <c r="AK681" s="83"/>
      <c r="AL681" s="83"/>
      <c r="AM681" s="93"/>
      <c r="AN681" s="93"/>
      <c r="AO681" s="83"/>
      <c r="AP681" s="83"/>
      <c r="AQ681" s="93"/>
      <c r="AR681" s="93"/>
      <c r="AS681" s="83"/>
      <c r="AT681" s="83"/>
      <c r="AU681" s="93"/>
      <c r="AV681" s="93"/>
      <c r="AW681" s="83"/>
      <c r="AX681" s="83"/>
      <c r="AY681" s="93"/>
      <c r="AZ681" s="93"/>
    </row>
    <row r="682" spans="2:52" outlineLevel="1" x14ac:dyDescent="0.45">
      <c r="B682" s="298"/>
      <c r="C682" s="303">
        <v>2</v>
      </c>
      <c r="D682" s="303"/>
      <c r="E682" s="306" t="s">
        <v>921</v>
      </c>
      <c r="F682" s="307"/>
      <c r="G682" s="307"/>
      <c r="H682" s="307"/>
      <c r="I682" s="207"/>
      <c r="J682" s="89"/>
      <c r="K682" s="23"/>
      <c r="L682" s="90"/>
      <c r="M682" s="92"/>
      <c r="N682" s="31"/>
      <c r="O682" s="90"/>
      <c r="P682" s="92"/>
      <c r="Q682" s="31"/>
      <c r="R682" s="90"/>
      <c r="S682" s="92"/>
      <c r="T682" s="31"/>
      <c r="U682" s="90"/>
      <c r="V682" s="92"/>
      <c r="W682" s="31"/>
      <c r="X682" s="120"/>
      <c r="Y682" s="106"/>
      <c r="Z682" s="107"/>
      <c r="AA682" s="93"/>
      <c r="AB682" s="93"/>
      <c r="AC682" s="83"/>
      <c r="AD682" s="83"/>
      <c r="AE682" s="93"/>
      <c r="AF682" s="93"/>
      <c r="AG682" s="83"/>
      <c r="AH682" s="83"/>
      <c r="AI682" s="93"/>
      <c r="AJ682" s="93"/>
      <c r="AK682" s="83"/>
      <c r="AL682" s="83"/>
      <c r="AM682" s="93"/>
      <c r="AN682" s="93"/>
      <c r="AO682" s="83"/>
      <c r="AP682" s="83"/>
      <c r="AQ682" s="93"/>
      <c r="AR682" s="93"/>
      <c r="AS682" s="83"/>
      <c r="AT682" s="83"/>
      <c r="AU682" s="93"/>
      <c r="AV682" s="93"/>
      <c r="AW682" s="83"/>
      <c r="AX682" s="83"/>
      <c r="AY682" s="93"/>
      <c r="AZ682" s="93"/>
    </row>
    <row r="683" spans="2:52" outlineLevel="1" x14ac:dyDescent="0.45">
      <c r="B683" s="298"/>
      <c r="C683" s="303"/>
      <c r="D683" s="303"/>
      <c r="E683" s="306" t="s">
        <v>922</v>
      </c>
      <c r="F683" s="307"/>
      <c r="G683" s="307"/>
      <c r="H683" s="307"/>
      <c r="I683" s="207"/>
      <c r="J683" s="89"/>
      <c r="K683" s="23"/>
      <c r="L683" s="90"/>
      <c r="M683" s="92"/>
      <c r="N683" s="31"/>
      <c r="O683" s="90"/>
      <c r="P683" s="92"/>
      <c r="Q683" s="31"/>
      <c r="R683" s="90"/>
      <c r="S683" s="92"/>
      <c r="T683" s="31"/>
      <c r="U683" s="90"/>
      <c r="V683" s="92"/>
      <c r="W683" s="31"/>
      <c r="X683" s="120"/>
      <c r="Y683" s="106"/>
      <c r="Z683" s="107"/>
      <c r="AA683" s="93"/>
      <c r="AB683" s="93"/>
      <c r="AC683" s="83"/>
      <c r="AD683" s="83"/>
      <c r="AE683" s="93"/>
      <c r="AF683" s="93"/>
      <c r="AG683" s="83"/>
      <c r="AH683" s="83"/>
      <c r="AI683" s="93"/>
      <c r="AJ683" s="93"/>
      <c r="AK683" s="83"/>
      <c r="AL683" s="83"/>
      <c r="AM683" s="93"/>
      <c r="AN683" s="93"/>
      <c r="AO683" s="83"/>
      <c r="AP683" s="83"/>
      <c r="AQ683" s="93"/>
      <c r="AR683" s="93"/>
      <c r="AS683" s="83"/>
      <c r="AT683" s="83"/>
      <c r="AU683" s="93"/>
      <c r="AV683" s="93"/>
      <c r="AW683" s="83"/>
      <c r="AX683" s="83"/>
      <c r="AY683" s="93"/>
      <c r="AZ683" s="93"/>
    </row>
    <row r="684" spans="2:52" outlineLevel="1" x14ac:dyDescent="0.45">
      <c r="B684" s="298"/>
      <c r="C684" s="303">
        <v>3</v>
      </c>
      <c r="D684" s="99"/>
      <c r="I684" s="207"/>
      <c r="J684" s="89"/>
      <c r="K684" s="23"/>
      <c r="L684" s="90"/>
      <c r="M684" s="92"/>
      <c r="N684" s="31"/>
      <c r="O684" s="90"/>
      <c r="P684" s="92"/>
      <c r="Q684" s="31"/>
      <c r="R684" s="90"/>
      <c r="S684" s="92"/>
      <c r="T684" s="31"/>
      <c r="U684" s="90"/>
      <c r="V684" s="92"/>
      <c r="W684" s="31"/>
      <c r="X684" s="120"/>
      <c r="Y684" s="106"/>
      <c r="Z684" s="107"/>
      <c r="AA684" s="93"/>
      <c r="AB684" s="93"/>
      <c r="AC684" s="83"/>
      <c r="AD684" s="83"/>
      <c r="AE684" s="93"/>
      <c r="AF684" s="93"/>
      <c r="AG684" s="83"/>
      <c r="AH684" s="83"/>
      <c r="AI684" s="93"/>
      <c r="AJ684" s="93"/>
      <c r="AK684" s="83"/>
      <c r="AL684" s="83"/>
      <c r="AM684" s="93"/>
      <c r="AN684" s="93"/>
      <c r="AO684" s="83"/>
      <c r="AP684" s="83"/>
      <c r="AQ684" s="93"/>
      <c r="AR684" s="93"/>
      <c r="AS684" s="83"/>
      <c r="AT684" s="83"/>
      <c r="AU684" s="93"/>
      <c r="AV684" s="93"/>
      <c r="AW684" s="83"/>
      <c r="AX684" s="83"/>
      <c r="AY684" s="93"/>
      <c r="AZ684" s="93"/>
    </row>
    <row r="685" spans="2:52" outlineLevel="1" x14ac:dyDescent="0.45">
      <c r="B685" s="298"/>
      <c r="E685" s="73" t="s">
        <v>923</v>
      </c>
      <c r="F685" s="304"/>
      <c r="G685" s="304"/>
      <c r="H685" s="304"/>
      <c r="I685" s="207"/>
      <c r="J685" s="89"/>
      <c r="K685" s="23"/>
      <c r="L685" s="90"/>
      <c r="M685" s="92"/>
      <c r="N685" s="31"/>
      <c r="O685" s="90"/>
      <c r="P685" s="92"/>
      <c r="Q685" s="31"/>
      <c r="R685" s="90"/>
      <c r="S685" s="92"/>
      <c r="T685" s="31"/>
      <c r="U685" s="90"/>
      <c r="V685" s="92"/>
      <c r="W685" s="31"/>
      <c r="X685" s="120"/>
      <c r="Y685" s="106"/>
      <c r="Z685" s="107"/>
      <c r="AA685" s="93"/>
      <c r="AB685" s="93"/>
      <c r="AC685" s="83"/>
      <c r="AD685" s="83"/>
      <c r="AE685" s="93"/>
      <c r="AF685" s="93"/>
      <c r="AG685" s="83"/>
      <c r="AH685" s="83"/>
      <c r="AI685" s="93"/>
      <c r="AJ685" s="93"/>
      <c r="AK685" s="83"/>
      <c r="AL685" s="83"/>
      <c r="AM685" s="93"/>
      <c r="AN685" s="93"/>
      <c r="AO685" s="83"/>
      <c r="AP685" s="83"/>
      <c r="AQ685" s="93"/>
      <c r="AR685" s="93"/>
      <c r="AS685" s="83"/>
      <c r="AT685" s="83"/>
      <c r="AU685" s="93"/>
      <c r="AV685" s="93"/>
      <c r="AW685" s="83"/>
      <c r="AX685" s="83"/>
      <c r="AY685" s="93"/>
      <c r="AZ685" s="93"/>
    </row>
    <row r="686" spans="2:52" outlineLevel="1" x14ac:dyDescent="0.45">
      <c r="B686" s="298"/>
      <c r="C686" s="73" t="s">
        <v>242</v>
      </c>
      <c r="D686" s="73"/>
      <c r="E686" s="306" t="s">
        <v>247</v>
      </c>
      <c r="F686" s="307"/>
      <c r="G686" s="307"/>
      <c r="H686" s="307"/>
      <c r="I686" s="207"/>
      <c r="J686" s="89"/>
      <c r="K686" s="23"/>
      <c r="L686" s="90"/>
      <c r="M686" s="92"/>
      <c r="N686" s="31"/>
      <c r="O686" s="90"/>
      <c r="P686" s="92"/>
      <c r="Q686" s="31"/>
      <c r="R686" s="90"/>
      <c r="S686" s="92"/>
      <c r="T686" s="31"/>
      <c r="U686" s="90"/>
      <c r="V686" s="92"/>
      <c r="W686" s="31"/>
      <c r="X686" s="120"/>
      <c r="Y686" s="106"/>
      <c r="Z686" s="107"/>
      <c r="AA686" s="93"/>
      <c r="AB686" s="93"/>
      <c r="AC686" s="83"/>
      <c r="AD686" s="83"/>
      <c r="AE686" s="93"/>
      <c r="AF686" s="93"/>
      <c r="AG686" s="83"/>
      <c r="AH686" s="83"/>
      <c r="AI686" s="93"/>
      <c r="AJ686" s="93"/>
      <c r="AK686" s="83"/>
      <c r="AL686" s="83"/>
      <c r="AM686" s="93"/>
      <c r="AN686" s="93"/>
      <c r="AO686" s="83"/>
      <c r="AP686" s="83"/>
      <c r="AQ686" s="93"/>
      <c r="AR686" s="93"/>
      <c r="AS686" s="83"/>
      <c r="AT686" s="83"/>
      <c r="AU686" s="93"/>
      <c r="AV686" s="93"/>
      <c r="AW686" s="83"/>
      <c r="AX686" s="83"/>
      <c r="AY686" s="93"/>
      <c r="AZ686" s="93"/>
    </row>
    <row r="687" spans="2:52" outlineLevel="1" x14ac:dyDescent="0.45">
      <c r="B687" s="298"/>
      <c r="C687" s="306"/>
      <c r="D687" s="306"/>
      <c r="E687" s="306" t="s">
        <v>250</v>
      </c>
      <c r="F687" s="307"/>
      <c r="G687" s="307"/>
      <c r="H687" s="307"/>
      <c r="I687" s="207"/>
      <c r="J687" s="89"/>
      <c r="K687" s="23"/>
      <c r="L687" s="90"/>
      <c r="M687" s="92"/>
      <c r="N687" s="31"/>
      <c r="O687" s="90"/>
      <c r="P687" s="92"/>
      <c r="Q687" s="31"/>
      <c r="R687" s="90"/>
      <c r="S687" s="92"/>
      <c r="T687" s="31"/>
      <c r="U687" s="90"/>
      <c r="V687" s="92"/>
      <c r="W687" s="31"/>
      <c r="X687" s="120"/>
      <c r="Y687" s="106"/>
      <c r="Z687" s="107"/>
      <c r="AA687" s="93"/>
      <c r="AB687" s="93"/>
      <c r="AC687" s="83"/>
      <c r="AD687" s="83"/>
      <c r="AE687" s="93"/>
      <c r="AF687" s="93"/>
      <c r="AG687" s="83"/>
      <c r="AH687" s="83"/>
      <c r="AI687" s="93"/>
      <c r="AJ687" s="93"/>
      <c r="AK687" s="83"/>
      <c r="AL687" s="83"/>
      <c r="AM687" s="93"/>
      <c r="AN687" s="93"/>
      <c r="AO687" s="83"/>
      <c r="AP687" s="83"/>
      <c r="AQ687" s="93"/>
      <c r="AR687" s="93"/>
      <c r="AS687" s="83"/>
      <c r="AT687" s="83"/>
      <c r="AU687" s="93"/>
      <c r="AV687" s="93"/>
      <c r="AW687" s="83"/>
      <c r="AX687" s="83"/>
      <c r="AY687" s="93"/>
      <c r="AZ687" s="93"/>
    </row>
    <row r="688" spans="2:52" outlineLevel="1" x14ac:dyDescent="0.45">
      <c r="B688" s="298"/>
      <c r="C688" s="306"/>
      <c r="D688" s="306"/>
      <c r="E688" s="306" t="s">
        <v>233</v>
      </c>
      <c r="F688" s="307"/>
      <c r="G688" s="307"/>
      <c r="H688" s="307"/>
      <c r="I688" s="207"/>
      <c r="J688" s="89"/>
      <c r="K688" s="23"/>
      <c r="L688" s="90"/>
      <c r="M688" s="92"/>
      <c r="N688" s="31"/>
      <c r="O688" s="90"/>
      <c r="P688" s="92"/>
      <c r="Q688" s="31"/>
      <c r="R688" s="90"/>
      <c r="S688" s="92"/>
      <c r="T688" s="31"/>
      <c r="U688" s="90"/>
      <c r="V688" s="92"/>
      <c r="W688" s="31"/>
      <c r="X688" s="120"/>
      <c r="Y688" s="106"/>
      <c r="Z688" s="107"/>
      <c r="AA688" s="93"/>
      <c r="AB688" s="93"/>
      <c r="AC688" s="83"/>
      <c r="AD688" s="83"/>
      <c r="AE688" s="93"/>
      <c r="AF688" s="93"/>
      <c r="AG688" s="83"/>
      <c r="AH688" s="83"/>
      <c r="AI688" s="93"/>
      <c r="AJ688" s="93"/>
      <c r="AK688" s="83"/>
      <c r="AL688" s="83"/>
      <c r="AM688" s="93"/>
      <c r="AN688" s="93"/>
      <c r="AO688" s="83"/>
      <c r="AP688" s="83"/>
      <c r="AQ688" s="93"/>
      <c r="AR688" s="93"/>
      <c r="AS688" s="83"/>
      <c r="AT688" s="83"/>
      <c r="AU688" s="93"/>
      <c r="AV688" s="93"/>
      <c r="AW688" s="83"/>
      <c r="AX688" s="83"/>
      <c r="AY688" s="93"/>
      <c r="AZ688" s="93"/>
    </row>
    <row r="689" spans="2:52" outlineLevel="1" x14ac:dyDescent="0.45">
      <c r="B689" s="298"/>
      <c r="C689" s="306"/>
      <c r="D689" s="306"/>
      <c r="E689" s="306" t="s">
        <v>924</v>
      </c>
      <c r="F689" s="307"/>
      <c r="G689" s="307"/>
      <c r="H689" s="307"/>
      <c r="I689" s="207"/>
      <c r="J689" s="89"/>
      <c r="K689" s="23"/>
      <c r="L689" s="90"/>
      <c r="M689" s="92"/>
      <c r="N689" s="31"/>
      <c r="O689" s="90"/>
      <c r="P689" s="92"/>
      <c r="Q689" s="31"/>
      <c r="R689" s="90"/>
      <c r="S689" s="92"/>
      <c r="T689" s="31"/>
      <c r="U689" s="90"/>
      <c r="V689" s="92"/>
      <c r="W689" s="31"/>
      <c r="X689" s="120"/>
      <c r="Y689" s="106"/>
      <c r="Z689" s="107"/>
      <c r="AA689" s="93"/>
      <c r="AB689" s="93"/>
      <c r="AC689" s="83"/>
      <c r="AD689" s="83"/>
      <c r="AE689" s="93"/>
      <c r="AF689" s="93"/>
      <c r="AG689" s="83"/>
      <c r="AH689" s="83"/>
      <c r="AI689" s="93"/>
      <c r="AJ689" s="93"/>
      <c r="AK689" s="83"/>
      <c r="AL689" s="83"/>
      <c r="AM689" s="93"/>
      <c r="AN689" s="93"/>
      <c r="AO689" s="83"/>
      <c r="AP689" s="83"/>
      <c r="AQ689" s="93"/>
      <c r="AR689" s="93"/>
      <c r="AS689" s="83"/>
      <c r="AT689" s="83"/>
      <c r="AU689" s="93"/>
      <c r="AV689" s="93"/>
      <c r="AW689" s="83"/>
      <c r="AX689" s="83"/>
      <c r="AY689" s="93"/>
      <c r="AZ689" s="93"/>
    </row>
    <row r="690" spans="2:52" outlineLevel="1" x14ac:dyDescent="0.45">
      <c r="B690" s="298"/>
      <c r="C690" s="306"/>
      <c r="D690" s="306"/>
      <c r="E690" s="306" t="s">
        <v>902</v>
      </c>
      <c r="F690" s="307"/>
      <c r="G690" s="307"/>
      <c r="H690" s="307"/>
      <c r="I690" s="207"/>
      <c r="J690" s="89"/>
      <c r="K690" s="23"/>
      <c r="L690" s="90"/>
      <c r="M690" s="92"/>
      <c r="N690" s="31"/>
      <c r="O690" s="90"/>
      <c r="P690" s="92"/>
      <c r="Q690" s="31"/>
      <c r="R690" s="90"/>
      <c r="S690" s="92"/>
      <c r="T690" s="31"/>
      <c r="U690" s="90"/>
      <c r="V690" s="92"/>
      <c r="W690" s="31"/>
      <c r="X690" s="120"/>
      <c r="Y690" s="106"/>
      <c r="Z690" s="107"/>
      <c r="AA690" s="93"/>
      <c r="AB690" s="93"/>
      <c r="AC690" s="83"/>
      <c r="AD690" s="83"/>
      <c r="AE690" s="93"/>
      <c r="AF690" s="93"/>
      <c r="AG690" s="83"/>
      <c r="AH690" s="83"/>
      <c r="AI690" s="93"/>
      <c r="AJ690" s="93"/>
      <c r="AK690" s="83"/>
      <c r="AL690" s="83"/>
      <c r="AM690" s="93"/>
      <c r="AN690" s="93"/>
      <c r="AO690" s="83"/>
      <c r="AP690" s="83"/>
      <c r="AQ690" s="93"/>
      <c r="AR690" s="93"/>
      <c r="AS690" s="83"/>
      <c r="AT690" s="83"/>
      <c r="AU690" s="93"/>
      <c r="AV690" s="93"/>
      <c r="AW690" s="83"/>
      <c r="AX690" s="83"/>
      <c r="AY690" s="93"/>
      <c r="AZ690" s="93"/>
    </row>
    <row r="691" spans="2:52" outlineLevel="1" x14ac:dyDescent="0.45">
      <c r="B691" s="298"/>
      <c r="C691" s="306"/>
      <c r="D691" s="306"/>
      <c r="E691" s="306" t="s">
        <v>925</v>
      </c>
      <c r="F691" s="307"/>
      <c r="G691" s="307"/>
      <c r="H691" s="307"/>
      <c r="I691" s="207"/>
      <c r="J691" s="89"/>
      <c r="K691" s="23"/>
      <c r="L691" s="90"/>
      <c r="M691" s="92"/>
      <c r="N691" s="31"/>
      <c r="O691" s="90"/>
      <c r="P691" s="92"/>
      <c r="Q691" s="31"/>
      <c r="R691" s="90"/>
      <c r="S691" s="92"/>
      <c r="T691" s="31"/>
      <c r="U691" s="90"/>
      <c r="V691" s="92"/>
      <c r="W691" s="31"/>
      <c r="X691" s="120"/>
      <c r="Y691" s="106"/>
      <c r="Z691" s="107"/>
      <c r="AA691" s="93"/>
      <c r="AB691" s="93"/>
      <c r="AC691" s="83"/>
      <c r="AD691" s="83"/>
      <c r="AE691" s="93"/>
      <c r="AF691" s="93"/>
      <c r="AG691" s="83"/>
      <c r="AH691" s="83"/>
      <c r="AI691" s="93"/>
      <c r="AJ691" s="93"/>
      <c r="AK691" s="83"/>
      <c r="AL691" s="83"/>
      <c r="AM691" s="93"/>
      <c r="AN691" s="93"/>
      <c r="AO691" s="83"/>
      <c r="AP691" s="83"/>
      <c r="AQ691" s="93"/>
      <c r="AR691" s="93"/>
      <c r="AS691" s="83"/>
      <c r="AT691" s="83"/>
      <c r="AU691" s="93"/>
      <c r="AV691" s="93"/>
      <c r="AW691" s="83"/>
      <c r="AX691" s="83"/>
      <c r="AY691" s="93"/>
      <c r="AZ691" s="93"/>
    </row>
    <row r="692" spans="2:52" outlineLevel="1" x14ac:dyDescent="0.45">
      <c r="B692" s="298"/>
      <c r="C692" s="306"/>
      <c r="D692" s="306"/>
      <c r="E692" s="306" t="s">
        <v>285</v>
      </c>
      <c r="F692" s="307"/>
      <c r="G692" s="307"/>
      <c r="H692" s="307"/>
      <c r="I692" s="207"/>
      <c r="J692" s="89"/>
      <c r="K692" s="23"/>
      <c r="L692" s="90"/>
      <c r="M692" s="92"/>
      <c r="N692" s="31"/>
      <c r="O692" s="90"/>
      <c r="P692" s="92"/>
      <c r="Q692" s="31"/>
      <c r="R692" s="90"/>
      <c r="S692" s="92"/>
      <c r="T692" s="31"/>
      <c r="U692" s="90"/>
      <c r="V692" s="92"/>
      <c r="W692" s="31"/>
      <c r="X692" s="120"/>
      <c r="Y692" s="106"/>
      <c r="Z692" s="107"/>
      <c r="AA692" s="93"/>
      <c r="AB692" s="93"/>
      <c r="AC692" s="83"/>
      <c r="AD692" s="83"/>
      <c r="AE692" s="93"/>
      <c r="AF692" s="93"/>
      <c r="AG692" s="83"/>
      <c r="AH692" s="83"/>
      <c r="AI692" s="93"/>
      <c r="AJ692" s="93"/>
      <c r="AK692" s="83"/>
      <c r="AL692" s="83"/>
      <c r="AM692" s="93"/>
      <c r="AN692" s="93"/>
      <c r="AO692" s="83"/>
      <c r="AP692" s="83"/>
      <c r="AQ692" s="93"/>
      <c r="AR692" s="93"/>
      <c r="AS692" s="83"/>
      <c r="AT692" s="83"/>
      <c r="AU692" s="93"/>
      <c r="AV692" s="93"/>
      <c r="AW692" s="83"/>
      <c r="AX692" s="83"/>
      <c r="AY692" s="93"/>
      <c r="AZ692" s="93"/>
    </row>
    <row r="693" spans="2:52" outlineLevel="1" x14ac:dyDescent="0.45">
      <c r="B693" s="298"/>
      <c r="C693" s="306"/>
      <c r="D693" s="101"/>
      <c r="E693" s="14"/>
      <c r="F693" s="14"/>
      <c r="G693" s="14"/>
      <c r="H693" s="14"/>
      <c r="I693" s="207"/>
      <c r="J693" s="89"/>
      <c r="K693" s="23"/>
      <c r="L693" s="90"/>
      <c r="M693" s="92"/>
      <c r="N693" s="31"/>
      <c r="O693" s="90"/>
      <c r="P693" s="92"/>
      <c r="Q693" s="31"/>
      <c r="R693" s="90"/>
      <c r="S693" s="92"/>
      <c r="T693" s="31"/>
      <c r="U693" s="90"/>
      <c r="V693" s="92"/>
      <c r="W693" s="31"/>
      <c r="X693" s="120"/>
      <c r="Y693" s="106"/>
      <c r="Z693" s="107"/>
      <c r="AA693" s="93"/>
      <c r="AB693" s="93"/>
      <c r="AC693" s="83"/>
      <c r="AD693" s="83"/>
      <c r="AE693" s="93"/>
      <c r="AF693" s="93"/>
      <c r="AG693" s="83"/>
      <c r="AH693" s="83"/>
      <c r="AI693" s="93"/>
      <c r="AJ693" s="93"/>
      <c r="AK693" s="83"/>
      <c r="AL693" s="83"/>
      <c r="AM693" s="93"/>
      <c r="AN693" s="93"/>
      <c r="AO693" s="83"/>
      <c r="AP693" s="83"/>
      <c r="AQ693" s="93"/>
      <c r="AR693" s="93"/>
      <c r="AS693" s="83"/>
      <c r="AT693" s="83"/>
      <c r="AU693" s="93"/>
      <c r="AV693" s="93"/>
      <c r="AW693" s="83"/>
      <c r="AX693" s="83"/>
      <c r="AY693" s="93"/>
      <c r="AZ693" s="93"/>
    </row>
    <row r="694" spans="2:52" outlineLevel="1" x14ac:dyDescent="0.45">
      <c r="C694" s="13"/>
      <c r="D694" s="13"/>
      <c r="E694" s="14"/>
      <c r="F694" s="14"/>
      <c r="G694" s="14"/>
      <c r="H694" s="14"/>
      <c r="I694" s="207"/>
      <c r="J694" s="89"/>
      <c r="K694" s="23"/>
      <c r="L694" s="90"/>
      <c r="M694" s="92"/>
      <c r="N694" s="31"/>
      <c r="O694" s="90"/>
      <c r="P694" s="92"/>
      <c r="Q694" s="31"/>
      <c r="R694" s="90"/>
      <c r="S694" s="92"/>
      <c r="T694" s="31"/>
      <c r="U694" s="90"/>
      <c r="V694" s="92"/>
      <c r="W694" s="31"/>
      <c r="X694" s="120"/>
      <c r="Y694" s="106"/>
      <c r="Z694" s="107"/>
      <c r="AA694" s="93"/>
      <c r="AB694" s="93"/>
      <c r="AC694" s="83"/>
      <c r="AD694" s="83"/>
      <c r="AE694" s="93"/>
      <c r="AF694" s="93"/>
      <c r="AG694" s="83"/>
      <c r="AH694" s="83"/>
      <c r="AI694" s="93"/>
      <c r="AJ694" s="93"/>
      <c r="AK694" s="83"/>
      <c r="AL694" s="83"/>
      <c r="AM694" s="93"/>
      <c r="AN694" s="93"/>
      <c r="AO694" s="83"/>
      <c r="AP694" s="83"/>
      <c r="AQ694" s="93"/>
      <c r="AR694" s="93"/>
      <c r="AS694" s="83"/>
      <c r="AT694" s="83"/>
      <c r="AU694" s="93"/>
      <c r="AV694" s="93"/>
      <c r="AW694" s="83"/>
      <c r="AX694" s="83"/>
      <c r="AY694" s="93"/>
      <c r="AZ694" s="93"/>
    </row>
    <row r="695" spans="2:52" outlineLevel="1" x14ac:dyDescent="0.45">
      <c r="C695" s="13"/>
      <c r="D695" s="13"/>
      <c r="E695" s="14"/>
      <c r="F695" s="14"/>
      <c r="G695" s="14"/>
      <c r="H695" s="14"/>
      <c r="I695" s="207"/>
      <c r="J695" s="89"/>
      <c r="K695" s="23"/>
      <c r="L695" s="90"/>
      <c r="M695" s="92"/>
      <c r="N695" s="31"/>
      <c r="O695" s="90"/>
      <c r="P695" s="92"/>
      <c r="Q695" s="31"/>
      <c r="R695" s="90"/>
      <c r="S695" s="92"/>
      <c r="T695" s="31"/>
      <c r="U695" s="90"/>
      <c r="V695" s="92"/>
      <c r="W695" s="31"/>
      <c r="X695" s="120"/>
      <c r="Y695" s="106"/>
      <c r="Z695" s="107"/>
      <c r="AA695" s="93"/>
      <c r="AB695" s="93"/>
      <c r="AC695" s="83"/>
      <c r="AD695" s="83"/>
      <c r="AE695" s="93"/>
      <c r="AF695" s="93"/>
      <c r="AG695" s="83"/>
      <c r="AH695" s="83"/>
      <c r="AI695" s="93"/>
      <c r="AJ695" s="93"/>
      <c r="AK695" s="83"/>
      <c r="AL695" s="83"/>
      <c r="AM695" s="93"/>
      <c r="AN695" s="93"/>
      <c r="AO695" s="83"/>
      <c r="AP695" s="83"/>
      <c r="AQ695" s="93"/>
      <c r="AR695" s="93"/>
      <c r="AS695" s="83"/>
      <c r="AT695" s="83"/>
      <c r="AU695" s="93"/>
      <c r="AV695" s="93"/>
      <c r="AW695" s="83"/>
      <c r="AX695" s="83"/>
      <c r="AY695" s="93"/>
      <c r="AZ695" s="93"/>
    </row>
    <row r="696" spans="2:52" outlineLevel="1" x14ac:dyDescent="0.45">
      <c r="C696" s="13"/>
      <c r="D696" s="13"/>
      <c r="E696" s="14"/>
      <c r="F696" s="14"/>
      <c r="G696" s="14"/>
      <c r="H696" s="14"/>
      <c r="I696" s="207"/>
      <c r="J696" s="89"/>
      <c r="K696" s="23"/>
      <c r="L696" s="90"/>
      <c r="M696" s="92"/>
      <c r="N696" s="31"/>
      <c r="O696" s="90"/>
      <c r="P696" s="92"/>
      <c r="Q696" s="31"/>
      <c r="R696" s="90"/>
      <c r="S696" s="92"/>
      <c r="T696" s="31"/>
      <c r="U696" s="90"/>
      <c r="V696" s="92"/>
      <c r="W696" s="31"/>
      <c r="X696" s="120"/>
      <c r="Y696" s="106"/>
      <c r="Z696" s="107"/>
      <c r="AA696" s="93"/>
      <c r="AB696" s="93"/>
      <c r="AC696" s="83"/>
      <c r="AD696" s="83"/>
      <c r="AE696" s="93"/>
      <c r="AF696" s="93"/>
      <c r="AG696" s="83"/>
      <c r="AH696" s="83"/>
      <c r="AI696" s="93"/>
      <c r="AJ696" s="93"/>
      <c r="AK696" s="83"/>
      <c r="AL696" s="83"/>
      <c r="AM696" s="93"/>
      <c r="AN696" s="93"/>
      <c r="AO696" s="83"/>
      <c r="AP696" s="83"/>
      <c r="AQ696" s="93"/>
      <c r="AR696" s="93"/>
      <c r="AS696" s="83"/>
      <c r="AT696" s="83"/>
      <c r="AU696" s="93"/>
      <c r="AV696" s="93"/>
      <c r="AW696" s="83"/>
      <c r="AX696" s="83"/>
      <c r="AY696" s="93"/>
      <c r="AZ696" s="93"/>
    </row>
    <row r="697" spans="2:52" outlineLevel="1" x14ac:dyDescent="0.45">
      <c r="C697" s="13"/>
      <c r="D697" s="13"/>
      <c r="E697" s="14"/>
      <c r="F697" s="14"/>
      <c r="G697" s="14"/>
      <c r="H697" s="14"/>
      <c r="I697" s="207"/>
      <c r="J697" s="89"/>
      <c r="K697" s="23"/>
      <c r="L697" s="90"/>
      <c r="M697" s="92"/>
      <c r="N697" s="31"/>
      <c r="O697" s="90"/>
      <c r="P697" s="92"/>
      <c r="Q697" s="31"/>
      <c r="R697" s="90"/>
      <c r="S697" s="92"/>
      <c r="T697" s="31"/>
      <c r="U697" s="90"/>
      <c r="V697" s="92"/>
      <c r="W697" s="31"/>
      <c r="X697" s="120"/>
      <c r="Y697" s="106"/>
      <c r="Z697" s="107"/>
      <c r="AA697" s="93"/>
      <c r="AB697" s="93"/>
      <c r="AC697" s="83"/>
      <c r="AD697" s="83"/>
      <c r="AE697" s="93"/>
      <c r="AF697" s="93"/>
      <c r="AG697" s="83"/>
      <c r="AH697" s="83"/>
      <c r="AI697" s="93"/>
      <c r="AJ697" s="93"/>
      <c r="AK697" s="83"/>
      <c r="AL697" s="83"/>
      <c r="AM697" s="93"/>
      <c r="AN697" s="93"/>
      <c r="AO697" s="83"/>
      <c r="AP697" s="83"/>
      <c r="AQ697" s="93"/>
      <c r="AR697" s="93"/>
      <c r="AS697" s="83"/>
      <c r="AT697" s="83"/>
      <c r="AU697" s="93"/>
      <c r="AV697" s="93"/>
      <c r="AW697" s="83"/>
      <c r="AX697" s="83"/>
      <c r="AY697" s="93"/>
      <c r="AZ697" s="93"/>
    </row>
    <row r="698" spans="2:52" outlineLevel="1" x14ac:dyDescent="0.45">
      <c r="C698" s="13"/>
      <c r="D698" s="13"/>
      <c r="E698" s="14"/>
      <c r="F698" s="14"/>
      <c r="G698" s="14"/>
      <c r="H698" s="14"/>
      <c r="I698" s="207"/>
      <c r="J698" s="89"/>
      <c r="K698" s="23"/>
      <c r="L698" s="90"/>
      <c r="M698" s="92"/>
      <c r="N698" s="31"/>
      <c r="O698" s="90"/>
      <c r="P698" s="92"/>
      <c r="Q698" s="31"/>
      <c r="R698" s="90"/>
      <c r="S698" s="92"/>
      <c r="T698" s="31"/>
      <c r="U698" s="90"/>
      <c r="V698" s="92"/>
      <c r="W698" s="31"/>
      <c r="X698" s="120"/>
      <c r="Y698" s="106"/>
      <c r="Z698" s="107"/>
      <c r="AA698" s="93"/>
      <c r="AB698" s="93"/>
      <c r="AC698" s="83"/>
      <c r="AD698" s="83"/>
      <c r="AE698" s="93"/>
      <c r="AF698" s="93"/>
      <c r="AG698" s="83"/>
      <c r="AH698" s="83"/>
      <c r="AI698" s="93"/>
      <c r="AJ698" s="93"/>
      <c r="AK698" s="83"/>
      <c r="AL698" s="83"/>
      <c r="AM698" s="93"/>
      <c r="AN698" s="93"/>
      <c r="AO698" s="83"/>
      <c r="AP698" s="83"/>
      <c r="AQ698" s="93"/>
      <c r="AR698" s="93"/>
      <c r="AS698" s="83"/>
      <c r="AT698" s="83"/>
      <c r="AU698" s="93"/>
      <c r="AV698" s="93"/>
      <c r="AW698" s="83"/>
      <c r="AX698" s="83"/>
      <c r="AY698" s="93"/>
      <c r="AZ698" s="93"/>
    </row>
    <row r="699" spans="2:52" outlineLevel="1" x14ac:dyDescent="0.45">
      <c r="C699" s="13"/>
      <c r="D699" s="13"/>
      <c r="E699" s="14"/>
      <c r="F699" s="14"/>
      <c r="G699" s="14"/>
      <c r="H699" s="14"/>
      <c r="I699" s="207"/>
      <c r="J699" s="89"/>
      <c r="K699" s="23"/>
      <c r="L699" s="90"/>
      <c r="M699" s="92"/>
      <c r="N699" s="31"/>
      <c r="O699" s="90"/>
      <c r="P699" s="92"/>
      <c r="Q699" s="31"/>
      <c r="R699" s="90"/>
      <c r="S699" s="92"/>
      <c r="T699" s="31"/>
      <c r="U699" s="90"/>
      <c r="V699" s="92"/>
      <c r="W699" s="31"/>
      <c r="X699" s="120"/>
      <c r="Y699" s="106"/>
      <c r="Z699" s="107"/>
      <c r="AA699" s="93"/>
      <c r="AB699" s="93"/>
      <c r="AC699" s="83"/>
      <c r="AD699" s="83"/>
      <c r="AE699" s="93"/>
      <c r="AF699" s="93"/>
      <c r="AG699" s="83"/>
      <c r="AH699" s="83"/>
      <c r="AI699" s="93"/>
      <c r="AJ699" s="93"/>
      <c r="AK699" s="83"/>
      <c r="AL699" s="83"/>
      <c r="AM699" s="93"/>
      <c r="AN699" s="93"/>
      <c r="AO699" s="83"/>
      <c r="AP699" s="83"/>
      <c r="AQ699" s="93"/>
      <c r="AR699" s="93"/>
      <c r="AS699" s="83"/>
      <c r="AT699" s="83"/>
      <c r="AU699" s="93"/>
      <c r="AV699" s="93"/>
      <c r="AW699" s="83"/>
      <c r="AX699" s="83"/>
      <c r="AY699" s="93"/>
      <c r="AZ699" s="93"/>
    </row>
    <row r="700" spans="2:52" outlineLevel="1" x14ac:dyDescent="0.45">
      <c r="C700" s="308" t="s">
        <v>890</v>
      </c>
      <c r="D700" s="308"/>
      <c r="E700" s="309" t="s">
        <v>926</v>
      </c>
      <c r="F700" s="309"/>
      <c r="G700" s="309"/>
      <c r="H700" s="309"/>
      <c r="I700" s="310">
        <f t="shared" ref="I700:W700" si="163">IF(I786&lt;&gt;0,I747/I786/12,0)</f>
        <v>489.6255319148936</v>
      </c>
      <c r="J700" s="310">
        <f t="shared" si="163"/>
        <v>649.30000000000007</v>
      </c>
      <c r="K700" s="310">
        <f t="shared" si="163"/>
        <v>449.64444444444445</v>
      </c>
      <c r="L700" s="310">
        <f t="shared" si="163"/>
        <v>0</v>
      </c>
      <c r="M700" s="310">
        <f t="shared" si="163"/>
        <v>0</v>
      </c>
      <c r="N700" s="310">
        <f t="shared" si="163"/>
        <v>0</v>
      </c>
      <c r="O700" s="310">
        <f t="shared" si="163"/>
        <v>0</v>
      </c>
      <c r="P700" s="310">
        <f t="shared" si="163"/>
        <v>0</v>
      </c>
      <c r="Q700" s="310">
        <f t="shared" si="163"/>
        <v>0</v>
      </c>
      <c r="R700" s="310">
        <f t="shared" si="163"/>
        <v>0</v>
      </c>
      <c r="S700" s="310">
        <f t="shared" si="163"/>
        <v>0</v>
      </c>
      <c r="T700" s="310">
        <f t="shared" si="163"/>
        <v>0</v>
      </c>
      <c r="U700" s="310">
        <f t="shared" si="163"/>
        <v>0</v>
      </c>
      <c r="V700" s="310">
        <f t="shared" si="163"/>
        <v>0</v>
      </c>
      <c r="W700" s="310">
        <f t="shared" si="163"/>
        <v>0</v>
      </c>
      <c r="X700" s="130">
        <f t="shared" ref="X700:Z702" si="164">I700+L700+O700+R700+U700</f>
        <v>489.6255319148936</v>
      </c>
      <c r="Y700" s="130">
        <f t="shared" si="164"/>
        <v>649.30000000000007</v>
      </c>
      <c r="Z700" s="131">
        <f t="shared" si="164"/>
        <v>449.64444444444445</v>
      </c>
      <c r="AA700" s="93"/>
      <c r="AB700" s="93"/>
      <c r="AC700" s="306" t="s">
        <v>927</v>
      </c>
      <c r="AD700" s="83"/>
      <c r="AE700" s="93"/>
      <c r="AF700" s="93"/>
      <c r="AG700" s="83"/>
      <c r="AH700" s="83"/>
      <c r="AI700" s="93"/>
      <c r="AJ700" s="93"/>
      <c r="AK700" s="83"/>
      <c r="AL700" s="83"/>
      <c r="AM700" s="93"/>
      <c r="AN700" s="93"/>
      <c r="AO700" s="83"/>
      <c r="AP700" s="83"/>
      <c r="AQ700" s="93"/>
      <c r="AR700" s="93"/>
      <c r="AS700" s="83"/>
      <c r="AT700" s="83"/>
      <c r="AU700" s="93"/>
      <c r="AV700" s="93"/>
      <c r="AW700" s="83"/>
      <c r="AX700" s="83"/>
      <c r="AY700" s="93"/>
      <c r="AZ700" s="93"/>
    </row>
    <row r="701" spans="2:52" outlineLevel="1" x14ac:dyDescent="0.45">
      <c r="C701" s="311"/>
      <c r="D701" s="311"/>
      <c r="E701" s="312" t="s">
        <v>928</v>
      </c>
      <c r="F701" s="312"/>
      <c r="G701" s="312"/>
      <c r="H701" s="312"/>
      <c r="I701" s="313"/>
      <c r="J701" s="313"/>
      <c r="K701" s="313"/>
      <c r="L701" s="314"/>
      <c r="M701" s="315"/>
      <c r="N701" s="315"/>
      <c r="O701" s="314"/>
      <c r="P701" s="315"/>
      <c r="Q701" s="315"/>
      <c r="R701" s="314"/>
      <c r="S701" s="315"/>
      <c r="T701" s="315"/>
      <c r="U701" s="314"/>
      <c r="V701" s="315"/>
      <c r="W701" s="315"/>
      <c r="X701" s="316">
        <f t="shared" si="164"/>
        <v>0</v>
      </c>
      <c r="Y701" s="316">
        <f t="shared" si="164"/>
        <v>0</v>
      </c>
      <c r="Z701" s="317">
        <f t="shared" si="164"/>
        <v>0</v>
      </c>
      <c r="AA701" s="318"/>
      <c r="AB701" s="318"/>
      <c r="AC701" s="319"/>
      <c r="AD701" s="319"/>
      <c r="AE701" s="93"/>
      <c r="AF701" s="93"/>
      <c r="AG701" s="83"/>
      <c r="AH701" s="83"/>
      <c r="AI701" s="93"/>
      <c r="AJ701" s="93"/>
      <c r="AK701" s="83"/>
      <c r="AL701" s="83"/>
      <c r="AM701" s="93"/>
      <c r="AN701" s="93"/>
      <c r="AO701" s="83"/>
      <c r="AP701" s="83"/>
      <c r="AQ701" s="93"/>
      <c r="AR701" s="93"/>
      <c r="AS701" s="83"/>
      <c r="AT701" s="83"/>
      <c r="AU701" s="93"/>
      <c r="AV701" s="93"/>
      <c r="AW701" s="83"/>
      <c r="AX701" s="83"/>
      <c r="AY701" s="93"/>
      <c r="AZ701" s="93"/>
    </row>
    <row r="702" spans="2:52" outlineLevel="1" x14ac:dyDescent="0.45">
      <c r="C702" s="308"/>
      <c r="D702" s="308"/>
      <c r="E702" s="309" t="s">
        <v>924</v>
      </c>
      <c r="F702" s="309"/>
      <c r="G702" s="309"/>
      <c r="H702" s="309"/>
      <c r="I702" s="310"/>
      <c r="J702" s="310"/>
      <c r="K702" s="310"/>
      <c r="L702" s="320"/>
      <c r="M702" s="310"/>
      <c r="N702" s="310"/>
      <c r="O702" s="320"/>
      <c r="P702" s="310"/>
      <c r="Q702" s="310"/>
      <c r="R702" s="320"/>
      <c r="S702" s="310"/>
      <c r="T702" s="310"/>
      <c r="U702" s="320"/>
      <c r="V702" s="310"/>
      <c r="W702" s="310"/>
      <c r="X702" s="321">
        <f t="shared" si="164"/>
        <v>0</v>
      </c>
      <c r="Y702" s="321">
        <f t="shared" si="164"/>
        <v>0</v>
      </c>
      <c r="Z702" s="322">
        <f t="shared" si="164"/>
        <v>0</v>
      </c>
      <c r="AA702" s="323"/>
      <c r="AB702" s="323"/>
      <c r="AC702" s="319"/>
      <c r="AD702" s="319"/>
      <c r="AE702" s="93"/>
      <c r="AF702" s="93"/>
      <c r="AG702" s="83"/>
      <c r="AH702" s="83"/>
      <c r="AI702" s="93"/>
      <c r="AJ702" s="93"/>
      <c r="AK702" s="83"/>
      <c r="AL702" s="83"/>
      <c r="AM702" s="93"/>
      <c r="AN702" s="93"/>
      <c r="AO702" s="83"/>
      <c r="AP702" s="83"/>
      <c r="AQ702" s="93"/>
      <c r="AR702" s="93"/>
      <c r="AS702" s="83"/>
      <c r="AT702" s="83"/>
      <c r="AU702" s="93"/>
      <c r="AV702" s="93"/>
      <c r="AW702" s="83"/>
      <c r="AX702" s="83"/>
      <c r="AY702" s="93"/>
      <c r="AZ702" s="93"/>
    </row>
    <row r="703" spans="2:52" outlineLevel="1" x14ac:dyDescent="0.45">
      <c r="C703" s="13"/>
      <c r="D703" s="13"/>
      <c r="E703" s="14"/>
      <c r="F703" s="14"/>
      <c r="G703" s="14"/>
      <c r="H703" s="14"/>
      <c r="I703" s="207"/>
      <c r="J703" s="89"/>
      <c r="K703" s="23"/>
      <c r="L703" s="90"/>
      <c r="M703" s="92"/>
      <c r="N703" s="31"/>
      <c r="O703" s="90"/>
      <c r="P703" s="92"/>
      <c r="Q703" s="31"/>
      <c r="R703" s="90"/>
      <c r="S703" s="92"/>
      <c r="T703" s="31"/>
      <c r="U703" s="90"/>
      <c r="V703" s="92"/>
      <c r="W703" s="31"/>
      <c r="X703" s="120"/>
      <c r="Y703" s="106"/>
      <c r="Z703" s="107"/>
      <c r="AA703" s="93"/>
      <c r="AB703" s="93"/>
      <c r="AC703" s="83"/>
      <c r="AD703" s="83"/>
      <c r="AE703" s="93"/>
      <c r="AF703" s="93"/>
      <c r="AG703" s="83"/>
      <c r="AH703" s="83"/>
      <c r="AI703" s="93"/>
      <c r="AJ703" s="93"/>
      <c r="AK703" s="83"/>
      <c r="AL703" s="83"/>
      <c r="AM703" s="93"/>
      <c r="AN703" s="93"/>
      <c r="AO703" s="83"/>
      <c r="AP703" s="83"/>
      <c r="AQ703" s="93"/>
      <c r="AR703" s="93"/>
      <c r="AS703" s="83"/>
      <c r="AT703" s="83"/>
      <c r="AU703" s="93"/>
      <c r="AV703" s="93"/>
      <c r="AW703" s="83"/>
      <c r="AX703" s="83"/>
      <c r="AY703" s="93"/>
      <c r="AZ703" s="93"/>
    </row>
    <row r="704" spans="2:52" outlineLevel="1" x14ac:dyDescent="0.45">
      <c r="C704" s="13"/>
      <c r="D704" s="13"/>
      <c r="E704" s="14"/>
      <c r="F704" s="14"/>
      <c r="G704" s="14"/>
      <c r="H704" s="14"/>
      <c r="I704" s="207"/>
      <c r="J704" s="89"/>
      <c r="K704" s="23"/>
      <c r="L704" s="90"/>
      <c r="M704" s="92"/>
      <c r="N704" s="31"/>
      <c r="O704" s="90"/>
      <c r="P704" s="92"/>
      <c r="Q704" s="31"/>
      <c r="R704" s="90"/>
      <c r="S704" s="92"/>
      <c r="T704" s="31"/>
      <c r="U704" s="90"/>
      <c r="V704" s="92"/>
      <c r="W704" s="31"/>
      <c r="X704" s="120"/>
      <c r="Y704" s="106"/>
      <c r="Z704" s="107"/>
      <c r="AA704" s="93"/>
      <c r="AB704" s="93"/>
      <c r="AC704" s="83"/>
      <c r="AD704" s="83"/>
      <c r="AE704" s="93"/>
      <c r="AF704" s="93"/>
      <c r="AG704" s="83"/>
      <c r="AH704" s="83"/>
      <c r="AI704" s="93"/>
      <c r="AJ704" s="93"/>
      <c r="AK704" s="83"/>
      <c r="AL704" s="83"/>
      <c r="AM704" s="93"/>
      <c r="AN704" s="93"/>
      <c r="AO704" s="83"/>
      <c r="AP704" s="83"/>
      <c r="AQ704" s="93"/>
      <c r="AR704" s="93"/>
      <c r="AS704" s="83"/>
      <c r="AT704" s="83"/>
      <c r="AU704" s="93"/>
      <c r="AV704" s="93"/>
      <c r="AW704" s="83"/>
      <c r="AX704" s="83"/>
      <c r="AY704" s="93"/>
      <c r="AZ704" s="93"/>
    </row>
    <row r="705" spans="3:52" outlineLevel="1" x14ac:dyDescent="0.45">
      <c r="C705" s="13"/>
      <c r="D705" s="13"/>
      <c r="E705" s="14"/>
      <c r="F705" s="14"/>
      <c r="G705" s="14"/>
      <c r="H705" s="14"/>
      <c r="I705" s="207"/>
      <c r="J705" s="89"/>
      <c r="K705" s="23"/>
      <c r="L705" s="90"/>
      <c r="M705" s="92"/>
      <c r="N705" s="31"/>
      <c r="O705" s="90"/>
      <c r="P705" s="92"/>
      <c r="Q705" s="31"/>
      <c r="R705" s="90"/>
      <c r="S705" s="92"/>
      <c r="T705" s="31"/>
      <c r="U705" s="90"/>
      <c r="V705" s="92"/>
      <c r="W705" s="31"/>
      <c r="X705" s="120"/>
      <c r="Y705" s="106"/>
      <c r="Z705" s="107"/>
      <c r="AA705" s="93"/>
      <c r="AB705" s="93"/>
      <c r="AC705" s="83"/>
      <c r="AD705" s="83"/>
      <c r="AE705" s="93"/>
      <c r="AF705" s="93"/>
      <c r="AG705" s="83"/>
      <c r="AH705" s="83"/>
      <c r="AI705" s="93"/>
      <c r="AJ705" s="93"/>
      <c r="AK705" s="83"/>
      <c r="AL705" s="83"/>
      <c r="AM705" s="93"/>
      <c r="AN705" s="93"/>
      <c r="AO705" s="83"/>
      <c r="AP705" s="83"/>
      <c r="AQ705" s="93"/>
      <c r="AR705" s="93"/>
      <c r="AS705" s="83"/>
      <c r="AT705" s="83"/>
      <c r="AU705" s="93"/>
      <c r="AV705" s="93"/>
      <c r="AW705" s="83"/>
      <c r="AX705" s="83"/>
      <c r="AY705" s="93"/>
      <c r="AZ705" s="93"/>
    </row>
    <row r="706" spans="3:52" outlineLevel="1" x14ac:dyDescent="0.45">
      <c r="C706" s="13"/>
      <c r="D706" s="13"/>
      <c r="E706" s="14"/>
      <c r="F706" s="14"/>
      <c r="G706" s="14"/>
      <c r="H706" s="14"/>
      <c r="I706" s="207"/>
      <c r="J706" s="89"/>
      <c r="K706" s="23"/>
      <c r="L706" s="90"/>
      <c r="M706" s="92"/>
      <c r="N706" s="31"/>
      <c r="O706" s="90"/>
      <c r="P706" s="92"/>
      <c r="Q706" s="31"/>
      <c r="R706" s="90"/>
      <c r="S706" s="92"/>
      <c r="T706" s="31"/>
      <c r="U706" s="90"/>
      <c r="V706" s="92"/>
      <c r="W706" s="31"/>
      <c r="X706" s="120"/>
      <c r="Y706" s="106"/>
      <c r="Z706" s="107"/>
      <c r="AA706" s="93"/>
      <c r="AB706" s="93"/>
      <c r="AC706" s="83"/>
      <c r="AD706" s="83"/>
      <c r="AE706" s="93"/>
      <c r="AF706" s="93"/>
      <c r="AG706" s="83"/>
      <c r="AH706" s="83"/>
      <c r="AI706" s="93"/>
      <c r="AJ706" s="93"/>
      <c r="AK706" s="83"/>
      <c r="AL706" s="83"/>
      <c r="AM706" s="93"/>
      <c r="AN706" s="93"/>
      <c r="AO706" s="83"/>
      <c r="AP706" s="83"/>
      <c r="AQ706" s="93"/>
      <c r="AR706" s="93"/>
      <c r="AS706" s="83"/>
      <c r="AT706" s="83"/>
      <c r="AU706" s="93"/>
      <c r="AV706" s="93"/>
      <c r="AW706" s="83"/>
      <c r="AX706" s="83"/>
      <c r="AY706" s="93"/>
      <c r="AZ706" s="93"/>
    </row>
    <row r="707" spans="3:52" outlineLevel="1" x14ac:dyDescent="0.45">
      <c r="C707" s="13"/>
      <c r="D707" s="13"/>
      <c r="E707" s="14"/>
      <c r="F707" s="14"/>
      <c r="G707" s="14"/>
      <c r="H707" s="14"/>
      <c r="I707" s="207"/>
      <c r="J707" s="89"/>
      <c r="K707" s="23"/>
      <c r="L707" s="90"/>
      <c r="M707" s="92"/>
      <c r="N707" s="31"/>
      <c r="O707" s="90"/>
      <c r="P707" s="92"/>
      <c r="Q707" s="31"/>
      <c r="R707" s="90"/>
      <c r="S707" s="92"/>
      <c r="T707" s="31"/>
      <c r="U707" s="90"/>
      <c r="V707" s="92"/>
      <c r="W707" s="31"/>
      <c r="X707" s="120"/>
      <c r="Y707" s="106"/>
      <c r="Z707" s="107"/>
      <c r="AA707" s="93"/>
      <c r="AB707" s="93"/>
      <c r="AC707" s="83"/>
      <c r="AD707" s="83"/>
      <c r="AE707" s="93"/>
      <c r="AF707" s="93"/>
      <c r="AG707" s="83"/>
      <c r="AH707" s="83"/>
      <c r="AI707" s="93"/>
      <c r="AJ707" s="93"/>
      <c r="AK707" s="83"/>
      <c r="AL707" s="83"/>
      <c r="AM707" s="93"/>
      <c r="AN707" s="93"/>
      <c r="AO707" s="83"/>
      <c r="AP707" s="83"/>
      <c r="AQ707" s="93"/>
      <c r="AR707" s="93"/>
      <c r="AS707" s="83"/>
      <c r="AT707" s="83"/>
      <c r="AU707" s="93"/>
      <c r="AV707" s="93"/>
      <c r="AW707" s="83"/>
      <c r="AX707" s="83"/>
      <c r="AY707" s="93"/>
      <c r="AZ707" s="93"/>
    </row>
    <row r="708" spans="3:52" outlineLevel="1" x14ac:dyDescent="0.45">
      <c r="C708" s="13"/>
      <c r="D708" s="13"/>
      <c r="E708" s="14"/>
      <c r="F708" s="14"/>
      <c r="G708" s="14"/>
      <c r="H708" s="14"/>
      <c r="I708" s="207"/>
      <c r="J708" s="89"/>
      <c r="K708" s="23"/>
      <c r="L708" s="90"/>
      <c r="M708" s="92"/>
      <c r="N708" s="31"/>
      <c r="O708" s="90"/>
      <c r="P708" s="92"/>
      <c r="Q708" s="31"/>
      <c r="R708" s="90"/>
      <c r="S708" s="92"/>
      <c r="T708" s="31"/>
      <c r="U708" s="90"/>
      <c r="V708" s="92"/>
      <c r="W708" s="31"/>
      <c r="X708" s="120"/>
      <c r="Y708" s="106"/>
      <c r="Z708" s="107"/>
      <c r="AA708" s="93"/>
      <c r="AB708" s="93"/>
      <c r="AC708" s="83"/>
      <c r="AD708" s="83"/>
      <c r="AE708" s="93"/>
      <c r="AF708" s="93"/>
      <c r="AG708" s="83"/>
      <c r="AH708" s="83"/>
      <c r="AI708" s="93"/>
      <c r="AJ708" s="93"/>
      <c r="AK708" s="83"/>
      <c r="AL708" s="83"/>
      <c r="AM708" s="93"/>
      <c r="AN708" s="93"/>
      <c r="AO708" s="83"/>
      <c r="AP708" s="83"/>
      <c r="AQ708" s="93"/>
      <c r="AR708" s="93"/>
      <c r="AS708" s="83"/>
      <c r="AT708" s="83"/>
      <c r="AU708" s="93"/>
      <c r="AV708" s="93"/>
      <c r="AW708" s="83"/>
      <c r="AX708" s="83"/>
      <c r="AY708" s="93"/>
      <c r="AZ708" s="93"/>
    </row>
    <row r="709" spans="3:52" outlineLevel="1" x14ac:dyDescent="0.45">
      <c r="C709" s="13"/>
      <c r="D709" s="13"/>
      <c r="E709" s="14"/>
      <c r="F709" s="14"/>
      <c r="G709" s="14"/>
      <c r="H709" s="14"/>
      <c r="I709" s="207"/>
      <c r="J709" s="89"/>
      <c r="K709" s="23"/>
      <c r="L709" s="90"/>
      <c r="M709" s="92"/>
      <c r="N709" s="31"/>
      <c r="O709" s="90"/>
      <c r="P709" s="92"/>
      <c r="Q709" s="31"/>
      <c r="R709" s="90"/>
      <c r="S709" s="92"/>
      <c r="T709" s="31"/>
      <c r="U709" s="90"/>
      <c r="V709" s="92"/>
      <c r="W709" s="31"/>
      <c r="X709" s="120"/>
      <c r="Y709" s="106"/>
      <c r="Z709" s="107"/>
      <c r="AA709" s="93"/>
      <c r="AB709" s="93"/>
      <c r="AC709" s="83"/>
      <c r="AD709" s="83"/>
      <c r="AE709" s="93"/>
      <c r="AF709" s="93"/>
      <c r="AG709" s="83"/>
      <c r="AH709" s="83"/>
      <c r="AI709" s="93"/>
      <c r="AJ709" s="93"/>
      <c r="AK709" s="83"/>
      <c r="AL709" s="83"/>
      <c r="AM709" s="93"/>
      <c r="AN709" s="93"/>
      <c r="AO709" s="83"/>
      <c r="AP709" s="83"/>
      <c r="AQ709" s="93"/>
      <c r="AR709" s="93"/>
      <c r="AS709" s="83"/>
      <c r="AT709" s="83"/>
      <c r="AU709" s="93"/>
      <c r="AV709" s="93"/>
      <c r="AW709" s="83"/>
      <c r="AX709" s="83"/>
      <c r="AY709" s="93"/>
      <c r="AZ709" s="93"/>
    </row>
    <row r="710" spans="3:52" outlineLevel="1" x14ac:dyDescent="0.45">
      <c r="C710" s="13"/>
      <c r="D710" s="13"/>
      <c r="E710" s="14"/>
      <c r="F710" s="14"/>
      <c r="G710" s="14"/>
      <c r="H710" s="14"/>
      <c r="I710" s="207"/>
      <c r="J710" s="89"/>
      <c r="K710" s="23"/>
      <c r="L710" s="90"/>
      <c r="M710" s="92"/>
      <c r="N710" s="31"/>
      <c r="O710" s="90"/>
      <c r="P710" s="92"/>
      <c r="Q710" s="31"/>
      <c r="R710" s="90"/>
      <c r="S710" s="92"/>
      <c r="T710" s="31"/>
      <c r="U710" s="90"/>
      <c r="V710" s="92"/>
      <c r="W710" s="31"/>
      <c r="X710" s="120"/>
      <c r="Y710" s="106"/>
      <c r="Z710" s="107"/>
      <c r="AA710" s="93"/>
      <c r="AB710" s="93"/>
      <c r="AC710" s="83"/>
      <c r="AD710" s="83"/>
      <c r="AE710" s="93"/>
      <c r="AF710" s="93"/>
      <c r="AG710" s="83"/>
      <c r="AH710" s="83"/>
      <c r="AI710" s="93"/>
      <c r="AJ710" s="93"/>
      <c r="AK710" s="83"/>
      <c r="AL710" s="83"/>
      <c r="AM710" s="93"/>
      <c r="AN710" s="93"/>
      <c r="AO710" s="83"/>
      <c r="AP710" s="83"/>
      <c r="AQ710" s="93"/>
      <c r="AR710" s="93"/>
      <c r="AS710" s="83"/>
      <c r="AT710" s="83"/>
      <c r="AU710" s="93"/>
      <c r="AV710" s="93"/>
      <c r="AW710" s="83"/>
      <c r="AX710" s="83"/>
      <c r="AY710" s="93"/>
      <c r="AZ710" s="93"/>
    </row>
    <row r="711" spans="3:52" outlineLevel="1" x14ac:dyDescent="0.45">
      <c r="C711" s="13"/>
      <c r="D711" s="13"/>
      <c r="E711" s="14"/>
      <c r="F711" s="14"/>
      <c r="G711" s="14"/>
      <c r="H711" s="14"/>
      <c r="I711" s="207"/>
      <c r="J711" s="89"/>
      <c r="K711" s="23"/>
      <c r="L711" s="90"/>
      <c r="M711" s="92"/>
      <c r="N711" s="31"/>
      <c r="O711" s="90"/>
      <c r="P711" s="92"/>
      <c r="Q711" s="31"/>
      <c r="R711" s="90"/>
      <c r="S711" s="92"/>
      <c r="T711" s="31"/>
      <c r="U711" s="90"/>
      <c r="V711" s="92"/>
      <c r="W711" s="31"/>
      <c r="X711" s="120"/>
      <c r="Y711" s="106"/>
      <c r="Z711" s="107"/>
      <c r="AA711" s="93"/>
      <c r="AB711" s="93"/>
      <c r="AC711" s="83"/>
      <c r="AD711" s="83"/>
      <c r="AE711" s="93"/>
      <c r="AF711" s="93"/>
      <c r="AG711" s="83"/>
      <c r="AH711" s="83"/>
      <c r="AI711" s="93"/>
      <c r="AJ711" s="93"/>
      <c r="AK711" s="83"/>
      <c r="AL711" s="83"/>
      <c r="AM711" s="93"/>
      <c r="AN711" s="93"/>
      <c r="AO711" s="83"/>
      <c r="AP711" s="83"/>
      <c r="AQ711" s="93"/>
      <c r="AR711" s="93"/>
      <c r="AS711" s="83"/>
      <c r="AT711" s="83"/>
      <c r="AU711" s="93"/>
      <c r="AV711" s="93"/>
      <c r="AW711" s="83"/>
      <c r="AX711" s="83"/>
      <c r="AY711" s="93"/>
      <c r="AZ711" s="93"/>
    </row>
    <row r="712" spans="3:52" outlineLevel="1" x14ac:dyDescent="0.45">
      <c r="C712" s="13"/>
      <c r="D712" s="13"/>
      <c r="E712" s="14"/>
      <c r="F712" s="14"/>
      <c r="G712" s="14"/>
      <c r="H712" s="14"/>
      <c r="I712" s="207"/>
      <c r="J712" s="89"/>
      <c r="K712" s="23"/>
      <c r="L712" s="90"/>
      <c r="M712" s="92"/>
      <c r="N712" s="31"/>
      <c r="O712" s="90"/>
      <c r="P712" s="92"/>
      <c r="Q712" s="31"/>
      <c r="R712" s="90"/>
      <c r="S712" s="92"/>
      <c r="T712" s="31"/>
      <c r="U712" s="90"/>
      <c r="V712" s="92"/>
      <c r="W712" s="31"/>
      <c r="X712" s="120"/>
      <c r="Y712" s="106"/>
      <c r="Z712" s="107"/>
      <c r="AA712" s="93"/>
      <c r="AB712" s="93"/>
      <c r="AC712" s="83"/>
      <c r="AD712" s="83"/>
      <c r="AE712" s="93"/>
      <c r="AF712" s="93"/>
      <c r="AG712" s="83"/>
      <c r="AH712" s="83"/>
      <c r="AI712" s="93"/>
      <c r="AJ712" s="93"/>
      <c r="AK712" s="83"/>
      <c r="AL712" s="83"/>
      <c r="AM712" s="93"/>
      <c r="AN712" s="93"/>
      <c r="AO712" s="83"/>
      <c r="AP712" s="83"/>
      <c r="AQ712" s="93"/>
      <c r="AR712" s="93"/>
      <c r="AS712" s="83"/>
      <c r="AT712" s="83"/>
      <c r="AU712" s="93"/>
      <c r="AV712" s="93"/>
      <c r="AW712" s="83"/>
      <c r="AX712" s="83"/>
      <c r="AY712" s="93"/>
      <c r="AZ712" s="93"/>
    </row>
    <row r="713" spans="3:52" outlineLevel="1" x14ac:dyDescent="0.45">
      <c r="C713" s="13"/>
      <c r="D713" s="13"/>
      <c r="E713" s="14"/>
      <c r="F713" s="14"/>
      <c r="G713" s="14"/>
      <c r="H713" s="14"/>
      <c r="I713" s="207"/>
      <c r="J713" s="89"/>
      <c r="K713" s="23"/>
      <c r="L713" s="90"/>
      <c r="M713" s="92"/>
      <c r="N713" s="31"/>
      <c r="O713" s="90"/>
      <c r="P713" s="92"/>
      <c r="Q713" s="31"/>
      <c r="R713" s="90"/>
      <c r="S713" s="92"/>
      <c r="T713" s="31"/>
      <c r="U713" s="90"/>
      <c r="V713" s="92"/>
      <c r="W713" s="31"/>
      <c r="X713" s="120"/>
      <c r="Y713" s="106"/>
      <c r="Z713" s="107"/>
      <c r="AA713" s="93"/>
      <c r="AB713" s="93"/>
      <c r="AC713" s="83"/>
      <c r="AD713" s="83"/>
      <c r="AE713" s="93"/>
      <c r="AF713" s="93"/>
      <c r="AG713" s="83"/>
      <c r="AH713" s="83"/>
      <c r="AI713" s="93"/>
      <c r="AJ713" s="93"/>
      <c r="AK713" s="83"/>
      <c r="AL713" s="83"/>
      <c r="AM713" s="93"/>
      <c r="AN713" s="93"/>
      <c r="AO713" s="83"/>
      <c r="AP713" s="83"/>
      <c r="AQ713" s="93"/>
      <c r="AR713" s="93"/>
      <c r="AS713" s="83"/>
      <c r="AT713" s="83"/>
      <c r="AU713" s="93"/>
      <c r="AV713" s="93"/>
      <c r="AW713" s="83"/>
      <c r="AX713" s="83"/>
      <c r="AY713" s="93"/>
      <c r="AZ713" s="93"/>
    </row>
    <row r="714" spans="3:52" outlineLevel="1" x14ac:dyDescent="0.45">
      <c r="C714" s="13"/>
      <c r="D714" s="13"/>
      <c r="E714" s="14"/>
      <c r="F714" s="14"/>
      <c r="G714" s="14"/>
      <c r="H714" s="14"/>
      <c r="I714" s="207"/>
      <c r="J714" s="89"/>
      <c r="K714" s="23"/>
      <c r="L714" s="90"/>
      <c r="M714" s="92"/>
      <c r="N714" s="31"/>
      <c r="O714" s="90"/>
      <c r="P714" s="92"/>
      <c r="Q714" s="31"/>
      <c r="R714" s="90"/>
      <c r="S714" s="92"/>
      <c r="T714" s="31"/>
      <c r="U714" s="90"/>
      <c r="V714" s="92"/>
      <c r="W714" s="31"/>
      <c r="X714" s="120"/>
      <c r="Y714" s="106"/>
      <c r="Z714" s="107"/>
      <c r="AA714" s="93"/>
      <c r="AB714" s="93"/>
      <c r="AC714" s="83"/>
      <c r="AD714" s="83"/>
      <c r="AE714" s="93"/>
      <c r="AF714" s="93"/>
      <c r="AG714" s="83"/>
      <c r="AH714" s="83"/>
      <c r="AI714" s="93"/>
      <c r="AJ714" s="93"/>
      <c r="AK714" s="83"/>
      <c r="AL714" s="83"/>
      <c r="AM714" s="93"/>
      <c r="AN714" s="93"/>
      <c r="AO714" s="83"/>
      <c r="AP714" s="83"/>
      <c r="AQ714" s="93"/>
      <c r="AR714" s="93"/>
      <c r="AS714" s="83"/>
      <c r="AT714" s="83"/>
      <c r="AU714" s="93"/>
      <c r="AV714" s="93"/>
      <c r="AW714" s="83"/>
      <c r="AX714" s="83"/>
      <c r="AY714" s="93"/>
      <c r="AZ714" s="93"/>
    </row>
    <row r="715" spans="3:52" outlineLevel="1" x14ac:dyDescent="0.45">
      <c r="C715" s="13"/>
      <c r="D715" s="13"/>
      <c r="E715" s="14"/>
      <c r="F715" s="14"/>
      <c r="G715" s="14"/>
      <c r="H715" s="14"/>
      <c r="I715" s="207"/>
      <c r="J715" s="89"/>
      <c r="K715" s="23"/>
      <c r="L715" s="90"/>
      <c r="M715" s="92"/>
      <c r="N715" s="31"/>
      <c r="O715" s="90"/>
      <c r="P715" s="92"/>
      <c r="Q715" s="31"/>
      <c r="R715" s="90"/>
      <c r="S715" s="92"/>
      <c r="T715" s="31"/>
      <c r="U715" s="90"/>
      <c r="V715" s="92"/>
      <c r="W715" s="31"/>
      <c r="X715" s="120"/>
      <c r="Y715" s="106"/>
      <c r="Z715" s="107"/>
      <c r="AA715" s="93"/>
      <c r="AB715" s="93"/>
      <c r="AC715" s="83"/>
      <c r="AD715" s="83"/>
      <c r="AE715" s="93"/>
      <c r="AF715" s="93"/>
      <c r="AG715" s="83"/>
      <c r="AH715" s="83"/>
      <c r="AI715" s="93"/>
      <c r="AJ715" s="93"/>
      <c r="AK715" s="83"/>
      <c r="AL715" s="83"/>
      <c r="AM715" s="93"/>
      <c r="AN715" s="93"/>
      <c r="AO715" s="83"/>
      <c r="AP715" s="83"/>
      <c r="AQ715" s="93"/>
      <c r="AR715" s="93"/>
      <c r="AS715" s="83"/>
      <c r="AT715" s="83"/>
      <c r="AU715" s="93"/>
      <c r="AV715" s="93"/>
      <c r="AW715" s="83"/>
      <c r="AX715" s="83"/>
      <c r="AY715" s="93"/>
      <c r="AZ715" s="93"/>
    </row>
    <row r="716" spans="3:52" outlineLevel="1" x14ac:dyDescent="0.45">
      <c r="C716" s="13"/>
      <c r="D716" s="13"/>
      <c r="E716" s="14"/>
      <c r="F716" s="14"/>
      <c r="G716" s="14"/>
      <c r="H716" s="14"/>
      <c r="I716" s="207"/>
      <c r="J716" s="89"/>
      <c r="K716" s="23"/>
      <c r="L716" s="90"/>
      <c r="M716" s="92"/>
      <c r="N716" s="31"/>
      <c r="O716" s="90"/>
      <c r="P716" s="92"/>
      <c r="Q716" s="31"/>
      <c r="R716" s="90"/>
      <c r="S716" s="92"/>
      <c r="T716" s="31"/>
      <c r="U716" s="90"/>
      <c r="V716" s="92"/>
      <c r="W716" s="31"/>
      <c r="X716" s="120"/>
      <c r="Y716" s="106"/>
      <c r="Z716" s="107"/>
      <c r="AA716" s="93"/>
      <c r="AB716" s="93"/>
      <c r="AC716" s="83"/>
      <c r="AD716" s="83"/>
      <c r="AE716" s="93"/>
      <c r="AF716" s="93"/>
      <c r="AG716" s="83"/>
      <c r="AH716" s="83"/>
      <c r="AI716" s="93"/>
      <c r="AJ716" s="93"/>
      <c r="AK716" s="83"/>
      <c r="AL716" s="83"/>
      <c r="AM716" s="93"/>
      <c r="AN716" s="93"/>
      <c r="AO716" s="83"/>
      <c r="AP716" s="83"/>
      <c r="AQ716" s="93"/>
      <c r="AR716" s="93"/>
      <c r="AS716" s="83"/>
      <c r="AT716" s="83"/>
      <c r="AU716" s="93"/>
      <c r="AV716" s="93"/>
      <c r="AW716" s="83"/>
      <c r="AX716" s="83"/>
      <c r="AY716" s="93"/>
      <c r="AZ716" s="93"/>
    </row>
    <row r="717" spans="3:52" outlineLevel="1" x14ac:dyDescent="0.45">
      <c r="C717" s="13"/>
      <c r="D717" s="13"/>
      <c r="E717" s="14"/>
      <c r="F717" s="14"/>
      <c r="G717" s="14"/>
      <c r="H717" s="14"/>
      <c r="I717" s="207"/>
      <c r="J717" s="89"/>
      <c r="K717" s="23"/>
      <c r="L717" s="90"/>
      <c r="M717" s="92"/>
      <c r="N717" s="31"/>
      <c r="O717" s="90"/>
      <c r="P717" s="92"/>
      <c r="Q717" s="31"/>
      <c r="R717" s="90"/>
      <c r="S717" s="92"/>
      <c r="T717" s="31"/>
      <c r="U717" s="90"/>
      <c r="V717" s="92"/>
      <c r="W717" s="31"/>
      <c r="X717" s="120"/>
      <c r="Y717" s="106"/>
      <c r="Z717" s="107"/>
      <c r="AA717" s="93"/>
      <c r="AB717" s="93"/>
      <c r="AC717" s="83"/>
      <c r="AD717" s="83"/>
      <c r="AE717" s="93"/>
      <c r="AF717" s="93"/>
      <c r="AG717" s="83"/>
      <c r="AH717" s="83"/>
      <c r="AI717" s="93"/>
      <c r="AJ717" s="93"/>
      <c r="AK717" s="83"/>
      <c r="AL717" s="83"/>
      <c r="AM717" s="93"/>
      <c r="AN717" s="93"/>
      <c r="AO717" s="83"/>
      <c r="AP717" s="83"/>
      <c r="AQ717" s="93"/>
      <c r="AR717" s="93"/>
      <c r="AS717" s="83"/>
      <c r="AT717" s="83"/>
      <c r="AU717" s="93"/>
      <c r="AV717" s="93"/>
      <c r="AW717" s="83"/>
      <c r="AX717" s="83"/>
      <c r="AY717" s="93"/>
      <c r="AZ717" s="93"/>
    </row>
    <row r="718" spans="3:52" outlineLevel="1" x14ac:dyDescent="0.45">
      <c r="C718" s="13"/>
      <c r="D718" s="13"/>
      <c r="E718" s="14"/>
      <c r="F718" s="14"/>
      <c r="G718" s="14"/>
      <c r="H718" s="14"/>
      <c r="I718" s="207"/>
      <c r="J718" s="89"/>
      <c r="K718" s="23"/>
      <c r="L718" s="90"/>
      <c r="M718" s="92"/>
      <c r="N718" s="31"/>
      <c r="O718" s="90"/>
      <c r="P718" s="92"/>
      <c r="Q718" s="31"/>
      <c r="R718" s="90"/>
      <c r="S718" s="92"/>
      <c r="T718" s="31"/>
      <c r="U718" s="90"/>
      <c r="V718" s="92"/>
      <c r="W718" s="31"/>
      <c r="X718" s="120"/>
      <c r="Y718" s="106"/>
      <c r="Z718" s="107"/>
      <c r="AA718" s="93"/>
      <c r="AB718" s="93"/>
      <c r="AC718" s="83"/>
      <c r="AD718" s="83"/>
      <c r="AE718" s="93"/>
      <c r="AF718" s="93"/>
      <c r="AG718" s="83"/>
      <c r="AH718" s="83"/>
      <c r="AI718" s="93"/>
      <c r="AJ718" s="93"/>
      <c r="AK718" s="83"/>
      <c r="AL718" s="83"/>
      <c r="AM718" s="93"/>
      <c r="AN718" s="93"/>
      <c r="AO718" s="83"/>
      <c r="AP718" s="83"/>
      <c r="AQ718" s="93"/>
      <c r="AR718" s="93"/>
      <c r="AS718" s="83"/>
      <c r="AT718" s="83"/>
      <c r="AU718" s="93"/>
      <c r="AV718" s="93"/>
      <c r="AW718" s="83"/>
      <c r="AX718" s="83"/>
      <c r="AY718" s="93"/>
      <c r="AZ718" s="93"/>
    </row>
    <row r="719" spans="3:52" outlineLevel="1" x14ac:dyDescent="0.45">
      <c r="C719" s="13"/>
      <c r="D719" s="13"/>
      <c r="E719" s="14"/>
      <c r="F719" s="14"/>
      <c r="G719" s="14"/>
      <c r="H719" s="14"/>
      <c r="I719" s="207"/>
      <c r="J719" s="89"/>
      <c r="K719" s="23"/>
      <c r="L719" s="90"/>
      <c r="M719" s="92"/>
      <c r="N719" s="31"/>
      <c r="O719" s="90"/>
      <c r="P719" s="92"/>
      <c r="Q719" s="31"/>
      <c r="R719" s="90"/>
      <c r="S719" s="92"/>
      <c r="T719" s="31"/>
      <c r="U719" s="90"/>
      <c r="V719" s="92"/>
      <c r="W719" s="31"/>
      <c r="X719" s="120"/>
      <c r="Y719" s="106"/>
      <c r="Z719" s="107"/>
      <c r="AA719" s="93"/>
      <c r="AB719" s="93"/>
      <c r="AC719" s="83"/>
      <c r="AD719" s="83"/>
      <c r="AE719" s="93"/>
      <c r="AF719" s="93"/>
      <c r="AG719" s="83"/>
      <c r="AH719" s="83"/>
      <c r="AI719" s="93"/>
      <c r="AJ719" s="93"/>
      <c r="AK719" s="83"/>
      <c r="AL719" s="83"/>
      <c r="AM719" s="93"/>
      <c r="AN719" s="93"/>
      <c r="AO719" s="83"/>
      <c r="AP719" s="83"/>
      <c r="AQ719" s="93"/>
      <c r="AR719" s="93"/>
      <c r="AS719" s="83"/>
      <c r="AT719" s="83"/>
      <c r="AU719" s="93"/>
      <c r="AV719" s="93"/>
      <c r="AW719" s="83"/>
      <c r="AX719" s="83"/>
      <c r="AY719" s="93"/>
      <c r="AZ719" s="93"/>
    </row>
    <row r="720" spans="3:52" outlineLevel="1" x14ac:dyDescent="0.45">
      <c r="C720" s="13"/>
      <c r="D720" s="13"/>
      <c r="E720" s="14"/>
      <c r="F720" s="14"/>
      <c r="G720" s="14"/>
      <c r="H720" s="14"/>
      <c r="I720" s="207"/>
      <c r="J720" s="89"/>
      <c r="K720" s="23"/>
      <c r="L720" s="90"/>
      <c r="M720" s="92"/>
      <c r="N720" s="31"/>
      <c r="O720" s="90"/>
      <c r="P720" s="92"/>
      <c r="Q720" s="31"/>
      <c r="R720" s="90"/>
      <c r="S720" s="92"/>
      <c r="T720" s="31"/>
      <c r="U720" s="90"/>
      <c r="V720" s="92"/>
      <c r="W720" s="31"/>
      <c r="X720" s="120"/>
      <c r="Y720" s="106"/>
      <c r="Z720" s="107"/>
      <c r="AA720" s="93"/>
      <c r="AB720" s="93"/>
      <c r="AC720" s="83"/>
      <c r="AD720" s="83"/>
      <c r="AE720" s="93"/>
      <c r="AF720" s="93"/>
      <c r="AG720" s="83"/>
      <c r="AH720" s="83"/>
      <c r="AI720" s="93"/>
      <c r="AJ720" s="93"/>
      <c r="AK720" s="83"/>
      <c r="AL720" s="83"/>
      <c r="AM720" s="93"/>
      <c r="AN720" s="93"/>
      <c r="AO720" s="83"/>
      <c r="AP720" s="83"/>
      <c r="AQ720" s="93"/>
      <c r="AR720" s="93"/>
      <c r="AS720" s="83"/>
      <c r="AT720" s="83"/>
      <c r="AU720" s="93"/>
      <c r="AV720" s="93"/>
      <c r="AW720" s="83"/>
      <c r="AX720" s="83"/>
      <c r="AY720" s="93"/>
      <c r="AZ720" s="93"/>
    </row>
    <row r="721" spans="3:52" outlineLevel="1" x14ac:dyDescent="0.45">
      <c r="C721" s="13"/>
      <c r="D721" s="13"/>
      <c r="E721" s="14"/>
      <c r="F721" s="14"/>
      <c r="G721" s="14"/>
      <c r="H721" s="14"/>
      <c r="I721" s="207"/>
      <c r="J721" s="89"/>
      <c r="K721" s="23"/>
      <c r="L721" s="90"/>
      <c r="M721" s="92"/>
      <c r="N721" s="31"/>
      <c r="O721" s="90"/>
      <c r="P721" s="92"/>
      <c r="Q721" s="31"/>
      <c r="R721" s="90"/>
      <c r="S721" s="92"/>
      <c r="T721" s="31"/>
      <c r="U721" s="90"/>
      <c r="V721" s="92"/>
      <c r="W721" s="31"/>
      <c r="X721" s="120"/>
      <c r="Y721" s="106"/>
      <c r="Z721" s="107"/>
      <c r="AA721" s="93"/>
      <c r="AB721" s="93"/>
      <c r="AC721" s="83"/>
      <c r="AD721" s="83"/>
      <c r="AE721" s="93"/>
      <c r="AF721" s="93"/>
      <c r="AG721" s="83"/>
      <c r="AH721" s="83"/>
      <c r="AI721" s="93"/>
      <c r="AJ721" s="93"/>
      <c r="AK721" s="83"/>
      <c r="AL721" s="83"/>
      <c r="AM721" s="93"/>
      <c r="AN721" s="93"/>
      <c r="AO721" s="83"/>
      <c r="AP721" s="83"/>
      <c r="AQ721" s="93"/>
      <c r="AR721" s="93"/>
      <c r="AS721" s="83"/>
      <c r="AT721" s="83"/>
      <c r="AU721" s="93"/>
      <c r="AV721" s="93"/>
      <c r="AW721" s="83"/>
      <c r="AX721" s="83"/>
      <c r="AY721" s="93"/>
      <c r="AZ721" s="93"/>
    </row>
    <row r="722" spans="3:52" outlineLevel="1" x14ac:dyDescent="0.45">
      <c r="C722" s="13"/>
      <c r="D722" s="13"/>
      <c r="E722" s="14"/>
      <c r="F722" s="14"/>
      <c r="G722" s="14"/>
      <c r="H722" s="14"/>
      <c r="I722" s="207"/>
      <c r="J722" s="89"/>
      <c r="K722" s="23"/>
      <c r="L722" s="90"/>
      <c r="M722" s="92"/>
      <c r="N722" s="31"/>
      <c r="O722" s="90"/>
      <c r="P722" s="92"/>
      <c r="Q722" s="31"/>
      <c r="R722" s="90"/>
      <c r="S722" s="92"/>
      <c r="T722" s="31"/>
      <c r="U722" s="90"/>
      <c r="V722" s="92"/>
      <c r="W722" s="31"/>
      <c r="X722" s="120"/>
      <c r="Y722" s="106"/>
      <c r="Z722" s="107"/>
      <c r="AA722" s="93"/>
      <c r="AB722" s="93"/>
      <c r="AC722" s="83"/>
      <c r="AD722" s="83"/>
      <c r="AE722" s="93"/>
      <c r="AF722" s="93"/>
      <c r="AG722" s="83"/>
      <c r="AH722" s="83"/>
      <c r="AI722" s="93"/>
      <c r="AJ722" s="93"/>
      <c r="AK722" s="83"/>
      <c r="AL722" s="83"/>
      <c r="AM722" s="93"/>
      <c r="AN722" s="93"/>
      <c r="AO722" s="83"/>
      <c r="AP722" s="83"/>
      <c r="AQ722" s="93"/>
      <c r="AR722" s="93"/>
      <c r="AS722" s="83"/>
      <c r="AT722" s="83"/>
      <c r="AU722" s="93"/>
      <c r="AV722" s="93"/>
      <c r="AW722" s="83"/>
      <c r="AX722" s="83"/>
      <c r="AY722" s="93"/>
      <c r="AZ722" s="93"/>
    </row>
    <row r="723" spans="3:52" outlineLevel="1" x14ac:dyDescent="0.45">
      <c r="C723" s="13"/>
      <c r="D723" s="13"/>
      <c r="E723" s="14"/>
      <c r="F723" s="14"/>
      <c r="G723" s="14"/>
      <c r="H723" s="14"/>
      <c r="I723" s="207"/>
      <c r="J723" s="89"/>
      <c r="K723" s="23"/>
      <c r="L723" s="90"/>
      <c r="M723" s="92"/>
      <c r="N723" s="31"/>
      <c r="O723" s="90"/>
      <c r="P723" s="92"/>
      <c r="Q723" s="31"/>
      <c r="R723" s="90"/>
      <c r="S723" s="92"/>
      <c r="T723" s="31"/>
      <c r="U723" s="90"/>
      <c r="V723" s="92"/>
      <c r="W723" s="31"/>
      <c r="X723" s="120"/>
      <c r="Y723" s="106"/>
      <c r="Z723" s="107"/>
      <c r="AA723" s="93"/>
      <c r="AB723" s="93"/>
      <c r="AC723" s="83"/>
      <c r="AD723" s="83"/>
      <c r="AE723" s="93"/>
      <c r="AF723" s="93"/>
      <c r="AG723" s="83"/>
      <c r="AH723" s="83"/>
      <c r="AI723" s="93"/>
      <c r="AJ723" s="93"/>
      <c r="AK723" s="83"/>
      <c r="AL723" s="83"/>
      <c r="AM723" s="93"/>
      <c r="AN723" s="93"/>
      <c r="AO723" s="83"/>
      <c r="AP723" s="83"/>
      <c r="AQ723" s="93"/>
      <c r="AR723" s="93"/>
      <c r="AS723" s="83"/>
      <c r="AT723" s="83"/>
      <c r="AU723" s="93"/>
      <c r="AV723" s="93"/>
      <c r="AW723" s="83"/>
      <c r="AX723" s="83"/>
      <c r="AY723" s="93"/>
      <c r="AZ723" s="93"/>
    </row>
    <row r="724" spans="3:52" outlineLevel="1" x14ac:dyDescent="0.45">
      <c r="C724" s="13"/>
      <c r="D724" s="13"/>
      <c r="E724" s="14"/>
      <c r="F724" s="14"/>
      <c r="G724" s="14"/>
      <c r="H724" s="14"/>
      <c r="I724" s="207"/>
      <c r="J724" s="89"/>
      <c r="K724" s="23"/>
      <c r="L724" s="90"/>
      <c r="M724" s="92"/>
      <c r="N724" s="31"/>
      <c r="O724" s="90"/>
      <c r="P724" s="92"/>
      <c r="Q724" s="31"/>
      <c r="R724" s="90"/>
      <c r="S724" s="92"/>
      <c r="T724" s="31"/>
      <c r="U724" s="90"/>
      <c r="V724" s="92"/>
      <c r="W724" s="31"/>
      <c r="X724" s="120"/>
      <c r="Y724" s="106"/>
      <c r="Z724" s="107"/>
      <c r="AA724" s="93"/>
      <c r="AB724" s="93"/>
      <c r="AC724" s="83"/>
      <c r="AD724" s="83"/>
      <c r="AE724" s="93"/>
      <c r="AF724" s="93"/>
      <c r="AG724" s="83"/>
      <c r="AH724" s="83"/>
      <c r="AI724" s="93"/>
      <c r="AJ724" s="93"/>
      <c r="AK724" s="83"/>
      <c r="AL724" s="83"/>
      <c r="AM724" s="93"/>
      <c r="AN724" s="93"/>
      <c r="AO724" s="83"/>
      <c r="AP724" s="83"/>
      <c r="AQ724" s="93"/>
      <c r="AR724" s="93"/>
      <c r="AS724" s="83"/>
      <c r="AT724" s="83"/>
      <c r="AU724" s="93"/>
      <c r="AV724" s="93"/>
      <c r="AW724" s="83"/>
      <c r="AX724" s="83"/>
      <c r="AY724" s="93"/>
      <c r="AZ724" s="93"/>
    </row>
    <row r="725" spans="3:52" outlineLevel="1" x14ac:dyDescent="0.45">
      <c r="C725" s="13"/>
      <c r="D725" s="13"/>
      <c r="E725" s="14"/>
      <c r="F725" s="14"/>
      <c r="G725" s="14"/>
      <c r="H725" s="14"/>
      <c r="I725" s="207"/>
      <c r="J725" s="89"/>
      <c r="K725" s="23"/>
      <c r="L725" s="90"/>
      <c r="M725" s="92"/>
      <c r="N725" s="31"/>
      <c r="O725" s="90"/>
      <c r="P725" s="92"/>
      <c r="Q725" s="31"/>
      <c r="R725" s="90"/>
      <c r="S725" s="92"/>
      <c r="T725" s="31"/>
      <c r="U725" s="90"/>
      <c r="V725" s="92"/>
      <c r="W725" s="31"/>
      <c r="X725" s="120"/>
      <c r="Y725" s="106"/>
      <c r="Z725" s="107"/>
      <c r="AA725" s="93"/>
      <c r="AB725" s="93"/>
      <c r="AC725" s="83"/>
      <c r="AD725" s="83"/>
      <c r="AE725" s="93"/>
      <c r="AF725" s="93"/>
      <c r="AG725" s="83"/>
      <c r="AH725" s="83"/>
      <c r="AI725" s="93"/>
      <c r="AJ725" s="93"/>
      <c r="AK725" s="83"/>
      <c r="AL725" s="83"/>
      <c r="AM725" s="93"/>
      <c r="AN725" s="93"/>
      <c r="AO725" s="83"/>
      <c r="AP725" s="83"/>
      <c r="AQ725" s="93"/>
      <c r="AR725" s="93"/>
      <c r="AS725" s="83"/>
      <c r="AT725" s="83"/>
      <c r="AU725" s="93"/>
      <c r="AV725" s="93"/>
      <c r="AW725" s="83"/>
      <c r="AX725" s="83"/>
      <c r="AY725" s="93"/>
      <c r="AZ725" s="93"/>
    </row>
    <row r="726" spans="3:52" outlineLevel="1" x14ac:dyDescent="0.45">
      <c r="C726" s="13"/>
      <c r="D726" s="13"/>
      <c r="E726" s="14"/>
      <c r="F726" s="14"/>
      <c r="G726" s="14"/>
      <c r="H726" s="14"/>
      <c r="I726" s="207"/>
      <c r="J726" s="89"/>
      <c r="K726" s="23"/>
      <c r="L726" s="90"/>
      <c r="M726" s="92"/>
      <c r="N726" s="31"/>
      <c r="O726" s="90"/>
      <c r="P726" s="92"/>
      <c r="Q726" s="31"/>
      <c r="R726" s="90"/>
      <c r="S726" s="92"/>
      <c r="T726" s="31"/>
      <c r="U726" s="90"/>
      <c r="V726" s="92"/>
      <c r="W726" s="31"/>
      <c r="X726" s="120"/>
      <c r="Y726" s="106"/>
      <c r="Z726" s="107"/>
      <c r="AA726" s="93"/>
      <c r="AB726" s="93"/>
      <c r="AC726" s="83"/>
      <c r="AD726" s="83"/>
      <c r="AE726" s="93"/>
      <c r="AF726" s="93"/>
      <c r="AG726" s="83"/>
      <c r="AH726" s="83"/>
      <c r="AI726" s="93"/>
      <c r="AJ726" s="93"/>
      <c r="AK726" s="83"/>
      <c r="AL726" s="83"/>
      <c r="AM726" s="93"/>
      <c r="AN726" s="93"/>
      <c r="AO726" s="83"/>
      <c r="AP726" s="83"/>
      <c r="AQ726" s="93"/>
      <c r="AR726" s="93"/>
      <c r="AS726" s="83"/>
      <c r="AT726" s="83"/>
      <c r="AU726" s="93"/>
      <c r="AV726" s="93"/>
      <c r="AW726" s="83"/>
      <c r="AX726" s="83"/>
      <c r="AY726" s="93"/>
      <c r="AZ726" s="93"/>
    </row>
    <row r="727" spans="3:52" outlineLevel="1" x14ac:dyDescent="0.45">
      <c r="C727" s="13"/>
      <c r="D727" s="13"/>
      <c r="E727" s="14"/>
      <c r="F727" s="14"/>
      <c r="G727" s="14"/>
      <c r="H727" s="14"/>
      <c r="I727" s="207"/>
      <c r="J727" s="89"/>
      <c r="K727" s="23"/>
      <c r="L727" s="90"/>
      <c r="M727" s="92"/>
      <c r="N727" s="31"/>
      <c r="O727" s="90"/>
      <c r="P727" s="92"/>
      <c r="Q727" s="31"/>
      <c r="R727" s="90"/>
      <c r="S727" s="92"/>
      <c r="T727" s="31"/>
      <c r="U727" s="90"/>
      <c r="V727" s="92"/>
      <c r="W727" s="31"/>
      <c r="X727" s="120"/>
      <c r="Y727" s="106"/>
      <c r="Z727" s="107"/>
      <c r="AA727" s="93"/>
      <c r="AB727" s="93"/>
      <c r="AC727" s="83"/>
      <c r="AD727" s="83"/>
      <c r="AE727" s="93"/>
      <c r="AF727" s="93"/>
      <c r="AG727" s="83"/>
      <c r="AH727" s="83"/>
      <c r="AI727" s="93"/>
      <c r="AJ727" s="93"/>
      <c r="AK727" s="83"/>
      <c r="AL727" s="83"/>
      <c r="AM727" s="93"/>
      <c r="AN727" s="93"/>
      <c r="AO727" s="83"/>
      <c r="AP727" s="83"/>
      <c r="AQ727" s="93"/>
      <c r="AR727" s="93"/>
      <c r="AS727" s="83"/>
      <c r="AT727" s="83"/>
      <c r="AU727" s="93"/>
      <c r="AV727" s="93"/>
      <c r="AW727" s="83"/>
      <c r="AX727" s="83"/>
      <c r="AY727" s="93"/>
      <c r="AZ727" s="93"/>
    </row>
    <row r="728" spans="3:52" outlineLevel="1" x14ac:dyDescent="0.45">
      <c r="C728" s="13"/>
      <c r="D728" s="13"/>
      <c r="E728" s="14"/>
      <c r="F728" s="14"/>
      <c r="G728" s="14"/>
      <c r="H728" s="14"/>
      <c r="I728" s="207"/>
      <c r="J728" s="89"/>
      <c r="K728" s="23"/>
      <c r="L728" s="90"/>
      <c r="M728" s="92"/>
      <c r="N728" s="31"/>
      <c r="O728" s="90"/>
      <c r="P728" s="92"/>
      <c r="Q728" s="31"/>
      <c r="R728" s="90"/>
      <c r="S728" s="92"/>
      <c r="T728" s="31"/>
      <c r="U728" s="90"/>
      <c r="V728" s="92"/>
      <c r="W728" s="31"/>
      <c r="X728" s="120"/>
      <c r="Y728" s="106"/>
      <c r="Z728" s="107"/>
      <c r="AA728" s="93"/>
      <c r="AB728" s="93"/>
      <c r="AC728" s="83"/>
      <c r="AD728" s="83"/>
      <c r="AE728" s="93"/>
      <c r="AF728" s="93"/>
      <c r="AG728" s="83"/>
      <c r="AH728" s="83"/>
      <c r="AI728" s="93"/>
      <c r="AJ728" s="93"/>
      <c r="AK728" s="83"/>
      <c r="AL728" s="83"/>
      <c r="AM728" s="93"/>
      <c r="AN728" s="93"/>
      <c r="AO728" s="83"/>
      <c r="AP728" s="83"/>
      <c r="AQ728" s="93"/>
      <c r="AR728" s="93"/>
      <c r="AS728" s="83"/>
      <c r="AT728" s="83"/>
      <c r="AU728" s="93"/>
      <c r="AV728" s="93"/>
      <c r="AW728" s="83"/>
      <c r="AX728" s="83"/>
      <c r="AY728" s="93"/>
      <c r="AZ728" s="93"/>
    </row>
    <row r="729" spans="3:52" outlineLevel="1" x14ac:dyDescent="0.45">
      <c r="C729" s="13"/>
      <c r="D729" s="13"/>
      <c r="E729" s="14"/>
      <c r="F729" s="14"/>
      <c r="G729" s="14"/>
      <c r="H729" s="14"/>
      <c r="I729" s="207"/>
      <c r="J729" s="89"/>
      <c r="K729" s="23"/>
      <c r="L729" s="90"/>
      <c r="M729" s="92"/>
      <c r="N729" s="31"/>
      <c r="O729" s="90"/>
      <c r="P729" s="92"/>
      <c r="Q729" s="31"/>
      <c r="R729" s="90"/>
      <c r="S729" s="92"/>
      <c r="T729" s="31"/>
      <c r="U729" s="90"/>
      <c r="V729" s="92"/>
      <c r="W729" s="31"/>
      <c r="X729" s="120"/>
      <c r="Y729" s="106"/>
      <c r="Z729" s="107"/>
      <c r="AA729" s="93"/>
      <c r="AB729" s="93"/>
      <c r="AC729" s="83"/>
      <c r="AD729" s="83"/>
      <c r="AE729" s="93"/>
      <c r="AF729" s="93"/>
      <c r="AG729" s="83"/>
      <c r="AH729" s="83"/>
      <c r="AI729" s="93"/>
      <c r="AJ729" s="93"/>
      <c r="AK729" s="83"/>
      <c r="AL729" s="83"/>
      <c r="AM729" s="93"/>
      <c r="AN729" s="93"/>
      <c r="AO729" s="83"/>
      <c r="AP729" s="83"/>
      <c r="AQ729" s="93"/>
      <c r="AR729" s="93"/>
      <c r="AS729" s="83"/>
      <c r="AT729" s="83"/>
      <c r="AU729" s="93"/>
      <c r="AV729" s="93"/>
      <c r="AW729" s="83"/>
      <c r="AX729" s="83"/>
      <c r="AY729" s="93"/>
      <c r="AZ729" s="93"/>
    </row>
    <row r="730" spans="3:52" outlineLevel="1" x14ac:dyDescent="0.45">
      <c r="C730" s="13"/>
      <c r="D730" s="13"/>
      <c r="E730" s="14"/>
      <c r="F730" s="14"/>
      <c r="G730" s="14"/>
      <c r="H730" s="14"/>
      <c r="I730" s="207"/>
      <c r="J730" s="89"/>
      <c r="K730" s="23"/>
      <c r="L730" s="90"/>
      <c r="M730" s="92"/>
      <c r="N730" s="31"/>
      <c r="O730" s="90"/>
      <c r="P730" s="92"/>
      <c r="Q730" s="31"/>
      <c r="R730" s="90"/>
      <c r="S730" s="92"/>
      <c r="T730" s="31"/>
      <c r="U730" s="90"/>
      <c r="V730" s="92"/>
      <c r="W730" s="31"/>
      <c r="X730" s="120"/>
      <c r="Y730" s="106"/>
      <c r="Z730" s="107"/>
      <c r="AA730" s="93"/>
      <c r="AB730" s="93"/>
      <c r="AC730" s="83"/>
      <c r="AD730" s="83"/>
      <c r="AE730" s="93"/>
      <c r="AF730" s="93"/>
      <c r="AG730" s="83"/>
      <c r="AH730" s="83"/>
      <c r="AI730" s="93"/>
      <c r="AJ730" s="93"/>
      <c r="AK730" s="83"/>
      <c r="AL730" s="83"/>
      <c r="AM730" s="93"/>
      <c r="AN730" s="93"/>
      <c r="AO730" s="83"/>
      <c r="AP730" s="83"/>
      <c r="AQ730" s="93"/>
      <c r="AR730" s="93"/>
      <c r="AS730" s="83"/>
      <c r="AT730" s="83"/>
      <c r="AU730" s="93"/>
      <c r="AV730" s="93"/>
      <c r="AW730" s="83"/>
      <c r="AX730" s="83"/>
      <c r="AY730" s="93"/>
      <c r="AZ730" s="93"/>
    </row>
    <row r="731" spans="3:52" outlineLevel="1" x14ac:dyDescent="0.45">
      <c r="I731" s="207"/>
      <c r="J731" s="89"/>
      <c r="K731" s="23"/>
      <c r="L731" s="90"/>
      <c r="M731" s="92"/>
      <c r="N731" s="31"/>
      <c r="O731" s="90"/>
      <c r="P731" s="92"/>
      <c r="Q731" s="31"/>
      <c r="R731" s="90"/>
      <c r="S731" s="92"/>
      <c r="T731" s="31"/>
      <c r="U731" s="90"/>
      <c r="V731" s="92"/>
      <c r="W731" s="31"/>
      <c r="X731" s="120"/>
      <c r="Y731" s="106"/>
      <c r="Z731" s="107"/>
      <c r="AA731" s="93"/>
      <c r="AB731" s="93"/>
      <c r="AC731" s="83"/>
      <c r="AD731" s="83"/>
      <c r="AE731" s="93"/>
      <c r="AF731" s="93"/>
      <c r="AG731" s="83"/>
      <c r="AH731" s="83"/>
      <c r="AI731" s="93"/>
      <c r="AJ731" s="93"/>
      <c r="AK731" s="83"/>
      <c r="AL731" s="83"/>
      <c r="AM731" s="93"/>
      <c r="AN731" s="93"/>
      <c r="AO731" s="83"/>
      <c r="AP731" s="83"/>
      <c r="AQ731" s="93"/>
      <c r="AR731" s="93"/>
      <c r="AS731" s="83"/>
      <c r="AT731" s="83"/>
      <c r="AU731" s="93"/>
      <c r="AV731" s="93"/>
      <c r="AW731" s="83"/>
      <c r="AX731" s="83"/>
      <c r="AY731" s="93"/>
      <c r="AZ731" s="93"/>
    </row>
    <row r="732" spans="3:52" outlineLevel="1" x14ac:dyDescent="0.45">
      <c r="C732" s="13"/>
      <c r="D732" s="13"/>
      <c r="E732" s="324" t="s">
        <v>929</v>
      </c>
      <c r="F732" s="324"/>
      <c r="G732" s="324"/>
      <c r="H732" s="324"/>
      <c r="I732" s="207"/>
      <c r="J732" s="89"/>
      <c r="K732" s="23"/>
      <c r="L732" s="90"/>
      <c r="M732" s="92"/>
      <c r="N732" s="31"/>
      <c r="O732" s="90"/>
      <c r="P732" s="92"/>
      <c r="Q732" s="31"/>
      <c r="R732" s="90"/>
      <c r="S732" s="92"/>
      <c r="T732" s="31"/>
      <c r="U732" s="90"/>
      <c r="V732" s="92"/>
      <c r="W732" s="31"/>
      <c r="X732" s="207"/>
      <c r="Y732" s="89"/>
      <c r="Z732" s="23"/>
      <c r="AA732" s="93"/>
      <c r="AB732" s="93"/>
      <c r="AC732" s="83"/>
      <c r="AD732" s="83"/>
      <c r="AE732" s="93"/>
      <c r="AF732" s="93"/>
      <c r="AG732" s="83"/>
      <c r="AH732" s="83"/>
      <c r="AI732" s="93"/>
      <c r="AJ732" s="93"/>
      <c r="AK732" s="83"/>
      <c r="AL732" s="83"/>
      <c r="AM732" s="93"/>
      <c r="AN732" s="93"/>
      <c r="AO732" s="83"/>
      <c r="AP732" s="83"/>
      <c r="AQ732" s="93"/>
      <c r="AR732" s="93"/>
      <c r="AS732" s="83"/>
      <c r="AT732" s="83"/>
      <c r="AU732" s="93"/>
      <c r="AV732" s="93"/>
      <c r="AW732" s="83"/>
      <c r="AX732" s="83"/>
      <c r="AY732" s="93"/>
      <c r="AZ732" s="93"/>
    </row>
    <row r="733" spans="3:52" outlineLevel="1" x14ac:dyDescent="0.45">
      <c r="C733" s="13"/>
      <c r="D733" s="13"/>
      <c r="E733" s="117" t="s">
        <v>930</v>
      </c>
      <c r="F733" s="117"/>
      <c r="G733" s="117"/>
      <c r="H733" s="117"/>
      <c r="I733" s="207"/>
      <c r="J733" s="89"/>
      <c r="K733" s="23"/>
      <c r="L733" s="90"/>
      <c r="M733" s="92"/>
      <c r="N733" s="31"/>
      <c r="O733" s="90"/>
      <c r="P733" s="92"/>
      <c r="Q733" s="31"/>
      <c r="R733" s="90"/>
      <c r="S733" s="92"/>
      <c r="T733" s="31"/>
      <c r="U733" s="90"/>
      <c r="V733" s="92"/>
      <c r="W733" s="31"/>
      <c r="X733" s="207"/>
      <c r="Y733" s="89"/>
      <c r="Z733" s="23"/>
      <c r="AA733" s="93"/>
      <c r="AB733" s="93"/>
      <c r="AC733" s="83"/>
      <c r="AD733" s="83"/>
      <c r="AE733" s="93"/>
      <c r="AF733" s="93"/>
      <c r="AG733" s="83"/>
      <c r="AH733" s="83"/>
      <c r="AI733" s="93"/>
      <c r="AJ733" s="93"/>
      <c r="AK733" s="83"/>
      <c r="AL733" s="83"/>
      <c r="AM733" s="93"/>
      <c r="AN733" s="93"/>
      <c r="AO733" s="83"/>
      <c r="AP733" s="83"/>
      <c r="AQ733" s="93"/>
      <c r="AR733" s="93"/>
      <c r="AS733" s="83"/>
      <c r="AT733" s="83"/>
      <c r="AU733" s="93"/>
      <c r="AV733" s="93"/>
      <c r="AW733" s="83"/>
      <c r="AX733" s="83"/>
      <c r="AY733" s="93"/>
      <c r="AZ733" s="93"/>
    </row>
    <row r="734" spans="3:52" outlineLevel="1" x14ac:dyDescent="0.45">
      <c r="C734" s="13" t="s">
        <v>310</v>
      </c>
      <c r="D734" s="13"/>
      <c r="E734" s="14" t="s">
        <v>931</v>
      </c>
      <c r="F734" s="14"/>
      <c r="G734" s="14"/>
      <c r="H734" s="14"/>
      <c r="I734" s="207"/>
      <c r="J734" s="89"/>
      <c r="K734" s="23"/>
      <c r="L734" s="90"/>
      <c r="M734" s="92"/>
      <c r="N734" s="31"/>
      <c r="O734" s="90"/>
      <c r="P734" s="92"/>
      <c r="Q734" s="31"/>
      <c r="R734" s="90"/>
      <c r="S734" s="92"/>
      <c r="T734" s="31"/>
      <c r="U734" s="90"/>
      <c r="V734" s="92"/>
      <c r="W734" s="31"/>
      <c r="X734" s="207"/>
      <c r="Y734" s="89"/>
      <c r="Z734" s="23"/>
      <c r="AA734" s="93"/>
      <c r="AB734" s="93"/>
      <c r="AC734" s="83"/>
      <c r="AD734" s="83"/>
      <c r="AE734" s="93"/>
      <c r="AF734" s="93"/>
      <c r="AG734" s="83"/>
      <c r="AH734" s="83"/>
      <c r="AI734" s="93"/>
      <c r="AJ734" s="93"/>
      <c r="AK734" s="83"/>
      <c r="AL734" s="83"/>
      <c r="AM734" s="93"/>
      <c r="AN734" s="93"/>
      <c r="AO734" s="83"/>
      <c r="AP734" s="83"/>
      <c r="AQ734" s="93"/>
      <c r="AR734" s="93"/>
      <c r="AS734" s="83"/>
      <c r="AT734" s="83"/>
      <c r="AU734" s="93"/>
      <c r="AV734" s="93"/>
      <c r="AW734" s="83"/>
      <c r="AX734" s="83"/>
      <c r="AY734" s="93"/>
      <c r="AZ734" s="93"/>
    </row>
    <row r="735" spans="3:52" outlineLevel="1" x14ac:dyDescent="0.45">
      <c r="C735" s="13" t="s">
        <v>313</v>
      </c>
      <c r="D735" s="13"/>
      <c r="E735" s="14" t="s">
        <v>932</v>
      </c>
      <c r="F735" s="14"/>
      <c r="G735" s="14"/>
      <c r="H735" s="14"/>
      <c r="I735" s="207"/>
      <c r="J735" s="89"/>
      <c r="K735" s="23"/>
      <c r="L735" s="90"/>
      <c r="M735" s="92"/>
      <c r="N735" s="31"/>
      <c r="O735" s="90"/>
      <c r="P735" s="92"/>
      <c r="Q735" s="31"/>
      <c r="R735" s="90"/>
      <c r="S735" s="92"/>
      <c r="T735" s="31"/>
      <c r="U735" s="90"/>
      <c r="V735" s="92"/>
      <c r="W735" s="31"/>
      <c r="X735" s="207"/>
      <c r="Y735" s="89"/>
      <c r="Z735" s="23"/>
      <c r="AA735" s="93"/>
      <c r="AB735" s="93"/>
      <c r="AC735" s="83"/>
      <c r="AD735" s="83"/>
      <c r="AE735" s="93"/>
      <c r="AF735" s="93"/>
      <c r="AG735" s="83"/>
      <c r="AH735" s="83"/>
      <c r="AI735" s="93"/>
      <c r="AJ735" s="93"/>
      <c r="AK735" s="83"/>
      <c r="AL735" s="83"/>
      <c r="AM735" s="93"/>
      <c r="AN735" s="93"/>
      <c r="AO735" s="83"/>
      <c r="AP735" s="83"/>
      <c r="AQ735" s="93"/>
      <c r="AR735" s="93"/>
      <c r="AS735" s="83"/>
      <c r="AT735" s="83"/>
      <c r="AU735" s="93"/>
      <c r="AV735" s="93"/>
      <c r="AW735" s="83"/>
      <c r="AX735" s="83"/>
      <c r="AY735" s="93"/>
      <c r="AZ735" s="93"/>
    </row>
    <row r="736" spans="3:52" outlineLevel="1" x14ac:dyDescent="0.45">
      <c r="C736" s="13" t="s">
        <v>933</v>
      </c>
      <c r="D736" s="13"/>
      <c r="E736" s="14" t="s">
        <v>934</v>
      </c>
      <c r="F736" s="14"/>
      <c r="G736" s="14"/>
      <c r="H736" s="14"/>
      <c r="I736" s="207"/>
      <c r="J736" s="89"/>
      <c r="K736" s="23"/>
      <c r="L736" s="90"/>
      <c r="M736" s="92"/>
      <c r="N736" s="31"/>
      <c r="O736" s="90"/>
      <c r="P736" s="92"/>
      <c r="Q736" s="31"/>
      <c r="R736" s="90"/>
      <c r="S736" s="92"/>
      <c r="T736" s="31"/>
      <c r="U736" s="90"/>
      <c r="V736" s="92"/>
      <c r="W736" s="31"/>
      <c r="X736" s="207"/>
      <c r="Y736" s="89"/>
      <c r="Z736" s="23"/>
      <c r="AA736" s="93"/>
      <c r="AB736" s="93"/>
      <c r="AC736" s="83"/>
      <c r="AD736" s="83"/>
      <c r="AE736" s="93"/>
      <c r="AF736" s="93"/>
      <c r="AG736" s="83"/>
      <c r="AH736" s="83"/>
      <c r="AI736" s="93"/>
      <c r="AJ736" s="93"/>
      <c r="AK736" s="83"/>
      <c r="AL736" s="83"/>
      <c r="AM736" s="93"/>
      <c r="AN736" s="93"/>
      <c r="AO736" s="83"/>
      <c r="AP736" s="83"/>
      <c r="AQ736" s="93"/>
      <c r="AR736" s="93"/>
      <c r="AS736" s="83"/>
      <c r="AT736" s="83"/>
      <c r="AU736" s="93"/>
      <c r="AV736" s="93"/>
      <c r="AW736" s="83"/>
      <c r="AX736" s="83"/>
      <c r="AY736" s="93"/>
      <c r="AZ736" s="93"/>
    </row>
    <row r="737" spans="3:52" outlineLevel="1" x14ac:dyDescent="0.45">
      <c r="C737" s="13" t="s">
        <v>501</v>
      </c>
      <c r="D737" s="13"/>
      <c r="E737" s="13" t="s">
        <v>336</v>
      </c>
      <c r="F737" s="13"/>
      <c r="G737" s="13"/>
      <c r="H737" s="13"/>
      <c r="I737" s="325"/>
      <c r="J737" s="326"/>
      <c r="K737" s="327"/>
      <c r="L737" s="90"/>
      <c r="M737" s="92"/>
      <c r="N737" s="31"/>
      <c r="O737" s="90"/>
      <c r="P737" s="92"/>
      <c r="Q737" s="31"/>
      <c r="R737" s="90"/>
      <c r="S737" s="92"/>
      <c r="T737" s="31"/>
      <c r="U737" s="90"/>
      <c r="V737" s="92"/>
      <c r="W737" s="31"/>
      <c r="X737" s="207"/>
      <c r="Y737" s="89"/>
      <c r="Z737" s="23"/>
      <c r="AA737" s="93"/>
      <c r="AB737" s="93"/>
      <c r="AC737" s="83"/>
      <c r="AD737" s="83"/>
      <c r="AE737" s="93"/>
      <c r="AF737" s="93"/>
      <c r="AG737" s="83"/>
      <c r="AH737" s="83"/>
      <c r="AI737" s="93"/>
      <c r="AJ737" s="93"/>
      <c r="AK737" s="83"/>
      <c r="AL737" s="83"/>
      <c r="AM737" s="93"/>
      <c r="AN737" s="93"/>
      <c r="AO737" s="83"/>
      <c r="AP737" s="83"/>
      <c r="AQ737" s="93"/>
      <c r="AR737" s="93"/>
      <c r="AS737" s="83"/>
      <c r="AT737" s="83"/>
      <c r="AU737" s="93"/>
      <c r="AV737" s="93"/>
      <c r="AW737" s="83"/>
      <c r="AX737" s="83"/>
      <c r="AY737" s="93"/>
      <c r="AZ737" s="93"/>
    </row>
    <row r="738" spans="3:52" outlineLevel="1" x14ac:dyDescent="0.45">
      <c r="C738" s="13" t="s">
        <v>570</v>
      </c>
      <c r="D738" s="13"/>
      <c r="E738" s="13" t="s">
        <v>342</v>
      </c>
      <c r="F738" s="13"/>
      <c r="G738" s="13"/>
      <c r="H738" s="13"/>
      <c r="I738" s="207"/>
      <c r="J738" s="89"/>
      <c r="K738" s="23"/>
      <c r="L738" s="90"/>
      <c r="M738" s="92"/>
      <c r="N738" s="31"/>
      <c r="O738" s="90"/>
      <c r="P738" s="92"/>
      <c r="Q738" s="31"/>
      <c r="R738" s="90"/>
      <c r="S738" s="92"/>
      <c r="T738" s="31"/>
      <c r="U738" s="90"/>
      <c r="V738" s="92"/>
      <c r="W738" s="31"/>
      <c r="X738" s="207"/>
      <c r="Y738" s="89"/>
      <c r="Z738" s="23"/>
      <c r="AA738" s="93"/>
      <c r="AB738" s="93"/>
      <c r="AC738" s="83"/>
      <c r="AD738" s="83"/>
      <c r="AE738" s="93"/>
      <c r="AF738" s="93"/>
      <c r="AG738" s="83"/>
      <c r="AH738" s="83"/>
      <c r="AI738" s="93"/>
      <c r="AJ738" s="93"/>
      <c r="AK738" s="83"/>
      <c r="AL738" s="83"/>
      <c r="AM738" s="93"/>
      <c r="AN738" s="93"/>
      <c r="AO738" s="83"/>
      <c r="AP738" s="83"/>
      <c r="AQ738" s="93"/>
      <c r="AR738" s="93"/>
      <c r="AS738" s="83"/>
      <c r="AT738" s="83"/>
      <c r="AU738" s="93"/>
      <c r="AV738" s="93"/>
      <c r="AW738" s="83"/>
      <c r="AX738" s="83"/>
      <c r="AY738" s="93"/>
      <c r="AZ738" s="93"/>
    </row>
    <row r="739" spans="3:52" outlineLevel="1" x14ac:dyDescent="0.45">
      <c r="C739" s="13" t="s">
        <v>649</v>
      </c>
      <c r="D739" s="13"/>
      <c r="E739" s="13" t="s">
        <v>935</v>
      </c>
      <c r="F739" s="13"/>
      <c r="G739" s="13"/>
      <c r="H739" s="13"/>
      <c r="I739" s="207"/>
      <c r="J739" s="89"/>
      <c r="K739" s="23"/>
      <c r="L739" s="90"/>
      <c r="M739" s="92"/>
      <c r="N739" s="31"/>
      <c r="O739" s="90"/>
      <c r="P739" s="92"/>
      <c r="Q739" s="31"/>
      <c r="R739" s="90"/>
      <c r="S739" s="92"/>
      <c r="T739" s="31"/>
      <c r="U739" s="90"/>
      <c r="V739" s="92"/>
      <c r="W739" s="31"/>
      <c r="X739" s="207"/>
      <c r="Y739" s="89"/>
      <c r="Z739" s="23"/>
      <c r="AA739" s="93"/>
      <c r="AB739" s="93"/>
      <c r="AC739" s="83"/>
      <c r="AD739" s="83"/>
      <c r="AE739" s="93"/>
      <c r="AF739" s="93"/>
      <c r="AG739" s="83"/>
      <c r="AH739" s="83"/>
      <c r="AI739" s="93"/>
      <c r="AJ739" s="93"/>
      <c r="AK739" s="83"/>
      <c r="AL739" s="83"/>
      <c r="AM739" s="93"/>
      <c r="AN739" s="93"/>
      <c r="AO739" s="83"/>
      <c r="AP739" s="83"/>
      <c r="AQ739" s="93"/>
      <c r="AR739" s="93"/>
      <c r="AS739" s="83"/>
      <c r="AT739" s="83"/>
      <c r="AU739" s="93"/>
      <c r="AV739" s="93"/>
      <c r="AW739" s="83"/>
      <c r="AX739" s="83"/>
      <c r="AY739" s="93"/>
      <c r="AZ739" s="93"/>
    </row>
    <row r="740" spans="3:52" outlineLevel="1" x14ac:dyDescent="0.45">
      <c r="C740" s="13" t="s">
        <v>708</v>
      </c>
      <c r="D740" s="13"/>
      <c r="E740" s="13" t="s">
        <v>936</v>
      </c>
      <c r="F740" s="13"/>
      <c r="G740" s="13"/>
      <c r="H740" s="13"/>
      <c r="I740" s="328"/>
      <c r="J740" s="329"/>
      <c r="K740" s="330"/>
      <c r="L740" s="90"/>
      <c r="M740" s="92"/>
      <c r="N740" s="31"/>
      <c r="O740" s="90"/>
      <c r="P740" s="92"/>
      <c r="Q740" s="31"/>
      <c r="R740" s="90"/>
      <c r="S740" s="92"/>
      <c r="T740" s="31"/>
      <c r="U740" s="90"/>
      <c r="V740" s="92"/>
      <c r="W740" s="31"/>
      <c r="X740" s="207"/>
      <c r="Y740" s="89"/>
      <c r="Z740" s="23"/>
      <c r="AA740" s="93"/>
      <c r="AB740" s="93"/>
      <c r="AC740" s="83"/>
      <c r="AD740" s="83"/>
      <c r="AE740" s="93"/>
      <c r="AF740" s="93"/>
      <c r="AG740" s="83"/>
      <c r="AH740" s="83"/>
      <c r="AI740" s="93"/>
      <c r="AJ740" s="93"/>
      <c r="AK740" s="83"/>
      <c r="AL740" s="83"/>
      <c r="AM740" s="93"/>
      <c r="AN740" s="93"/>
      <c r="AO740" s="83"/>
      <c r="AP740" s="83"/>
      <c r="AQ740" s="93"/>
      <c r="AR740" s="93"/>
      <c r="AS740" s="83"/>
      <c r="AT740" s="83"/>
      <c r="AU740" s="93"/>
      <c r="AV740" s="93"/>
      <c r="AW740" s="83"/>
      <c r="AX740" s="83"/>
      <c r="AY740" s="93"/>
      <c r="AZ740" s="93"/>
    </row>
    <row r="741" spans="3:52" ht="14.65" outlineLevel="1" thickBot="1" x14ac:dyDescent="0.5">
      <c r="C741" s="13" t="s">
        <v>767</v>
      </c>
      <c r="D741" s="13"/>
      <c r="E741" s="13" t="s">
        <v>937</v>
      </c>
      <c r="F741" s="13"/>
      <c r="G741" s="13"/>
      <c r="H741" s="13"/>
      <c r="I741" s="331"/>
      <c r="J741" s="332"/>
      <c r="K741" s="333"/>
      <c r="L741" s="90"/>
      <c r="M741" s="92"/>
      <c r="N741" s="31"/>
      <c r="O741" s="90"/>
      <c r="P741" s="92"/>
      <c r="Q741" s="31"/>
      <c r="R741" s="90"/>
      <c r="S741" s="92"/>
      <c r="T741" s="31"/>
      <c r="U741" s="90"/>
      <c r="V741" s="92"/>
      <c r="W741" s="31"/>
      <c r="X741" s="207"/>
      <c r="Y741" s="89"/>
      <c r="Z741" s="23"/>
      <c r="AA741" s="93"/>
      <c r="AB741" s="93"/>
      <c r="AC741" s="83"/>
      <c r="AD741" s="83"/>
      <c r="AE741" s="93"/>
      <c r="AF741" s="93"/>
      <c r="AG741" s="83"/>
      <c r="AH741" s="83"/>
      <c r="AI741" s="93"/>
      <c r="AJ741" s="93"/>
      <c r="AK741" s="83"/>
      <c r="AL741" s="83"/>
      <c r="AM741" s="93"/>
      <c r="AN741" s="93"/>
      <c r="AO741" s="83"/>
      <c r="AP741" s="83"/>
      <c r="AQ741" s="93"/>
      <c r="AR741" s="93"/>
      <c r="AS741" s="83"/>
      <c r="AT741" s="83"/>
      <c r="AU741" s="93"/>
      <c r="AV741" s="93"/>
      <c r="AW741" s="83"/>
      <c r="AX741" s="83"/>
      <c r="AY741" s="93"/>
      <c r="AZ741" s="93"/>
    </row>
    <row r="742" spans="3:52" ht="14.65" outlineLevel="1" thickTop="1" x14ac:dyDescent="0.45">
      <c r="C742" s="13" t="s">
        <v>938</v>
      </c>
      <c r="D742" s="13"/>
      <c r="E742" s="14"/>
      <c r="F742" s="14"/>
      <c r="G742" s="14"/>
      <c r="H742" s="14"/>
      <c r="I742" s="207"/>
      <c r="J742" s="89"/>
      <c r="K742" s="23"/>
      <c r="L742" s="90"/>
      <c r="M742" s="92"/>
      <c r="N742" s="31"/>
      <c r="O742" s="90"/>
      <c r="P742" s="92"/>
      <c r="Q742" s="31"/>
      <c r="R742" s="90"/>
      <c r="S742" s="92"/>
      <c r="T742" s="31"/>
      <c r="U742" s="90"/>
      <c r="V742" s="92"/>
      <c r="W742" s="31"/>
      <c r="X742" s="207"/>
      <c r="Y742" s="89"/>
      <c r="Z742" s="23"/>
      <c r="AA742" s="93"/>
      <c r="AB742" s="93"/>
      <c r="AC742" s="83"/>
      <c r="AD742" s="83"/>
      <c r="AE742" s="93"/>
      <c r="AF742" s="93"/>
      <c r="AG742" s="83"/>
      <c r="AH742" s="83"/>
      <c r="AI742" s="93"/>
      <c r="AJ742" s="93"/>
      <c r="AK742" s="83"/>
      <c r="AL742" s="83"/>
      <c r="AM742" s="93"/>
      <c r="AN742" s="93"/>
      <c r="AO742" s="83"/>
      <c r="AP742" s="83"/>
      <c r="AQ742" s="93"/>
      <c r="AR742" s="93"/>
      <c r="AS742" s="83"/>
      <c r="AT742" s="83"/>
      <c r="AU742" s="93"/>
      <c r="AV742" s="93"/>
      <c r="AW742" s="83"/>
      <c r="AX742" s="83"/>
      <c r="AY742" s="93"/>
      <c r="AZ742" s="93"/>
    </row>
    <row r="743" spans="3:52" outlineLevel="1" x14ac:dyDescent="0.45">
      <c r="C743" s="13"/>
      <c r="D743" s="13"/>
      <c r="E743" s="14"/>
      <c r="F743" s="14"/>
      <c r="G743" s="14"/>
      <c r="H743" s="14"/>
      <c r="I743" s="207"/>
      <c r="J743" s="89"/>
      <c r="K743" s="23"/>
      <c r="L743" s="90"/>
      <c r="M743" s="92"/>
      <c r="N743" s="31"/>
      <c r="O743" s="90"/>
      <c r="P743" s="92"/>
      <c r="Q743" s="31"/>
      <c r="R743" s="90"/>
      <c r="S743" s="92"/>
      <c r="T743" s="31"/>
      <c r="U743" s="90"/>
      <c r="V743" s="92"/>
      <c r="W743" s="31"/>
      <c r="X743" s="207"/>
      <c r="Y743" s="89"/>
      <c r="Z743" s="23"/>
      <c r="AA743" s="93"/>
      <c r="AB743" s="93"/>
      <c r="AC743" s="83"/>
      <c r="AD743" s="83"/>
      <c r="AE743" s="93"/>
      <c r="AF743" s="93"/>
      <c r="AG743" s="83"/>
      <c r="AH743" s="83"/>
      <c r="AI743" s="93"/>
      <c r="AJ743" s="93"/>
      <c r="AK743" s="83"/>
      <c r="AL743" s="83"/>
      <c r="AM743" s="93"/>
      <c r="AN743" s="93"/>
      <c r="AO743" s="83"/>
      <c r="AP743" s="83"/>
      <c r="AQ743" s="93"/>
      <c r="AR743" s="93"/>
      <c r="AS743" s="83"/>
      <c r="AT743" s="83"/>
      <c r="AU743" s="93"/>
      <c r="AV743" s="93"/>
      <c r="AW743" s="83"/>
      <c r="AX743" s="83"/>
      <c r="AY743" s="93"/>
      <c r="AZ743" s="93"/>
    </row>
    <row r="744" spans="3:52" outlineLevel="1" x14ac:dyDescent="0.45">
      <c r="C744" s="13"/>
      <c r="D744" s="13"/>
      <c r="E744" s="334" t="s">
        <v>939</v>
      </c>
      <c r="F744" s="334"/>
      <c r="G744" s="334"/>
      <c r="H744" s="334"/>
      <c r="I744" s="207"/>
      <c r="J744" s="89"/>
      <c r="K744" s="23"/>
      <c r="L744" s="90"/>
      <c r="M744" s="92"/>
      <c r="N744" s="31"/>
      <c r="O744" s="90"/>
      <c r="P744" s="92"/>
      <c r="Q744" s="31"/>
      <c r="R744" s="90"/>
      <c r="S744" s="92"/>
      <c r="T744" s="31"/>
      <c r="U744" s="90"/>
      <c r="V744" s="92"/>
      <c r="W744" s="31"/>
      <c r="X744" s="207"/>
      <c r="Y744" s="89"/>
      <c r="Z744" s="23"/>
      <c r="AA744" s="93"/>
      <c r="AB744" s="93"/>
      <c r="AC744" s="83"/>
      <c r="AD744" s="83"/>
      <c r="AE744" s="93"/>
      <c r="AF744" s="93"/>
      <c r="AG744" s="83"/>
      <c r="AH744" s="83"/>
      <c r="AI744" s="93"/>
      <c r="AJ744" s="93"/>
      <c r="AK744" s="83"/>
      <c r="AL744" s="83"/>
      <c r="AM744" s="93"/>
      <c r="AN744" s="93"/>
      <c r="AO744" s="83"/>
      <c r="AP744" s="83"/>
      <c r="AQ744" s="93"/>
      <c r="AR744" s="93"/>
      <c r="AS744" s="83"/>
      <c r="AT744" s="83"/>
      <c r="AU744" s="93"/>
      <c r="AV744" s="93"/>
      <c r="AW744" s="83"/>
      <c r="AX744" s="83"/>
      <c r="AY744" s="93"/>
      <c r="AZ744" s="93"/>
    </row>
    <row r="745" spans="3:52" ht="18" outlineLevel="1" x14ac:dyDescent="0.55000000000000004">
      <c r="C745" s="13"/>
      <c r="D745" s="13"/>
      <c r="E745" s="58" t="s">
        <v>940</v>
      </c>
      <c r="F745" s="58"/>
      <c r="G745" s="58"/>
      <c r="H745" s="58"/>
      <c r="I745" s="335"/>
      <c r="J745" s="335"/>
      <c r="L745" s="90"/>
      <c r="M745" s="92"/>
      <c r="N745" s="31"/>
      <c r="O745" s="90"/>
      <c r="P745" s="92"/>
      <c r="Q745" s="31"/>
      <c r="R745" s="90"/>
      <c r="S745" s="92"/>
      <c r="T745" s="31"/>
      <c r="U745" s="90"/>
      <c r="V745" s="92"/>
      <c r="W745" s="31"/>
      <c r="X745" s="207"/>
      <c r="Y745" s="89"/>
      <c r="Z745" s="23"/>
      <c r="AA745" s="93"/>
      <c r="AB745" s="93"/>
      <c r="AC745" s="83"/>
      <c r="AD745" s="83"/>
      <c r="AE745" s="93"/>
      <c r="AF745" s="93"/>
      <c r="AG745" s="83"/>
      <c r="AH745" s="83"/>
      <c r="AI745" s="93"/>
      <c r="AJ745" s="93"/>
      <c r="AK745" s="83"/>
      <c r="AL745" s="83"/>
      <c r="AM745" s="93"/>
      <c r="AN745" s="93"/>
      <c r="AO745" s="83"/>
      <c r="AP745" s="83"/>
      <c r="AQ745" s="93"/>
      <c r="AR745" s="93"/>
      <c r="AS745" s="83"/>
      <c r="AT745" s="83"/>
      <c r="AU745" s="93"/>
      <c r="AV745" s="93"/>
      <c r="AW745" s="83"/>
      <c r="AX745" s="83"/>
      <c r="AY745" s="93"/>
      <c r="AZ745" s="93"/>
    </row>
    <row r="746" spans="3:52" outlineLevel="1" x14ac:dyDescent="0.45">
      <c r="C746" s="13"/>
      <c r="D746" s="13"/>
      <c r="E746" s="336" t="s">
        <v>266</v>
      </c>
      <c r="F746" s="336"/>
      <c r="G746" s="336"/>
      <c r="H746" s="336"/>
      <c r="I746" s="207"/>
      <c r="J746" s="89"/>
      <c r="K746" s="23"/>
      <c r="L746" s="90"/>
      <c r="M746" s="92"/>
      <c r="N746" s="31"/>
      <c r="O746" s="90"/>
      <c r="P746" s="92"/>
      <c r="Q746" s="31"/>
      <c r="R746" s="90"/>
      <c r="S746" s="92"/>
      <c r="T746" s="31"/>
      <c r="U746" s="90"/>
      <c r="V746" s="92"/>
      <c r="W746" s="31"/>
      <c r="X746" s="207"/>
      <c r="Y746" s="89"/>
      <c r="Z746" s="23"/>
      <c r="AA746" s="93"/>
      <c r="AB746" s="93"/>
      <c r="AC746" s="83"/>
      <c r="AD746" s="83"/>
      <c r="AE746" s="93"/>
      <c r="AF746" s="93"/>
      <c r="AG746" s="83"/>
      <c r="AH746" s="83"/>
      <c r="AI746" s="93"/>
      <c r="AJ746" s="93"/>
      <c r="AK746" s="83"/>
      <c r="AL746" s="83"/>
      <c r="AM746" s="93"/>
      <c r="AN746" s="93"/>
      <c r="AO746" s="83"/>
      <c r="AP746" s="83"/>
      <c r="AQ746" s="93"/>
      <c r="AR746" s="93"/>
      <c r="AS746" s="83"/>
      <c r="AT746" s="83"/>
      <c r="AU746" s="93"/>
      <c r="AV746" s="93"/>
      <c r="AW746" s="83"/>
      <c r="AX746" s="83"/>
      <c r="AY746" s="93"/>
      <c r="AZ746" s="93"/>
    </row>
    <row r="747" spans="3:52" outlineLevel="1" x14ac:dyDescent="0.45">
      <c r="C747" s="13"/>
      <c r="D747" s="13"/>
      <c r="E747" s="116" t="s">
        <v>941</v>
      </c>
      <c r="F747" s="116"/>
      <c r="G747" s="116"/>
      <c r="H747" s="116"/>
      <c r="I747" s="217">
        <f>(90+88+203)*302*12</f>
        <v>1380744</v>
      </c>
      <c r="J747" s="217">
        <f>(90+88+203/2)*302*12</f>
        <v>1012908</v>
      </c>
      <c r="K747" s="217">
        <f>(90+88/2)*302*12</f>
        <v>485616</v>
      </c>
      <c r="L747" s="217"/>
      <c r="M747" s="217"/>
      <c r="N747" s="217"/>
      <c r="O747" s="217"/>
      <c r="P747" s="217"/>
      <c r="Q747" s="217"/>
      <c r="R747" s="217"/>
      <c r="S747" s="217"/>
      <c r="T747" s="217"/>
      <c r="U747" s="217"/>
      <c r="V747" s="217"/>
      <c r="W747" s="217"/>
      <c r="X747" s="337">
        <f t="shared" ref="X747:Z751" si="165">I747+L747+O747+R747+U747</f>
        <v>1380744</v>
      </c>
      <c r="Y747" s="337">
        <f t="shared" si="165"/>
        <v>1012908</v>
      </c>
      <c r="Z747" s="337">
        <f t="shared" si="165"/>
        <v>485616</v>
      </c>
      <c r="AA747" s="93"/>
      <c r="AB747" s="93"/>
      <c r="AC747" s="83"/>
      <c r="AD747" s="83"/>
      <c r="AE747" s="93"/>
      <c r="AF747" s="93"/>
      <c r="AG747" s="83"/>
      <c r="AH747" s="83"/>
      <c r="AI747" s="93"/>
      <c r="AJ747" s="93"/>
      <c r="AK747" s="83"/>
      <c r="AL747" s="83"/>
      <c r="AM747" s="93"/>
      <c r="AN747" s="93"/>
      <c r="AO747" s="83"/>
      <c r="AP747" s="83"/>
      <c r="AQ747" s="93"/>
      <c r="AR747" s="93"/>
      <c r="AS747" s="83"/>
      <c r="AT747" s="83"/>
      <c r="AU747" s="93"/>
      <c r="AV747" s="93"/>
      <c r="AW747" s="83"/>
      <c r="AX747" s="83"/>
      <c r="AY747" s="93"/>
      <c r="AZ747" s="93"/>
    </row>
    <row r="748" spans="3:52" outlineLevel="1" x14ac:dyDescent="0.45">
      <c r="C748" s="13"/>
      <c r="D748" s="13"/>
      <c r="E748" s="116" t="s">
        <v>509</v>
      </c>
      <c r="F748" s="116"/>
      <c r="G748" s="116"/>
      <c r="H748" s="116"/>
      <c r="I748" s="217"/>
      <c r="J748" s="217"/>
      <c r="K748" s="217"/>
      <c r="L748" s="217"/>
      <c r="M748" s="217"/>
      <c r="N748" s="217"/>
      <c r="O748" s="217"/>
      <c r="P748" s="217"/>
      <c r="Q748" s="217"/>
      <c r="R748" s="217"/>
      <c r="S748" s="217"/>
      <c r="T748" s="217"/>
      <c r="U748" s="217"/>
      <c r="V748" s="217"/>
      <c r="W748" s="217"/>
      <c r="X748" s="337">
        <f t="shared" si="165"/>
        <v>0</v>
      </c>
      <c r="Y748" s="337">
        <f t="shared" si="165"/>
        <v>0</v>
      </c>
      <c r="Z748" s="337">
        <f t="shared" si="165"/>
        <v>0</v>
      </c>
      <c r="AA748" s="93"/>
      <c r="AB748" s="93"/>
      <c r="AC748" s="83"/>
      <c r="AD748" s="83"/>
      <c r="AE748" s="93"/>
      <c r="AF748" s="93"/>
      <c r="AG748" s="83"/>
      <c r="AH748" s="83"/>
      <c r="AI748" s="93"/>
      <c r="AJ748" s="93"/>
      <c r="AK748" s="83"/>
      <c r="AL748" s="83"/>
      <c r="AM748" s="93"/>
      <c r="AN748" s="93"/>
      <c r="AO748" s="83"/>
      <c r="AP748" s="83"/>
      <c r="AQ748" s="93"/>
      <c r="AR748" s="93"/>
      <c r="AS748" s="83"/>
      <c r="AT748" s="83"/>
      <c r="AU748" s="93"/>
      <c r="AV748" s="93"/>
      <c r="AW748" s="83"/>
      <c r="AX748" s="83"/>
      <c r="AY748" s="93"/>
      <c r="AZ748" s="93"/>
    </row>
    <row r="749" spans="3:52" outlineLevel="1" x14ac:dyDescent="0.45">
      <c r="C749" s="13"/>
      <c r="D749" s="13"/>
      <c r="E749" s="116" t="s">
        <v>324</v>
      </c>
      <c r="F749" s="116"/>
      <c r="G749" s="116"/>
      <c r="H749" s="116"/>
      <c r="I749" s="217">
        <v>92538</v>
      </c>
      <c r="J749" s="217">
        <v>676761</v>
      </c>
      <c r="K749" s="217">
        <v>542465</v>
      </c>
      <c r="L749" s="217"/>
      <c r="M749" s="217"/>
      <c r="N749" s="217"/>
      <c r="O749" s="217"/>
      <c r="P749" s="217"/>
      <c r="Q749" s="217"/>
      <c r="R749" s="217"/>
      <c r="S749" s="217"/>
      <c r="T749" s="217"/>
      <c r="U749" s="217"/>
      <c r="V749" s="217"/>
      <c r="W749" s="217"/>
      <c r="X749" s="337">
        <f t="shared" si="165"/>
        <v>92538</v>
      </c>
      <c r="Y749" s="337">
        <f t="shared" si="165"/>
        <v>676761</v>
      </c>
      <c r="Z749" s="337">
        <f t="shared" si="165"/>
        <v>542465</v>
      </c>
      <c r="AA749" s="93"/>
      <c r="AB749" s="93"/>
      <c r="AC749" s="83"/>
      <c r="AD749" s="83"/>
      <c r="AE749" s="93"/>
      <c r="AF749" s="93"/>
      <c r="AG749" s="83"/>
      <c r="AH749" s="83"/>
      <c r="AI749" s="93"/>
      <c r="AJ749" s="93"/>
      <c r="AK749" s="83"/>
      <c r="AL749" s="83"/>
      <c r="AM749" s="93"/>
      <c r="AN749" s="93"/>
      <c r="AO749" s="83"/>
      <c r="AP749" s="83"/>
      <c r="AQ749" s="93"/>
      <c r="AR749" s="93"/>
      <c r="AS749" s="83"/>
      <c r="AT749" s="83"/>
      <c r="AU749" s="93"/>
      <c r="AV749" s="93"/>
      <c r="AW749" s="83"/>
      <c r="AX749" s="83"/>
      <c r="AY749" s="93"/>
      <c r="AZ749" s="93"/>
    </row>
    <row r="750" spans="3:52" outlineLevel="1" x14ac:dyDescent="0.45">
      <c r="C750" s="13"/>
      <c r="D750" s="13"/>
      <c r="E750" s="116" t="s">
        <v>444</v>
      </c>
      <c r="F750" s="116"/>
      <c r="G750" s="116"/>
      <c r="H750" s="116"/>
      <c r="I750" s="217"/>
      <c r="J750" s="217"/>
      <c r="K750" s="217"/>
      <c r="L750" s="217"/>
      <c r="M750" s="217"/>
      <c r="N750" s="217"/>
      <c r="O750" s="217"/>
      <c r="P750" s="217"/>
      <c r="Q750" s="217"/>
      <c r="R750" s="217"/>
      <c r="S750" s="217"/>
      <c r="T750" s="217"/>
      <c r="U750" s="217"/>
      <c r="V750" s="217"/>
      <c r="W750" s="217"/>
      <c r="X750" s="337">
        <f t="shared" si="165"/>
        <v>0</v>
      </c>
      <c r="Y750" s="337">
        <f t="shared" si="165"/>
        <v>0</v>
      </c>
      <c r="Z750" s="337">
        <f t="shared" si="165"/>
        <v>0</v>
      </c>
      <c r="AA750" s="93"/>
      <c r="AB750" s="93"/>
      <c r="AC750" s="83"/>
      <c r="AD750" s="83"/>
      <c r="AE750" s="93"/>
      <c r="AF750" s="93"/>
      <c r="AG750" s="83"/>
      <c r="AH750" s="83"/>
      <c r="AI750" s="93"/>
      <c r="AJ750" s="93"/>
      <c r="AK750" s="83"/>
      <c r="AL750" s="83"/>
      <c r="AM750" s="93"/>
      <c r="AN750" s="93"/>
      <c r="AO750" s="83"/>
      <c r="AP750" s="83"/>
      <c r="AQ750" s="93"/>
      <c r="AR750" s="93"/>
      <c r="AS750" s="83"/>
      <c r="AT750" s="83"/>
      <c r="AU750" s="93"/>
      <c r="AV750" s="93"/>
      <c r="AW750" s="83"/>
      <c r="AX750" s="83"/>
      <c r="AY750" s="93"/>
      <c r="AZ750" s="93"/>
    </row>
    <row r="751" spans="3:52" outlineLevel="1" x14ac:dyDescent="0.45">
      <c r="C751" s="13"/>
      <c r="D751" s="13"/>
      <c r="E751" s="12" t="s">
        <v>330</v>
      </c>
      <c r="F751" s="12"/>
      <c r="G751" s="12"/>
      <c r="H751" s="12"/>
      <c r="I751" s="223">
        <f>SUM(I747:I750)</f>
        <v>1473282</v>
      </c>
      <c r="J751" s="224">
        <f>SUM(J747:J750)</f>
        <v>1689669</v>
      </c>
      <c r="K751" s="225">
        <f>SUM(K747:K750)</f>
        <v>1028081</v>
      </c>
      <c r="L751" s="223">
        <f>SUM(L747:L750)</f>
        <v>0</v>
      </c>
      <c r="M751" s="224">
        <f t="shared" ref="M751:W751" si="166">SUM(M747:M750)</f>
        <v>0</v>
      </c>
      <c r="N751" s="225">
        <f t="shared" si="166"/>
        <v>0</v>
      </c>
      <c r="O751" s="223">
        <f t="shared" si="166"/>
        <v>0</v>
      </c>
      <c r="P751" s="224">
        <f t="shared" si="166"/>
        <v>0</v>
      </c>
      <c r="Q751" s="225">
        <f t="shared" si="166"/>
        <v>0</v>
      </c>
      <c r="R751" s="223">
        <f t="shared" si="166"/>
        <v>0</v>
      </c>
      <c r="S751" s="224">
        <f t="shared" si="166"/>
        <v>0</v>
      </c>
      <c r="T751" s="225">
        <f t="shared" si="166"/>
        <v>0</v>
      </c>
      <c r="U751" s="223">
        <f t="shared" si="166"/>
        <v>0</v>
      </c>
      <c r="V751" s="224">
        <f t="shared" si="166"/>
        <v>0</v>
      </c>
      <c r="W751" s="225">
        <f t="shared" si="166"/>
        <v>0</v>
      </c>
      <c r="X751" s="338">
        <f t="shared" si="165"/>
        <v>1473282</v>
      </c>
      <c r="Y751" s="339">
        <f t="shared" si="165"/>
        <v>1689669</v>
      </c>
      <c r="Z751" s="340">
        <f t="shared" si="165"/>
        <v>1028081</v>
      </c>
      <c r="AA751" s="93"/>
      <c r="AB751" s="93"/>
      <c r="AC751" s="83"/>
      <c r="AD751" s="83"/>
      <c r="AE751" s="93"/>
      <c r="AF751" s="93"/>
      <c r="AG751" s="83"/>
      <c r="AH751" s="83"/>
      <c r="AI751" s="93"/>
      <c r="AJ751" s="93"/>
      <c r="AK751" s="83"/>
      <c r="AL751" s="83"/>
      <c r="AM751" s="93"/>
      <c r="AN751" s="93"/>
      <c r="AO751" s="83"/>
      <c r="AP751" s="83"/>
      <c r="AQ751" s="93"/>
      <c r="AR751" s="93"/>
      <c r="AS751" s="83"/>
      <c r="AT751" s="83"/>
      <c r="AU751" s="93"/>
      <c r="AV751" s="93"/>
      <c r="AW751" s="83"/>
      <c r="AX751" s="83"/>
      <c r="AY751" s="93"/>
      <c r="AZ751" s="93"/>
    </row>
    <row r="752" spans="3:52" outlineLevel="1" x14ac:dyDescent="0.45">
      <c r="C752" s="13"/>
      <c r="D752" s="13"/>
      <c r="E752" s="12" t="s">
        <v>332</v>
      </c>
      <c r="F752" s="12"/>
      <c r="G752" s="12"/>
      <c r="H752" s="12"/>
      <c r="I752" s="226"/>
      <c r="J752" s="227"/>
      <c r="K752" s="228"/>
      <c r="L752" s="226"/>
      <c r="M752" s="227"/>
      <c r="N752" s="228"/>
      <c r="O752" s="226"/>
      <c r="P752" s="227"/>
      <c r="Q752" s="228"/>
      <c r="R752" s="226"/>
      <c r="S752" s="227"/>
      <c r="T752" s="228"/>
      <c r="U752" s="226"/>
      <c r="V752" s="227"/>
      <c r="W752" s="228"/>
      <c r="X752" s="341"/>
      <c r="Y752" s="342"/>
      <c r="Z752" s="343"/>
      <c r="AA752" s="93"/>
      <c r="AB752" s="93"/>
      <c r="AC752" s="83"/>
      <c r="AD752" s="83"/>
      <c r="AE752" s="93"/>
      <c r="AF752" s="93"/>
      <c r="AG752" s="83"/>
      <c r="AH752" s="83"/>
      <c r="AI752" s="93"/>
      <c r="AJ752" s="93"/>
      <c r="AK752" s="83"/>
      <c r="AL752" s="83"/>
      <c r="AM752" s="93"/>
      <c r="AN752" s="93"/>
      <c r="AO752" s="83"/>
      <c r="AP752" s="83"/>
      <c r="AQ752" s="93"/>
      <c r="AR752" s="93"/>
      <c r="AS752" s="83"/>
      <c r="AT752" s="83"/>
      <c r="AU752" s="93"/>
      <c r="AV752" s="93"/>
      <c r="AW752" s="83"/>
      <c r="AX752" s="83"/>
      <c r="AY752" s="93"/>
      <c r="AZ752" s="93"/>
    </row>
    <row r="753" spans="3:52" outlineLevel="1" x14ac:dyDescent="0.45">
      <c r="C753" s="13"/>
      <c r="D753" s="13"/>
      <c r="E753" s="229" t="s">
        <v>334</v>
      </c>
      <c r="F753" s="229"/>
      <c r="G753" s="229"/>
      <c r="H753" s="229"/>
      <c r="I753" s="226"/>
      <c r="J753" s="227"/>
      <c r="K753" s="228"/>
      <c r="L753" s="226"/>
      <c r="M753" s="227"/>
      <c r="N753" s="228"/>
      <c r="O753" s="226"/>
      <c r="P753" s="227"/>
      <c r="Q753" s="228"/>
      <c r="R753" s="226"/>
      <c r="S753" s="227"/>
      <c r="T753" s="228"/>
      <c r="U753" s="226"/>
      <c r="V753" s="227"/>
      <c r="W753" s="228"/>
      <c r="X753" s="341"/>
      <c r="Y753" s="342"/>
      <c r="Z753" s="343"/>
      <c r="AA753" s="93"/>
      <c r="AB753" s="93"/>
      <c r="AC753" s="83"/>
      <c r="AD753" s="83"/>
      <c r="AE753" s="93"/>
      <c r="AF753" s="93"/>
      <c r="AG753" s="83"/>
      <c r="AH753" s="83"/>
      <c r="AI753" s="93"/>
      <c r="AJ753" s="93"/>
      <c r="AK753" s="83"/>
      <c r="AL753" s="83"/>
      <c r="AM753" s="93"/>
      <c r="AN753" s="93"/>
      <c r="AO753" s="83"/>
      <c r="AP753" s="83"/>
      <c r="AQ753" s="93"/>
      <c r="AR753" s="93"/>
      <c r="AS753" s="83"/>
      <c r="AT753" s="83"/>
      <c r="AU753" s="93"/>
      <c r="AV753" s="93"/>
      <c r="AW753" s="83"/>
      <c r="AX753" s="83"/>
      <c r="AY753" s="93"/>
      <c r="AZ753" s="93"/>
    </row>
    <row r="754" spans="3:52" outlineLevel="1" x14ac:dyDescent="0.45">
      <c r="C754" s="13"/>
      <c r="D754" s="13"/>
      <c r="E754" s="116" t="s">
        <v>342</v>
      </c>
      <c r="F754" s="116"/>
      <c r="G754" s="116"/>
      <c r="H754" s="116"/>
      <c r="I754" s="217">
        <v>1116065</v>
      </c>
      <c r="J754" s="217">
        <v>1590923</v>
      </c>
      <c r="K754" s="217">
        <v>108876</v>
      </c>
      <c r="L754" s="217"/>
      <c r="M754" s="217"/>
      <c r="N754" s="217"/>
      <c r="O754" s="217"/>
      <c r="P754" s="217"/>
      <c r="Q754" s="217"/>
      <c r="R754" s="217"/>
      <c r="S754" s="217"/>
      <c r="T754" s="217"/>
      <c r="U754" s="217"/>
      <c r="V754" s="217"/>
      <c r="W754" s="217"/>
      <c r="X754" s="337">
        <f t="shared" ref="X754:Z769" si="167">I754+L754+O754+R754+U754</f>
        <v>1116065</v>
      </c>
      <c r="Y754" s="337">
        <f t="shared" si="167"/>
        <v>1590923</v>
      </c>
      <c r="Z754" s="337">
        <f t="shared" si="167"/>
        <v>108876</v>
      </c>
      <c r="AA754" s="93"/>
      <c r="AB754" s="93"/>
      <c r="AC754" s="83"/>
      <c r="AD754" s="83"/>
      <c r="AE754" s="93"/>
      <c r="AF754" s="93"/>
      <c r="AG754" s="83"/>
      <c r="AH754" s="83"/>
      <c r="AI754" s="93"/>
      <c r="AJ754" s="93"/>
      <c r="AK754" s="83"/>
      <c r="AL754" s="83"/>
      <c r="AM754" s="93"/>
      <c r="AN754" s="93"/>
      <c r="AO754" s="83"/>
      <c r="AP754" s="83"/>
      <c r="AQ754" s="93"/>
      <c r="AR754" s="93"/>
      <c r="AS754" s="83"/>
      <c r="AT754" s="83"/>
      <c r="AU754" s="93"/>
      <c r="AV754" s="93"/>
      <c r="AW754" s="83"/>
      <c r="AX754" s="83"/>
      <c r="AY754" s="93"/>
      <c r="AZ754" s="93"/>
    </row>
    <row r="755" spans="3:52" outlineLevel="1" x14ac:dyDescent="0.45">
      <c r="C755" s="13"/>
      <c r="D755" s="13"/>
      <c r="E755" s="116" t="s">
        <v>903</v>
      </c>
      <c r="F755" s="116"/>
      <c r="G755" s="116"/>
      <c r="H755" s="116"/>
      <c r="I755" s="217">
        <f>336/965*5705257</f>
        <v>1986493.629015544</v>
      </c>
      <c r="J755" s="217">
        <f>199/824*5782337</f>
        <v>1396462.4550970874</v>
      </c>
      <c r="K755" s="217">
        <f>136/763*6081132</f>
        <v>1083923.9213630406</v>
      </c>
      <c r="L755" s="217"/>
      <c r="M755" s="217"/>
      <c r="N755" s="217"/>
      <c r="O755" s="217"/>
      <c r="P755" s="217"/>
      <c r="Q755" s="217"/>
      <c r="R755" s="217"/>
      <c r="S755" s="217"/>
      <c r="T755" s="217"/>
      <c r="U755" s="217"/>
      <c r="V755" s="217"/>
      <c r="W755" s="217"/>
      <c r="X755" s="337">
        <f t="shared" si="167"/>
        <v>1986493.629015544</v>
      </c>
      <c r="Y755" s="337">
        <f t="shared" si="167"/>
        <v>1396462.4550970874</v>
      </c>
      <c r="Z755" s="337">
        <f t="shared" si="167"/>
        <v>1083923.9213630406</v>
      </c>
      <c r="AA755" s="93"/>
      <c r="AB755" s="93"/>
      <c r="AC755" s="83"/>
      <c r="AD755" s="83"/>
      <c r="AE755" s="93"/>
      <c r="AF755" s="93"/>
      <c r="AG755" s="83"/>
      <c r="AH755" s="83"/>
      <c r="AI755" s="93"/>
      <c r="AJ755" s="93"/>
      <c r="AK755" s="83"/>
      <c r="AL755" s="83"/>
      <c r="AM755" s="93"/>
      <c r="AN755" s="93"/>
      <c r="AO755" s="83"/>
      <c r="AP755" s="83"/>
      <c r="AQ755" s="93"/>
      <c r="AR755" s="93"/>
      <c r="AS755" s="83"/>
      <c r="AT755" s="83"/>
      <c r="AU755" s="93"/>
      <c r="AV755" s="93"/>
      <c r="AW755" s="83"/>
      <c r="AX755" s="83"/>
      <c r="AY755" s="93"/>
      <c r="AZ755" s="93"/>
    </row>
    <row r="756" spans="3:52" outlineLevel="1" x14ac:dyDescent="0.45">
      <c r="C756" s="13"/>
      <c r="D756" s="13"/>
      <c r="E756" s="116" t="s">
        <v>942</v>
      </c>
      <c r="F756" s="116"/>
      <c r="G756" s="116"/>
      <c r="H756" s="116"/>
      <c r="I756" s="236">
        <f>SUM(I757:I762)</f>
        <v>2858990</v>
      </c>
      <c r="J756" s="237">
        <f>SUM(J757:J762)</f>
        <v>3028121</v>
      </c>
      <c r="K756" s="238">
        <f>SUM(K757:K762)</f>
        <v>1025150</v>
      </c>
      <c r="L756" s="236">
        <f t="shared" ref="L756:W756" si="168">SUM(L757:L762)</f>
        <v>0</v>
      </c>
      <c r="M756" s="237">
        <f t="shared" si="168"/>
        <v>0</v>
      </c>
      <c r="N756" s="238">
        <f t="shared" si="168"/>
        <v>0</v>
      </c>
      <c r="O756" s="236">
        <f t="shared" si="168"/>
        <v>0</v>
      </c>
      <c r="P756" s="237">
        <f t="shared" si="168"/>
        <v>0</v>
      </c>
      <c r="Q756" s="238">
        <f t="shared" si="168"/>
        <v>0</v>
      </c>
      <c r="R756" s="236">
        <f t="shared" si="168"/>
        <v>0</v>
      </c>
      <c r="S756" s="237">
        <f t="shared" si="168"/>
        <v>0</v>
      </c>
      <c r="T756" s="238">
        <f t="shared" si="168"/>
        <v>0</v>
      </c>
      <c r="U756" s="236">
        <f t="shared" si="168"/>
        <v>0</v>
      </c>
      <c r="V756" s="237">
        <f t="shared" si="168"/>
        <v>0</v>
      </c>
      <c r="W756" s="238">
        <f t="shared" si="168"/>
        <v>0</v>
      </c>
      <c r="X756" s="344">
        <f t="shared" si="167"/>
        <v>2858990</v>
      </c>
      <c r="Y756" s="345">
        <f t="shared" si="167"/>
        <v>3028121</v>
      </c>
      <c r="Z756" s="346">
        <f t="shared" si="167"/>
        <v>1025150</v>
      </c>
      <c r="AA756" s="93"/>
      <c r="AB756" s="93"/>
      <c r="AC756" s="83"/>
      <c r="AD756" s="83"/>
      <c r="AE756" s="93"/>
      <c r="AF756" s="93"/>
      <c r="AG756" s="83"/>
      <c r="AH756" s="83"/>
      <c r="AI756" s="93"/>
      <c r="AJ756" s="93"/>
      <c r="AK756" s="83"/>
      <c r="AL756" s="83"/>
      <c r="AM756" s="93"/>
      <c r="AN756" s="93"/>
      <c r="AO756" s="83"/>
      <c r="AP756" s="83"/>
      <c r="AQ756" s="93"/>
      <c r="AR756" s="93"/>
      <c r="AS756" s="83"/>
      <c r="AT756" s="83"/>
      <c r="AU756" s="93"/>
      <c r="AV756" s="93"/>
      <c r="AW756" s="83"/>
      <c r="AX756" s="83"/>
      <c r="AY756" s="93"/>
      <c r="AZ756" s="93"/>
    </row>
    <row r="757" spans="3:52" outlineLevel="1" x14ac:dyDescent="0.45">
      <c r="C757" s="13"/>
      <c r="D757" s="13"/>
      <c r="E757" s="347" t="s">
        <v>943</v>
      </c>
      <c r="F757" s="347"/>
      <c r="G757" s="347"/>
      <c r="H757" s="347"/>
      <c r="I757" s="217">
        <v>2914</v>
      </c>
      <c r="J757" s="217">
        <v>217575</v>
      </c>
      <c r="K757" s="217">
        <v>232953</v>
      </c>
      <c r="L757" s="217"/>
      <c r="M757" s="217"/>
      <c r="N757" s="217"/>
      <c r="O757" s="217"/>
      <c r="P757" s="217"/>
      <c r="Q757" s="217"/>
      <c r="R757" s="217"/>
      <c r="S757" s="217"/>
      <c r="T757" s="217"/>
      <c r="U757" s="217"/>
      <c r="V757" s="217"/>
      <c r="W757" s="217"/>
      <c r="X757" s="337">
        <f t="shared" si="167"/>
        <v>2914</v>
      </c>
      <c r="Y757" s="337">
        <f t="shared" si="167"/>
        <v>217575</v>
      </c>
      <c r="Z757" s="337">
        <f t="shared" si="167"/>
        <v>232953</v>
      </c>
      <c r="AA757" s="93"/>
      <c r="AB757" s="93"/>
      <c r="AC757" s="83"/>
      <c r="AD757" s="83"/>
      <c r="AE757" s="93"/>
      <c r="AF757" s="93"/>
      <c r="AG757" s="83"/>
      <c r="AH757" s="83"/>
      <c r="AI757" s="93"/>
      <c r="AJ757" s="93"/>
      <c r="AK757" s="83"/>
      <c r="AL757" s="83"/>
      <c r="AM757" s="93"/>
      <c r="AN757" s="93"/>
      <c r="AO757" s="83"/>
      <c r="AP757" s="83"/>
      <c r="AQ757" s="93"/>
      <c r="AR757" s="93"/>
      <c r="AS757" s="83"/>
      <c r="AT757" s="83"/>
      <c r="AU757" s="93"/>
      <c r="AV757" s="93"/>
      <c r="AW757" s="83"/>
      <c r="AX757" s="83"/>
      <c r="AY757" s="93"/>
      <c r="AZ757" s="93"/>
    </row>
    <row r="758" spans="3:52" outlineLevel="1" x14ac:dyDescent="0.45">
      <c r="C758" s="13"/>
      <c r="D758" s="13"/>
      <c r="E758" s="347" t="s">
        <v>944</v>
      </c>
      <c r="F758" s="347"/>
      <c r="G758" s="347"/>
      <c r="H758" s="347"/>
      <c r="I758" s="217">
        <v>2673719</v>
      </c>
      <c r="J758" s="217">
        <v>2625262</v>
      </c>
      <c r="K758" s="217">
        <v>565540</v>
      </c>
      <c r="L758" s="217"/>
      <c r="M758" s="217"/>
      <c r="N758" s="217"/>
      <c r="O758" s="217"/>
      <c r="P758" s="217"/>
      <c r="Q758" s="217"/>
      <c r="R758" s="217"/>
      <c r="S758" s="217"/>
      <c r="T758" s="217"/>
      <c r="U758" s="217"/>
      <c r="V758" s="217"/>
      <c r="W758" s="217"/>
      <c r="X758" s="337">
        <f t="shared" si="167"/>
        <v>2673719</v>
      </c>
      <c r="Y758" s="337">
        <f t="shared" si="167"/>
        <v>2625262</v>
      </c>
      <c r="Z758" s="337">
        <f t="shared" si="167"/>
        <v>565540</v>
      </c>
      <c r="AA758" s="93"/>
      <c r="AB758" s="93"/>
      <c r="AC758" s="83"/>
      <c r="AD758" s="83"/>
      <c r="AE758" s="93"/>
      <c r="AF758" s="93"/>
      <c r="AG758" s="83"/>
      <c r="AH758" s="83"/>
      <c r="AI758" s="93"/>
      <c r="AJ758" s="93"/>
      <c r="AK758" s="83"/>
      <c r="AL758" s="83"/>
      <c r="AM758" s="93"/>
      <c r="AN758" s="93"/>
      <c r="AO758" s="83"/>
      <c r="AP758" s="83"/>
      <c r="AQ758" s="93"/>
      <c r="AR758" s="93"/>
      <c r="AS758" s="83"/>
      <c r="AT758" s="83"/>
      <c r="AU758" s="93"/>
      <c r="AV758" s="93"/>
      <c r="AW758" s="83"/>
      <c r="AX758" s="83"/>
      <c r="AY758" s="93"/>
      <c r="AZ758" s="93"/>
    </row>
    <row r="759" spans="3:52" outlineLevel="1" x14ac:dyDescent="0.45">
      <c r="C759" s="13"/>
      <c r="D759" s="13"/>
      <c r="E759" s="348" t="s">
        <v>945</v>
      </c>
      <c r="F759" s="348"/>
      <c r="G759" s="348"/>
      <c r="H759" s="348"/>
      <c r="I759" s="217">
        <v>5360</v>
      </c>
      <c r="J759" s="217">
        <v>8320</v>
      </c>
      <c r="K759" s="217">
        <v>53792</v>
      </c>
      <c r="L759" s="217"/>
      <c r="M759" s="217"/>
      <c r="N759" s="217"/>
      <c r="O759" s="217"/>
      <c r="P759" s="217"/>
      <c r="Q759" s="217"/>
      <c r="R759" s="217"/>
      <c r="S759" s="217"/>
      <c r="T759" s="217"/>
      <c r="U759" s="217"/>
      <c r="V759" s="217"/>
      <c r="W759" s="217"/>
      <c r="X759" s="337">
        <f t="shared" si="167"/>
        <v>5360</v>
      </c>
      <c r="Y759" s="337">
        <f t="shared" si="167"/>
        <v>8320</v>
      </c>
      <c r="Z759" s="337">
        <f t="shared" si="167"/>
        <v>53792</v>
      </c>
      <c r="AA759" s="93"/>
      <c r="AB759" s="93"/>
      <c r="AC759" s="83"/>
      <c r="AD759" s="83"/>
      <c r="AE759" s="93"/>
      <c r="AF759" s="93"/>
      <c r="AG759" s="83"/>
      <c r="AH759" s="83"/>
      <c r="AI759" s="93"/>
      <c r="AJ759" s="93"/>
      <c r="AK759" s="83"/>
      <c r="AL759" s="83"/>
      <c r="AM759" s="93"/>
      <c r="AN759" s="93"/>
      <c r="AO759" s="83"/>
      <c r="AP759" s="83"/>
      <c r="AQ759" s="93"/>
      <c r="AR759" s="93"/>
      <c r="AS759" s="83"/>
      <c r="AT759" s="83"/>
      <c r="AU759" s="93"/>
      <c r="AV759" s="93"/>
      <c r="AW759" s="83"/>
      <c r="AX759" s="83"/>
      <c r="AY759" s="93"/>
      <c r="AZ759" s="93"/>
    </row>
    <row r="760" spans="3:52" outlineLevel="1" x14ac:dyDescent="0.45">
      <c r="C760" s="13"/>
      <c r="D760" s="13"/>
      <c r="E760" s="348" t="s">
        <v>946</v>
      </c>
      <c r="F760" s="348"/>
      <c r="G760" s="348"/>
      <c r="H760" s="348"/>
      <c r="I760" s="217">
        <v>13680</v>
      </c>
      <c r="J760" s="217">
        <v>0</v>
      </c>
      <c r="K760" s="217">
        <v>0</v>
      </c>
      <c r="L760" s="217"/>
      <c r="M760" s="217"/>
      <c r="N760" s="217"/>
      <c r="O760" s="217"/>
      <c r="P760" s="217"/>
      <c r="Q760" s="217"/>
      <c r="R760" s="217"/>
      <c r="S760" s="217"/>
      <c r="T760" s="217"/>
      <c r="U760" s="217"/>
      <c r="V760" s="217"/>
      <c r="W760" s="217"/>
      <c r="X760" s="337">
        <f t="shared" si="167"/>
        <v>13680</v>
      </c>
      <c r="Y760" s="337">
        <f t="shared" si="167"/>
        <v>0</v>
      </c>
      <c r="Z760" s="337">
        <f t="shared" si="167"/>
        <v>0</v>
      </c>
      <c r="AA760" s="93"/>
      <c r="AB760" s="93"/>
      <c r="AC760" s="83"/>
      <c r="AD760" s="83"/>
      <c r="AE760" s="93"/>
      <c r="AF760" s="93"/>
      <c r="AG760" s="83"/>
      <c r="AH760" s="83"/>
      <c r="AI760" s="93"/>
      <c r="AJ760" s="93"/>
      <c r="AK760" s="83"/>
      <c r="AL760" s="83"/>
      <c r="AM760" s="93"/>
      <c r="AN760" s="93"/>
      <c r="AO760" s="83"/>
      <c r="AP760" s="83"/>
      <c r="AQ760" s="93"/>
      <c r="AR760" s="93"/>
      <c r="AS760" s="83"/>
      <c r="AT760" s="83"/>
      <c r="AU760" s="93"/>
      <c r="AV760" s="93"/>
      <c r="AW760" s="83"/>
      <c r="AX760" s="83"/>
      <c r="AY760" s="93"/>
      <c r="AZ760" s="93"/>
    </row>
    <row r="761" spans="3:52" outlineLevel="1" x14ac:dyDescent="0.45">
      <c r="C761" s="13"/>
      <c r="D761" s="13"/>
      <c r="E761" s="348" t="s">
        <v>947</v>
      </c>
      <c r="F761" s="348"/>
      <c r="G761" s="348"/>
      <c r="H761" s="348"/>
      <c r="I761" s="217">
        <v>161259</v>
      </c>
      <c r="J761" s="217">
        <v>176214</v>
      </c>
      <c r="K761" s="217">
        <v>172865</v>
      </c>
      <c r="L761" s="217"/>
      <c r="M761" s="217"/>
      <c r="N761" s="217"/>
      <c r="O761" s="217"/>
      <c r="P761" s="217"/>
      <c r="Q761" s="217"/>
      <c r="R761" s="217"/>
      <c r="S761" s="217"/>
      <c r="T761" s="217"/>
      <c r="U761" s="217"/>
      <c r="V761" s="217"/>
      <c r="W761" s="217"/>
      <c r="X761" s="337">
        <f t="shared" si="167"/>
        <v>161259</v>
      </c>
      <c r="Y761" s="337">
        <f t="shared" si="167"/>
        <v>176214</v>
      </c>
      <c r="Z761" s="337">
        <f t="shared" si="167"/>
        <v>172865</v>
      </c>
      <c r="AA761" s="93"/>
      <c r="AB761" s="93"/>
      <c r="AC761" s="83"/>
      <c r="AD761" s="83"/>
      <c r="AE761" s="93"/>
      <c r="AF761" s="93"/>
      <c r="AG761" s="83"/>
      <c r="AH761" s="83"/>
      <c r="AI761" s="93"/>
      <c r="AJ761" s="93"/>
      <c r="AK761" s="83"/>
      <c r="AL761" s="83"/>
      <c r="AM761" s="93"/>
      <c r="AN761" s="93"/>
      <c r="AO761" s="83"/>
      <c r="AP761" s="83"/>
      <c r="AQ761" s="93"/>
      <c r="AR761" s="93"/>
      <c r="AS761" s="83"/>
      <c r="AT761" s="83"/>
      <c r="AU761" s="93"/>
      <c r="AV761" s="93"/>
      <c r="AW761" s="83"/>
      <c r="AX761" s="83"/>
      <c r="AY761" s="93"/>
      <c r="AZ761" s="93"/>
    </row>
    <row r="762" spans="3:52" outlineLevel="1" x14ac:dyDescent="0.45">
      <c r="C762" s="13"/>
      <c r="D762" s="13"/>
      <c r="E762" s="348" t="s">
        <v>948</v>
      </c>
      <c r="F762" s="348"/>
      <c r="G762" s="348"/>
      <c r="H762" s="348"/>
      <c r="I762" s="217">
        <v>2058</v>
      </c>
      <c r="J762" s="217">
        <v>750</v>
      </c>
      <c r="K762" s="217">
        <v>0</v>
      </c>
      <c r="L762" s="217"/>
      <c r="M762" s="217"/>
      <c r="N762" s="217"/>
      <c r="O762" s="217"/>
      <c r="P762" s="217"/>
      <c r="Q762" s="217"/>
      <c r="R762" s="217"/>
      <c r="S762" s="217"/>
      <c r="T762" s="217"/>
      <c r="U762" s="217"/>
      <c r="V762" s="217"/>
      <c r="W762" s="217"/>
      <c r="X762" s="337">
        <f t="shared" si="167"/>
        <v>2058</v>
      </c>
      <c r="Y762" s="337">
        <f t="shared" si="167"/>
        <v>750</v>
      </c>
      <c r="Z762" s="337">
        <f t="shared" si="167"/>
        <v>0</v>
      </c>
      <c r="AA762" s="93"/>
      <c r="AB762" s="93"/>
      <c r="AC762" s="83"/>
      <c r="AD762" s="83"/>
      <c r="AE762" s="93"/>
      <c r="AF762" s="93"/>
      <c r="AG762" s="83"/>
      <c r="AH762" s="83"/>
      <c r="AI762" s="93"/>
      <c r="AJ762" s="93"/>
      <c r="AK762" s="83"/>
      <c r="AL762" s="83"/>
      <c r="AM762" s="93"/>
      <c r="AN762" s="93"/>
      <c r="AO762" s="83"/>
      <c r="AP762" s="83"/>
      <c r="AQ762" s="93"/>
      <c r="AR762" s="93"/>
      <c r="AS762" s="83"/>
      <c r="AT762" s="83"/>
      <c r="AU762" s="93"/>
      <c r="AV762" s="93"/>
      <c r="AW762" s="83"/>
      <c r="AX762" s="83"/>
      <c r="AY762" s="93"/>
      <c r="AZ762" s="93"/>
    </row>
    <row r="763" spans="3:52" outlineLevel="1" x14ac:dyDescent="0.45">
      <c r="C763" s="13"/>
      <c r="D763" s="13"/>
      <c r="E763" s="235" t="s">
        <v>358</v>
      </c>
      <c r="F763" s="235"/>
      <c r="G763" s="235"/>
      <c r="H763" s="235"/>
      <c r="I763" s="236"/>
      <c r="J763" s="237"/>
      <c r="K763" s="238"/>
      <c r="L763" s="236"/>
      <c r="M763" s="237"/>
      <c r="N763" s="238"/>
      <c r="O763" s="236"/>
      <c r="P763" s="237"/>
      <c r="Q763" s="238"/>
      <c r="R763" s="236"/>
      <c r="S763" s="237"/>
      <c r="T763" s="238"/>
      <c r="U763" s="236"/>
      <c r="V763" s="237"/>
      <c r="W763" s="238"/>
      <c r="X763" s="344">
        <f t="shared" si="167"/>
        <v>0</v>
      </c>
      <c r="Y763" s="345">
        <f t="shared" si="167"/>
        <v>0</v>
      </c>
      <c r="Z763" s="346">
        <f t="shared" si="167"/>
        <v>0</v>
      </c>
      <c r="AA763" s="93"/>
      <c r="AB763" s="93"/>
      <c r="AC763" s="83"/>
      <c r="AD763" s="83"/>
      <c r="AE763" s="93"/>
      <c r="AF763" s="93"/>
      <c r="AG763" s="83"/>
      <c r="AH763" s="83"/>
      <c r="AI763" s="93"/>
      <c r="AJ763" s="93"/>
      <c r="AK763" s="83"/>
      <c r="AL763" s="83"/>
      <c r="AM763" s="93"/>
      <c r="AN763" s="93"/>
      <c r="AO763" s="83"/>
      <c r="AP763" s="83"/>
      <c r="AQ763" s="93"/>
      <c r="AR763" s="93"/>
      <c r="AS763" s="83"/>
      <c r="AT763" s="83"/>
      <c r="AU763" s="93"/>
      <c r="AV763" s="93"/>
      <c r="AW763" s="83"/>
      <c r="AX763" s="83"/>
      <c r="AY763" s="93"/>
      <c r="AZ763" s="93"/>
    </row>
    <row r="764" spans="3:52" outlineLevel="1" x14ac:dyDescent="0.45">
      <c r="C764" s="13"/>
      <c r="D764" s="13"/>
      <c r="E764" s="15" t="s">
        <v>360</v>
      </c>
      <c r="F764" s="15"/>
      <c r="G764" s="15"/>
      <c r="H764" s="15"/>
      <c r="I764" s="217">
        <v>436538</v>
      </c>
      <c r="J764" s="272">
        <v>468842</v>
      </c>
      <c r="K764" s="272">
        <v>501659</v>
      </c>
      <c r="L764" s="217"/>
      <c r="M764" s="272"/>
      <c r="N764" s="272"/>
      <c r="O764" s="217"/>
      <c r="P764" s="272"/>
      <c r="Q764" s="272"/>
      <c r="R764" s="217"/>
      <c r="S764" s="272"/>
      <c r="T764" s="272"/>
      <c r="U764" s="217"/>
      <c r="V764" s="272"/>
      <c r="W764" s="272"/>
      <c r="X764" s="337">
        <f t="shared" si="167"/>
        <v>436538</v>
      </c>
      <c r="Y764" s="349">
        <f t="shared" si="167"/>
        <v>468842</v>
      </c>
      <c r="Z764" s="349">
        <f t="shared" si="167"/>
        <v>501659</v>
      </c>
      <c r="AA764" s="93"/>
      <c r="AB764" s="93"/>
      <c r="AC764" s="83"/>
      <c r="AD764" s="83"/>
      <c r="AE764" s="93"/>
      <c r="AF764" s="93"/>
      <c r="AG764" s="83"/>
      <c r="AH764" s="83"/>
      <c r="AI764" s="93"/>
      <c r="AJ764" s="93"/>
      <c r="AK764" s="83"/>
      <c r="AL764" s="83"/>
      <c r="AM764" s="93"/>
      <c r="AN764" s="93"/>
      <c r="AO764" s="83"/>
      <c r="AP764" s="83"/>
      <c r="AQ764" s="93"/>
      <c r="AR764" s="93"/>
      <c r="AS764" s="83"/>
      <c r="AT764" s="83"/>
      <c r="AU764" s="93"/>
      <c r="AV764" s="93"/>
      <c r="AW764" s="83"/>
      <c r="AX764" s="83"/>
      <c r="AY764" s="93"/>
      <c r="AZ764" s="93"/>
    </row>
    <row r="765" spans="3:52" outlineLevel="1" x14ac:dyDescent="0.45">
      <c r="C765" s="13"/>
      <c r="D765" s="13"/>
      <c r="E765" s="15" t="s">
        <v>365</v>
      </c>
      <c r="F765" s="15"/>
      <c r="G765" s="15"/>
      <c r="H765" s="15"/>
      <c r="I765" s="217"/>
      <c r="J765" s="217"/>
      <c r="K765" s="217"/>
      <c r="L765" s="217"/>
      <c r="M765" s="217"/>
      <c r="N765" s="217"/>
      <c r="O765" s="217"/>
      <c r="P765" s="217"/>
      <c r="Q765" s="217"/>
      <c r="R765" s="217"/>
      <c r="S765" s="217"/>
      <c r="T765" s="217"/>
      <c r="U765" s="217"/>
      <c r="V765" s="217"/>
      <c r="W765" s="217"/>
      <c r="X765" s="337">
        <f t="shared" si="167"/>
        <v>0</v>
      </c>
      <c r="Y765" s="337">
        <f t="shared" si="167"/>
        <v>0</v>
      </c>
      <c r="Z765" s="337">
        <f t="shared" si="167"/>
        <v>0</v>
      </c>
      <c r="AA765" s="93"/>
      <c r="AB765" s="93"/>
      <c r="AC765" s="83"/>
      <c r="AD765" s="83"/>
      <c r="AE765" s="93"/>
      <c r="AF765" s="93"/>
      <c r="AG765" s="83"/>
      <c r="AH765" s="83"/>
      <c r="AI765" s="93"/>
      <c r="AJ765" s="93"/>
      <c r="AK765" s="83"/>
      <c r="AL765" s="83"/>
      <c r="AM765" s="93"/>
      <c r="AN765" s="93"/>
      <c r="AO765" s="83"/>
      <c r="AP765" s="83"/>
      <c r="AQ765" s="93"/>
      <c r="AR765" s="93"/>
      <c r="AS765" s="83"/>
      <c r="AT765" s="83"/>
      <c r="AU765" s="93"/>
      <c r="AV765" s="93"/>
      <c r="AW765" s="83"/>
      <c r="AX765" s="83"/>
      <c r="AY765" s="93"/>
      <c r="AZ765" s="93"/>
    </row>
    <row r="766" spans="3:52" outlineLevel="1" x14ac:dyDescent="0.45">
      <c r="C766" s="13"/>
      <c r="D766" s="13"/>
      <c r="E766" s="15"/>
      <c r="F766" s="15"/>
      <c r="G766" s="15"/>
      <c r="H766" s="15"/>
      <c r="I766" s="217"/>
      <c r="J766" s="217"/>
      <c r="K766" s="217"/>
      <c r="L766" s="217"/>
      <c r="M766" s="217"/>
      <c r="N766" s="217"/>
      <c r="O766" s="217"/>
      <c r="P766" s="217"/>
      <c r="Q766" s="217"/>
      <c r="R766" s="217"/>
      <c r="S766" s="217"/>
      <c r="T766" s="217"/>
      <c r="U766" s="217"/>
      <c r="V766" s="217"/>
      <c r="W766" s="217"/>
      <c r="X766" s="337">
        <f t="shared" si="167"/>
        <v>0</v>
      </c>
      <c r="Y766" s="337">
        <f t="shared" si="167"/>
        <v>0</v>
      </c>
      <c r="Z766" s="337">
        <f t="shared" si="167"/>
        <v>0</v>
      </c>
      <c r="AA766" s="93"/>
      <c r="AB766" s="93"/>
      <c r="AC766" s="83"/>
      <c r="AD766" s="83"/>
      <c r="AE766" s="93"/>
      <c r="AF766" s="93"/>
      <c r="AG766" s="83"/>
      <c r="AH766" s="83"/>
      <c r="AI766" s="93"/>
      <c r="AJ766" s="93"/>
      <c r="AK766" s="83"/>
      <c r="AL766" s="83"/>
      <c r="AM766" s="93"/>
      <c r="AN766" s="93"/>
      <c r="AO766" s="83"/>
      <c r="AP766" s="83"/>
      <c r="AQ766" s="93"/>
      <c r="AR766" s="93"/>
      <c r="AS766" s="83"/>
      <c r="AT766" s="83"/>
      <c r="AU766" s="93"/>
      <c r="AV766" s="93"/>
      <c r="AW766" s="83"/>
      <c r="AX766" s="83"/>
      <c r="AY766" s="93"/>
      <c r="AZ766" s="93"/>
    </row>
    <row r="767" spans="3:52" outlineLevel="1" x14ac:dyDescent="0.45">
      <c r="C767" s="13"/>
      <c r="D767" s="13"/>
      <c r="E767" s="15"/>
      <c r="F767" s="15"/>
      <c r="G767" s="15"/>
      <c r="H767" s="15"/>
      <c r="I767" s="217"/>
      <c r="J767" s="217"/>
      <c r="K767" s="217"/>
      <c r="L767" s="217"/>
      <c r="M767" s="217"/>
      <c r="N767" s="217"/>
      <c r="O767" s="217"/>
      <c r="P767" s="217"/>
      <c r="Q767" s="217"/>
      <c r="R767" s="217"/>
      <c r="S767" s="217"/>
      <c r="T767" s="217"/>
      <c r="U767" s="217"/>
      <c r="V767" s="217"/>
      <c r="W767" s="217"/>
      <c r="X767" s="337">
        <f t="shared" si="167"/>
        <v>0</v>
      </c>
      <c r="Y767" s="337">
        <f t="shared" si="167"/>
        <v>0</v>
      </c>
      <c r="Z767" s="337">
        <f t="shared" si="167"/>
        <v>0</v>
      </c>
      <c r="AA767" s="93"/>
      <c r="AB767" s="93"/>
      <c r="AC767" s="83"/>
      <c r="AD767" s="83"/>
      <c r="AE767" s="93"/>
      <c r="AF767" s="93"/>
      <c r="AG767" s="83"/>
      <c r="AH767" s="83"/>
      <c r="AI767" s="93"/>
      <c r="AJ767" s="93"/>
      <c r="AK767" s="83"/>
      <c r="AL767" s="83"/>
      <c r="AM767" s="93"/>
      <c r="AN767" s="93"/>
      <c r="AO767" s="83"/>
      <c r="AP767" s="83"/>
      <c r="AQ767" s="93"/>
      <c r="AR767" s="93"/>
      <c r="AS767" s="83"/>
      <c r="AT767" s="83"/>
      <c r="AU767" s="93"/>
      <c r="AV767" s="93"/>
      <c r="AW767" s="83"/>
      <c r="AX767" s="83"/>
      <c r="AY767" s="93"/>
      <c r="AZ767" s="93"/>
    </row>
    <row r="768" spans="3:52" outlineLevel="1" x14ac:dyDescent="0.45">
      <c r="C768" s="13"/>
      <c r="D768" s="13"/>
      <c r="E768" s="12" t="s">
        <v>466</v>
      </c>
      <c r="F768" s="12"/>
      <c r="G768" s="12"/>
      <c r="H768" s="12"/>
      <c r="I768" s="236">
        <f>SUM(I754:I756,I764:I767)</f>
        <v>6398086.6290155444</v>
      </c>
      <c r="J768" s="237">
        <f>SUM(J754:J756,J764:J767)</f>
        <v>6484348.4550970877</v>
      </c>
      <c r="K768" s="238">
        <f>SUM(K754:K756,K764:K767)</f>
        <v>2719608.9213630408</v>
      </c>
      <c r="L768" s="236">
        <f t="shared" ref="L768:W768" si="169">SUM(L754:L756,L764:L767)</f>
        <v>0</v>
      </c>
      <c r="M768" s="237">
        <f t="shared" si="169"/>
        <v>0</v>
      </c>
      <c r="N768" s="238">
        <f t="shared" si="169"/>
        <v>0</v>
      </c>
      <c r="O768" s="236">
        <f t="shared" si="169"/>
        <v>0</v>
      </c>
      <c r="P768" s="237">
        <f t="shared" si="169"/>
        <v>0</v>
      </c>
      <c r="Q768" s="238">
        <f t="shared" si="169"/>
        <v>0</v>
      </c>
      <c r="R768" s="236">
        <f t="shared" si="169"/>
        <v>0</v>
      </c>
      <c r="S768" s="237">
        <f t="shared" si="169"/>
        <v>0</v>
      </c>
      <c r="T768" s="238">
        <f t="shared" si="169"/>
        <v>0</v>
      </c>
      <c r="U768" s="236">
        <f t="shared" si="169"/>
        <v>0</v>
      </c>
      <c r="V768" s="237">
        <f t="shared" si="169"/>
        <v>0</v>
      </c>
      <c r="W768" s="238">
        <f t="shared" si="169"/>
        <v>0</v>
      </c>
      <c r="X768" s="344">
        <f t="shared" si="167"/>
        <v>6398086.6290155444</v>
      </c>
      <c r="Y768" s="345">
        <f t="shared" si="167"/>
        <v>6484348.4550970877</v>
      </c>
      <c r="Z768" s="346">
        <f t="shared" si="167"/>
        <v>2719608.9213630408</v>
      </c>
      <c r="AA768" s="93"/>
      <c r="AB768" s="93"/>
      <c r="AC768" s="83"/>
      <c r="AD768" s="83"/>
      <c r="AE768" s="93"/>
      <c r="AF768" s="93"/>
      <c r="AG768" s="83"/>
      <c r="AH768" s="83"/>
      <c r="AI768" s="93"/>
      <c r="AJ768" s="93"/>
      <c r="AK768" s="83"/>
      <c r="AL768" s="83"/>
      <c r="AM768" s="93"/>
      <c r="AN768" s="93"/>
      <c r="AO768" s="83"/>
      <c r="AP768" s="83"/>
      <c r="AQ768" s="93"/>
      <c r="AR768" s="93"/>
      <c r="AS768" s="83"/>
      <c r="AT768" s="83"/>
      <c r="AU768" s="93"/>
      <c r="AV768" s="93"/>
      <c r="AW768" s="83"/>
      <c r="AX768" s="83"/>
      <c r="AY768" s="93"/>
      <c r="AZ768" s="93"/>
    </row>
    <row r="769" spans="3:52" ht="14.65" outlineLevel="1" thickBot="1" x14ac:dyDescent="0.5">
      <c r="C769" s="13"/>
      <c r="D769" s="13"/>
      <c r="E769" s="169" t="s">
        <v>371</v>
      </c>
      <c r="F769" s="169"/>
      <c r="G769" s="169"/>
      <c r="H769" s="169"/>
      <c r="I769" s="240">
        <f>I751-I768</f>
        <v>-4924804.6290155444</v>
      </c>
      <c r="J769" s="241">
        <f>J751-J768</f>
        <v>-4794679.4550970877</v>
      </c>
      <c r="K769" s="242">
        <f>K751-K768</f>
        <v>-1691527.9213630408</v>
      </c>
      <c r="L769" s="240">
        <f>L751-L768</f>
        <v>0</v>
      </c>
      <c r="M769" s="241">
        <f t="shared" ref="M769:W769" si="170">M751-M768</f>
        <v>0</v>
      </c>
      <c r="N769" s="242">
        <f t="shared" si="170"/>
        <v>0</v>
      </c>
      <c r="O769" s="240">
        <f t="shared" si="170"/>
        <v>0</v>
      </c>
      <c r="P769" s="241">
        <f t="shared" si="170"/>
        <v>0</v>
      </c>
      <c r="Q769" s="242">
        <f t="shared" si="170"/>
        <v>0</v>
      </c>
      <c r="R769" s="240">
        <f t="shared" si="170"/>
        <v>0</v>
      </c>
      <c r="S769" s="241">
        <f t="shared" si="170"/>
        <v>0</v>
      </c>
      <c r="T769" s="242">
        <f t="shared" si="170"/>
        <v>0</v>
      </c>
      <c r="U769" s="240">
        <f t="shared" si="170"/>
        <v>0</v>
      </c>
      <c r="V769" s="241">
        <f t="shared" si="170"/>
        <v>0</v>
      </c>
      <c r="W769" s="242">
        <f t="shared" si="170"/>
        <v>0</v>
      </c>
      <c r="X769" s="350">
        <f t="shared" si="167"/>
        <v>-4924804.6290155444</v>
      </c>
      <c r="Y769" s="351">
        <f t="shared" si="167"/>
        <v>-4794679.4550970877</v>
      </c>
      <c r="Z769" s="352">
        <f t="shared" si="167"/>
        <v>-1691527.9213630408</v>
      </c>
      <c r="AA769" s="93"/>
      <c r="AB769" s="93"/>
      <c r="AC769" s="83"/>
      <c r="AD769" s="83"/>
      <c r="AE769" s="93"/>
      <c r="AF769" s="93"/>
      <c r="AG769" s="83"/>
      <c r="AH769" s="83"/>
      <c r="AI769" s="93"/>
      <c r="AJ769" s="93"/>
      <c r="AK769" s="83"/>
      <c r="AL769" s="83"/>
      <c r="AM769" s="93"/>
      <c r="AN769" s="93"/>
      <c r="AO769" s="83"/>
      <c r="AP769" s="83"/>
      <c r="AQ769" s="93"/>
      <c r="AR769" s="93"/>
      <c r="AS769" s="83"/>
      <c r="AT769" s="83"/>
      <c r="AU769" s="93"/>
      <c r="AV769" s="93"/>
      <c r="AW769" s="83"/>
      <c r="AX769" s="83"/>
      <c r="AY769" s="93"/>
      <c r="AZ769" s="93"/>
    </row>
    <row r="770" spans="3:52" ht="14.65" outlineLevel="1" thickTop="1" x14ac:dyDescent="0.45">
      <c r="C770" s="13"/>
      <c r="D770" s="13"/>
      <c r="E770" s="116"/>
      <c r="F770" s="116"/>
      <c r="G770" s="116"/>
      <c r="H770" s="116"/>
      <c r="I770" s="227"/>
      <c r="J770" s="227"/>
      <c r="K770" s="116"/>
      <c r="L770" s="90"/>
      <c r="M770" s="92"/>
      <c r="N770" s="31"/>
      <c r="O770" s="90"/>
      <c r="P770" s="92"/>
      <c r="Q770" s="31"/>
      <c r="R770" s="90"/>
      <c r="S770" s="92"/>
      <c r="T770" s="31"/>
      <c r="U770" s="90"/>
      <c r="V770" s="92"/>
      <c r="W770" s="31"/>
      <c r="X770" s="207"/>
      <c r="Y770" s="89"/>
      <c r="Z770" s="23"/>
      <c r="AA770" s="93"/>
      <c r="AB770" s="93"/>
      <c r="AC770" s="83"/>
      <c r="AD770" s="83"/>
      <c r="AE770" s="93"/>
      <c r="AF770" s="93"/>
      <c r="AG770" s="83"/>
      <c r="AH770" s="83"/>
      <c r="AI770" s="93"/>
      <c r="AJ770" s="93"/>
      <c r="AK770" s="83"/>
      <c r="AL770" s="83"/>
      <c r="AM770" s="93"/>
      <c r="AN770" s="93"/>
      <c r="AO770" s="83"/>
      <c r="AP770" s="83"/>
      <c r="AQ770" s="93"/>
      <c r="AR770" s="93"/>
      <c r="AS770" s="83"/>
      <c r="AT770" s="83"/>
      <c r="AU770" s="93"/>
      <c r="AV770" s="93"/>
      <c r="AW770" s="83"/>
      <c r="AX770" s="83"/>
      <c r="AY770" s="93"/>
      <c r="AZ770" s="93"/>
    </row>
    <row r="771" spans="3:52" outlineLevel="1" x14ac:dyDescent="0.45">
      <c r="C771" s="13"/>
      <c r="D771" s="13"/>
      <c r="E771" s="14"/>
      <c r="F771" s="14"/>
      <c r="G771" s="14"/>
      <c r="H771" s="14"/>
      <c r="I771" s="207"/>
      <c r="J771" s="89"/>
      <c r="K771" s="23"/>
      <c r="L771" s="90"/>
      <c r="M771" s="92"/>
      <c r="N771" s="31"/>
      <c r="O771" s="90"/>
      <c r="P771" s="92"/>
      <c r="Q771" s="31"/>
      <c r="R771" s="90"/>
      <c r="S771" s="92"/>
      <c r="T771" s="31"/>
      <c r="U771" s="90"/>
      <c r="V771" s="92"/>
      <c r="W771" s="31"/>
      <c r="X771" s="207"/>
      <c r="Y771" s="89"/>
      <c r="Z771" s="23"/>
      <c r="AA771" s="93"/>
      <c r="AB771" s="93"/>
      <c r="AC771" s="83"/>
      <c r="AD771" s="83"/>
      <c r="AE771" s="93"/>
      <c r="AF771" s="93"/>
      <c r="AG771" s="83"/>
      <c r="AH771" s="83"/>
      <c r="AI771" s="93"/>
      <c r="AJ771" s="93"/>
      <c r="AK771" s="83"/>
      <c r="AL771" s="83"/>
      <c r="AM771" s="93"/>
      <c r="AN771" s="93"/>
      <c r="AO771" s="83"/>
      <c r="AP771" s="83"/>
      <c r="AQ771" s="93"/>
      <c r="AR771" s="93"/>
      <c r="AS771" s="83"/>
      <c r="AT771" s="83"/>
      <c r="AU771" s="93"/>
      <c r="AV771" s="93"/>
      <c r="AW771" s="83"/>
      <c r="AX771" s="83"/>
      <c r="AY771" s="93"/>
      <c r="AZ771" s="93"/>
    </row>
    <row r="772" spans="3:52" outlineLevel="1" x14ac:dyDescent="0.45">
      <c r="C772" s="13"/>
      <c r="D772" s="13"/>
      <c r="E772" s="14"/>
      <c r="F772" s="14"/>
      <c r="G772" s="14"/>
      <c r="H772" s="14"/>
      <c r="I772" s="207"/>
      <c r="J772" s="89"/>
      <c r="K772" s="23"/>
      <c r="L772" s="90"/>
      <c r="M772" s="92"/>
      <c r="N772" s="31"/>
      <c r="O772" s="90"/>
      <c r="P772" s="92"/>
      <c r="Q772" s="31"/>
      <c r="R772" s="90"/>
      <c r="S772" s="92"/>
      <c r="T772" s="31"/>
      <c r="U772" s="90"/>
      <c r="V772" s="92"/>
      <c r="W772" s="31"/>
      <c r="X772" s="207"/>
      <c r="Y772" s="89"/>
      <c r="Z772" s="23"/>
      <c r="AA772" s="93"/>
      <c r="AB772" s="93"/>
      <c r="AC772" s="83"/>
      <c r="AD772" s="83"/>
      <c r="AE772" s="93"/>
      <c r="AF772" s="93"/>
      <c r="AG772" s="83"/>
      <c r="AH772" s="83"/>
      <c r="AI772" s="93"/>
      <c r="AJ772" s="93"/>
      <c r="AK772" s="83"/>
      <c r="AL772" s="83"/>
      <c r="AM772" s="93"/>
      <c r="AN772" s="93"/>
      <c r="AO772" s="83"/>
      <c r="AP772" s="83"/>
      <c r="AQ772" s="93"/>
      <c r="AR772" s="93"/>
      <c r="AS772" s="83"/>
      <c r="AT772" s="83"/>
      <c r="AU772" s="93"/>
      <c r="AV772" s="93"/>
      <c r="AW772" s="83"/>
      <c r="AX772" s="83"/>
      <c r="AY772" s="93"/>
      <c r="AZ772" s="93"/>
    </row>
    <row r="773" spans="3:52" outlineLevel="1" x14ac:dyDescent="0.45">
      <c r="C773" s="13"/>
      <c r="D773" s="13"/>
      <c r="E773" s="14"/>
      <c r="F773" s="14"/>
      <c r="G773" s="14"/>
      <c r="H773" s="14"/>
      <c r="I773" s="207"/>
      <c r="J773" s="89"/>
      <c r="K773" s="23"/>
      <c r="L773" s="90"/>
      <c r="M773" s="92"/>
      <c r="N773" s="31"/>
      <c r="O773" s="90"/>
      <c r="P773" s="92"/>
      <c r="Q773" s="31"/>
      <c r="R773" s="90"/>
      <c r="S773" s="92"/>
      <c r="T773" s="31"/>
      <c r="U773" s="90"/>
      <c r="V773" s="92"/>
      <c r="W773" s="31"/>
      <c r="X773" s="207"/>
      <c r="Y773" s="89"/>
      <c r="Z773" s="23"/>
      <c r="AA773" s="93"/>
      <c r="AB773" s="93"/>
      <c r="AC773" s="83"/>
      <c r="AD773" s="83"/>
      <c r="AE773" s="93"/>
      <c r="AF773" s="93"/>
      <c r="AG773" s="83"/>
      <c r="AH773" s="83"/>
      <c r="AI773" s="93"/>
      <c r="AJ773" s="93"/>
      <c r="AK773" s="83"/>
      <c r="AL773" s="83"/>
      <c r="AM773" s="93"/>
      <c r="AN773" s="93"/>
      <c r="AO773" s="83"/>
      <c r="AP773" s="83"/>
      <c r="AQ773" s="93"/>
      <c r="AR773" s="93"/>
      <c r="AS773" s="83"/>
      <c r="AT773" s="83"/>
      <c r="AU773" s="93"/>
      <c r="AV773" s="93"/>
      <c r="AW773" s="83"/>
      <c r="AX773" s="83"/>
      <c r="AY773" s="93"/>
      <c r="AZ773" s="93"/>
    </row>
    <row r="774" spans="3:52" outlineLevel="1" x14ac:dyDescent="0.45">
      <c r="C774" s="13"/>
      <c r="D774" s="13"/>
      <c r="E774" s="334" t="s">
        <v>949</v>
      </c>
      <c r="F774" s="334"/>
      <c r="G774" s="334"/>
      <c r="H774" s="334"/>
      <c r="I774" s="207"/>
      <c r="J774" s="89"/>
      <c r="K774" s="23"/>
      <c r="L774" s="90"/>
      <c r="M774" s="92"/>
      <c r="N774" s="31"/>
      <c r="O774" s="90"/>
      <c r="P774" s="92"/>
      <c r="Q774" s="31"/>
      <c r="R774" s="90"/>
      <c r="S774" s="92"/>
      <c r="T774" s="31"/>
      <c r="U774" s="90"/>
      <c r="V774" s="92"/>
      <c r="W774" s="31"/>
      <c r="X774" s="207"/>
      <c r="Y774" s="89"/>
      <c r="Z774" s="23"/>
      <c r="AA774" s="93"/>
      <c r="AB774" s="93"/>
      <c r="AC774" s="83"/>
      <c r="AD774" s="83"/>
      <c r="AE774" s="93"/>
      <c r="AF774" s="93"/>
      <c r="AG774" s="83"/>
      <c r="AH774" s="83"/>
      <c r="AI774" s="93"/>
      <c r="AJ774" s="93"/>
      <c r="AK774" s="83"/>
      <c r="AL774" s="83"/>
      <c r="AM774" s="93"/>
      <c r="AN774" s="93"/>
      <c r="AO774" s="83"/>
      <c r="AP774" s="83"/>
      <c r="AQ774" s="93"/>
      <c r="AR774" s="93"/>
      <c r="AS774" s="83"/>
      <c r="AT774" s="83"/>
      <c r="AU774" s="93"/>
      <c r="AV774" s="93"/>
      <c r="AW774" s="83"/>
      <c r="AX774" s="83"/>
      <c r="AY774" s="93"/>
      <c r="AZ774" s="93"/>
    </row>
    <row r="775" spans="3:52" outlineLevel="1" x14ac:dyDescent="0.45">
      <c r="C775" s="13"/>
      <c r="D775" s="13"/>
      <c r="E775" s="88" t="s">
        <v>923</v>
      </c>
      <c r="F775" s="88"/>
      <c r="G775" s="88"/>
      <c r="H775" s="88"/>
      <c r="I775" s="207"/>
      <c r="J775" s="89"/>
      <c r="K775" s="23"/>
      <c r="L775" s="90"/>
      <c r="M775" s="92"/>
      <c r="N775" s="31"/>
      <c r="O775" s="90"/>
      <c r="P775" s="92"/>
      <c r="Q775" s="31"/>
      <c r="R775" s="90"/>
      <c r="S775" s="92"/>
      <c r="T775" s="31"/>
      <c r="U775" s="90"/>
      <c r="V775" s="92"/>
      <c r="W775" s="31"/>
      <c r="X775" s="207"/>
      <c r="Y775" s="89"/>
      <c r="Z775" s="23"/>
      <c r="AA775" s="93"/>
      <c r="AB775" s="93"/>
      <c r="AC775" s="83"/>
      <c r="AD775" s="83"/>
      <c r="AE775" s="93"/>
      <c r="AF775" s="93"/>
      <c r="AG775" s="83"/>
      <c r="AH775" s="83"/>
      <c r="AI775" s="93"/>
      <c r="AJ775" s="93"/>
      <c r="AK775" s="83"/>
      <c r="AL775" s="83"/>
      <c r="AM775" s="93"/>
      <c r="AN775" s="93"/>
      <c r="AO775" s="83"/>
      <c r="AP775" s="83"/>
      <c r="AQ775" s="93"/>
      <c r="AR775" s="93"/>
      <c r="AS775" s="83"/>
      <c r="AT775" s="83"/>
      <c r="AU775" s="93"/>
      <c r="AV775" s="93"/>
      <c r="AW775" s="83"/>
      <c r="AX775" s="83"/>
      <c r="AY775" s="93"/>
      <c r="AZ775" s="93"/>
    </row>
    <row r="776" spans="3:52" outlineLevel="1" x14ac:dyDescent="0.45">
      <c r="C776" s="13"/>
      <c r="D776" s="13"/>
      <c r="E776" s="14" t="s">
        <v>950</v>
      </c>
      <c r="F776" s="14"/>
      <c r="G776" s="14"/>
      <c r="H776" s="14"/>
      <c r="I776" s="207"/>
      <c r="J776" s="89">
        <v>238</v>
      </c>
      <c r="K776" s="23"/>
      <c r="L776" s="90"/>
      <c r="M776" s="92"/>
      <c r="N776" s="31"/>
      <c r="O776" s="90"/>
      <c r="P776" s="92"/>
      <c r="Q776" s="31"/>
      <c r="R776" s="90"/>
      <c r="S776" s="92"/>
      <c r="T776" s="31"/>
      <c r="U776" s="90"/>
      <c r="V776" s="92"/>
      <c r="W776" s="31"/>
      <c r="X776" s="207"/>
      <c r="Y776" s="89"/>
      <c r="Z776" s="23"/>
      <c r="AA776" s="93"/>
      <c r="AB776" s="93"/>
      <c r="AC776" s="83"/>
      <c r="AD776" s="83"/>
      <c r="AE776" s="93"/>
      <c r="AF776" s="93"/>
      <c r="AG776" s="83"/>
      <c r="AH776" s="83"/>
      <c r="AI776" s="93"/>
      <c r="AJ776" s="93"/>
      <c r="AK776" s="83"/>
      <c r="AL776" s="83"/>
      <c r="AM776" s="93"/>
      <c r="AN776" s="93"/>
      <c r="AO776" s="83"/>
      <c r="AP776" s="83"/>
      <c r="AQ776" s="93"/>
      <c r="AR776" s="93"/>
      <c r="AS776" s="83"/>
      <c r="AT776" s="83"/>
      <c r="AU776" s="93"/>
      <c r="AV776" s="93"/>
      <c r="AW776" s="83"/>
      <c r="AX776" s="83"/>
      <c r="AY776" s="93"/>
      <c r="AZ776" s="93"/>
    </row>
    <row r="777" spans="3:52" ht="32.25" customHeight="1" outlineLevel="1" x14ac:dyDescent="0.45">
      <c r="C777" s="13"/>
      <c r="D777" s="13"/>
      <c r="E777" s="14" t="s">
        <v>951</v>
      </c>
      <c r="F777" s="14"/>
      <c r="G777" s="14"/>
      <c r="H777" s="14"/>
      <c r="I777" s="353" t="s">
        <v>952</v>
      </c>
      <c r="J777" s="354" t="s">
        <v>953</v>
      </c>
      <c r="K777" s="355" t="s">
        <v>954</v>
      </c>
      <c r="L777" s="90"/>
      <c r="M777" s="92"/>
      <c r="N777" s="31"/>
      <c r="O777" s="90"/>
      <c r="P777" s="92"/>
      <c r="Q777" s="31"/>
      <c r="R777" s="90"/>
      <c r="S777" s="92"/>
      <c r="T777" s="31"/>
      <c r="U777" s="90"/>
      <c r="V777" s="92"/>
      <c r="W777" s="31"/>
      <c r="X777" s="207"/>
      <c r="Y777" s="89"/>
      <c r="Z777" s="23"/>
      <c r="AA777" s="93"/>
      <c r="AB777" s="93"/>
      <c r="AC777" s="83"/>
      <c r="AD777" s="83"/>
      <c r="AE777" s="93"/>
      <c r="AF777" s="93"/>
      <c r="AG777" s="83"/>
      <c r="AH777" s="83"/>
      <c r="AI777" s="93"/>
      <c r="AJ777" s="93"/>
      <c r="AK777" s="83"/>
      <c r="AL777" s="83"/>
      <c r="AM777" s="93"/>
      <c r="AN777" s="93"/>
      <c r="AO777" s="83"/>
      <c r="AP777" s="83"/>
      <c r="AQ777" s="93"/>
      <c r="AR777" s="93"/>
      <c r="AS777" s="83"/>
      <c r="AT777" s="83"/>
      <c r="AU777" s="93"/>
      <c r="AV777" s="93"/>
      <c r="AW777" s="83"/>
      <c r="AX777" s="83"/>
      <c r="AY777" s="93"/>
      <c r="AZ777" s="93"/>
    </row>
    <row r="778" spans="3:52" outlineLevel="1" x14ac:dyDescent="0.45">
      <c r="C778" s="13"/>
      <c r="D778" s="13"/>
      <c r="E778" s="14"/>
      <c r="F778" s="14"/>
      <c r="G778" s="14"/>
      <c r="H778" s="14"/>
      <c r="I778" s="207"/>
      <c r="J778" s="89"/>
      <c r="K778" s="23"/>
      <c r="L778" s="90"/>
      <c r="M778" s="92"/>
      <c r="N778" s="31"/>
      <c r="O778" s="90"/>
      <c r="P778" s="92"/>
      <c r="Q778" s="31"/>
      <c r="R778" s="90"/>
      <c r="S778" s="92"/>
      <c r="T778" s="31"/>
      <c r="U778" s="90"/>
      <c r="V778" s="92"/>
      <c r="W778" s="31"/>
      <c r="X778" s="207"/>
      <c r="Y778" s="89"/>
      <c r="Z778" s="23"/>
      <c r="AA778" s="93"/>
      <c r="AB778" s="93"/>
      <c r="AC778" s="83"/>
      <c r="AD778" s="83"/>
      <c r="AE778" s="93"/>
      <c r="AF778" s="93"/>
      <c r="AG778" s="83"/>
      <c r="AH778" s="83"/>
      <c r="AI778" s="93"/>
      <c r="AJ778" s="93"/>
      <c r="AK778" s="83"/>
      <c r="AL778" s="83"/>
      <c r="AM778" s="93"/>
      <c r="AN778" s="93"/>
      <c r="AO778" s="83"/>
      <c r="AP778" s="83"/>
      <c r="AQ778" s="93"/>
      <c r="AR778" s="93"/>
      <c r="AS778" s="83"/>
      <c r="AT778" s="83"/>
      <c r="AU778" s="93"/>
      <c r="AV778" s="93"/>
      <c r="AW778" s="83"/>
      <c r="AX778" s="83"/>
      <c r="AY778" s="93"/>
      <c r="AZ778" s="93"/>
    </row>
    <row r="779" spans="3:52" outlineLevel="1" x14ac:dyDescent="0.45">
      <c r="C779" s="13"/>
      <c r="D779" s="13"/>
      <c r="E779" s="14" t="s">
        <v>955</v>
      </c>
      <c r="F779" s="14"/>
      <c r="G779" s="14"/>
      <c r="H779" s="14"/>
      <c r="I779" s="356"/>
      <c r="J779" s="200"/>
      <c r="K779" s="202"/>
      <c r="L779" s="90"/>
      <c r="M779" s="92"/>
      <c r="N779" s="31"/>
      <c r="O779" s="90"/>
      <c r="P779" s="92"/>
      <c r="Q779" s="31"/>
      <c r="R779" s="90"/>
      <c r="S779" s="92"/>
      <c r="T779" s="31"/>
      <c r="U779" s="90"/>
      <c r="V779" s="92"/>
      <c r="W779" s="31"/>
      <c r="X779" s="207"/>
      <c r="Y779" s="89"/>
      <c r="Z779" s="23"/>
      <c r="AA779" s="93"/>
      <c r="AB779" s="93"/>
      <c r="AC779" s="83"/>
      <c r="AD779" s="83"/>
      <c r="AE779" s="93"/>
      <c r="AF779" s="93"/>
      <c r="AG779" s="83"/>
      <c r="AH779" s="83"/>
      <c r="AI779" s="93"/>
      <c r="AJ779" s="93"/>
      <c r="AK779" s="83"/>
      <c r="AL779" s="83"/>
      <c r="AM779" s="93"/>
      <c r="AN779" s="93"/>
      <c r="AO779" s="83"/>
      <c r="AP779" s="83"/>
      <c r="AQ779" s="93"/>
      <c r="AR779" s="93"/>
      <c r="AS779" s="83"/>
      <c r="AT779" s="83"/>
      <c r="AU779" s="93"/>
      <c r="AV779" s="93"/>
      <c r="AW779" s="83"/>
      <c r="AX779" s="83"/>
      <c r="AY779" s="93"/>
      <c r="AZ779" s="93"/>
    </row>
    <row r="780" spans="3:52" outlineLevel="1" x14ac:dyDescent="0.45">
      <c r="C780" s="13"/>
      <c r="D780" s="13"/>
      <c r="E780" s="14" t="s">
        <v>956</v>
      </c>
      <c r="F780" s="14"/>
      <c r="G780" s="14"/>
      <c r="H780" s="14"/>
      <c r="I780" s="356">
        <v>92536</v>
      </c>
      <c r="J780" s="200">
        <v>676761</v>
      </c>
      <c r="K780" s="202">
        <v>542465</v>
      </c>
      <c r="L780" s="90"/>
      <c r="M780" s="92"/>
      <c r="N780" s="31"/>
      <c r="O780" s="90"/>
      <c r="P780" s="92"/>
      <c r="Q780" s="31"/>
      <c r="R780" s="90"/>
      <c r="S780" s="92"/>
      <c r="T780" s="31"/>
      <c r="U780" s="90"/>
      <c r="V780" s="92"/>
      <c r="W780" s="31"/>
      <c r="X780" s="207"/>
      <c r="Y780" s="89"/>
      <c r="Z780" s="23"/>
      <c r="AA780" s="93"/>
      <c r="AB780" s="93"/>
      <c r="AC780" s="83"/>
      <c r="AD780" s="83"/>
      <c r="AE780" s="93"/>
      <c r="AF780" s="93"/>
      <c r="AG780" s="83"/>
      <c r="AH780" s="83"/>
      <c r="AI780" s="93"/>
      <c r="AJ780" s="93"/>
      <c r="AK780" s="83"/>
      <c r="AL780" s="83"/>
      <c r="AM780" s="93"/>
      <c r="AN780" s="93"/>
      <c r="AO780" s="83"/>
      <c r="AP780" s="83"/>
      <c r="AQ780" s="93"/>
      <c r="AR780" s="93"/>
      <c r="AS780" s="83"/>
      <c r="AT780" s="83"/>
      <c r="AU780" s="93"/>
      <c r="AV780" s="93"/>
      <c r="AW780" s="83"/>
      <c r="AX780" s="83"/>
      <c r="AY780" s="93"/>
      <c r="AZ780" s="93"/>
    </row>
    <row r="781" spans="3:52" outlineLevel="1" x14ac:dyDescent="0.45">
      <c r="C781" s="13"/>
      <c r="D781" s="13"/>
      <c r="E781" s="14"/>
      <c r="F781" s="14"/>
      <c r="G781" s="14"/>
      <c r="H781" s="14"/>
      <c r="I781" s="356"/>
      <c r="J781" s="200"/>
      <c r="K781" s="202"/>
      <c r="L781" s="90"/>
      <c r="M781" s="92"/>
      <c r="N781" s="31"/>
      <c r="O781" s="90"/>
      <c r="P781" s="92"/>
      <c r="Q781" s="31"/>
      <c r="R781" s="90"/>
      <c r="S781" s="92"/>
      <c r="T781" s="31"/>
      <c r="U781" s="90"/>
      <c r="V781" s="92"/>
      <c r="W781" s="31"/>
      <c r="X781" s="207"/>
      <c r="Y781" s="89"/>
      <c r="Z781" s="23"/>
      <c r="AA781" s="93"/>
      <c r="AB781" s="93"/>
      <c r="AC781" s="83"/>
      <c r="AD781" s="83"/>
      <c r="AE781" s="93"/>
      <c r="AF781" s="93"/>
      <c r="AG781" s="83"/>
      <c r="AH781" s="83"/>
      <c r="AI781" s="93"/>
      <c r="AJ781" s="93"/>
      <c r="AK781" s="83"/>
      <c r="AL781" s="83"/>
      <c r="AM781" s="93"/>
      <c r="AN781" s="93"/>
      <c r="AO781" s="83"/>
      <c r="AP781" s="83"/>
      <c r="AQ781" s="93"/>
      <c r="AR781" s="93"/>
      <c r="AS781" s="83"/>
      <c r="AT781" s="83"/>
      <c r="AU781" s="93"/>
      <c r="AV781" s="93"/>
      <c r="AW781" s="83"/>
      <c r="AX781" s="83"/>
      <c r="AY781" s="93"/>
      <c r="AZ781" s="93"/>
    </row>
    <row r="782" spans="3:52" outlineLevel="1" x14ac:dyDescent="0.45">
      <c r="C782" s="13"/>
      <c r="D782" s="13"/>
      <c r="E782" s="14"/>
      <c r="F782" s="14"/>
      <c r="G782" s="14"/>
      <c r="H782" s="14"/>
      <c r="I782" s="207"/>
      <c r="J782" s="89"/>
      <c r="K782" s="23"/>
      <c r="L782" s="90"/>
      <c r="M782" s="92"/>
      <c r="N782" s="31"/>
      <c r="O782" s="90"/>
      <c r="P782" s="92"/>
      <c r="Q782" s="31"/>
      <c r="R782" s="90"/>
      <c r="S782" s="92"/>
      <c r="T782" s="31"/>
      <c r="U782" s="90"/>
      <c r="V782" s="92"/>
      <c r="W782" s="31"/>
      <c r="X782" s="207"/>
      <c r="Y782" s="89"/>
      <c r="Z782" s="23"/>
      <c r="AA782" s="93"/>
      <c r="AB782" s="93"/>
      <c r="AC782" s="83"/>
      <c r="AD782" s="83"/>
      <c r="AE782" s="93"/>
      <c r="AF782" s="93"/>
      <c r="AG782" s="83"/>
      <c r="AH782" s="83"/>
      <c r="AI782" s="93"/>
      <c r="AJ782" s="93"/>
      <c r="AK782" s="83"/>
      <c r="AL782" s="83"/>
      <c r="AM782" s="93"/>
      <c r="AN782" s="93"/>
      <c r="AO782" s="83"/>
      <c r="AP782" s="83"/>
      <c r="AQ782" s="93"/>
      <c r="AR782" s="93"/>
      <c r="AS782" s="83"/>
      <c r="AT782" s="83"/>
      <c r="AU782" s="93"/>
      <c r="AV782" s="93"/>
      <c r="AW782" s="83"/>
      <c r="AX782" s="83"/>
      <c r="AY782" s="93"/>
      <c r="AZ782" s="93"/>
    </row>
    <row r="783" spans="3:52" outlineLevel="1" x14ac:dyDescent="0.45">
      <c r="C783" s="13"/>
      <c r="D783" s="13"/>
      <c r="E783" s="14"/>
      <c r="F783" s="14"/>
      <c r="G783" s="14"/>
      <c r="H783" s="14"/>
      <c r="I783" s="207"/>
      <c r="J783" s="89"/>
      <c r="K783" s="23"/>
      <c r="L783" s="90"/>
      <c r="M783" s="92"/>
      <c r="N783" s="31"/>
      <c r="O783" s="90"/>
      <c r="P783" s="92"/>
      <c r="Q783" s="31"/>
      <c r="R783" s="90"/>
      <c r="S783" s="92"/>
      <c r="T783" s="31"/>
      <c r="U783" s="90"/>
      <c r="V783" s="92"/>
      <c r="W783" s="31"/>
      <c r="X783" s="207"/>
      <c r="Y783" s="89"/>
      <c r="Z783" s="23"/>
      <c r="AA783" s="93"/>
      <c r="AB783" s="93"/>
      <c r="AC783" s="83"/>
      <c r="AD783" s="83"/>
      <c r="AE783" s="93"/>
      <c r="AF783" s="93"/>
      <c r="AG783" s="83"/>
      <c r="AH783" s="83"/>
      <c r="AI783" s="93"/>
      <c r="AJ783" s="93"/>
      <c r="AK783" s="83"/>
      <c r="AL783" s="83"/>
      <c r="AM783" s="93"/>
      <c r="AN783" s="93"/>
      <c r="AO783" s="83"/>
      <c r="AP783" s="83"/>
      <c r="AQ783" s="93"/>
      <c r="AR783" s="93"/>
      <c r="AS783" s="83"/>
      <c r="AT783" s="83"/>
      <c r="AU783" s="93"/>
      <c r="AV783" s="93"/>
      <c r="AW783" s="83"/>
      <c r="AX783" s="83"/>
      <c r="AY783" s="93"/>
      <c r="AZ783" s="93"/>
    </row>
    <row r="784" spans="3:52" outlineLevel="1" x14ac:dyDescent="0.45">
      <c r="C784" s="13"/>
      <c r="D784" s="13"/>
      <c r="E784" s="117" t="s">
        <v>957</v>
      </c>
      <c r="F784" s="117"/>
      <c r="G784" s="117"/>
      <c r="H784" s="117"/>
      <c r="I784" s="207"/>
      <c r="J784" s="89"/>
      <c r="K784" s="23"/>
      <c r="L784" s="90"/>
      <c r="M784" s="92"/>
      <c r="N784" s="31"/>
      <c r="O784" s="90"/>
      <c r="P784" s="92"/>
      <c r="Q784" s="31"/>
      <c r="R784" s="90"/>
      <c r="S784" s="92"/>
      <c r="T784" s="31"/>
      <c r="U784" s="90"/>
      <c r="V784" s="92"/>
      <c r="W784" s="31"/>
      <c r="X784" s="207"/>
      <c r="Y784" s="89"/>
      <c r="Z784" s="23"/>
      <c r="AA784" s="93"/>
      <c r="AB784" s="93"/>
      <c r="AC784" s="83"/>
      <c r="AD784" s="83"/>
      <c r="AE784" s="93"/>
      <c r="AF784" s="93"/>
      <c r="AG784" s="83"/>
      <c r="AH784" s="83"/>
      <c r="AI784" s="93"/>
      <c r="AJ784" s="93"/>
      <c r="AK784" s="83"/>
      <c r="AL784" s="83"/>
      <c r="AM784" s="93"/>
      <c r="AN784" s="93"/>
      <c r="AO784" s="83"/>
      <c r="AP784" s="83"/>
      <c r="AQ784" s="93"/>
      <c r="AR784" s="93"/>
      <c r="AS784" s="83"/>
      <c r="AT784" s="83"/>
      <c r="AU784" s="93"/>
      <c r="AV784" s="93"/>
      <c r="AW784" s="83"/>
      <c r="AX784" s="83"/>
      <c r="AY784" s="93"/>
      <c r="AZ784" s="93"/>
    </row>
    <row r="785" spans="3:52" outlineLevel="1" x14ac:dyDescent="0.45">
      <c r="C785" s="13" t="s">
        <v>826</v>
      </c>
      <c r="D785" s="13"/>
      <c r="K785" s="357"/>
      <c r="L785" s="90"/>
      <c r="M785" s="92"/>
      <c r="N785" s="31"/>
      <c r="O785" s="90"/>
      <c r="P785" s="92"/>
      <c r="Q785" s="31"/>
      <c r="R785" s="90"/>
      <c r="S785" s="92"/>
      <c r="T785" s="31"/>
      <c r="U785" s="90"/>
      <c r="V785" s="92"/>
      <c r="W785" s="31"/>
      <c r="X785" s="207"/>
      <c r="Y785" s="89"/>
      <c r="Z785" s="23"/>
      <c r="AA785" s="93"/>
      <c r="AB785" s="93"/>
      <c r="AC785" s="83"/>
      <c r="AD785" s="83"/>
      <c r="AE785" s="93"/>
      <c r="AF785" s="93"/>
      <c r="AG785" s="83"/>
      <c r="AH785" s="83"/>
      <c r="AI785" s="93"/>
      <c r="AJ785" s="93"/>
      <c r="AK785" s="83"/>
      <c r="AL785" s="83"/>
      <c r="AM785" s="93"/>
      <c r="AN785" s="93"/>
      <c r="AO785" s="83"/>
      <c r="AP785" s="83"/>
      <c r="AQ785" s="93"/>
      <c r="AR785" s="93"/>
      <c r="AS785" s="83"/>
      <c r="AT785" s="83"/>
      <c r="AU785" s="93"/>
      <c r="AV785" s="93"/>
      <c r="AW785" s="83"/>
      <c r="AX785" s="83"/>
      <c r="AY785" s="93"/>
      <c r="AZ785" s="93"/>
    </row>
    <row r="786" spans="3:52" outlineLevel="1" x14ac:dyDescent="0.45">
      <c r="E786" s="358" t="s">
        <v>958</v>
      </c>
      <c r="F786" s="358"/>
      <c r="G786" s="358"/>
      <c r="H786" s="358"/>
      <c r="I786" s="359">
        <v>235</v>
      </c>
      <c r="J786" s="359">
        <v>130</v>
      </c>
      <c r="K786" s="359">
        <v>90</v>
      </c>
      <c r="L786" s="90"/>
      <c r="M786" s="92"/>
      <c r="N786" s="31"/>
      <c r="O786" s="90"/>
      <c r="P786" s="92"/>
      <c r="Q786" s="31"/>
      <c r="R786" s="90"/>
      <c r="S786" s="92"/>
      <c r="T786" s="31"/>
      <c r="U786" s="90"/>
      <c r="V786" s="92"/>
      <c r="W786" s="31"/>
      <c r="X786" s="207"/>
      <c r="Y786" s="89"/>
      <c r="Z786" s="23"/>
      <c r="AA786" s="93"/>
      <c r="AB786" s="93"/>
      <c r="AC786" s="83"/>
      <c r="AD786" s="83"/>
      <c r="AE786" s="93"/>
      <c r="AF786" s="93"/>
      <c r="AG786" s="83"/>
      <c r="AH786" s="83"/>
      <c r="AI786" s="93"/>
      <c r="AJ786" s="93"/>
      <c r="AK786" s="83"/>
      <c r="AL786" s="83"/>
      <c r="AM786" s="93"/>
      <c r="AN786" s="93"/>
      <c r="AO786" s="83"/>
      <c r="AP786" s="83"/>
      <c r="AQ786" s="93"/>
      <c r="AR786" s="93"/>
      <c r="AS786" s="83"/>
      <c r="AT786" s="83"/>
      <c r="AU786" s="93"/>
      <c r="AV786" s="93"/>
      <c r="AW786" s="83"/>
      <c r="AX786" s="83"/>
      <c r="AY786" s="93"/>
      <c r="AZ786" s="93"/>
    </row>
    <row r="787" spans="3:52" outlineLevel="1" x14ac:dyDescent="0.45">
      <c r="C787" s="99" t="s">
        <v>828</v>
      </c>
      <c r="D787" s="99"/>
      <c r="E787" s="358" t="s">
        <v>38</v>
      </c>
      <c r="F787" s="358"/>
      <c r="G787" s="358"/>
      <c r="H787" s="358"/>
      <c r="I787" s="359"/>
      <c r="J787" s="359"/>
      <c r="K787" s="359"/>
      <c r="L787" s="90"/>
      <c r="M787" s="92"/>
      <c r="N787" s="31"/>
      <c r="O787" s="90"/>
      <c r="P787" s="92"/>
      <c r="Q787" s="31"/>
      <c r="R787" s="90"/>
      <c r="S787" s="92"/>
      <c r="T787" s="31"/>
      <c r="U787" s="90"/>
      <c r="V787" s="92"/>
      <c r="W787" s="31"/>
      <c r="X787" s="207"/>
      <c r="Y787" s="89"/>
      <c r="Z787" s="23"/>
      <c r="AA787" s="93"/>
      <c r="AB787" s="93"/>
      <c r="AC787" s="83"/>
      <c r="AD787" s="83"/>
      <c r="AE787" s="93"/>
      <c r="AF787" s="93"/>
      <c r="AG787" s="83"/>
      <c r="AH787" s="83"/>
      <c r="AI787" s="93"/>
      <c r="AJ787" s="93"/>
      <c r="AK787" s="83"/>
      <c r="AL787" s="83"/>
      <c r="AM787" s="93"/>
      <c r="AN787" s="93"/>
      <c r="AO787" s="83"/>
      <c r="AP787" s="83"/>
      <c r="AQ787" s="93"/>
      <c r="AR787" s="93"/>
      <c r="AS787" s="83"/>
      <c r="AT787" s="83"/>
      <c r="AU787" s="93"/>
      <c r="AV787" s="93"/>
      <c r="AW787" s="83"/>
      <c r="AX787" s="83"/>
      <c r="AY787" s="93"/>
      <c r="AZ787" s="93"/>
    </row>
    <row r="788" spans="3:52" outlineLevel="1" x14ac:dyDescent="0.45">
      <c r="C788" s="99"/>
      <c r="D788" s="99"/>
      <c r="E788" s="268"/>
      <c r="F788" s="268"/>
      <c r="G788" s="268"/>
      <c r="H788" s="268"/>
      <c r="K788" s="357"/>
      <c r="L788" s="90"/>
      <c r="M788" s="92"/>
      <c r="N788" s="31"/>
      <c r="O788" s="90"/>
      <c r="P788" s="92"/>
      <c r="Q788" s="31"/>
      <c r="R788" s="90"/>
      <c r="S788" s="92"/>
      <c r="T788" s="31"/>
      <c r="U788" s="90"/>
      <c r="V788" s="92"/>
      <c r="W788" s="31"/>
      <c r="X788" s="207"/>
      <c r="Y788" s="89"/>
      <c r="Z788" s="23"/>
      <c r="AA788" s="93"/>
      <c r="AB788" s="93"/>
      <c r="AC788" s="83"/>
      <c r="AD788" s="83"/>
      <c r="AE788" s="93"/>
      <c r="AF788" s="93"/>
      <c r="AG788" s="83"/>
      <c r="AH788" s="83"/>
      <c r="AI788" s="93"/>
      <c r="AJ788" s="93"/>
      <c r="AK788" s="83"/>
      <c r="AL788" s="83"/>
      <c r="AM788" s="93"/>
      <c r="AN788" s="93"/>
      <c r="AO788" s="83"/>
      <c r="AP788" s="83"/>
      <c r="AQ788" s="93"/>
      <c r="AR788" s="93"/>
      <c r="AS788" s="83"/>
      <c r="AT788" s="83"/>
      <c r="AU788" s="93"/>
      <c r="AV788" s="93"/>
      <c r="AW788" s="83"/>
      <c r="AX788" s="83"/>
      <c r="AY788" s="93"/>
      <c r="AZ788" s="93"/>
    </row>
    <row r="789" spans="3:52" outlineLevel="1" x14ac:dyDescent="0.45">
      <c r="E789" s="358" t="s">
        <v>959</v>
      </c>
      <c r="F789" s="358"/>
      <c r="G789" s="358"/>
      <c r="H789" s="358"/>
      <c r="I789" s="360">
        <v>0</v>
      </c>
      <c r="J789" s="360">
        <v>0</v>
      </c>
      <c r="K789" s="360">
        <v>0</v>
      </c>
      <c r="L789" s="90"/>
      <c r="M789" s="92"/>
      <c r="N789" s="31"/>
      <c r="O789" s="90"/>
      <c r="P789" s="92"/>
      <c r="Q789" s="31"/>
      <c r="R789" s="90"/>
      <c r="S789" s="92"/>
      <c r="T789" s="31"/>
      <c r="U789" s="90"/>
      <c r="V789" s="92"/>
      <c r="W789" s="31"/>
      <c r="X789" s="207"/>
      <c r="Y789" s="89"/>
      <c r="Z789" s="23"/>
      <c r="AA789" s="93"/>
      <c r="AB789" s="93"/>
      <c r="AC789" s="83"/>
      <c r="AD789" s="83"/>
      <c r="AE789" s="93"/>
      <c r="AF789" s="93"/>
      <c r="AG789" s="83"/>
      <c r="AH789" s="83"/>
      <c r="AI789" s="93"/>
      <c r="AJ789" s="93"/>
      <c r="AK789" s="83"/>
      <c r="AL789" s="83"/>
      <c r="AM789" s="93"/>
      <c r="AN789" s="93"/>
      <c r="AO789" s="83"/>
      <c r="AP789" s="83"/>
      <c r="AQ789" s="93"/>
      <c r="AR789" s="93"/>
      <c r="AS789" s="83"/>
      <c r="AT789" s="83"/>
      <c r="AU789" s="93"/>
      <c r="AV789" s="93"/>
      <c r="AW789" s="83"/>
      <c r="AX789" s="83"/>
      <c r="AY789" s="93"/>
      <c r="AZ789" s="93"/>
    </row>
    <row r="790" spans="3:52" outlineLevel="1" x14ac:dyDescent="0.45">
      <c r="C790" s="99" t="s">
        <v>841</v>
      </c>
      <c r="D790" s="99"/>
      <c r="E790" s="268"/>
      <c r="F790" s="268"/>
      <c r="G790" s="268"/>
      <c r="H790" s="268"/>
      <c r="K790" s="361"/>
      <c r="L790" s="90"/>
      <c r="M790" s="92"/>
      <c r="N790" s="31"/>
      <c r="O790" s="90"/>
      <c r="P790" s="92"/>
      <c r="Q790" s="31"/>
      <c r="R790" s="90"/>
      <c r="S790" s="92"/>
      <c r="T790" s="31"/>
      <c r="U790" s="90"/>
      <c r="V790" s="92"/>
      <c r="W790" s="31"/>
      <c r="X790" s="207"/>
      <c r="Y790" s="89"/>
      <c r="Z790" s="23"/>
      <c r="AA790" s="93"/>
      <c r="AB790" s="93"/>
      <c r="AC790" s="83"/>
      <c r="AD790" s="83"/>
      <c r="AE790" s="93"/>
      <c r="AF790" s="93"/>
      <c r="AG790" s="83"/>
      <c r="AH790" s="83"/>
      <c r="AI790" s="93"/>
      <c r="AJ790" s="93"/>
      <c r="AK790" s="83"/>
      <c r="AL790" s="83"/>
      <c r="AM790" s="93"/>
      <c r="AN790" s="93"/>
      <c r="AO790" s="83"/>
      <c r="AP790" s="83"/>
      <c r="AQ790" s="93"/>
      <c r="AR790" s="93"/>
      <c r="AS790" s="83"/>
      <c r="AT790" s="83"/>
      <c r="AU790" s="93"/>
      <c r="AV790" s="93"/>
      <c r="AW790" s="83"/>
      <c r="AX790" s="83"/>
      <c r="AY790" s="93"/>
      <c r="AZ790" s="93"/>
    </row>
    <row r="791" spans="3:52" outlineLevel="1" x14ac:dyDescent="0.45">
      <c r="E791" s="358" t="s">
        <v>960</v>
      </c>
      <c r="F791" s="358"/>
      <c r="G791" s="358"/>
      <c r="H791" s="358"/>
      <c r="I791" s="360">
        <v>0</v>
      </c>
      <c r="J791" s="360">
        <v>0</v>
      </c>
      <c r="K791" s="360">
        <v>0</v>
      </c>
      <c r="L791" s="90"/>
      <c r="M791" s="92"/>
      <c r="N791" s="31"/>
      <c r="O791" s="90"/>
      <c r="P791" s="92"/>
      <c r="Q791" s="31"/>
      <c r="R791" s="90"/>
      <c r="S791" s="92"/>
      <c r="T791" s="31"/>
      <c r="U791" s="90"/>
      <c r="V791" s="92"/>
      <c r="W791" s="31"/>
      <c r="X791" s="207"/>
      <c r="Y791" s="89"/>
      <c r="Z791" s="23"/>
      <c r="AA791" s="93"/>
      <c r="AB791" s="93"/>
      <c r="AC791" s="83"/>
      <c r="AD791" s="83"/>
      <c r="AE791" s="93"/>
      <c r="AF791" s="93"/>
      <c r="AG791" s="83"/>
      <c r="AH791" s="83"/>
      <c r="AI791" s="93"/>
      <c r="AJ791" s="93"/>
      <c r="AK791" s="83"/>
      <c r="AL791" s="83"/>
      <c r="AM791" s="93"/>
      <c r="AN791" s="93"/>
      <c r="AO791" s="83"/>
      <c r="AP791" s="83"/>
      <c r="AQ791" s="93"/>
      <c r="AR791" s="93"/>
      <c r="AS791" s="83"/>
      <c r="AT791" s="83"/>
      <c r="AU791" s="93"/>
      <c r="AV791" s="93"/>
      <c r="AW791" s="83"/>
      <c r="AX791" s="83"/>
      <c r="AY791" s="93"/>
      <c r="AZ791" s="93"/>
    </row>
    <row r="792" spans="3:52" outlineLevel="1" x14ac:dyDescent="0.45">
      <c r="C792" s="99" t="s">
        <v>846</v>
      </c>
      <c r="D792" s="99"/>
      <c r="E792" s="362" t="s">
        <v>961</v>
      </c>
      <c r="F792" s="362"/>
      <c r="G792" s="362"/>
      <c r="H792" s="362"/>
      <c r="I792" s="363">
        <v>357</v>
      </c>
      <c r="J792" s="363">
        <v>316</v>
      </c>
      <c r="K792" s="363">
        <v>302</v>
      </c>
      <c r="L792" s="90"/>
      <c r="M792" s="92"/>
      <c r="N792" s="31"/>
      <c r="O792" s="90"/>
      <c r="P792" s="92"/>
      <c r="Q792" s="31"/>
      <c r="R792" s="90"/>
      <c r="S792" s="92"/>
      <c r="T792" s="31"/>
      <c r="U792" s="90"/>
      <c r="V792" s="92"/>
      <c r="W792" s="31"/>
      <c r="X792" s="207"/>
      <c r="Y792" s="89"/>
      <c r="Z792" s="23"/>
      <c r="AA792" s="93"/>
      <c r="AB792" s="93"/>
      <c r="AC792" s="83"/>
      <c r="AD792" s="83"/>
      <c r="AE792" s="93"/>
      <c r="AF792" s="93"/>
      <c r="AG792" s="83"/>
      <c r="AH792" s="83"/>
      <c r="AI792" s="93"/>
      <c r="AJ792" s="93"/>
      <c r="AK792" s="83"/>
      <c r="AL792" s="83"/>
      <c r="AM792" s="93"/>
      <c r="AN792" s="93"/>
      <c r="AO792" s="83"/>
      <c r="AP792" s="83"/>
      <c r="AQ792" s="93"/>
      <c r="AR792" s="93"/>
      <c r="AS792" s="83"/>
      <c r="AT792" s="83"/>
      <c r="AU792" s="93"/>
      <c r="AV792" s="93"/>
      <c r="AW792" s="83"/>
      <c r="AX792" s="83"/>
      <c r="AY792" s="93"/>
      <c r="AZ792" s="93"/>
    </row>
    <row r="793" spans="3:52" outlineLevel="1" x14ac:dyDescent="0.45">
      <c r="C793" s="99" t="s">
        <v>852</v>
      </c>
      <c r="D793" s="99"/>
      <c r="E793" s="362" t="s">
        <v>962</v>
      </c>
      <c r="F793" s="362"/>
      <c r="G793" s="362"/>
      <c r="H793" s="362"/>
      <c r="I793" s="363">
        <v>750</v>
      </c>
      <c r="J793" s="363">
        <v>750</v>
      </c>
      <c r="K793" s="363">
        <v>750</v>
      </c>
      <c r="L793" s="90"/>
      <c r="M793" s="92"/>
      <c r="N793" s="31"/>
      <c r="O793" s="90"/>
      <c r="P793" s="92"/>
      <c r="Q793" s="31"/>
      <c r="R793" s="90"/>
      <c r="S793" s="92"/>
      <c r="T793" s="31"/>
      <c r="U793" s="90"/>
      <c r="V793" s="92"/>
      <c r="W793" s="31"/>
      <c r="X793" s="207"/>
      <c r="Y793" s="89"/>
      <c r="Z793" s="23"/>
      <c r="AA793" s="93"/>
      <c r="AB793" s="93"/>
      <c r="AC793" s="83"/>
      <c r="AD793" s="83"/>
      <c r="AE793" s="93"/>
      <c r="AF793" s="93"/>
      <c r="AG793" s="83"/>
      <c r="AH793" s="83"/>
      <c r="AI793" s="93"/>
      <c r="AJ793" s="93"/>
      <c r="AK793" s="83"/>
      <c r="AL793" s="83"/>
      <c r="AM793" s="93"/>
      <c r="AN793" s="93"/>
      <c r="AO793" s="83"/>
      <c r="AP793" s="83"/>
      <c r="AQ793" s="93"/>
      <c r="AR793" s="93"/>
      <c r="AS793" s="83"/>
      <c r="AT793" s="83"/>
      <c r="AU793" s="93"/>
      <c r="AV793" s="93"/>
      <c r="AW793" s="83"/>
      <c r="AX793" s="83"/>
      <c r="AY793" s="93"/>
      <c r="AZ793" s="93"/>
    </row>
    <row r="794" spans="3:52" outlineLevel="1" x14ac:dyDescent="0.45">
      <c r="C794" s="99"/>
      <c r="D794" s="99"/>
      <c r="E794" s="362" t="s">
        <v>963</v>
      </c>
      <c r="F794" s="362"/>
      <c r="G794" s="362"/>
      <c r="H794" s="362"/>
      <c r="I794" s="363">
        <f>J794*1/1.06</f>
        <v>4514.1509433962265</v>
      </c>
      <c r="J794" s="363">
        <v>4785</v>
      </c>
      <c r="K794" s="363">
        <v>4869</v>
      </c>
      <c r="L794" s="90"/>
      <c r="M794" s="92"/>
      <c r="N794" s="31"/>
      <c r="O794" s="90"/>
      <c r="P794" s="92"/>
      <c r="Q794" s="31"/>
      <c r="R794" s="90"/>
      <c r="S794" s="92"/>
      <c r="T794" s="31"/>
      <c r="U794" s="90"/>
      <c r="V794" s="92"/>
      <c r="W794" s="31"/>
      <c r="X794" s="207"/>
      <c r="Y794" s="89"/>
      <c r="Z794" s="23"/>
      <c r="AA794" s="93"/>
      <c r="AB794" s="93"/>
      <c r="AC794" s="83"/>
      <c r="AD794" s="83"/>
      <c r="AE794" s="93"/>
      <c r="AF794" s="93"/>
      <c r="AG794" s="83"/>
      <c r="AH794" s="83"/>
      <c r="AI794" s="93"/>
      <c r="AJ794" s="93"/>
      <c r="AK794" s="83"/>
      <c r="AL794" s="83"/>
      <c r="AM794" s="93"/>
      <c r="AN794" s="93"/>
      <c r="AO794" s="83"/>
      <c r="AP794" s="83"/>
      <c r="AQ794" s="93"/>
      <c r="AR794" s="93"/>
      <c r="AS794" s="83"/>
      <c r="AT794" s="83"/>
      <c r="AU794" s="93"/>
      <c r="AV794" s="93"/>
      <c r="AW794" s="83"/>
      <c r="AX794" s="83"/>
      <c r="AY794" s="93"/>
      <c r="AZ794" s="93"/>
    </row>
    <row r="795" spans="3:52" outlineLevel="1" x14ac:dyDescent="0.45">
      <c r="C795" s="364" t="s">
        <v>858</v>
      </c>
      <c r="D795" s="364"/>
      <c r="E795" s="362"/>
      <c r="F795" s="362"/>
      <c r="G795" s="362"/>
      <c r="H795" s="362"/>
      <c r="I795" s="365"/>
      <c r="J795" s="366"/>
      <c r="K795" s="367"/>
      <c r="L795" s="90"/>
      <c r="M795" s="92"/>
      <c r="N795" s="31"/>
      <c r="O795" s="90"/>
      <c r="P795" s="92"/>
      <c r="Q795" s="31"/>
      <c r="R795" s="90"/>
      <c r="S795" s="92"/>
      <c r="T795" s="31"/>
      <c r="U795" s="90"/>
      <c r="V795" s="92"/>
      <c r="W795" s="31"/>
      <c r="X795" s="207"/>
      <c r="Y795" s="89"/>
      <c r="Z795" s="23"/>
      <c r="AA795" s="93"/>
      <c r="AB795" s="93"/>
      <c r="AC795" s="83"/>
      <c r="AD795" s="83"/>
      <c r="AE795" s="93"/>
      <c r="AF795" s="93"/>
      <c r="AG795" s="83"/>
      <c r="AH795" s="83"/>
      <c r="AI795" s="93"/>
      <c r="AJ795" s="93"/>
      <c r="AK795" s="83"/>
      <c r="AL795" s="83"/>
      <c r="AM795" s="93"/>
      <c r="AN795" s="93"/>
      <c r="AO795" s="83"/>
      <c r="AP795" s="83"/>
      <c r="AQ795" s="93"/>
      <c r="AR795" s="93"/>
      <c r="AS795" s="83"/>
      <c r="AT795" s="83"/>
      <c r="AU795" s="93"/>
      <c r="AV795" s="93"/>
      <c r="AW795" s="83"/>
      <c r="AX795" s="83"/>
      <c r="AY795" s="93"/>
      <c r="AZ795" s="93"/>
    </row>
    <row r="796" spans="3:52" outlineLevel="1" x14ac:dyDescent="0.45">
      <c r="C796" s="99"/>
      <c r="D796" s="99"/>
      <c r="E796" s="13" t="s">
        <v>964</v>
      </c>
      <c r="F796" s="13"/>
      <c r="G796" s="13"/>
      <c r="H796" s="13"/>
      <c r="I796" s="368">
        <f>I792/I793</f>
        <v>0.47599999999999998</v>
      </c>
      <c r="J796" s="369">
        <f>J792/J793</f>
        <v>0.42133333333333334</v>
      </c>
      <c r="K796" s="370">
        <f>K792/K793</f>
        <v>0.40266666666666667</v>
      </c>
      <c r="L796" s="90"/>
      <c r="M796" s="92"/>
      <c r="N796" s="31"/>
      <c r="O796" s="90"/>
      <c r="P796" s="92"/>
      <c r="Q796" s="31"/>
      <c r="R796" s="90"/>
      <c r="S796" s="92"/>
      <c r="T796" s="31"/>
      <c r="U796" s="90"/>
      <c r="V796" s="92"/>
      <c r="W796" s="31"/>
      <c r="X796" s="207"/>
      <c r="Y796" s="89"/>
      <c r="Z796" s="23"/>
      <c r="AA796" s="93"/>
      <c r="AB796" s="93"/>
      <c r="AC796" s="83"/>
      <c r="AD796" s="83"/>
      <c r="AE796" s="93"/>
      <c r="AF796" s="93"/>
      <c r="AG796" s="83"/>
      <c r="AH796" s="83"/>
      <c r="AI796" s="93"/>
      <c r="AJ796" s="93"/>
      <c r="AK796" s="83"/>
      <c r="AL796" s="83"/>
      <c r="AM796" s="93"/>
      <c r="AN796" s="93"/>
      <c r="AO796" s="83"/>
      <c r="AP796" s="83"/>
      <c r="AQ796" s="93"/>
      <c r="AR796" s="93"/>
      <c r="AS796" s="83"/>
      <c r="AT796" s="83"/>
      <c r="AU796" s="93"/>
      <c r="AV796" s="93"/>
      <c r="AW796" s="83"/>
      <c r="AX796" s="83"/>
      <c r="AY796" s="93"/>
      <c r="AZ796" s="93"/>
    </row>
    <row r="797" spans="3:52" outlineLevel="1" x14ac:dyDescent="0.45">
      <c r="C797" s="99"/>
      <c r="D797" s="99"/>
      <c r="E797" s="13" t="s">
        <v>965</v>
      </c>
      <c r="F797" s="13"/>
      <c r="G797" s="13"/>
      <c r="H797" s="13"/>
      <c r="I797" s="368">
        <f>I798/I799</f>
        <v>0.10846459014206629</v>
      </c>
      <c r="J797" s="369">
        <f>J798/J799</f>
        <v>0.13569487983281089</v>
      </c>
      <c r="K797" s="370">
        <f>K798/K799</f>
        <v>9.23484174254353E-2</v>
      </c>
      <c r="L797" s="90"/>
      <c r="M797" s="92"/>
      <c r="N797" s="31"/>
      <c r="O797" s="90"/>
      <c r="P797" s="92"/>
      <c r="Q797" s="31"/>
      <c r="R797" s="90"/>
      <c r="S797" s="92"/>
      <c r="T797" s="31"/>
      <c r="U797" s="90"/>
      <c r="V797" s="92"/>
      <c r="W797" s="31"/>
      <c r="X797" s="207"/>
      <c r="Y797" s="89"/>
      <c r="Z797" s="23"/>
      <c r="AA797" s="93"/>
      <c r="AB797" s="93"/>
      <c r="AC797" s="83"/>
      <c r="AD797" s="83"/>
      <c r="AE797" s="93"/>
      <c r="AF797" s="93"/>
      <c r="AG797" s="83"/>
      <c r="AH797" s="83"/>
      <c r="AI797" s="93"/>
      <c r="AJ797" s="93"/>
      <c r="AK797" s="83"/>
      <c r="AL797" s="83"/>
      <c r="AM797" s="93"/>
      <c r="AN797" s="93"/>
      <c r="AO797" s="83"/>
      <c r="AP797" s="83"/>
      <c r="AQ797" s="93"/>
      <c r="AR797" s="93"/>
      <c r="AS797" s="83"/>
      <c r="AT797" s="83"/>
      <c r="AU797" s="93"/>
      <c r="AV797" s="93"/>
      <c r="AW797" s="83"/>
      <c r="AX797" s="83"/>
      <c r="AY797" s="93"/>
      <c r="AZ797" s="93"/>
    </row>
    <row r="798" spans="3:52" outlineLevel="1" x14ac:dyDescent="0.45">
      <c r="C798" s="13" t="s">
        <v>864</v>
      </c>
      <c r="D798" s="13"/>
      <c r="E798" s="371" t="s">
        <v>966</v>
      </c>
      <c r="F798" s="371"/>
      <c r="G798" s="371"/>
      <c r="H798" s="371"/>
      <c r="I798" s="120">
        <f>I747/I786/12</f>
        <v>489.6255319148936</v>
      </c>
      <c r="J798" s="106">
        <f>J747/J786/12</f>
        <v>649.30000000000007</v>
      </c>
      <c r="K798" s="107">
        <f>K747/K786/12</f>
        <v>449.64444444444445</v>
      </c>
      <c r="L798" s="90"/>
      <c r="M798" s="92"/>
      <c r="N798" s="31"/>
      <c r="O798" s="90"/>
      <c r="P798" s="92"/>
      <c r="Q798" s="31"/>
      <c r="R798" s="90"/>
      <c r="S798" s="92"/>
      <c r="T798" s="31"/>
      <c r="U798" s="90"/>
      <c r="V798" s="92"/>
      <c r="W798" s="31"/>
      <c r="X798" s="207"/>
      <c r="Y798" s="89"/>
      <c r="Z798" s="23"/>
      <c r="AA798" s="93"/>
      <c r="AB798" s="93"/>
      <c r="AC798" s="83"/>
      <c r="AD798" s="83"/>
      <c r="AE798" s="93"/>
      <c r="AF798" s="93"/>
      <c r="AG798" s="83"/>
      <c r="AH798" s="83"/>
      <c r="AI798" s="93"/>
      <c r="AJ798" s="93"/>
      <c r="AK798" s="83"/>
      <c r="AL798" s="83"/>
      <c r="AM798" s="93"/>
      <c r="AN798" s="93"/>
      <c r="AO798" s="83"/>
      <c r="AP798" s="83"/>
      <c r="AQ798" s="93"/>
      <c r="AR798" s="93"/>
      <c r="AS798" s="83"/>
      <c r="AT798" s="83"/>
      <c r="AU798" s="93"/>
      <c r="AV798" s="93"/>
      <c r="AW798" s="83"/>
      <c r="AX798" s="83"/>
      <c r="AY798" s="93"/>
      <c r="AZ798" s="93"/>
    </row>
    <row r="799" spans="3:52" outlineLevel="1" x14ac:dyDescent="0.45">
      <c r="C799" s="13" t="s">
        <v>967</v>
      </c>
      <c r="D799" s="13"/>
      <c r="E799" s="371" t="s">
        <v>968</v>
      </c>
      <c r="F799" s="371"/>
      <c r="G799" s="371"/>
      <c r="H799" s="371"/>
      <c r="I799" s="372">
        <f>J799*1/1.06</f>
        <v>4514.1509433962265</v>
      </c>
      <c r="J799" s="372">
        <v>4785</v>
      </c>
      <c r="K799" s="372">
        <v>4869</v>
      </c>
      <c r="L799" s="90"/>
      <c r="M799" s="92"/>
      <c r="N799" s="31"/>
      <c r="O799" s="90"/>
      <c r="P799" s="92"/>
      <c r="Q799" s="31"/>
      <c r="R799" s="90"/>
      <c r="S799" s="92"/>
      <c r="T799" s="31"/>
      <c r="U799" s="90"/>
      <c r="V799" s="92"/>
      <c r="W799" s="31"/>
      <c r="X799" s="207"/>
      <c r="Y799" s="89"/>
      <c r="Z799" s="23"/>
      <c r="AA799" s="93"/>
      <c r="AB799" s="93"/>
      <c r="AC799" s="83"/>
      <c r="AD799" s="83"/>
      <c r="AE799" s="93"/>
      <c r="AF799" s="93"/>
      <c r="AG799" s="83"/>
      <c r="AH799" s="83"/>
      <c r="AI799" s="93"/>
      <c r="AJ799" s="93"/>
      <c r="AK799" s="83"/>
      <c r="AL799" s="83"/>
      <c r="AM799" s="93"/>
      <c r="AN799" s="93"/>
      <c r="AO799" s="83"/>
      <c r="AP799" s="83"/>
      <c r="AQ799" s="93"/>
      <c r="AR799" s="93"/>
      <c r="AS799" s="83"/>
      <c r="AT799" s="83"/>
      <c r="AU799" s="93"/>
      <c r="AV799" s="93"/>
      <c r="AW799" s="83"/>
      <c r="AX799" s="83"/>
      <c r="AY799" s="93"/>
      <c r="AZ799" s="93"/>
    </row>
    <row r="800" spans="3:52" outlineLevel="1" x14ac:dyDescent="0.45">
      <c r="C800" s="13" t="s">
        <v>969</v>
      </c>
      <c r="D800" s="13"/>
      <c r="E800" s="362"/>
      <c r="F800" s="362"/>
      <c r="G800" s="362"/>
      <c r="H800" s="362"/>
      <c r="I800" s="373"/>
      <c r="J800" s="374"/>
      <c r="K800" s="375"/>
      <c r="L800" s="90"/>
      <c r="M800" s="92"/>
      <c r="N800" s="31"/>
      <c r="O800" s="90"/>
      <c r="P800" s="92"/>
      <c r="Q800" s="31"/>
      <c r="R800" s="90"/>
      <c r="S800" s="92"/>
      <c r="T800" s="31"/>
      <c r="U800" s="90"/>
      <c r="V800" s="92"/>
      <c r="W800" s="31"/>
      <c r="X800" s="207"/>
      <c r="Y800" s="89"/>
      <c r="Z800" s="23"/>
      <c r="AA800" s="93"/>
      <c r="AB800" s="93"/>
      <c r="AC800" s="83"/>
      <c r="AD800" s="83"/>
      <c r="AE800" s="93"/>
      <c r="AF800" s="93"/>
      <c r="AG800" s="83"/>
      <c r="AH800" s="83"/>
      <c r="AI800" s="93"/>
      <c r="AJ800" s="93"/>
      <c r="AK800" s="83"/>
      <c r="AL800" s="83"/>
      <c r="AM800" s="93"/>
      <c r="AN800" s="93"/>
      <c r="AO800" s="83"/>
      <c r="AP800" s="83"/>
      <c r="AQ800" s="93"/>
      <c r="AR800" s="93"/>
      <c r="AS800" s="83"/>
      <c r="AT800" s="83"/>
      <c r="AU800" s="93"/>
      <c r="AV800" s="93"/>
      <c r="AW800" s="83"/>
      <c r="AX800" s="83"/>
      <c r="AY800" s="93"/>
      <c r="AZ800" s="93"/>
    </row>
    <row r="801" spans="3:52" outlineLevel="1" x14ac:dyDescent="0.45">
      <c r="C801" s="99"/>
      <c r="D801" s="99"/>
      <c r="E801" s="13" t="s">
        <v>970</v>
      </c>
      <c r="F801" s="13"/>
      <c r="G801" s="13"/>
      <c r="H801" s="13"/>
      <c r="I801" s="376">
        <f>I803/I802</f>
        <v>0.66747927204463675</v>
      </c>
      <c r="J801" s="377">
        <f>J803/J802</f>
        <v>0.2320042886422064</v>
      </c>
      <c r="K801" s="378">
        <f>K803/K802</f>
        <v>0.49939252413429541</v>
      </c>
      <c r="L801" s="90"/>
      <c r="M801" s="92"/>
      <c r="N801" s="31"/>
      <c r="O801" s="90"/>
      <c r="P801" s="92"/>
      <c r="Q801" s="31"/>
      <c r="R801" s="90"/>
      <c r="S801" s="92"/>
      <c r="T801" s="31"/>
      <c r="U801" s="90"/>
      <c r="V801" s="92"/>
      <c r="W801" s="31"/>
      <c r="X801" s="207"/>
      <c r="Y801" s="89"/>
      <c r="Z801" s="23"/>
      <c r="AA801" s="93"/>
      <c r="AB801" s="93"/>
      <c r="AC801" s="83"/>
      <c r="AD801" s="83"/>
      <c r="AE801" s="93"/>
      <c r="AF801" s="93"/>
      <c r="AG801" s="83"/>
      <c r="AH801" s="83"/>
      <c r="AI801" s="93"/>
      <c r="AJ801" s="93"/>
      <c r="AK801" s="83"/>
      <c r="AL801" s="83"/>
      <c r="AM801" s="93"/>
      <c r="AN801" s="93"/>
      <c r="AO801" s="83"/>
      <c r="AP801" s="83"/>
      <c r="AQ801" s="93"/>
      <c r="AR801" s="93"/>
      <c r="AS801" s="83"/>
      <c r="AT801" s="83"/>
      <c r="AU801" s="93"/>
      <c r="AV801" s="93"/>
      <c r="AW801" s="83"/>
      <c r="AX801" s="83"/>
      <c r="AY801" s="93"/>
      <c r="AZ801" s="93"/>
    </row>
    <row r="802" spans="3:52" outlineLevel="1" x14ac:dyDescent="0.45">
      <c r="C802" s="13" t="s">
        <v>828</v>
      </c>
      <c r="D802" s="13"/>
      <c r="E802" s="371" t="s">
        <v>931</v>
      </c>
      <c r="F802" s="371"/>
      <c r="G802" s="371"/>
      <c r="H802" s="371"/>
      <c r="I802" s="372">
        <f>I747</f>
        <v>1380744</v>
      </c>
      <c r="J802" s="372">
        <f>J747</f>
        <v>1012908</v>
      </c>
      <c r="K802" s="372">
        <f>K747</f>
        <v>485616</v>
      </c>
      <c r="L802" s="90"/>
      <c r="M802" s="92"/>
      <c r="N802" s="31"/>
      <c r="O802" s="90"/>
      <c r="P802" s="92"/>
      <c r="Q802" s="31"/>
      <c r="R802" s="90"/>
      <c r="S802" s="92"/>
      <c r="T802" s="31"/>
      <c r="U802" s="90"/>
      <c r="V802" s="92"/>
      <c r="W802" s="31"/>
      <c r="X802" s="207"/>
      <c r="Y802" s="89"/>
      <c r="Z802" s="23"/>
      <c r="AA802" s="93"/>
      <c r="AB802" s="93"/>
      <c r="AC802" s="83"/>
      <c r="AD802" s="83"/>
      <c r="AE802" s="93"/>
      <c r="AF802" s="93"/>
      <c r="AG802" s="83"/>
      <c r="AH802" s="83"/>
      <c r="AI802" s="93"/>
      <c r="AJ802" s="93"/>
      <c r="AK802" s="83"/>
      <c r="AL802" s="83"/>
      <c r="AM802" s="93"/>
      <c r="AN802" s="93"/>
      <c r="AO802" s="83"/>
      <c r="AP802" s="83"/>
      <c r="AQ802" s="93"/>
      <c r="AR802" s="93"/>
      <c r="AS802" s="83"/>
      <c r="AT802" s="83"/>
      <c r="AU802" s="93"/>
      <c r="AV802" s="93"/>
      <c r="AW802" s="83"/>
      <c r="AX802" s="83"/>
      <c r="AY802" s="93"/>
      <c r="AZ802" s="93"/>
    </row>
    <row r="803" spans="3:52" outlineLevel="1" x14ac:dyDescent="0.45">
      <c r="C803" s="13" t="s">
        <v>841</v>
      </c>
      <c r="D803" s="13"/>
      <c r="E803" s="371" t="s">
        <v>932</v>
      </c>
      <c r="F803" s="371"/>
      <c r="G803" s="371"/>
      <c r="H803" s="371"/>
      <c r="I803" s="372">
        <v>921618</v>
      </c>
      <c r="J803" s="372">
        <v>234999</v>
      </c>
      <c r="K803" s="372">
        <v>242513</v>
      </c>
      <c r="L803" s="90"/>
      <c r="M803" s="92"/>
      <c r="N803" s="31"/>
      <c r="O803" s="90"/>
      <c r="P803" s="92"/>
      <c r="Q803" s="31"/>
      <c r="R803" s="90"/>
      <c r="S803" s="92"/>
      <c r="T803" s="31"/>
      <c r="U803" s="90"/>
      <c r="V803" s="92"/>
      <c r="W803" s="31"/>
      <c r="X803" s="207"/>
      <c r="Y803" s="89"/>
      <c r="Z803" s="23"/>
      <c r="AA803" s="93"/>
      <c r="AB803" s="93"/>
      <c r="AC803" s="83"/>
      <c r="AD803" s="83"/>
      <c r="AE803" s="93"/>
      <c r="AF803" s="93"/>
      <c r="AG803" s="83"/>
      <c r="AH803" s="83"/>
      <c r="AI803" s="93"/>
      <c r="AJ803" s="93"/>
      <c r="AK803" s="83"/>
      <c r="AL803" s="83"/>
      <c r="AM803" s="93"/>
      <c r="AN803" s="93"/>
      <c r="AO803" s="83"/>
      <c r="AP803" s="83"/>
      <c r="AQ803" s="93"/>
      <c r="AR803" s="93"/>
      <c r="AS803" s="83"/>
      <c r="AT803" s="83"/>
      <c r="AU803" s="93"/>
      <c r="AV803" s="93"/>
      <c r="AW803" s="83"/>
      <c r="AX803" s="83"/>
      <c r="AY803" s="93"/>
      <c r="AZ803" s="93"/>
    </row>
    <row r="804" spans="3:52" outlineLevel="1" x14ac:dyDescent="0.45">
      <c r="C804" s="13" t="s">
        <v>846</v>
      </c>
      <c r="D804" s="13"/>
      <c r="E804" s="14"/>
      <c r="F804" s="14"/>
      <c r="G804" s="14"/>
      <c r="H804" s="14"/>
      <c r="I804" s="207"/>
      <c r="J804" s="89"/>
      <c r="K804" s="23"/>
      <c r="L804" s="90"/>
      <c r="M804" s="92"/>
      <c r="N804" s="31"/>
      <c r="O804" s="90"/>
      <c r="P804" s="92"/>
      <c r="Q804" s="31"/>
      <c r="R804" s="90"/>
      <c r="S804" s="92"/>
      <c r="T804" s="31"/>
      <c r="U804" s="90"/>
      <c r="V804" s="92"/>
      <c r="W804" s="31"/>
      <c r="X804" s="207"/>
      <c r="Y804" s="89"/>
      <c r="Z804" s="23"/>
      <c r="AA804" s="93"/>
      <c r="AB804" s="93"/>
      <c r="AC804" s="83"/>
      <c r="AD804" s="83"/>
      <c r="AE804" s="93"/>
      <c r="AF804" s="93"/>
      <c r="AG804" s="83"/>
      <c r="AH804" s="83"/>
      <c r="AI804" s="93"/>
      <c r="AJ804" s="93"/>
      <c r="AK804" s="83"/>
      <c r="AL804" s="83"/>
      <c r="AM804" s="93"/>
      <c r="AN804" s="93"/>
      <c r="AO804" s="83"/>
      <c r="AP804" s="83"/>
      <c r="AQ804" s="93"/>
      <c r="AR804" s="93"/>
      <c r="AS804" s="83"/>
      <c r="AT804" s="83"/>
      <c r="AU804" s="93"/>
      <c r="AV804" s="93"/>
      <c r="AW804" s="83"/>
      <c r="AX804" s="83"/>
      <c r="AY804" s="93"/>
      <c r="AZ804" s="93"/>
    </row>
    <row r="805" spans="3:52" outlineLevel="1" x14ac:dyDescent="0.45">
      <c r="C805" s="13"/>
      <c r="D805" s="13"/>
      <c r="E805" s="379" t="s">
        <v>971</v>
      </c>
      <c r="F805" s="379"/>
      <c r="G805" s="379"/>
      <c r="H805" s="379"/>
      <c r="I805" s="380"/>
      <c r="J805" s="381"/>
      <c r="K805" s="382"/>
      <c r="L805" s="90"/>
      <c r="M805" s="92"/>
      <c r="N805" s="31"/>
      <c r="O805" s="90"/>
      <c r="P805" s="92"/>
      <c r="Q805" s="31"/>
      <c r="R805" s="90"/>
      <c r="S805" s="92"/>
      <c r="T805" s="31"/>
      <c r="U805" s="90"/>
      <c r="V805" s="92"/>
      <c r="W805" s="31"/>
      <c r="X805" s="207"/>
      <c r="Y805" s="89"/>
      <c r="Z805" s="23"/>
      <c r="AA805" s="93"/>
      <c r="AB805" s="93"/>
      <c r="AC805" s="83"/>
      <c r="AD805" s="83"/>
      <c r="AE805" s="93"/>
      <c r="AF805" s="93"/>
      <c r="AG805" s="83"/>
      <c r="AH805" s="83"/>
      <c r="AI805" s="93"/>
      <c r="AJ805" s="93"/>
      <c r="AK805" s="83"/>
      <c r="AL805" s="83"/>
      <c r="AM805" s="93"/>
      <c r="AN805" s="93"/>
      <c r="AO805" s="83"/>
      <c r="AP805" s="83"/>
      <c r="AQ805" s="93"/>
      <c r="AR805" s="93"/>
      <c r="AS805" s="83"/>
      <c r="AT805" s="83"/>
      <c r="AU805" s="93"/>
      <c r="AV805" s="93"/>
      <c r="AW805" s="83"/>
      <c r="AX805" s="83"/>
      <c r="AY805" s="93"/>
      <c r="AZ805" s="93"/>
    </row>
    <row r="806" spans="3:52" outlineLevel="1" x14ac:dyDescent="0.45">
      <c r="C806" s="99">
        <v>7</v>
      </c>
      <c r="D806" s="99"/>
      <c r="E806" s="383" t="s">
        <v>972</v>
      </c>
      <c r="F806" s="383"/>
      <c r="G806" s="383"/>
      <c r="H806" s="383"/>
      <c r="I806" s="384">
        <v>0</v>
      </c>
      <c r="J806" s="384">
        <v>0</v>
      </c>
      <c r="K806" s="384">
        <v>0</v>
      </c>
      <c r="L806" s="90"/>
      <c r="M806" s="92"/>
      <c r="N806" s="31"/>
      <c r="O806" s="90"/>
      <c r="P806" s="92"/>
      <c r="Q806" s="31"/>
      <c r="R806" s="90"/>
      <c r="S806" s="92"/>
      <c r="T806" s="31"/>
      <c r="U806" s="90"/>
      <c r="V806" s="92"/>
      <c r="W806" s="31"/>
      <c r="X806" s="207"/>
      <c r="Y806" s="89"/>
      <c r="Z806" s="23"/>
      <c r="AA806" s="93"/>
      <c r="AB806" s="93"/>
      <c r="AC806" s="83"/>
      <c r="AD806" s="83"/>
      <c r="AE806" s="93"/>
      <c r="AF806" s="93"/>
      <c r="AG806" s="83"/>
      <c r="AH806" s="83"/>
      <c r="AI806" s="93"/>
      <c r="AJ806" s="93"/>
      <c r="AK806" s="83"/>
      <c r="AL806" s="83"/>
      <c r="AM806" s="93"/>
      <c r="AN806" s="93"/>
      <c r="AO806" s="83"/>
      <c r="AP806" s="83"/>
      <c r="AQ806" s="93"/>
      <c r="AR806" s="93"/>
      <c r="AS806" s="83"/>
      <c r="AT806" s="83"/>
      <c r="AU806" s="93"/>
      <c r="AV806" s="93"/>
      <c r="AW806" s="83"/>
      <c r="AX806" s="83"/>
      <c r="AY806" s="93"/>
      <c r="AZ806" s="93"/>
    </row>
    <row r="807" spans="3:52" outlineLevel="1" x14ac:dyDescent="0.45">
      <c r="C807" s="99"/>
      <c r="D807" s="99"/>
      <c r="E807" s="383" t="s">
        <v>973</v>
      </c>
      <c r="F807" s="383"/>
      <c r="G807" s="383"/>
      <c r="H807" s="383"/>
      <c r="I807" s="384">
        <v>0</v>
      </c>
      <c r="J807" s="384">
        <v>0</v>
      </c>
      <c r="K807" s="384">
        <v>0</v>
      </c>
      <c r="L807" s="90"/>
      <c r="M807" s="92"/>
      <c r="N807" s="31"/>
      <c r="O807" s="90"/>
      <c r="P807" s="92"/>
      <c r="Q807" s="31"/>
      <c r="R807" s="90"/>
      <c r="S807" s="92"/>
      <c r="T807" s="31"/>
      <c r="U807" s="90"/>
      <c r="V807" s="92"/>
      <c r="W807" s="31"/>
      <c r="X807" s="207"/>
      <c r="Y807" s="89"/>
      <c r="Z807" s="23"/>
      <c r="AA807" s="93"/>
      <c r="AB807" s="93"/>
      <c r="AC807" s="83"/>
      <c r="AD807" s="83"/>
      <c r="AE807" s="93"/>
      <c r="AF807" s="93"/>
      <c r="AG807" s="83"/>
      <c r="AH807" s="83"/>
      <c r="AI807" s="93"/>
      <c r="AJ807" s="93"/>
      <c r="AK807" s="83"/>
      <c r="AL807" s="83"/>
      <c r="AM807" s="93"/>
      <c r="AN807" s="93"/>
      <c r="AO807" s="83"/>
      <c r="AP807" s="83"/>
      <c r="AQ807" s="93"/>
      <c r="AR807" s="93"/>
      <c r="AS807" s="83"/>
      <c r="AT807" s="83"/>
      <c r="AU807" s="93"/>
      <c r="AV807" s="93"/>
      <c r="AW807" s="83"/>
      <c r="AX807" s="83"/>
      <c r="AY807" s="93"/>
      <c r="AZ807" s="93"/>
    </row>
    <row r="808" spans="3:52" outlineLevel="1" x14ac:dyDescent="0.45">
      <c r="C808" s="99"/>
      <c r="D808" s="99"/>
      <c r="E808" s="14"/>
      <c r="F808" s="14"/>
      <c r="G808" s="14"/>
      <c r="H808" s="14"/>
      <c r="I808" s="207"/>
      <c r="J808" s="89"/>
      <c r="K808" s="23"/>
      <c r="L808" s="90"/>
      <c r="M808" s="92"/>
      <c r="N808" s="31"/>
      <c r="O808" s="90"/>
      <c r="P808" s="92"/>
      <c r="Q808" s="31"/>
      <c r="R808" s="90"/>
      <c r="S808" s="92"/>
      <c r="T808" s="31"/>
      <c r="U808" s="90"/>
      <c r="V808" s="92"/>
      <c r="W808" s="31"/>
      <c r="X808" s="207"/>
      <c r="Y808" s="89"/>
      <c r="Z808" s="23"/>
      <c r="AA808" s="93"/>
      <c r="AB808" s="93"/>
      <c r="AC808" s="83"/>
      <c r="AD808" s="83"/>
      <c r="AE808" s="93"/>
      <c r="AF808" s="93"/>
      <c r="AG808" s="83"/>
      <c r="AH808" s="83"/>
      <c r="AI808" s="93"/>
      <c r="AJ808" s="93"/>
      <c r="AK808" s="83"/>
      <c r="AL808" s="83"/>
      <c r="AM808" s="93"/>
      <c r="AN808" s="93"/>
      <c r="AO808" s="83"/>
      <c r="AP808" s="83"/>
      <c r="AQ808" s="93"/>
      <c r="AR808" s="93"/>
      <c r="AS808" s="83"/>
      <c r="AT808" s="83"/>
      <c r="AU808" s="93"/>
      <c r="AV808" s="93"/>
      <c r="AW808" s="83"/>
      <c r="AX808" s="83"/>
      <c r="AY808" s="93"/>
      <c r="AZ808" s="93"/>
    </row>
    <row r="809" spans="3:52" outlineLevel="1" x14ac:dyDescent="0.45">
      <c r="C809" s="13"/>
      <c r="D809" s="13"/>
      <c r="E809" s="14" t="s">
        <v>974</v>
      </c>
      <c r="F809" s="14"/>
      <c r="G809" s="14"/>
      <c r="H809" s="14"/>
      <c r="I809" s="368">
        <f>I811/I810</f>
        <v>4.3427440429025435</v>
      </c>
      <c r="J809" s="369">
        <f>J811/J810</f>
        <v>3.8376442102548416</v>
      </c>
      <c r="K809" s="370">
        <f>K811/K810</f>
        <v>2.6453255350143041</v>
      </c>
      <c r="L809" s="90"/>
      <c r="M809" s="92"/>
      <c r="N809" s="31"/>
      <c r="O809" s="90"/>
      <c r="P809" s="92"/>
      <c r="Q809" s="31"/>
      <c r="R809" s="90"/>
      <c r="S809" s="92"/>
      <c r="T809" s="31"/>
      <c r="U809" s="90"/>
      <c r="V809" s="92"/>
      <c r="W809" s="31"/>
      <c r="X809" s="207"/>
      <c r="Y809" s="89"/>
      <c r="Z809" s="23"/>
      <c r="AA809" s="93"/>
      <c r="AB809" s="93"/>
      <c r="AC809" s="83"/>
      <c r="AD809" s="83"/>
      <c r="AE809" s="93"/>
      <c r="AF809" s="93"/>
      <c r="AG809" s="83"/>
      <c r="AH809" s="83"/>
      <c r="AI809" s="93"/>
      <c r="AJ809" s="93"/>
      <c r="AK809" s="83"/>
      <c r="AL809" s="83"/>
      <c r="AM809" s="93"/>
      <c r="AN809" s="93"/>
      <c r="AO809" s="83"/>
      <c r="AP809" s="83"/>
      <c r="AQ809" s="93"/>
      <c r="AR809" s="93"/>
      <c r="AS809" s="83"/>
      <c r="AT809" s="83"/>
      <c r="AU809" s="93"/>
      <c r="AV809" s="93"/>
      <c r="AW809" s="83"/>
      <c r="AX809" s="83"/>
      <c r="AY809" s="93"/>
      <c r="AZ809" s="93"/>
    </row>
    <row r="810" spans="3:52" outlineLevel="1" x14ac:dyDescent="0.45">
      <c r="C810" s="13" t="s">
        <v>858</v>
      </c>
      <c r="D810" s="13"/>
      <c r="E810" s="371" t="s">
        <v>975</v>
      </c>
      <c r="F810" s="371"/>
      <c r="G810" s="371"/>
      <c r="H810" s="371"/>
      <c r="I810" s="280">
        <f>I751</f>
        <v>1473282</v>
      </c>
      <c r="J810" s="130">
        <f>J751</f>
        <v>1689669</v>
      </c>
      <c r="K810" s="131">
        <f>K751</f>
        <v>1028081</v>
      </c>
      <c r="L810" s="90"/>
      <c r="M810" s="92"/>
      <c r="N810" s="31"/>
      <c r="O810" s="90"/>
      <c r="P810" s="92"/>
      <c r="Q810" s="31"/>
      <c r="R810" s="90"/>
      <c r="S810" s="92"/>
      <c r="T810" s="31"/>
      <c r="U810" s="90"/>
      <c r="V810" s="92"/>
      <c r="W810" s="31"/>
      <c r="X810" s="207"/>
      <c r="Y810" s="89"/>
      <c r="Z810" s="23"/>
      <c r="AA810" s="93"/>
      <c r="AB810" s="93"/>
      <c r="AC810" s="83"/>
      <c r="AD810" s="83"/>
      <c r="AE810" s="93"/>
      <c r="AF810" s="93"/>
      <c r="AG810" s="83"/>
      <c r="AH810" s="83"/>
      <c r="AI810" s="93"/>
      <c r="AJ810" s="93"/>
      <c r="AK810" s="83"/>
      <c r="AL810" s="83"/>
      <c r="AM810" s="93"/>
      <c r="AN810" s="93"/>
      <c r="AO810" s="83"/>
      <c r="AP810" s="83"/>
      <c r="AQ810" s="93"/>
      <c r="AR810" s="93"/>
      <c r="AS810" s="83"/>
      <c r="AT810" s="83"/>
      <c r="AU810" s="93"/>
      <c r="AV810" s="93"/>
      <c r="AW810" s="83"/>
      <c r="AX810" s="83"/>
      <c r="AY810" s="93"/>
      <c r="AZ810" s="93"/>
    </row>
    <row r="811" spans="3:52" outlineLevel="1" x14ac:dyDescent="0.45">
      <c r="C811" s="13" t="s">
        <v>864</v>
      </c>
      <c r="D811" s="13"/>
      <c r="E811" s="371" t="s">
        <v>976</v>
      </c>
      <c r="F811" s="371"/>
      <c r="G811" s="371"/>
      <c r="H811" s="371"/>
      <c r="I811" s="280">
        <f>I768</f>
        <v>6398086.6290155444</v>
      </c>
      <c r="J811" s="130">
        <f>J768</f>
        <v>6484348.4550970877</v>
      </c>
      <c r="K811" s="131">
        <f>K768</f>
        <v>2719608.9213630408</v>
      </c>
      <c r="L811" s="90"/>
      <c r="M811" s="92"/>
      <c r="N811" s="31"/>
      <c r="O811" s="90"/>
      <c r="P811" s="92"/>
      <c r="Q811" s="31"/>
      <c r="R811" s="90"/>
      <c r="S811" s="92"/>
      <c r="T811" s="31"/>
      <c r="U811" s="90"/>
      <c r="V811" s="92"/>
      <c r="W811" s="31"/>
      <c r="X811" s="207"/>
      <c r="Y811" s="89"/>
      <c r="Z811" s="23"/>
      <c r="AA811" s="93"/>
      <c r="AB811" s="93"/>
      <c r="AC811" s="83"/>
      <c r="AD811" s="83"/>
      <c r="AE811" s="93"/>
      <c r="AF811" s="93"/>
      <c r="AG811" s="83"/>
      <c r="AH811" s="83"/>
      <c r="AI811" s="93"/>
      <c r="AJ811" s="93"/>
      <c r="AK811" s="83"/>
      <c r="AL811" s="83"/>
      <c r="AM811" s="93"/>
      <c r="AN811" s="93"/>
      <c r="AO811" s="83"/>
      <c r="AP811" s="83"/>
      <c r="AQ811" s="93"/>
      <c r="AR811" s="93"/>
      <c r="AS811" s="83"/>
      <c r="AT811" s="83"/>
      <c r="AU811" s="93"/>
      <c r="AV811" s="93"/>
      <c r="AW811" s="83"/>
      <c r="AX811" s="83"/>
      <c r="AY811" s="93"/>
      <c r="AZ811" s="93"/>
    </row>
    <row r="812" spans="3:52" outlineLevel="1" x14ac:dyDescent="0.45">
      <c r="C812" s="13" t="s">
        <v>967</v>
      </c>
      <c r="D812" s="13"/>
      <c r="E812" s="385" t="s">
        <v>977</v>
      </c>
      <c r="F812" s="385"/>
      <c r="G812" s="385"/>
      <c r="H812" s="385"/>
      <c r="I812" s="365">
        <f>I810-I811</f>
        <v>-4924804.6290155444</v>
      </c>
      <c r="J812" s="366">
        <f>J810-J811</f>
        <v>-4794679.4550970877</v>
      </c>
      <c r="K812" s="367">
        <f>K810-K811</f>
        <v>-1691527.9213630408</v>
      </c>
      <c r="L812" s="90"/>
      <c r="M812" s="92"/>
      <c r="N812" s="31"/>
      <c r="O812" s="90"/>
      <c r="P812" s="92"/>
      <c r="Q812" s="31"/>
      <c r="R812" s="90"/>
      <c r="S812" s="92"/>
      <c r="T812" s="31"/>
      <c r="U812" s="90"/>
      <c r="V812" s="92"/>
      <c r="W812" s="31"/>
      <c r="X812" s="207"/>
      <c r="Y812" s="89"/>
      <c r="Z812" s="23"/>
      <c r="AA812" s="93"/>
      <c r="AB812" s="93"/>
      <c r="AC812" s="83"/>
      <c r="AD812" s="83"/>
      <c r="AE812" s="93"/>
      <c r="AF812" s="93"/>
      <c r="AG812" s="83"/>
      <c r="AH812" s="83"/>
      <c r="AI812" s="93"/>
      <c r="AJ812" s="93"/>
      <c r="AK812" s="83"/>
      <c r="AL812" s="83"/>
      <c r="AM812" s="93"/>
      <c r="AN812" s="93"/>
      <c r="AO812" s="83"/>
      <c r="AP812" s="83"/>
      <c r="AQ812" s="93"/>
      <c r="AR812" s="93"/>
      <c r="AS812" s="83"/>
      <c r="AT812" s="83"/>
      <c r="AU812" s="93"/>
      <c r="AV812" s="93"/>
      <c r="AW812" s="83"/>
      <c r="AX812" s="83"/>
      <c r="AY812" s="93"/>
      <c r="AZ812" s="93"/>
    </row>
    <row r="813" spans="3:52" outlineLevel="1" x14ac:dyDescent="0.45">
      <c r="C813" s="13"/>
      <c r="D813" s="13"/>
      <c r="E813" s="13"/>
      <c r="F813" s="13"/>
      <c r="G813" s="13"/>
      <c r="H813" s="13"/>
      <c r="I813" s="207"/>
      <c r="J813" s="89"/>
      <c r="K813" s="23"/>
      <c r="L813" s="90"/>
      <c r="M813" s="92"/>
      <c r="N813" s="31"/>
      <c r="O813" s="90"/>
      <c r="P813" s="92"/>
      <c r="Q813" s="31"/>
      <c r="R813" s="90"/>
      <c r="S813" s="92"/>
      <c r="T813" s="31"/>
      <c r="U813" s="90"/>
      <c r="V813" s="92"/>
      <c r="W813" s="31"/>
      <c r="X813" s="207"/>
      <c r="Y813" s="89"/>
      <c r="Z813" s="23"/>
      <c r="AA813" s="93"/>
      <c r="AB813" s="93"/>
      <c r="AC813" s="83"/>
      <c r="AD813" s="83"/>
      <c r="AE813" s="93"/>
      <c r="AF813" s="93"/>
      <c r="AG813" s="83"/>
      <c r="AH813" s="83"/>
      <c r="AI813" s="93"/>
      <c r="AJ813" s="93"/>
      <c r="AK813" s="83"/>
      <c r="AL813" s="83"/>
      <c r="AM813" s="93"/>
      <c r="AN813" s="93"/>
      <c r="AO813" s="83"/>
      <c r="AP813" s="83"/>
      <c r="AQ813" s="93"/>
      <c r="AR813" s="93"/>
      <c r="AS813" s="83"/>
      <c r="AT813" s="83"/>
      <c r="AU813" s="93"/>
      <c r="AV813" s="93"/>
      <c r="AW813" s="83"/>
      <c r="AX813" s="83"/>
      <c r="AY813" s="93"/>
      <c r="AZ813" s="93"/>
    </row>
    <row r="814" spans="3:52" outlineLevel="1" x14ac:dyDescent="0.45">
      <c r="C814" s="13"/>
      <c r="D814" s="13"/>
      <c r="E814" s="101" t="s">
        <v>978</v>
      </c>
      <c r="F814" s="101"/>
      <c r="G814" s="101"/>
      <c r="H814" s="101"/>
      <c r="I814" s="386">
        <f>I816/I815</f>
        <v>4.6337967067030528</v>
      </c>
      <c r="J814" s="387">
        <f>J816/J815</f>
        <v>6.401714667077365</v>
      </c>
      <c r="K814" s="388">
        <f>K816/K815</f>
        <v>4.653880682191363</v>
      </c>
      <c r="L814" s="90"/>
      <c r="M814" s="92"/>
      <c r="N814" s="31"/>
      <c r="O814" s="90"/>
      <c r="P814" s="92"/>
      <c r="Q814" s="31"/>
      <c r="R814" s="90"/>
      <c r="S814" s="92"/>
      <c r="T814" s="31"/>
      <c r="U814" s="90"/>
      <c r="V814" s="92"/>
      <c r="W814" s="31"/>
      <c r="X814" s="207"/>
      <c r="Y814" s="89"/>
      <c r="Z814" s="23"/>
      <c r="AA814" s="93"/>
      <c r="AB814" s="93"/>
      <c r="AC814" s="83"/>
      <c r="AD814" s="83"/>
      <c r="AE814" s="93"/>
      <c r="AF814" s="93"/>
      <c r="AG814" s="83"/>
      <c r="AH814" s="83"/>
      <c r="AI814" s="93"/>
      <c r="AJ814" s="93"/>
      <c r="AK814" s="83"/>
      <c r="AL814" s="83"/>
      <c r="AM814" s="93"/>
      <c r="AN814" s="93"/>
      <c r="AO814" s="83"/>
      <c r="AP814" s="83"/>
      <c r="AQ814" s="93"/>
      <c r="AR814" s="93"/>
      <c r="AS814" s="83"/>
      <c r="AT814" s="83"/>
      <c r="AU814" s="93"/>
      <c r="AV814" s="93"/>
      <c r="AW814" s="83"/>
      <c r="AX814" s="83"/>
      <c r="AY814" s="93"/>
      <c r="AZ814" s="93"/>
    </row>
    <row r="815" spans="3:52" outlineLevel="1" x14ac:dyDescent="0.45">
      <c r="C815" s="99">
        <v>4</v>
      </c>
      <c r="D815" s="99"/>
      <c r="E815" s="385" t="s">
        <v>979</v>
      </c>
      <c r="F815" s="385"/>
      <c r="G815" s="385"/>
      <c r="H815" s="385"/>
      <c r="I815" s="389">
        <f>(90+88+203)*302*12</f>
        <v>1380744</v>
      </c>
      <c r="J815" s="389">
        <f>(90+88+203/2)*302*12</f>
        <v>1012908</v>
      </c>
      <c r="K815" s="389">
        <f>K747</f>
        <v>485616</v>
      </c>
      <c r="L815" s="90"/>
      <c r="M815" s="92"/>
      <c r="N815" s="31"/>
      <c r="O815" s="90"/>
      <c r="P815" s="92"/>
      <c r="Q815" s="31"/>
      <c r="R815" s="90"/>
      <c r="S815" s="92"/>
      <c r="T815" s="31"/>
      <c r="U815" s="90"/>
      <c r="V815" s="92"/>
      <c r="W815" s="31"/>
      <c r="X815" s="207"/>
      <c r="Y815" s="89"/>
      <c r="Z815" s="23"/>
      <c r="AA815" s="93"/>
      <c r="AB815" s="93"/>
      <c r="AC815" s="83"/>
      <c r="AD815" s="83"/>
      <c r="AE815" s="93"/>
      <c r="AF815" s="93"/>
      <c r="AG815" s="83"/>
      <c r="AH815" s="83"/>
      <c r="AI815" s="93"/>
      <c r="AJ815" s="93"/>
      <c r="AK815" s="83"/>
      <c r="AL815" s="83"/>
      <c r="AM815" s="93"/>
      <c r="AN815" s="93"/>
      <c r="AO815" s="83"/>
      <c r="AP815" s="83"/>
      <c r="AQ815" s="93"/>
      <c r="AR815" s="93"/>
      <c r="AS815" s="83"/>
      <c r="AT815" s="83"/>
      <c r="AU815" s="93"/>
      <c r="AV815" s="93"/>
      <c r="AW815" s="83"/>
      <c r="AX815" s="83"/>
      <c r="AY815" s="93"/>
      <c r="AZ815" s="93"/>
    </row>
    <row r="816" spans="3:52" outlineLevel="1" x14ac:dyDescent="0.45">
      <c r="C816" s="99"/>
      <c r="D816" s="99"/>
      <c r="E816" s="385" t="s">
        <v>934</v>
      </c>
      <c r="F816" s="385"/>
      <c r="G816" s="385"/>
      <c r="H816" s="385"/>
      <c r="I816" s="389">
        <v>6398087</v>
      </c>
      <c r="J816" s="389">
        <v>6484348</v>
      </c>
      <c r="K816" s="389">
        <f>K768-K762-K761-K759-K757</f>
        <v>2259998.9213630408</v>
      </c>
      <c r="L816" s="90"/>
      <c r="M816" s="92"/>
      <c r="N816" s="31"/>
      <c r="O816" s="90"/>
      <c r="P816" s="92"/>
      <c r="Q816" s="31"/>
      <c r="R816" s="90"/>
      <c r="S816" s="92"/>
      <c r="T816" s="31"/>
      <c r="U816" s="90"/>
      <c r="V816" s="92"/>
      <c r="W816" s="31"/>
      <c r="X816" s="207"/>
      <c r="Y816" s="89"/>
      <c r="Z816" s="23"/>
      <c r="AA816" s="93"/>
      <c r="AB816" s="93"/>
      <c r="AC816" s="83"/>
      <c r="AD816" s="83"/>
      <c r="AE816" s="93"/>
      <c r="AF816" s="93"/>
      <c r="AG816" s="83"/>
      <c r="AH816" s="83"/>
      <c r="AI816" s="93"/>
      <c r="AJ816" s="93"/>
      <c r="AK816" s="83"/>
      <c r="AL816" s="83"/>
      <c r="AM816" s="93"/>
      <c r="AN816" s="93"/>
      <c r="AO816" s="83"/>
      <c r="AP816" s="83"/>
      <c r="AQ816" s="93"/>
      <c r="AR816" s="93"/>
      <c r="AS816" s="83"/>
      <c r="AT816" s="83"/>
      <c r="AU816" s="93"/>
      <c r="AV816" s="93"/>
      <c r="AW816" s="83"/>
      <c r="AX816" s="83"/>
      <c r="AY816" s="93"/>
      <c r="AZ816" s="93"/>
    </row>
    <row r="817" spans="3:52" outlineLevel="1" x14ac:dyDescent="0.45">
      <c r="C817" s="99"/>
      <c r="D817" s="99"/>
      <c r="E817" s="385" t="s">
        <v>977</v>
      </c>
      <c r="F817" s="385"/>
      <c r="G817" s="385"/>
      <c r="H817" s="385"/>
      <c r="I817" s="389">
        <f>I815-I816</f>
        <v>-5017343</v>
      </c>
      <c r="J817" s="389">
        <f>J815-J816</f>
        <v>-5471440</v>
      </c>
      <c r="K817" s="389">
        <f>K815-K816</f>
        <v>-1774382.9213630408</v>
      </c>
      <c r="L817" s="90"/>
      <c r="M817" s="92"/>
      <c r="N817" s="31"/>
      <c r="O817" s="90"/>
      <c r="P817" s="92"/>
      <c r="Q817" s="31"/>
      <c r="R817" s="90"/>
      <c r="S817" s="92"/>
      <c r="T817" s="31"/>
      <c r="U817" s="90"/>
      <c r="V817" s="92"/>
      <c r="W817" s="31"/>
      <c r="X817" s="207"/>
      <c r="Y817" s="89"/>
      <c r="Z817" s="23"/>
      <c r="AA817" s="93"/>
      <c r="AB817" s="93"/>
      <c r="AC817" s="83"/>
      <c r="AD817" s="83"/>
      <c r="AE817" s="93"/>
      <c r="AF817" s="93"/>
      <c r="AG817" s="83"/>
      <c r="AH817" s="83"/>
      <c r="AI817" s="93"/>
      <c r="AJ817" s="93"/>
      <c r="AK817" s="83"/>
      <c r="AL817" s="83"/>
      <c r="AM817" s="93"/>
      <c r="AN817" s="93"/>
      <c r="AO817" s="83"/>
      <c r="AP817" s="83"/>
      <c r="AQ817" s="93"/>
      <c r="AR817" s="93"/>
      <c r="AS817" s="83"/>
      <c r="AT817" s="83"/>
      <c r="AU817" s="93"/>
      <c r="AV817" s="93"/>
      <c r="AW817" s="83"/>
      <c r="AX817" s="83"/>
      <c r="AY817" s="93"/>
      <c r="AZ817" s="93"/>
    </row>
    <row r="818" spans="3:52" outlineLevel="1" x14ac:dyDescent="0.45">
      <c r="C818" s="99"/>
      <c r="D818" s="99"/>
      <c r="E818" s="13"/>
      <c r="F818" s="13"/>
      <c r="G818" s="13"/>
      <c r="H818" s="13"/>
      <c r="I818" s="207"/>
      <c r="J818" s="89"/>
      <c r="K818" s="23"/>
      <c r="L818" s="90"/>
      <c r="M818" s="92"/>
      <c r="N818" s="31"/>
      <c r="O818" s="90"/>
      <c r="P818" s="92"/>
      <c r="Q818" s="31"/>
      <c r="R818" s="90"/>
      <c r="S818" s="92"/>
      <c r="T818" s="31"/>
      <c r="U818" s="90"/>
      <c r="V818" s="92"/>
      <c r="W818" s="31"/>
      <c r="X818" s="207"/>
      <c r="Y818" s="89"/>
      <c r="Z818" s="23"/>
      <c r="AA818" s="93"/>
      <c r="AB818" s="93"/>
      <c r="AC818" s="83"/>
      <c r="AD818" s="83"/>
      <c r="AE818" s="93"/>
      <c r="AF818" s="93"/>
      <c r="AG818" s="83"/>
      <c r="AH818" s="83"/>
      <c r="AI818" s="93"/>
      <c r="AJ818" s="93"/>
      <c r="AK818" s="83"/>
      <c r="AL818" s="83"/>
      <c r="AM818" s="93"/>
      <c r="AN818" s="93"/>
      <c r="AO818" s="83"/>
      <c r="AP818" s="83"/>
      <c r="AQ818" s="93"/>
      <c r="AR818" s="93"/>
      <c r="AS818" s="83"/>
      <c r="AT818" s="83"/>
      <c r="AU818" s="93"/>
      <c r="AV818" s="93"/>
      <c r="AW818" s="83"/>
      <c r="AX818" s="83"/>
      <c r="AY818" s="93"/>
      <c r="AZ818" s="93"/>
    </row>
    <row r="819" spans="3:52" outlineLevel="1" x14ac:dyDescent="0.45">
      <c r="C819" s="13"/>
      <c r="D819" s="13"/>
      <c r="E819" s="101" t="s">
        <v>980</v>
      </c>
      <c r="F819" s="101"/>
      <c r="G819" s="101"/>
      <c r="H819" s="101"/>
      <c r="I819" s="389">
        <v>19099</v>
      </c>
      <c r="J819" s="389">
        <v>17246.513615384614</v>
      </c>
      <c r="K819" s="389">
        <f>16394</f>
        <v>16394</v>
      </c>
      <c r="L819" s="90"/>
      <c r="M819" s="92"/>
      <c r="N819" s="31"/>
      <c r="O819" s="90"/>
      <c r="P819" s="92"/>
      <c r="Q819" s="31"/>
      <c r="R819" s="90"/>
      <c r="S819" s="92"/>
      <c r="T819" s="31"/>
      <c r="U819" s="90"/>
      <c r="V819" s="92"/>
      <c r="W819" s="31"/>
      <c r="X819" s="207"/>
      <c r="Y819" s="89"/>
      <c r="Z819" s="23"/>
      <c r="AA819" s="93"/>
      <c r="AB819" s="93"/>
      <c r="AC819" s="83"/>
      <c r="AD819" s="83"/>
      <c r="AE819" s="93"/>
      <c r="AF819" s="93"/>
      <c r="AG819" s="83"/>
      <c r="AH819" s="83"/>
      <c r="AI819" s="93"/>
      <c r="AJ819" s="93"/>
      <c r="AK819" s="83"/>
      <c r="AL819" s="83"/>
      <c r="AM819" s="93"/>
      <c r="AN819" s="93"/>
      <c r="AO819" s="83"/>
      <c r="AP819" s="83"/>
      <c r="AQ819" s="93"/>
      <c r="AR819" s="93"/>
      <c r="AS819" s="83"/>
      <c r="AT819" s="83"/>
      <c r="AU819" s="93"/>
      <c r="AV819" s="93"/>
      <c r="AW819" s="83"/>
      <c r="AX819" s="83"/>
      <c r="AY819" s="93"/>
      <c r="AZ819" s="93"/>
    </row>
    <row r="820" spans="3:52" outlineLevel="1" x14ac:dyDescent="0.45">
      <c r="C820" s="99"/>
      <c r="D820" s="99"/>
      <c r="L820" s="92"/>
      <c r="M820" s="92"/>
      <c r="N820" s="31"/>
      <c r="O820" s="90"/>
      <c r="P820" s="92"/>
      <c r="Q820" s="31"/>
      <c r="R820" s="90"/>
      <c r="S820" s="92"/>
      <c r="T820" s="31"/>
      <c r="U820" s="90"/>
      <c r="V820" s="92"/>
      <c r="W820" s="31"/>
      <c r="X820" s="207"/>
      <c r="Y820" s="89"/>
      <c r="Z820" s="23"/>
      <c r="AA820" s="93"/>
      <c r="AB820" s="93"/>
      <c r="AC820" s="83"/>
      <c r="AD820" s="83"/>
      <c r="AE820" s="93"/>
      <c r="AF820" s="93"/>
      <c r="AG820" s="83"/>
      <c r="AH820" s="83"/>
      <c r="AI820" s="93"/>
      <c r="AJ820" s="93"/>
      <c r="AK820" s="83"/>
      <c r="AL820" s="83"/>
      <c r="AM820" s="93"/>
      <c r="AN820" s="93"/>
      <c r="AO820" s="83"/>
      <c r="AP820" s="83"/>
      <c r="AQ820" s="93"/>
      <c r="AR820" s="93"/>
      <c r="AS820" s="83"/>
      <c r="AT820" s="83"/>
      <c r="AU820" s="93"/>
      <c r="AV820" s="93"/>
      <c r="AW820" s="83"/>
      <c r="AX820" s="83"/>
      <c r="AY820" s="93"/>
      <c r="AZ820" s="93"/>
    </row>
    <row r="821" spans="3:52" outlineLevel="1" x14ac:dyDescent="0.45">
      <c r="E821" s="390" t="s">
        <v>920</v>
      </c>
      <c r="F821" s="390"/>
      <c r="G821" s="390"/>
      <c r="H821" s="390"/>
      <c r="I821" s="391"/>
      <c r="J821" s="392"/>
      <c r="K821" s="393"/>
      <c r="L821" s="92"/>
      <c r="M821" s="92"/>
      <c r="N821" s="31"/>
      <c r="O821" s="90"/>
      <c r="P821" s="92"/>
      <c r="Q821" s="31"/>
      <c r="R821" s="90"/>
      <c r="S821" s="92"/>
      <c r="T821" s="31"/>
      <c r="U821" s="90"/>
      <c r="V821" s="92"/>
      <c r="W821" s="31"/>
      <c r="X821" s="207"/>
      <c r="Y821" s="89"/>
      <c r="Z821" s="23"/>
      <c r="AA821" s="93"/>
      <c r="AB821" s="93"/>
      <c r="AC821" s="83"/>
      <c r="AD821" s="83"/>
      <c r="AE821" s="93"/>
      <c r="AF821" s="93"/>
      <c r="AG821" s="83"/>
      <c r="AH821" s="83"/>
      <c r="AI821" s="93"/>
      <c r="AJ821" s="93"/>
      <c r="AK821" s="83"/>
      <c r="AL821" s="83"/>
      <c r="AM821" s="93"/>
      <c r="AN821" s="93"/>
      <c r="AO821" s="83"/>
      <c r="AP821" s="83"/>
      <c r="AQ821" s="93"/>
      <c r="AR821" s="93"/>
      <c r="AS821" s="83"/>
      <c r="AT821" s="83"/>
      <c r="AU821" s="93"/>
      <c r="AV821" s="93"/>
      <c r="AW821" s="83"/>
      <c r="AX821" s="83"/>
      <c r="AY821" s="93"/>
      <c r="AZ821" s="93"/>
    </row>
    <row r="822" spans="3:52" outlineLevel="1" x14ac:dyDescent="0.45">
      <c r="C822" s="99">
        <v>8</v>
      </c>
      <c r="D822" s="99"/>
      <c r="E822" s="362" t="s">
        <v>981</v>
      </c>
      <c r="F822" s="362"/>
      <c r="G822" s="362"/>
      <c r="H822" s="362"/>
      <c r="I822" s="394">
        <v>1116065</v>
      </c>
      <c r="J822" s="395">
        <v>1590923</v>
      </c>
      <c r="K822" s="396">
        <v>108876</v>
      </c>
      <c r="L822" s="92"/>
      <c r="M822" s="92"/>
      <c r="N822" s="31"/>
      <c r="O822" s="90"/>
      <c r="P822" s="92"/>
      <c r="Q822" s="31"/>
      <c r="R822" s="90"/>
      <c r="S822" s="92"/>
      <c r="T822" s="31"/>
      <c r="U822" s="90"/>
      <c r="V822" s="92"/>
      <c r="W822" s="31"/>
      <c r="X822" s="207"/>
      <c r="Y822" s="89"/>
      <c r="Z822" s="23"/>
      <c r="AA822" s="93"/>
      <c r="AB822" s="93"/>
      <c r="AC822" s="83"/>
      <c r="AD822" s="83"/>
      <c r="AE822" s="93"/>
      <c r="AF822" s="93"/>
      <c r="AG822" s="83"/>
      <c r="AH822" s="83"/>
      <c r="AI822" s="93"/>
      <c r="AJ822" s="93"/>
      <c r="AK822" s="83"/>
      <c r="AL822" s="83"/>
      <c r="AM822" s="93"/>
      <c r="AN822" s="93"/>
      <c r="AO822" s="83"/>
      <c r="AP822" s="83"/>
      <c r="AQ822" s="93"/>
      <c r="AR822" s="93"/>
      <c r="AS822" s="83"/>
      <c r="AT822" s="83"/>
      <c r="AU822" s="93"/>
      <c r="AV822" s="93"/>
      <c r="AW822" s="83"/>
      <c r="AX822" s="83"/>
      <c r="AY822" s="93"/>
      <c r="AZ822" s="93"/>
    </row>
    <row r="823" spans="3:52" outlineLevel="1" x14ac:dyDescent="0.45">
      <c r="C823" s="99"/>
      <c r="D823" s="99"/>
      <c r="E823" s="371" t="s">
        <v>982</v>
      </c>
      <c r="F823" s="371"/>
      <c r="G823" s="371"/>
      <c r="H823" s="371"/>
      <c r="I823" s="368">
        <f>I754/I768</f>
        <v>0.17443730676271349</v>
      </c>
      <c r="J823" s="369">
        <f>J754/J768</f>
        <v>0.24534816582064445</v>
      </c>
      <c r="K823" s="370">
        <f>K754/K768</f>
        <v>4.0033697177839979E-2</v>
      </c>
      <c r="L823" s="90"/>
      <c r="M823" s="92"/>
      <c r="N823" s="31"/>
      <c r="O823" s="90"/>
      <c r="P823" s="92"/>
      <c r="Q823" s="31"/>
      <c r="R823" s="90"/>
      <c r="S823" s="92"/>
      <c r="T823" s="31"/>
      <c r="U823" s="90"/>
      <c r="V823" s="92"/>
      <c r="W823" s="31"/>
      <c r="X823" s="207"/>
      <c r="Y823" s="89"/>
      <c r="Z823" s="23"/>
      <c r="AA823" s="93"/>
      <c r="AB823" s="93"/>
      <c r="AC823" s="83"/>
      <c r="AD823" s="83"/>
      <c r="AE823" s="93"/>
      <c r="AF823" s="93"/>
      <c r="AG823" s="83"/>
      <c r="AH823" s="83"/>
      <c r="AI823" s="93"/>
      <c r="AJ823" s="93"/>
      <c r="AK823" s="83"/>
      <c r="AL823" s="83"/>
      <c r="AM823" s="93"/>
      <c r="AN823" s="93"/>
      <c r="AO823" s="83"/>
      <c r="AP823" s="83"/>
      <c r="AQ823" s="93"/>
      <c r="AR823" s="93"/>
      <c r="AS823" s="83"/>
      <c r="AT823" s="83"/>
      <c r="AU823" s="93"/>
      <c r="AV823" s="93"/>
      <c r="AW823" s="83"/>
      <c r="AX823" s="83"/>
      <c r="AY823" s="93"/>
      <c r="AZ823" s="93"/>
    </row>
    <row r="824" spans="3:52" outlineLevel="1" x14ac:dyDescent="0.45">
      <c r="C824" s="13"/>
      <c r="D824" s="13"/>
      <c r="E824" s="371" t="s">
        <v>983</v>
      </c>
      <c r="F824" s="371"/>
      <c r="G824" s="371"/>
      <c r="H824" s="371"/>
      <c r="I824" s="280">
        <f>I754/I786</f>
        <v>4749.2127659574471</v>
      </c>
      <c r="J824" s="130">
        <f>J754/J786</f>
        <v>12237.869230769231</v>
      </c>
      <c r="K824" s="131">
        <f>K754/K786</f>
        <v>1209.7333333333333</v>
      </c>
      <c r="L824" s="90"/>
      <c r="M824" s="92"/>
      <c r="N824" s="31"/>
      <c r="O824" s="90"/>
      <c r="P824" s="92"/>
      <c r="Q824" s="31"/>
      <c r="R824" s="90"/>
      <c r="S824" s="92"/>
      <c r="T824" s="31"/>
      <c r="U824" s="90"/>
      <c r="V824" s="92"/>
      <c r="W824" s="31"/>
      <c r="X824" s="207"/>
      <c r="Y824" s="89"/>
      <c r="Z824" s="23"/>
      <c r="AA824" s="93"/>
      <c r="AB824" s="93"/>
      <c r="AC824" s="83"/>
      <c r="AD824" s="83"/>
      <c r="AE824" s="93"/>
      <c r="AF824" s="93"/>
      <c r="AG824" s="83"/>
      <c r="AH824" s="83"/>
      <c r="AI824" s="93"/>
      <c r="AJ824" s="93"/>
      <c r="AK824" s="83"/>
      <c r="AL824" s="83"/>
      <c r="AM824" s="93"/>
      <c r="AN824" s="93"/>
      <c r="AO824" s="83"/>
      <c r="AP824" s="83"/>
      <c r="AQ824" s="93"/>
      <c r="AR824" s="93"/>
      <c r="AS824" s="83"/>
      <c r="AT824" s="83"/>
      <c r="AU824" s="93"/>
      <c r="AV824" s="93"/>
      <c r="AW824" s="83"/>
      <c r="AX824" s="83"/>
      <c r="AY824" s="93"/>
      <c r="AZ824" s="93"/>
    </row>
    <row r="825" spans="3:52" outlineLevel="1" x14ac:dyDescent="0.45">
      <c r="C825" s="13"/>
      <c r="D825" s="13"/>
      <c r="E825" s="371"/>
      <c r="F825" s="371"/>
      <c r="G825" s="371"/>
      <c r="H825" s="371"/>
      <c r="I825" s="207"/>
      <c r="J825" s="89"/>
      <c r="K825" s="23"/>
      <c r="L825" s="90"/>
      <c r="M825" s="92"/>
      <c r="N825" s="31"/>
      <c r="O825" s="90"/>
      <c r="P825" s="92"/>
      <c r="Q825" s="31"/>
      <c r="R825" s="90"/>
      <c r="S825" s="92"/>
      <c r="T825" s="31"/>
      <c r="U825" s="90"/>
      <c r="V825" s="92"/>
      <c r="W825" s="31"/>
      <c r="X825" s="207"/>
      <c r="Y825" s="89"/>
      <c r="Z825" s="23"/>
      <c r="AA825" s="93"/>
      <c r="AB825" s="93"/>
      <c r="AC825" s="83"/>
      <c r="AD825" s="83"/>
      <c r="AE825" s="93"/>
      <c r="AF825" s="93"/>
      <c r="AG825" s="83"/>
      <c r="AH825" s="83"/>
      <c r="AI825" s="93"/>
      <c r="AJ825" s="93"/>
      <c r="AK825" s="83"/>
      <c r="AL825" s="83"/>
      <c r="AM825" s="93"/>
      <c r="AN825" s="93"/>
      <c r="AO825" s="83"/>
      <c r="AP825" s="83"/>
      <c r="AQ825" s="93"/>
      <c r="AR825" s="93"/>
      <c r="AS825" s="83"/>
      <c r="AT825" s="83"/>
      <c r="AU825" s="93"/>
      <c r="AV825" s="93"/>
      <c r="AW825" s="83"/>
      <c r="AX825" s="83"/>
      <c r="AY825" s="93"/>
      <c r="AZ825" s="93"/>
    </row>
    <row r="826" spans="3:52" outlineLevel="1" x14ac:dyDescent="0.45">
      <c r="C826" s="13"/>
      <c r="D826" s="13"/>
      <c r="E826" s="371"/>
      <c r="F826" s="371"/>
      <c r="G826" s="371"/>
      <c r="H826" s="371"/>
      <c r="I826" s="207"/>
      <c r="J826" s="89"/>
      <c r="K826" s="23"/>
      <c r="L826" s="90"/>
      <c r="M826" s="92"/>
      <c r="N826" s="31"/>
      <c r="O826" s="90"/>
      <c r="P826" s="92"/>
      <c r="Q826" s="31"/>
      <c r="R826" s="90"/>
      <c r="S826" s="92"/>
      <c r="T826" s="31"/>
      <c r="U826" s="90"/>
      <c r="V826" s="92"/>
      <c r="W826" s="31"/>
      <c r="X826" s="207"/>
      <c r="Y826" s="89"/>
      <c r="Z826" s="23"/>
      <c r="AA826" s="93"/>
      <c r="AB826" s="93"/>
      <c r="AC826" s="83"/>
      <c r="AD826" s="83"/>
      <c r="AE826" s="93"/>
      <c r="AF826" s="93"/>
      <c r="AG826" s="83"/>
      <c r="AH826" s="83"/>
      <c r="AI826" s="93"/>
      <c r="AJ826" s="93"/>
      <c r="AK826" s="83"/>
      <c r="AL826" s="83"/>
      <c r="AM826" s="93"/>
      <c r="AN826" s="93"/>
      <c r="AO826" s="83"/>
      <c r="AP826" s="83"/>
      <c r="AQ826" s="93"/>
      <c r="AR826" s="93"/>
      <c r="AS826" s="83"/>
      <c r="AT826" s="83"/>
      <c r="AU826" s="93"/>
      <c r="AV826" s="93"/>
      <c r="AW826" s="83"/>
      <c r="AX826" s="83"/>
      <c r="AY826" s="93"/>
      <c r="AZ826" s="93"/>
    </row>
    <row r="827" spans="3:52" outlineLevel="1" x14ac:dyDescent="0.45">
      <c r="C827" s="13"/>
      <c r="D827" s="13"/>
      <c r="E827" s="14"/>
      <c r="F827" s="14"/>
      <c r="G827" s="14"/>
      <c r="H827" s="14"/>
      <c r="I827" s="207"/>
      <c r="J827" s="89"/>
      <c r="K827" s="23"/>
      <c r="L827" s="90"/>
      <c r="M827" s="92"/>
      <c r="N827" s="31"/>
      <c r="O827" s="90"/>
      <c r="P827" s="92"/>
      <c r="Q827" s="31"/>
      <c r="R827" s="90"/>
      <c r="S827" s="92"/>
      <c r="T827" s="31"/>
      <c r="U827" s="90"/>
      <c r="V827" s="92"/>
      <c r="W827" s="31"/>
      <c r="X827" s="207"/>
      <c r="Y827" s="89"/>
      <c r="Z827" s="23"/>
      <c r="AA827" s="93"/>
      <c r="AB827" s="93"/>
      <c r="AC827" s="83"/>
      <c r="AD827" s="83"/>
      <c r="AE827" s="93"/>
      <c r="AF827" s="93"/>
      <c r="AG827" s="83"/>
      <c r="AH827" s="83"/>
      <c r="AI827" s="93"/>
      <c r="AJ827" s="93"/>
      <c r="AK827" s="83"/>
      <c r="AL827" s="83"/>
      <c r="AM827" s="93"/>
      <c r="AN827" s="93"/>
      <c r="AO827" s="83"/>
      <c r="AP827" s="83"/>
      <c r="AQ827" s="93"/>
      <c r="AR827" s="93"/>
      <c r="AS827" s="83"/>
      <c r="AT827" s="83"/>
      <c r="AU827" s="93"/>
      <c r="AV827" s="93"/>
      <c r="AW827" s="83"/>
      <c r="AX827" s="83"/>
      <c r="AY827" s="93"/>
      <c r="AZ827" s="93"/>
    </row>
    <row r="828" spans="3:52" outlineLevel="1" x14ac:dyDescent="0.45">
      <c r="C828" s="13"/>
      <c r="D828" s="13"/>
      <c r="E828" s="14"/>
      <c r="F828" s="14"/>
      <c r="G828" s="14"/>
      <c r="H828" s="14"/>
      <c r="I828" s="328"/>
      <c r="J828" s="329"/>
      <c r="K828" s="330"/>
      <c r="L828" s="397"/>
      <c r="M828" s="398"/>
      <c r="N828" s="399"/>
      <c r="O828" s="397"/>
      <c r="P828" s="398"/>
      <c r="Q828" s="399"/>
      <c r="R828" s="397"/>
      <c r="S828" s="398"/>
      <c r="T828" s="399"/>
      <c r="U828" s="397"/>
      <c r="V828" s="398"/>
      <c r="W828" s="399"/>
      <c r="X828" s="328"/>
      <c r="Y828" s="329"/>
      <c r="Z828" s="330"/>
      <c r="AA828" s="93"/>
      <c r="AB828" s="93"/>
      <c r="AC828" s="271"/>
      <c r="AD828" s="271"/>
      <c r="AE828" s="93"/>
      <c r="AF828" s="93"/>
      <c r="AG828" s="271"/>
      <c r="AH828" s="271"/>
      <c r="AI828" s="93"/>
      <c r="AJ828" s="93"/>
      <c r="AK828" s="271"/>
      <c r="AL828" s="271"/>
      <c r="AM828" s="93"/>
      <c r="AN828" s="93"/>
      <c r="AO828" s="271"/>
      <c r="AP828" s="271"/>
      <c r="AQ828" s="93"/>
      <c r="AR828" s="93"/>
      <c r="AS828" s="271"/>
      <c r="AT828" s="271"/>
      <c r="AU828" s="93"/>
      <c r="AV828" s="93"/>
      <c r="AW828" s="271"/>
      <c r="AX828" s="271"/>
      <c r="AY828" s="93"/>
      <c r="AZ828" s="93"/>
    </row>
    <row r="829" spans="3:52" outlineLevel="1" x14ac:dyDescent="0.45">
      <c r="C829" s="13"/>
      <c r="D829" s="13"/>
    </row>
    <row r="830" spans="3:52" outlineLevel="1" x14ac:dyDescent="0.45"/>
    <row r="831" spans="3:52" outlineLevel="1" x14ac:dyDescent="0.45"/>
    <row r="832" spans="3:52" outlineLevel="1" x14ac:dyDescent="0.45"/>
    <row r="833" spans="3:30" ht="18.399999999999999" outlineLevel="1" thickBot="1" x14ac:dyDescent="0.6">
      <c r="E833" s="58" t="s">
        <v>940</v>
      </c>
      <c r="F833" s="58"/>
      <c r="G833" s="58"/>
      <c r="H833" s="58"/>
      <c r="I833" s="335"/>
      <c r="J833" s="335"/>
      <c r="L833" s="400"/>
    </row>
    <row r="834" spans="3:30" ht="14.65" outlineLevel="1" thickBot="1" x14ac:dyDescent="0.5">
      <c r="E834" s="59" t="s">
        <v>266</v>
      </c>
      <c r="F834" s="401"/>
      <c r="G834" s="401"/>
      <c r="H834" s="401"/>
      <c r="I834" s="402" t="s">
        <v>102</v>
      </c>
      <c r="J834" s="403" t="s">
        <v>103</v>
      </c>
      <c r="K834" s="404" t="s">
        <v>104</v>
      </c>
      <c r="AC834" s="59" t="s">
        <v>105</v>
      </c>
      <c r="AD834" s="405" t="s">
        <v>106</v>
      </c>
    </row>
    <row r="835" spans="3:30" ht="28.5" outlineLevel="1" x14ac:dyDescent="0.45">
      <c r="C835" s="62" t="s">
        <v>984</v>
      </c>
      <c r="E835" s="406" t="s">
        <v>941</v>
      </c>
      <c r="F835" s="407"/>
      <c r="G835" s="407"/>
      <c r="H835" s="407"/>
      <c r="I835" s="408">
        <f>(90+88+203)*302*12</f>
        <v>1380744</v>
      </c>
      <c r="J835" s="409">
        <f>(90+88+203/2)*302*12</f>
        <v>1012908</v>
      </c>
      <c r="K835" s="410">
        <f>(90+88/2)*302*12</f>
        <v>485616</v>
      </c>
      <c r="AC835" s="411"/>
      <c r="AD835" s="412" t="s">
        <v>985</v>
      </c>
    </row>
    <row r="836" spans="3:30" outlineLevel="1" x14ac:dyDescent="0.45">
      <c r="E836" s="413" t="s">
        <v>509</v>
      </c>
      <c r="F836" s="414"/>
      <c r="G836" s="414"/>
      <c r="H836" s="414"/>
      <c r="I836" s="237"/>
      <c r="J836" s="415"/>
      <c r="K836" s="416"/>
      <c r="AC836" s="417"/>
      <c r="AD836" s="418"/>
    </row>
    <row r="837" spans="3:30" outlineLevel="1" x14ac:dyDescent="0.45">
      <c r="E837" s="413" t="s">
        <v>324</v>
      </c>
      <c r="F837" s="414"/>
      <c r="G837" s="414"/>
      <c r="H837" s="414"/>
      <c r="I837" s="237">
        <v>92538</v>
      </c>
      <c r="J837" s="415">
        <v>676761</v>
      </c>
      <c r="K837" s="416">
        <v>542465</v>
      </c>
      <c r="AC837" s="417"/>
      <c r="AD837" s="418" t="s">
        <v>986</v>
      </c>
    </row>
    <row r="838" spans="3:30" outlineLevel="1" x14ac:dyDescent="0.45">
      <c r="E838" s="413" t="s">
        <v>444</v>
      </c>
      <c r="F838" s="414"/>
      <c r="G838" s="414"/>
      <c r="H838" s="414"/>
      <c r="I838" s="237"/>
      <c r="J838" s="415"/>
      <c r="K838" s="416"/>
      <c r="AC838" s="417"/>
      <c r="AD838" s="418"/>
    </row>
    <row r="839" spans="3:30" ht="14.65" outlineLevel="1" thickBot="1" x14ac:dyDescent="0.5">
      <c r="E839" s="419" t="s">
        <v>330</v>
      </c>
      <c r="F839" s="420"/>
      <c r="G839" s="420"/>
      <c r="H839" s="420"/>
      <c r="I839" s="241">
        <f>SUM(I835:I838)</f>
        <v>1473282</v>
      </c>
      <c r="J839" s="421">
        <f>SUM(J835:J838)</f>
        <v>1689669</v>
      </c>
      <c r="K839" s="422">
        <f>SUM(K835:K838)</f>
        <v>1028081</v>
      </c>
      <c r="AC839" s="417"/>
      <c r="AD839" s="418"/>
    </row>
    <row r="840" spans="3:30" ht="14.65" outlineLevel="1" thickTop="1" x14ac:dyDescent="0.45">
      <c r="E840" s="423" t="s">
        <v>332</v>
      </c>
      <c r="F840" s="424"/>
      <c r="G840" s="424"/>
      <c r="H840" s="424"/>
      <c r="I840" s="425"/>
      <c r="J840" s="426"/>
      <c r="K840" s="427"/>
      <c r="AC840" s="417"/>
      <c r="AD840" s="418"/>
    </row>
    <row r="841" spans="3:30" outlineLevel="1" x14ac:dyDescent="0.45">
      <c r="E841" s="428" t="s">
        <v>334</v>
      </c>
      <c r="F841" s="429"/>
      <c r="G841" s="429"/>
      <c r="H841" s="429"/>
      <c r="I841" s="237"/>
      <c r="J841" s="415"/>
      <c r="K841" s="416"/>
      <c r="AC841" s="417"/>
      <c r="AD841" s="418"/>
    </row>
    <row r="842" spans="3:30" outlineLevel="1" x14ac:dyDescent="0.45">
      <c r="E842" s="413" t="s">
        <v>342</v>
      </c>
      <c r="F842" s="414"/>
      <c r="G842" s="414"/>
      <c r="H842" s="414"/>
      <c r="I842" s="237">
        <v>1116065</v>
      </c>
      <c r="J842" s="415">
        <v>1590923</v>
      </c>
      <c r="K842" s="416">
        <v>108876</v>
      </c>
      <c r="AC842" s="417" t="s">
        <v>987</v>
      </c>
      <c r="AD842" s="418"/>
    </row>
    <row r="843" spans="3:30" outlineLevel="1" x14ac:dyDescent="0.45">
      <c r="E843" s="413" t="s">
        <v>903</v>
      </c>
      <c r="F843" s="414"/>
      <c r="G843" s="414"/>
      <c r="H843" s="414"/>
      <c r="I843" s="237">
        <f>336/965*5705257</f>
        <v>1986493.629015544</v>
      </c>
      <c r="J843" s="415">
        <f>199/824*5782337</f>
        <v>1396462.4550970874</v>
      </c>
      <c r="K843" s="416">
        <f>136/763*6081132</f>
        <v>1083923.9213630406</v>
      </c>
      <c r="AC843" s="417" t="s">
        <v>987</v>
      </c>
      <c r="AD843" s="418" t="s">
        <v>988</v>
      </c>
    </row>
    <row r="844" spans="3:30" outlineLevel="1" x14ac:dyDescent="0.45">
      <c r="E844" s="413" t="s">
        <v>942</v>
      </c>
      <c r="F844" s="413"/>
      <c r="G844" s="413"/>
      <c r="H844" s="413"/>
      <c r="I844" s="415">
        <f>SUM(I845:I850)</f>
        <v>2858990</v>
      </c>
      <c r="J844" s="415">
        <f>SUM(J845:J850)</f>
        <v>3028121</v>
      </c>
      <c r="K844" s="415">
        <f>SUM(K845:K850)</f>
        <v>1025150</v>
      </c>
      <c r="AC844" s="417" t="s">
        <v>987</v>
      </c>
      <c r="AD844" s="418"/>
    </row>
    <row r="845" spans="3:30" outlineLevel="1" x14ac:dyDescent="0.45">
      <c r="E845" s="430" t="s">
        <v>943</v>
      </c>
      <c r="F845" s="431"/>
      <c r="G845" s="431"/>
      <c r="H845" s="431"/>
      <c r="I845" s="432">
        <v>2914</v>
      </c>
      <c r="J845" s="433">
        <v>217575</v>
      </c>
      <c r="K845" s="434">
        <v>232953</v>
      </c>
      <c r="AC845" s="417" t="s">
        <v>987</v>
      </c>
      <c r="AD845" s="418"/>
    </row>
    <row r="846" spans="3:30" outlineLevel="1" x14ac:dyDescent="0.45">
      <c r="E846" s="430" t="s">
        <v>944</v>
      </c>
      <c r="F846" s="431"/>
      <c r="G846" s="431"/>
      <c r="H846" s="431"/>
      <c r="I846" s="432">
        <v>2673719</v>
      </c>
      <c r="J846" s="433">
        <v>2625262</v>
      </c>
      <c r="K846" s="434">
        <v>565540</v>
      </c>
      <c r="AC846" s="417" t="s">
        <v>987</v>
      </c>
      <c r="AD846" s="418"/>
    </row>
    <row r="847" spans="3:30" outlineLevel="1" x14ac:dyDescent="0.45">
      <c r="E847" s="435" t="s">
        <v>945</v>
      </c>
      <c r="F847" s="436"/>
      <c r="G847" s="436"/>
      <c r="H847" s="436"/>
      <c r="I847" s="432">
        <v>5360</v>
      </c>
      <c r="J847" s="433">
        <v>8320</v>
      </c>
      <c r="K847" s="434">
        <v>53792</v>
      </c>
      <c r="AC847" s="417" t="s">
        <v>987</v>
      </c>
      <c r="AD847" s="418"/>
    </row>
    <row r="848" spans="3:30" outlineLevel="1" x14ac:dyDescent="0.45">
      <c r="E848" s="435" t="s">
        <v>946</v>
      </c>
      <c r="F848" s="436"/>
      <c r="G848" s="436"/>
      <c r="H848" s="436"/>
      <c r="I848" s="432">
        <v>13680</v>
      </c>
      <c r="J848" s="433">
        <v>0</v>
      </c>
      <c r="K848" s="434">
        <v>0</v>
      </c>
      <c r="AC848" s="417" t="s">
        <v>987</v>
      </c>
      <c r="AD848" s="418"/>
    </row>
    <row r="849" spans="5:30" outlineLevel="1" x14ac:dyDescent="0.45">
      <c r="E849" s="435" t="s">
        <v>947</v>
      </c>
      <c r="F849" s="436"/>
      <c r="G849" s="436"/>
      <c r="H849" s="436"/>
      <c r="I849" s="432">
        <v>161259</v>
      </c>
      <c r="J849" s="433">
        <v>176214</v>
      </c>
      <c r="K849" s="434">
        <v>172865</v>
      </c>
      <c r="AC849" s="417" t="s">
        <v>987</v>
      </c>
      <c r="AD849" s="418"/>
    </row>
    <row r="850" spans="5:30" outlineLevel="1" x14ac:dyDescent="0.45">
      <c r="E850" s="435" t="s">
        <v>948</v>
      </c>
      <c r="F850" s="436"/>
      <c r="G850" s="436"/>
      <c r="H850" s="436"/>
      <c r="I850" s="432">
        <v>2058</v>
      </c>
      <c r="J850" s="433">
        <v>750</v>
      </c>
      <c r="K850" s="434">
        <v>0</v>
      </c>
      <c r="AC850" s="417" t="s">
        <v>987</v>
      </c>
      <c r="AD850" s="418"/>
    </row>
    <row r="851" spans="5:30" outlineLevel="1" x14ac:dyDescent="0.45">
      <c r="E851" s="437" t="s">
        <v>358</v>
      </c>
      <c r="F851" s="438"/>
      <c r="G851" s="438"/>
      <c r="H851" s="438"/>
      <c r="I851" s="237"/>
      <c r="J851" s="415"/>
      <c r="K851" s="416"/>
      <c r="AC851" s="417"/>
      <c r="AD851" s="418"/>
    </row>
    <row r="852" spans="5:30" outlineLevel="1" x14ac:dyDescent="0.45">
      <c r="E852" s="439" t="s">
        <v>360</v>
      </c>
      <c r="F852" s="440"/>
      <c r="G852" s="440"/>
      <c r="H852" s="440"/>
      <c r="I852" s="237">
        <v>436538</v>
      </c>
      <c r="J852" s="441">
        <v>468842</v>
      </c>
      <c r="K852" s="442">
        <v>501659</v>
      </c>
      <c r="AC852" s="417" t="s">
        <v>987</v>
      </c>
      <c r="AD852" s="418" t="s">
        <v>989</v>
      </c>
    </row>
    <row r="853" spans="5:30" outlineLevel="1" x14ac:dyDescent="0.45">
      <c r="E853" s="439" t="s">
        <v>365</v>
      </c>
      <c r="F853" s="440"/>
      <c r="G853" s="440"/>
      <c r="H853" s="440"/>
      <c r="I853" s="237"/>
      <c r="J853" s="415"/>
      <c r="K853" s="416"/>
      <c r="AC853" s="417"/>
      <c r="AD853" s="418"/>
    </row>
    <row r="854" spans="5:30" outlineLevel="1" x14ac:dyDescent="0.45">
      <c r="E854" s="439"/>
      <c r="F854" s="440"/>
      <c r="G854" s="440"/>
      <c r="H854" s="440"/>
      <c r="I854" s="237"/>
      <c r="J854" s="415"/>
      <c r="K854" s="416"/>
      <c r="AC854" s="417"/>
      <c r="AD854" s="418"/>
    </row>
    <row r="855" spans="5:30" outlineLevel="1" x14ac:dyDescent="0.45">
      <c r="E855" s="439"/>
      <c r="F855" s="440"/>
      <c r="G855" s="440"/>
      <c r="H855" s="440"/>
      <c r="I855" s="237"/>
      <c r="J855" s="415"/>
      <c r="K855" s="416"/>
      <c r="AC855" s="417"/>
      <c r="AD855" s="418"/>
    </row>
    <row r="856" spans="5:30" ht="14.65" outlineLevel="1" thickBot="1" x14ac:dyDescent="0.5">
      <c r="E856" s="419" t="s">
        <v>466</v>
      </c>
      <c r="F856" s="420"/>
      <c r="G856" s="420"/>
      <c r="H856" s="420"/>
      <c r="I856" s="241">
        <f>SUM(I842:I844,I852:I855)</f>
        <v>6398086.6290155444</v>
      </c>
      <c r="J856" s="421">
        <f>SUM(J842:J844,J852:J855)</f>
        <v>6484348.4550970877</v>
      </c>
      <c r="K856" s="422">
        <f>SUM(K842:K844,K852:K855)</f>
        <v>2719608.9213630408</v>
      </c>
      <c r="AC856" s="417"/>
      <c r="AD856" s="418"/>
    </row>
    <row r="857" spans="5:30" ht="15" outlineLevel="1" thickTop="1" thickBot="1" x14ac:dyDescent="0.5">
      <c r="E857" s="443" t="s">
        <v>371</v>
      </c>
      <c r="F857" s="444"/>
      <c r="G857" s="444"/>
      <c r="H857" s="444"/>
      <c r="I857" s="445">
        <f>I839-I856</f>
        <v>-4924804.6290155444</v>
      </c>
      <c r="J857" s="446">
        <f>J839-J856</f>
        <v>-4794679.4550970877</v>
      </c>
      <c r="K857" s="447">
        <f>K839-K856</f>
        <v>-1691527.9213630408</v>
      </c>
      <c r="AC857" s="448"/>
      <c r="AD857" s="449"/>
    </row>
    <row r="858" spans="5:30" ht="14.65" outlineLevel="1" thickTop="1" x14ac:dyDescent="0.45">
      <c r="E858" s="116"/>
      <c r="F858" s="116"/>
      <c r="G858" s="116"/>
      <c r="H858" s="116"/>
      <c r="I858" s="227"/>
      <c r="J858" s="227"/>
      <c r="K858" s="116"/>
      <c r="AC858" s="450"/>
    </row>
    <row r="859" spans="5:30" outlineLevel="1" x14ac:dyDescent="0.45">
      <c r="AC859" s="400"/>
    </row>
    <row r="860" spans="5:30" outlineLevel="1" x14ac:dyDescent="0.45">
      <c r="AC860" s="400"/>
    </row>
    <row r="861" spans="5:30" outlineLevel="1" x14ac:dyDescent="0.45">
      <c r="AC861" s="400"/>
    </row>
    <row r="862" spans="5:30" outlineLevel="1" x14ac:dyDescent="0.45">
      <c r="AC862" s="400"/>
    </row>
    <row r="863" spans="5:30" ht="21" outlineLevel="1" x14ac:dyDescent="0.65">
      <c r="E863" s="60" t="s">
        <v>990</v>
      </c>
      <c r="F863" s="60"/>
      <c r="G863" s="60"/>
      <c r="H863" s="60"/>
      <c r="I863" s="58" t="s">
        <v>991</v>
      </c>
      <c r="J863" s="451"/>
      <c r="AD863" s="400"/>
    </row>
    <row r="864" spans="5:30" ht="18.399999999999999" outlineLevel="1" thickBot="1" x14ac:dyDescent="0.6">
      <c r="E864" s="58" t="s">
        <v>940</v>
      </c>
      <c r="F864" s="58"/>
      <c r="G864" s="58"/>
      <c r="H864" s="58"/>
      <c r="AD864" s="400"/>
    </row>
    <row r="865" spans="5:30" ht="14.65" outlineLevel="1" thickBot="1" x14ac:dyDescent="0.5">
      <c r="E865" s="59" t="s">
        <v>266</v>
      </c>
      <c r="F865" s="401"/>
      <c r="G865" s="401"/>
      <c r="H865" s="401"/>
      <c r="I865" s="402" t="s">
        <v>102</v>
      </c>
      <c r="J865" s="403" t="s">
        <v>103</v>
      </c>
      <c r="K865" s="404" t="s">
        <v>104</v>
      </c>
      <c r="AC865" s="59" t="s">
        <v>105</v>
      </c>
      <c r="AD865" s="405" t="s">
        <v>106</v>
      </c>
    </row>
    <row r="866" spans="5:30" ht="28.5" outlineLevel="1" x14ac:dyDescent="0.45">
      <c r="E866" s="452" t="s">
        <v>941</v>
      </c>
      <c r="F866" s="453"/>
      <c r="G866" s="453"/>
      <c r="H866" s="453"/>
      <c r="I866" s="454">
        <f>(90+88+203)*302*12</f>
        <v>1380744</v>
      </c>
      <c r="J866" s="455">
        <f>(90+88+203/2)*302*12</f>
        <v>1012908</v>
      </c>
      <c r="K866" s="456">
        <f>(90+88/2)*302*12</f>
        <v>485616</v>
      </c>
      <c r="AC866" s="457"/>
      <c r="AD866" s="458" t="s">
        <v>985</v>
      </c>
    </row>
    <row r="867" spans="5:30" outlineLevel="1" x14ac:dyDescent="0.45">
      <c r="E867" s="459" t="s">
        <v>509</v>
      </c>
      <c r="F867" s="460"/>
      <c r="G867" s="460"/>
      <c r="H867" s="460"/>
      <c r="I867" s="461"/>
      <c r="J867" s="462"/>
      <c r="K867" s="463"/>
      <c r="AC867" s="464"/>
      <c r="AD867" s="465"/>
    </row>
    <row r="868" spans="5:30" outlineLevel="1" x14ac:dyDescent="0.45">
      <c r="E868" s="459" t="s">
        <v>324</v>
      </c>
      <c r="F868" s="460"/>
      <c r="G868" s="460"/>
      <c r="H868" s="460"/>
      <c r="I868" s="461" t="s">
        <v>55</v>
      </c>
      <c r="J868" s="462" t="s">
        <v>55</v>
      </c>
      <c r="K868" s="463" t="s">
        <v>55</v>
      </c>
      <c r="AC868" s="464"/>
      <c r="AD868" s="465" t="s">
        <v>986</v>
      </c>
    </row>
    <row r="869" spans="5:30" outlineLevel="1" x14ac:dyDescent="0.45">
      <c r="E869" s="459" t="s">
        <v>444</v>
      </c>
      <c r="F869" s="460"/>
      <c r="G869" s="460"/>
      <c r="H869" s="460"/>
      <c r="I869" s="461"/>
      <c r="J869" s="462"/>
      <c r="K869" s="463"/>
      <c r="AC869" s="464"/>
      <c r="AD869" s="465"/>
    </row>
    <row r="870" spans="5:30" ht="14.65" outlineLevel="1" thickBot="1" x14ac:dyDescent="0.5">
      <c r="E870" s="466" t="s">
        <v>330</v>
      </c>
      <c r="F870" s="467"/>
      <c r="G870" s="467"/>
      <c r="H870" s="467"/>
      <c r="I870" s="468">
        <f>SUM(I866:I869)</f>
        <v>1380744</v>
      </c>
      <c r="J870" s="469">
        <f>SUM(J866:J869)</f>
        <v>1012908</v>
      </c>
      <c r="K870" s="470">
        <f>SUM(K866:K869)</f>
        <v>485616</v>
      </c>
      <c r="AC870" s="464"/>
      <c r="AD870" s="465"/>
    </row>
    <row r="871" spans="5:30" ht="14.65" outlineLevel="1" thickTop="1" x14ac:dyDescent="0.45">
      <c r="E871" s="471" t="s">
        <v>332</v>
      </c>
      <c r="F871" s="472"/>
      <c r="G871" s="472"/>
      <c r="H871" s="472"/>
      <c r="I871" s="395"/>
      <c r="J871" s="473"/>
      <c r="K871" s="474"/>
      <c r="AC871" s="464"/>
      <c r="AD871" s="465"/>
    </row>
    <row r="872" spans="5:30" outlineLevel="1" x14ac:dyDescent="0.45">
      <c r="E872" s="475" t="s">
        <v>334</v>
      </c>
      <c r="F872" s="476"/>
      <c r="G872" s="476"/>
      <c r="H872" s="476"/>
      <c r="I872" s="461"/>
      <c r="J872" s="462"/>
      <c r="K872" s="463"/>
      <c r="AC872" s="464"/>
      <c r="AD872" s="465"/>
    </row>
    <row r="873" spans="5:30" outlineLevel="1" x14ac:dyDescent="0.45">
      <c r="E873" s="413" t="s">
        <v>342</v>
      </c>
      <c r="F873" s="414"/>
      <c r="G873" s="414"/>
      <c r="H873" s="414"/>
      <c r="I873" s="461">
        <v>1116065</v>
      </c>
      <c r="J873" s="462">
        <v>1590923</v>
      </c>
      <c r="K873" s="463">
        <v>108876</v>
      </c>
      <c r="AC873" s="464" t="s">
        <v>987</v>
      </c>
      <c r="AD873" s="465"/>
    </row>
    <row r="874" spans="5:30" outlineLevel="1" x14ac:dyDescent="0.45">
      <c r="E874" s="413" t="s">
        <v>903</v>
      </c>
      <c r="F874" s="414"/>
      <c r="G874" s="414"/>
      <c r="H874" s="414"/>
      <c r="I874" s="477">
        <f>336/965*5705257</f>
        <v>1986493.629015544</v>
      </c>
      <c r="J874" s="478">
        <f>199/824*5782337</f>
        <v>1396462.4550970874</v>
      </c>
      <c r="K874" s="479">
        <f>136/763*6081132</f>
        <v>1083923.9213630406</v>
      </c>
      <c r="AC874" s="417" t="s">
        <v>987</v>
      </c>
      <c r="AD874" s="418" t="s">
        <v>988</v>
      </c>
    </row>
    <row r="875" spans="5:30" outlineLevel="1" x14ac:dyDescent="0.45">
      <c r="E875" s="413" t="s">
        <v>942</v>
      </c>
      <c r="F875" s="413"/>
      <c r="G875" s="413"/>
      <c r="H875" s="413"/>
      <c r="I875" s="462">
        <f>SUM(I876:I881)</f>
        <v>2673719</v>
      </c>
      <c r="J875" s="462">
        <f>SUM(J876:J881)</f>
        <v>2625262</v>
      </c>
      <c r="K875" s="462">
        <f>SUM(K876:K881)</f>
        <v>565540</v>
      </c>
      <c r="AC875" s="464" t="s">
        <v>987</v>
      </c>
      <c r="AD875" s="465"/>
    </row>
    <row r="876" spans="5:30" outlineLevel="1" x14ac:dyDescent="0.45">
      <c r="E876" s="480" t="s">
        <v>943</v>
      </c>
      <c r="F876" s="481"/>
      <c r="G876" s="481"/>
      <c r="H876" s="481"/>
      <c r="I876" s="482" t="s">
        <v>55</v>
      </c>
      <c r="J876" s="483" t="s">
        <v>55</v>
      </c>
      <c r="K876" s="484" t="s">
        <v>55</v>
      </c>
      <c r="AC876" s="464" t="s">
        <v>987</v>
      </c>
      <c r="AD876" s="465"/>
    </row>
    <row r="877" spans="5:30" outlineLevel="1" x14ac:dyDescent="0.45">
      <c r="E877" s="480" t="s">
        <v>944</v>
      </c>
      <c r="F877" s="481"/>
      <c r="G877" s="481"/>
      <c r="H877" s="481"/>
      <c r="I877" s="482">
        <v>2673719</v>
      </c>
      <c r="J877" s="483">
        <v>2625262</v>
      </c>
      <c r="K877" s="484">
        <v>565540</v>
      </c>
      <c r="AC877" s="464" t="s">
        <v>987</v>
      </c>
      <c r="AD877" s="465"/>
    </row>
    <row r="878" spans="5:30" outlineLevel="1" x14ac:dyDescent="0.45">
      <c r="E878" s="485" t="s">
        <v>945</v>
      </c>
      <c r="F878" s="486"/>
      <c r="G878" s="486"/>
      <c r="H878" s="486"/>
      <c r="I878" s="482" t="s">
        <v>55</v>
      </c>
      <c r="J878" s="483" t="s">
        <v>55</v>
      </c>
      <c r="K878" s="484" t="s">
        <v>55</v>
      </c>
      <c r="AC878" s="464" t="s">
        <v>987</v>
      </c>
      <c r="AD878" s="465"/>
    </row>
    <row r="879" spans="5:30" outlineLevel="1" x14ac:dyDescent="0.45">
      <c r="E879" s="485" t="s">
        <v>946</v>
      </c>
      <c r="F879" s="486"/>
      <c r="G879" s="486"/>
      <c r="H879" s="486"/>
      <c r="I879" s="482" t="s">
        <v>55</v>
      </c>
      <c r="J879" s="483">
        <v>0</v>
      </c>
      <c r="K879" s="484">
        <v>0</v>
      </c>
      <c r="AC879" s="464" t="s">
        <v>987</v>
      </c>
      <c r="AD879" s="465"/>
    </row>
    <row r="880" spans="5:30" outlineLevel="1" x14ac:dyDescent="0.45">
      <c r="E880" s="485" t="s">
        <v>947</v>
      </c>
      <c r="F880" s="486"/>
      <c r="G880" s="486"/>
      <c r="H880" s="486"/>
      <c r="I880" s="482" t="s">
        <v>55</v>
      </c>
      <c r="J880" s="483" t="s">
        <v>992</v>
      </c>
      <c r="K880" s="484" t="s">
        <v>55</v>
      </c>
      <c r="AC880" s="464" t="s">
        <v>987</v>
      </c>
      <c r="AD880" s="465"/>
    </row>
    <row r="881" spans="5:30" outlineLevel="1" x14ac:dyDescent="0.45">
      <c r="E881" s="485" t="s">
        <v>948</v>
      </c>
      <c r="F881" s="486"/>
      <c r="G881" s="486"/>
      <c r="H881" s="486"/>
      <c r="I881" s="482" t="s">
        <v>55</v>
      </c>
      <c r="J881" s="483" t="s">
        <v>55</v>
      </c>
      <c r="K881" s="484" t="s">
        <v>55</v>
      </c>
      <c r="AC881" s="464" t="s">
        <v>987</v>
      </c>
      <c r="AD881" s="465"/>
    </row>
    <row r="882" spans="5:30" outlineLevel="1" x14ac:dyDescent="0.45">
      <c r="E882" s="437" t="s">
        <v>358</v>
      </c>
      <c r="F882" s="438"/>
      <c r="G882" s="438"/>
      <c r="H882" s="438"/>
      <c r="I882" s="461"/>
      <c r="J882" s="462"/>
      <c r="K882" s="463"/>
      <c r="AC882" s="464"/>
      <c r="AD882" s="465"/>
    </row>
    <row r="883" spans="5:30" outlineLevel="1" x14ac:dyDescent="0.45">
      <c r="E883" s="439" t="s">
        <v>360</v>
      </c>
      <c r="F883" s="439"/>
      <c r="G883" s="439"/>
      <c r="H883" s="439"/>
      <c r="I883" s="462">
        <v>436538</v>
      </c>
      <c r="J883" s="487">
        <v>468842</v>
      </c>
      <c r="K883" s="488">
        <v>501659</v>
      </c>
      <c r="AC883" s="464" t="s">
        <v>987</v>
      </c>
      <c r="AD883" s="465" t="s">
        <v>989</v>
      </c>
    </row>
    <row r="884" spans="5:30" outlineLevel="1" x14ac:dyDescent="0.45">
      <c r="E884" s="439" t="s">
        <v>365</v>
      </c>
      <c r="F884" s="440"/>
      <c r="G884" s="440"/>
      <c r="H884" s="440"/>
      <c r="I884" s="461"/>
      <c r="J884" s="462"/>
      <c r="K884" s="463"/>
      <c r="AC884" s="464"/>
      <c r="AD884" s="465"/>
    </row>
    <row r="885" spans="5:30" outlineLevel="1" x14ac:dyDescent="0.45">
      <c r="E885" s="439"/>
      <c r="F885" s="440"/>
      <c r="G885" s="440"/>
      <c r="H885" s="440"/>
      <c r="I885" s="461"/>
      <c r="J885" s="462"/>
      <c r="K885" s="463"/>
      <c r="AC885" s="464"/>
      <c r="AD885" s="465"/>
    </row>
    <row r="886" spans="5:30" outlineLevel="1" x14ac:dyDescent="0.45">
      <c r="E886" s="439"/>
      <c r="F886" s="440"/>
      <c r="G886" s="440"/>
      <c r="H886" s="440"/>
      <c r="I886" s="461"/>
      <c r="J886" s="462"/>
      <c r="K886" s="463"/>
      <c r="AC886" s="464"/>
      <c r="AD886" s="465"/>
    </row>
    <row r="887" spans="5:30" ht="14.65" outlineLevel="1" thickBot="1" x14ac:dyDescent="0.5">
      <c r="E887" s="466" t="s">
        <v>466</v>
      </c>
      <c r="F887" s="467"/>
      <c r="G887" s="467"/>
      <c r="H887" s="467"/>
      <c r="I887" s="468">
        <f>SUM(I873:I875,I883:I886)</f>
        <v>6212815.6290155444</v>
      </c>
      <c r="J887" s="469">
        <f>SUM(J873:J875,J883:J886)</f>
        <v>6081489.4550970877</v>
      </c>
      <c r="K887" s="470">
        <f>SUM(K873:K875,K883:K886)</f>
        <v>2259998.9213630408</v>
      </c>
      <c r="AC887" s="464"/>
      <c r="AD887" s="465"/>
    </row>
    <row r="888" spans="5:30" ht="15" outlineLevel="1" thickTop="1" thickBot="1" x14ac:dyDescent="0.5">
      <c r="E888" s="489" t="s">
        <v>993</v>
      </c>
      <c r="F888" s="490"/>
      <c r="G888" s="490"/>
      <c r="H888" s="490"/>
      <c r="I888" s="491">
        <f>I870-I887</f>
        <v>-4832071.6290155444</v>
      </c>
      <c r="J888" s="492">
        <f>J870-J887</f>
        <v>-5068581.4550970877</v>
      </c>
      <c r="K888" s="493">
        <f>K870-K887</f>
        <v>-1774382.9213630408</v>
      </c>
      <c r="AC888" s="494"/>
      <c r="AD888" s="495"/>
    </row>
    <row r="889" spans="5:30" ht="14.65" outlineLevel="1" thickTop="1" x14ac:dyDescent="0.45">
      <c r="E889" s="496"/>
      <c r="F889" s="496"/>
      <c r="G889" s="496"/>
      <c r="H889" s="496"/>
      <c r="I889" s="497"/>
      <c r="J889" s="497"/>
      <c r="K889" s="497"/>
      <c r="AC889" s="496"/>
      <c r="AD889" s="498"/>
    </row>
    <row r="890" spans="5:30" outlineLevel="1" x14ac:dyDescent="0.45">
      <c r="E890" s="101"/>
      <c r="F890" s="101"/>
      <c r="G890" s="101"/>
      <c r="H890" s="101"/>
      <c r="I890" s="499"/>
      <c r="J890" s="499"/>
      <c r="K890" s="499"/>
      <c r="AC890" s="101"/>
      <c r="AD890" s="500"/>
    </row>
    <row r="891" spans="5:30" outlineLevel="1" x14ac:dyDescent="0.45">
      <c r="I891" s="501"/>
      <c r="J891" s="501"/>
      <c r="K891" s="501"/>
      <c r="AD891" s="400"/>
    </row>
    <row r="892" spans="5:30" outlineLevel="1" x14ac:dyDescent="0.45">
      <c r="I892" s="501"/>
      <c r="J892" s="501"/>
      <c r="K892" s="501"/>
      <c r="AD892" s="400"/>
    </row>
    <row r="893" spans="5:30" outlineLevel="1" x14ac:dyDescent="0.45">
      <c r="E893" s="451" t="s">
        <v>994</v>
      </c>
      <c r="F893" s="451"/>
      <c r="G893" s="451"/>
      <c r="H893" s="451"/>
      <c r="I893" s="501"/>
      <c r="J893" s="501"/>
      <c r="K893" s="501"/>
      <c r="AD893" s="400"/>
    </row>
    <row r="894" spans="5:30" outlineLevel="1" x14ac:dyDescent="0.45">
      <c r="E894" s="61" t="s">
        <v>995</v>
      </c>
      <c r="I894" s="501"/>
      <c r="J894" s="501"/>
      <c r="K894" s="501"/>
      <c r="AD894" s="400"/>
    </row>
    <row r="895" spans="5:30" outlineLevel="1" x14ac:dyDescent="0.45">
      <c r="E895" s="61" t="s">
        <v>996</v>
      </c>
      <c r="I895" s="502">
        <v>1047643</v>
      </c>
      <c r="J895" s="502">
        <v>600687</v>
      </c>
      <c r="K895" s="502">
        <v>131673</v>
      </c>
      <c r="AD895" s="400"/>
    </row>
    <row r="896" spans="5:30" outlineLevel="1" x14ac:dyDescent="0.45"/>
    <row r="897" spans="5:30" outlineLevel="1" x14ac:dyDescent="0.45"/>
    <row r="898" spans="5:30" outlineLevel="1" x14ac:dyDescent="0.45"/>
    <row r="899" spans="5:30" outlineLevel="1" x14ac:dyDescent="0.45"/>
    <row r="900" spans="5:30" ht="18.399999999999999" outlineLevel="1" thickBot="1" x14ac:dyDescent="0.6">
      <c r="E900" s="503" t="s">
        <v>997</v>
      </c>
      <c r="F900" s="503"/>
      <c r="G900" s="503"/>
      <c r="H900" s="503"/>
      <c r="K900" s="400"/>
      <c r="AC900" s="400"/>
    </row>
    <row r="901" spans="5:30" ht="14.65" outlineLevel="1" thickBot="1" x14ac:dyDescent="0.5">
      <c r="E901" s="504" t="s">
        <v>998</v>
      </c>
      <c r="F901" s="505"/>
      <c r="G901" s="505"/>
      <c r="H901" s="505"/>
      <c r="I901" s="402" t="s">
        <v>102</v>
      </c>
      <c r="J901" s="403" t="s">
        <v>103</v>
      </c>
      <c r="K901" s="404" t="s">
        <v>104</v>
      </c>
      <c r="AC901" s="59" t="s">
        <v>105</v>
      </c>
      <c r="AD901" s="405" t="s">
        <v>106</v>
      </c>
    </row>
    <row r="902" spans="5:30" outlineLevel="1" x14ac:dyDescent="0.45">
      <c r="E902" s="406" t="s">
        <v>999</v>
      </c>
      <c r="F902" s="407"/>
      <c r="G902" s="407"/>
      <c r="H902" s="407"/>
      <c r="I902" s="506">
        <v>921618</v>
      </c>
      <c r="J902" s="507">
        <v>234999</v>
      </c>
      <c r="K902" s="506">
        <v>242513</v>
      </c>
      <c r="AC902" s="412" t="s">
        <v>1000</v>
      </c>
      <c r="AD902" s="412"/>
    </row>
    <row r="903" spans="5:30" outlineLevel="1" x14ac:dyDescent="0.45">
      <c r="E903" s="413"/>
      <c r="F903" s="414"/>
      <c r="G903" s="414"/>
      <c r="H903" s="414"/>
      <c r="I903" s="508"/>
      <c r="J903" s="509"/>
      <c r="K903" s="508"/>
      <c r="AC903" s="418"/>
      <c r="AD903" s="418"/>
    </row>
    <row r="904" spans="5:30" ht="28.5" outlineLevel="1" x14ac:dyDescent="0.45">
      <c r="E904" s="413" t="s">
        <v>324</v>
      </c>
      <c r="F904" s="414"/>
      <c r="G904" s="414"/>
      <c r="H904" s="414"/>
      <c r="I904" s="508">
        <v>92538</v>
      </c>
      <c r="J904" s="509">
        <v>676761</v>
      </c>
      <c r="K904" s="508">
        <v>542465</v>
      </c>
      <c r="AC904" s="510" t="s">
        <v>1001</v>
      </c>
      <c r="AD904" s="418" t="s">
        <v>1002</v>
      </c>
    </row>
    <row r="905" spans="5:30" outlineLevel="1" x14ac:dyDescent="0.45">
      <c r="E905" s="413"/>
      <c r="F905" s="414"/>
      <c r="G905" s="414"/>
      <c r="H905" s="414"/>
      <c r="I905" s="508"/>
      <c r="J905" s="509"/>
      <c r="K905" s="508"/>
      <c r="AC905" s="418"/>
      <c r="AD905" s="418" t="s">
        <v>1003</v>
      </c>
    </row>
    <row r="906" spans="5:30" ht="14.65" outlineLevel="1" thickBot="1" x14ac:dyDescent="0.5">
      <c r="E906" s="419" t="s">
        <v>1004</v>
      </c>
      <c r="F906" s="420"/>
      <c r="G906" s="420"/>
      <c r="H906" s="420"/>
      <c r="I906" s="511">
        <f>SUM(I902:I905)</f>
        <v>1014156</v>
      </c>
      <c r="J906" s="512">
        <f>SUM(J902:J905)</f>
        <v>911760</v>
      </c>
      <c r="K906" s="511">
        <f>SUM(K902:K905)</f>
        <v>784978</v>
      </c>
      <c r="AC906" s="418"/>
      <c r="AD906" s="418"/>
    </row>
    <row r="907" spans="5:30" ht="14.65" outlineLevel="1" thickTop="1" x14ac:dyDescent="0.45">
      <c r="E907" s="423" t="s">
        <v>1005</v>
      </c>
      <c r="F907" s="424"/>
      <c r="G907" s="424"/>
      <c r="H907" s="424"/>
      <c r="I907" s="506"/>
      <c r="J907" s="507"/>
      <c r="K907" s="506"/>
      <c r="AC907" s="418"/>
      <c r="AD907" s="418"/>
    </row>
    <row r="908" spans="5:30" outlineLevel="1" x14ac:dyDescent="0.45">
      <c r="E908" s="413"/>
      <c r="F908" s="414"/>
      <c r="G908" s="414"/>
      <c r="H908" s="414"/>
      <c r="I908" s="508"/>
      <c r="J908" s="509"/>
      <c r="K908" s="508"/>
      <c r="AC908" s="418"/>
      <c r="AD908" s="418"/>
    </row>
    <row r="909" spans="5:30" outlineLevel="1" x14ac:dyDescent="0.45">
      <c r="E909" s="413" t="s">
        <v>342</v>
      </c>
      <c r="F909" s="414"/>
      <c r="G909" s="414"/>
      <c r="H909" s="414"/>
      <c r="I909" s="508">
        <v>1116065</v>
      </c>
      <c r="J909" s="509">
        <v>1590923</v>
      </c>
      <c r="K909" s="508">
        <v>108876</v>
      </c>
      <c r="AC909" s="418" t="s">
        <v>1000</v>
      </c>
      <c r="AD909" s="418"/>
    </row>
    <row r="910" spans="5:30" outlineLevel="1" x14ac:dyDescent="0.45">
      <c r="E910" s="413" t="s">
        <v>903</v>
      </c>
      <c r="F910" s="414"/>
      <c r="G910" s="414"/>
      <c r="H910" s="414"/>
      <c r="I910" s="508">
        <f>336/965*5705257</f>
        <v>1986493.629015544</v>
      </c>
      <c r="J910" s="509">
        <f>199/824*5782337</f>
        <v>1396462.4550970874</v>
      </c>
      <c r="K910" s="508">
        <f>136/763*6081132</f>
        <v>1083923.9213630406</v>
      </c>
      <c r="AC910" s="418" t="s">
        <v>55</v>
      </c>
      <c r="AD910" s="418" t="s">
        <v>988</v>
      </c>
    </row>
    <row r="911" spans="5:30" outlineLevel="1" x14ac:dyDescent="0.45">
      <c r="E911" s="413" t="s">
        <v>942</v>
      </c>
      <c r="F911" s="414"/>
      <c r="G911" s="414"/>
      <c r="H911" s="414"/>
      <c r="I911" s="508">
        <v>2858990</v>
      </c>
      <c r="J911" s="509">
        <v>3028121</v>
      </c>
      <c r="K911" s="508">
        <v>1025150</v>
      </c>
      <c r="AC911" s="418" t="s">
        <v>1000</v>
      </c>
      <c r="AD911" s="418"/>
    </row>
    <row r="912" spans="5:30" outlineLevel="1" x14ac:dyDescent="0.45">
      <c r="E912" s="413"/>
      <c r="F912" s="414"/>
      <c r="G912" s="414"/>
      <c r="H912" s="414"/>
      <c r="I912" s="508"/>
      <c r="J912" s="509"/>
      <c r="K912" s="508"/>
      <c r="AC912" s="418"/>
      <c r="AD912" s="418"/>
    </row>
    <row r="913" spans="5:30" outlineLevel="1" x14ac:dyDescent="0.45">
      <c r="E913" s="413"/>
      <c r="F913" s="414"/>
      <c r="G913" s="414"/>
      <c r="H913" s="414"/>
      <c r="I913" s="508"/>
      <c r="J913" s="509"/>
      <c r="K913" s="508"/>
      <c r="AC913" s="418"/>
      <c r="AD913" s="418"/>
    </row>
    <row r="914" spans="5:30" outlineLevel="1" x14ac:dyDescent="0.45">
      <c r="E914" s="413"/>
      <c r="F914" s="414"/>
      <c r="G914" s="414"/>
      <c r="H914" s="414"/>
      <c r="I914" s="508"/>
      <c r="J914" s="509"/>
      <c r="K914" s="508"/>
      <c r="AC914" s="418"/>
      <c r="AD914" s="418"/>
    </row>
    <row r="915" spans="5:30" outlineLevel="1" x14ac:dyDescent="0.45">
      <c r="E915" s="413"/>
      <c r="F915" s="414"/>
      <c r="G915" s="414"/>
      <c r="H915" s="414"/>
      <c r="I915" s="508"/>
      <c r="J915" s="509"/>
      <c r="K915" s="508"/>
      <c r="AC915" s="418"/>
      <c r="AD915" s="418"/>
    </row>
    <row r="916" spans="5:30" outlineLevel="1" x14ac:dyDescent="0.45">
      <c r="E916" s="413"/>
      <c r="F916" s="414"/>
      <c r="G916" s="414"/>
      <c r="H916" s="414"/>
      <c r="I916" s="508"/>
      <c r="J916" s="509"/>
      <c r="K916" s="508"/>
      <c r="AC916" s="418"/>
      <c r="AD916" s="418"/>
    </row>
    <row r="917" spans="5:30" outlineLevel="1" x14ac:dyDescent="0.45">
      <c r="E917" s="413"/>
      <c r="F917" s="414"/>
      <c r="G917" s="414"/>
      <c r="H917" s="414"/>
      <c r="I917" s="508"/>
      <c r="J917" s="509"/>
      <c r="K917" s="508"/>
      <c r="AC917" s="418"/>
      <c r="AD917" s="418"/>
    </row>
    <row r="918" spans="5:30" outlineLevel="1" x14ac:dyDescent="0.45">
      <c r="E918" s="437" t="s">
        <v>358</v>
      </c>
      <c r="F918" s="438"/>
      <c r="G918" s="438"/>
      <c r="H918" s="438"/>
      <c r="I918" s="508"/>
      <c r="J918" s="509"/>
      <c r="K918" s="508"/>
      <c r="AC918" s="418"/>
      <c r="AD918" s="418"/>
    </row>
    <row r="919" spans="5:30" outlineLevel="1" x14ac:dyDescent="0.45">
      <c r="E919" s="439" t="s">
        <v>360</v>
      </c>
      <c r="F919" s="440"/>
      <c r="G919" s="440"/>
      <c r="H919" s="440"/>
      <c r="I919" s="508">
        <v>436538</v>
      </c>
      <c r="J919" s="513">
        <v>468842</v>
      </c>
      <c r="K919" s="514">
        <v>501659</v>
      </c>
      <c r="AC919" s="418" t="s">
        <v>1006</v>
      </c>
      <c r="AD919" s="418"/>
    </row>
    <row r="920" spans="5:30" outlineLevel="1" x14ac:dyDescent="0.45">
      <c r="E920" s="439" t="s">
        <v>365</v>
      </c>
      <c r="F920" s="440"/>
      <c r="G920" s="440"/>
      <c r="H920" s="440"/>
      <c r="I920" s="508"/>
      <c r="J920" s="509"/>
      <c r="K920" s="508"/>
      <c r="AC920" s="418"/>
      <c r="AD920" s="418"/>
    </row>
    <row r="921" spans="5:30" outlineLevel="1" x14ac:dyDescent="0.45">
      <c r="E921" s="413"/>
      <c r="F921" s="414"/>
      <c r="G921" s="414"/>
      <c r="H921" s="414"/>
      <c r="I921" s="508"/>
      <c r="J921" s="509"/>
      <c r="K921" s="508"/>
      <c r="AC921" s="418"/>
      <c r="AD921" s="418"/>
    </row>
    <row r="922" spans="5:30" outlineLevel="1" x14ac:dyDescent="0.45">
      <c r="E922" s="413"/>
      <c r="F922" s="414"/>
      <c r="G922" s="414"/>
      <c r="H922" s="414"/>
      <c r="I922" s="508"/>
      <c r="J922" s="509"/>
      <c r="K922" s="508"/>
      <c r="AC922" s="418"/>
      <c r="AD922" s="418"/>
    </row>
    <row r="923" spans="5:30" ht="14.65" outlineLevel="1" thickBot="1" x14ac:dyDescent="0.5">
      <c r="E923" s="419" t="s">
        <v>1007</v>
      </c>
      <c r="F923" s="420"/>
      <c r="G923" s="420"/>
      <c r="H923" s="420"/>
      <c r="I923" s="511">
        <f>SUM(I909:I922)</f>
        <v>6398086.6290155444</v>
      </c>
      <c r="J923" s="512">
        <f>SUM(J909:J922)</f>
        <v>6484348.4550970877</v>
      </c>
      <c r="K923" s="511">
        <f>SUM(K909:K922)</f>
        <v>2719608.9213630408</v>
      </c>
      <c r="AC923" s="418"/>
      <c r="AD923" s="418"/>
    </row>
    <row r="924" spans="5:30" ht="15" outlineLevel="1" thickTop="1" thickBot="1" x14ac:dyDescent="0.5">
      <c r="E924" s="419" t="s">
        <v>1008</v>
      </c>
      <c r="F924" s="420"/>
      <c r="G924" s="420"/>
      <c r="H924" s="420"/>
      <c r="I924" s="511">
        <f>I906-I923</f>
        <v>-5383930.6290155444</v>
      </c>
      <c r="J924" s="512">
        <f>J906-J923</f>
        <v>-5572588.4550970877</v>
      </c>
      <c r="K924" s="511">
        <f>K906-K923</f>
        <v>-1934630.9213630408</v>
      </c>
      <c r="AC924" s="449"/>
      <c r="AD924" s="449"/>
    </row>
    <row r="925" spans="5:30" ht="14.65" outlineLevel="1" thickTop="1" x14ac:dyDescent="0.45">
      <c r="E925" s="14"/>
      <c r="F925" s="14"/>
      <c r="G925" s="14"/>
      <c r="H925" s="14"/>
      <c r="I925" s="14"/>
      <c r="J925" s="14"/>
      <c r="K925" s="14"/>
      <c r="AC925" s="515"/>
      <c r="AD925" s="515"/>
    </row>
    <row r="926" spans="5:30" outlineLevel="1" x14ac:dyDescent="0.45">
      <c r="AC926" s="400"/>
      <c r="AD926" s="400"/>
    </row>
    <row r="927" spans="5:30" outlineLevel="1" x14ac:dyDescent="0.45">
      <c r="AC927" s="400"/>
      <c r="AD927" s="400"/>
    </row>
    <row r="928" spans="5:30" outlineLevel="1" x14ac:dyDescent="0.45">
      <c r="AC928" s="400"/>
      <c r="AD928" s="400"/>
    </row>
    <row r="929" spans="5:30" outlineLevel="1" x14ac:dyDescent="0.45">
      <c r="AC929" s="400"/>
      <c r="AD929" s="400"/>
    </row>
    <row r="930" spans="5:30" outlineLevel="1" x14ac:dyDescent="0.45">
      <c r="AC930" s="400"/>
      <c r="AD930" s="400"/>
    </row>
    <row r="931" spans="5:30" ht="21.4" outlineLevel="1" thickBot="1" x14ac:dyDescent="0.7">
      <c r="E931" s="516" t="s">
        <v>997</v>
      </c>
      <c r="F931" s="516"/>
      <c r="G931" s="516"/>
      <c r="H931" s="516"/>
      <c r="AC931" s="400"/>
      <c r="AD931" s="400"/>
    </row>
    <row r="932" spans="5:30" ht="14.65" outlineLevel="1" thickBot="1" x14ac:dyDescent="0.5">
      <c r="E932" s="504" t="s">
        <v>998</v>
      </c>
      <c r="F932" s="505"/>
      <c r="G932" s="505"/>
      <c r="H932" s="505"/>
      <c r="I932" s="402" t="s">
        <v>102</v>
      </c>
      <c r="J932" s="403" t="s">
        <v>103</v>
      </c>
      <c r="K932" s="404" t="s">
        <v>104</v>
      </c>
      <c r="AC932" s="59" t="s">
        <v>105</v>
      </c>
      <c r="AD932" s="405" t="s">
        <v>106</v>
      </c>
    </row>
    <row r="933" spans="5:30" outlineLevel="1" x14ac:dyDescent="0.45">
      <c r="E933" s="452" t="s">
        <v>999</v>
      </c>
      <c r="F933" s="453"/>
      <c r="G933" s="453"/>
      <c r="H933" s="453"/>
      <c r="I933" s="517">
        <v>921618</v>
      </c>
      <c r="J933" s="518">
        <v>234999</v>
      </c>
      <c r="K933" s="517">
        <v>242513</v>
      </c>
      <c r="AC933" s="458"/>
      <c r="AD933" s="458"/>
    </row>
    <row r="934" spans="5:30" outlineLevel="1" x14ac:dyDescent="0.45">
      <c r="E934" s="459"/>
      <c r="F934" s="460"/>
      <c r="G934" s="460"/>
      <c r="H934" s="460"/>
      <c r="I934" s="519"/>
      <c r="J934" s="520"/>
      <c r="K934" s="519"/>
      <c r="AC934" s="465"/>
      <c r="AD934" s="465"/>
    </row>
    <row r="935" spans="5:30" outlineLevel="1" x14ac:dyDescent="0.45">
      <c r="E935" s="459" t="s">
        <v>324</v>
      </c>
      <c r="F935" s="460"/>
      <c r="G935" s="460"/>
      <c r="H935" s="460"/>
      <c r="I935" s="519" t="s">
        <v>55</v>
      </c>
      <c r="J935" s="520" t="s">
        <v>55</v>
      </c>
      <c r="K935" s="519" t="s">
        <v>55</v>
      </c>
      <c r="AC935" s="465"/>
      <c r="AD935" s="465"/>
    </row>
    <row r="936" spans="5:30" outlineLevel="1" x14ac:dyDescent="0.45">
      <c r="E936" s="459"/>
      <c r="F936" s="460"/>
      <c r="G936" s="460"/>
      <c r="H936" s="460"/>
      <c r="I936" s="519"/>
      <c r="J936" s="520"/>
      <c r="K936" s="519"/>
      <c r="AC936" s="465"/>
      <c r="AD936" s="465"/>
    </row>
    <row r="937" spans="5:30" ht="14.65" outlineLevel="1" thickBot="1" x14ac:dyDescent="0.5">
      <c r="E937" s="466" t="s">
        <v>1004</v>
      </c>
      <c r="F937" s="467"/>
      <c r="G937" s="467"/>
      <c r="H937" s="467"/>
      <c r="I937" s="521">
        <f>SUM(I933:I936)</f>
        <v>921618</v>
      </c>
      <c r="J937" s="522">
        <f>SUM(J933:J936)</f>
        <v>234999</v>
      </c>
      <c r="K937" s="521">
        <f>SUM(K933:K936)</f>
        <v>242513</v>
      </c>
      <c r="AC937" s="465"/>
      <c r="AD937" s="465"/>
    </row>
    <row r="938" spans="5:30" ht="14.65" outlineLevel="1" thickTop="1" x14ac:dyDescent="0.45">
      <c r="E938" s="471" t="s">
        <v>1005</v>
      </c>
      <c r="F938" s="472"/>
      <c r="G938" s="472"/>
      <c r="H938" s="472"/>
      <c r="I938" s="517"/>
      <c r="J938" s="518"/>
      <c r="K938" s="517"/>
      <c r="AC938" s="465"/>
      <c r="AD938" s="465"/>
    </row>
    <row r="939" spans="5:30" outlineLevel="1" x14ac:dyDescent="0.45">
      <c r="E939" s="413"/>
      <c r="F939" s="414"/>
      <c r="G939" s="414"/>
      <c r="H939" s="414"/>
      <c r="I939" s="519"/>
      <c r="J939" s="520"/>
      <c r="K939" s="519"/>
      <c r="AC939" s="465"/>
      <c r="AD939" s="465"/>
    </row>
    <row r="940" spans="5:30" outlineLevel="1" x14ac:dyDescent="0.45">
      <c r="E940" s="413" t="s">
        <v>342</v>
      </c>
      <c r="F940" s="414"/>
      <c r="G940" s="414"/>
      <c r="H940" s="414"/>
      <c r="I940" s="519">
        <v>1116065</v>
      </c>
      <c r="J940" s="520">
        <v>1590923</v>
      </c>
      <c r="K940" s="519">
        <v>108876</v>
      </c>
      <c r="AC940" s="465"/>
      <c r="AD940" s="465"/>
    </row>
    <row r="941" spans="5:30" outlineLevel="1" x14ac:dyDescent="0.45">
      <c r="E941" s="413" t="s">
        <v>903</v>
      </c>
      <c r="F941" s="414"/>
      <c r="G941" s="414"/>
      <c r="H941" s="414"/>
      <c r="I941" s="508">
        <f>336/965*5705257</f>
        <v>1986493.629015544</v>
      </c>
      <c r="J941" s="509">
        <f>199/824*5782337</f>
        <v>1396462.4550970874</v>
      </c>
      <c r="K941" s="508">
        <f>136/763*6081132</f>
        <v>1083923.9213630406</v>
      </c>
      <c r="AC941" s="418"/>
      <c r="AD941" s="418"/>
    </row>
    <row r="942" spans="5:30" outlineLevel="1" x14ac:dyDescent="0.45">
      <c r="E942" s="413" t="s">
        <v>942</v>
      </c>
      <c r="F942" s="414"/>
      <c r="G942" s="414"/>
      <c r="H942" s="414"/>
      <c r="I942" s="519">
        <v>2673719</v>
      </c>
      <c r="J942" s="520">
        <v>2625262</v>
      </c>
      <c r="K942" s="519">
        <v>565540</v>
      </c>
      <c r="AC942" s="465"/>
      <c r="AD942" s="465" t="s">
        <v>1009</v>
      </c>
    </row>
    <row r="943" spans="5:30" outlineLevel="1" x14ac:dyDescent="0.45">
      <c r="E943" s="413"/>
      <c r="F943" s="414"/>
      <c r="G943" s="414"/>
      <c r="H943" s="414"/>
      <c r="I943" s="519"/>
      <c r="J943" s="520"/>
      <c r="K943" s="519"/>
      <c r="AC943" s="465"/>
      <c r="AD943" s="465"/>
    </row>
    <row r="944" spans="5:30" outlineLevel="1" x14ac:dyDescent="0.45">
      <c r="E944" s="413"/>
      <c r="F944" s="414"/>
      <c r="G944" s="414"/>
      <c r="H944" s="414"/>
      <c r="I944" s="519"/>
      <c r="J944" s="520"/>
      <c r="K944" s="519"/>
      <c r="AC944" s="465"/>
      <c r="AD944" s="465"/>
    </row>
    <row r="945" spans="5:30" outlineLevel="1" x14ac:dyDescent="0.45">
      <c r="E945" s="413"/>
      <c r="F945" s="414"/>
      <c r="G945" s="414"/>
      <c r="H945" s="414"/>
      <c r="I945" s="519"/>
      <c r="J945" s="520"/>
      <c r="K945" s="519"/>
      <c r="AC945" s="465"/>
      <c r="AD945" s="465"/>
    </row>
    <row r="946" spans="5:30" outlineLevel="1" x14ac:dyDescent="0.45">
      <c r="E946" s="413"/>
      <c r="F946" s="414"/>
      <c r="G946" s="414"/>
      <c r="H946" s="414"/>
      <c r="I946" s="519"/>
      <c r="J946" s="520"/>
      <c r="K946" s="519"/>
      <c r="AC946" s="465"/>
      <c r="AD946" s="465"/>
    </row>
    <row r="947" spans="5:30" outlineLevel="1" x14ac:dyDescent="0.45">
      <c r="E947" s="413"/>
      <c r="F947" s="414"/>
      <c r="G947" s="414"/>
      <c r="H947" s="414"/>
      <c r="I947" s="519"/>
      <c r="J947" s="520"/>
      <c r="K947" s="519"/>
      <c r="AC947" s="465"/>
      <c r="AD947" s="465"/>
    </row>
    <row r="948" spans="5:30" outlineLevel="1" x14ac:dyDescent="0.45">
      <c r="E948" s="413"/>
      <c r="F948" s="414"/>
      <c r="G948" s="414"/>
      <c r="H948" s="414"/>
      <c r="I948" s="519"/>
      <c r="J948" s="520"/>
      <c r="K948" s="519"/>
      <c r="AC948" s="465"/>
      <c r="AD948" s="465"/>
    </row>
    <row r="949" spans="5:30" outlineLevel="1" x14ac:dyDescent="0.45">
      <c r="E949" s="437" t="s">
        <v>358</v>
      </c>
      <c r="F949" s="438"/>
      <c r="G949" s="438"/>
      <c r="H949" s="438"/>
      <c r="I949" s="461"/>
      <c r="J949" s="462"/>
      <c r="K949" s="463"/>
      <c r="AC949" s="465"/>
      <c r="AD949" s="465"/>
    </row>
    <row r="950" spans="5:30" outlineLevel="1" x14ac:dyDescent="0.45">
      <c r="E950" s="439" t="s">
        <v>360</v>
      </c>
      <c r="F950" s="439"/>
      <c r="G950" s="439"/>
      <c r="H950" s="439"/>
      <c r="I950" s="462">
        <v>436538</v>
      </c>
      <c r="J950" s="487">
        <v>468842</v>
      </c>
      <c r="K950" s="488">
        <v>501659</v>
      </c>
      <c r="AC950" s="465"/>
      <c r="AD950" s="465"/>
    </row>
    <row r="951" spans="5:30" outlineLevel="1" x14ac:dyDescent="0.45">
      <c r="E951" s="439" t="s">
        <v>365</v>
      </c>
      <c r="F951" s="440"/>
      <c r="G951" s="440"/>
      <c r="H951" s="440"/>
      <c r="I951" s="461"/>
      <c r="J951" s="462"/>
      <c r="K951" s="463"/>
      <c r="AC951" s="465"/>
      <c r="AD951" s="465"/>
    </row>
    <row r="952" spans="5:30" outlineLevel="1" x14ac:dyDescent="0.45">
      <c r="E952" s="413"/>
      <c r="F952" s="414"/>
      <c r="G952" s="414"/>
      <c r="H952" s="414"/>
      <c r="I952" s="519"/>
      <c r="J952" s="520"/>
      <c r="K952" s="519"/>
      <c r="AC952" s="465"/>
      <c r="AD952" s="465"/>
    </row>
    <row r="953" spans="5:30" outlineLevel="1" x14ac:dyDescent="0.45">
      <c r="E953" s="413"/>
      <c r="F953" s="414"/>
      <c r="G953" s="414"/>
      <c r="H953" s="414"/>
      <c r="I953" s="519"/>
      <c r="J953" s="520"/>
      <c r="K953" s="519"/>
      <c r="AC953" s="465"/>
      <c r="AD953" s="465"/>
    </row>
    <row r="954" spans="5:30" ht="14.65" outlineLevel="1" thickBot="1" x14ac:dyDescent="0.5">
      <c r="E954" s="466" t="s">
        <v>1007</v>
      </c>
      <c r="F954" s="467"/>
      <c r="G954" s="467"/>
      <c r="H954" s="467"/>
      <c r="I954" s="521">
        <f>SUM(I940:I953)</f>
        <v>6212815.6290155444</v>
      </c>
      <c r="J954" s="522">
        <f>SUM(J940:J953)</f>
        <v>6081489.4550970877</v>
      </c>
      <c r="K954" s="521">
        <f>SUM(K940:K953)</f>
        <v>2259998.9213630408</v>
      </c>
      <c r="AC954" s="465"/>
      <c r="AD954" s="465"/>
    </row>
    <row r="955" spans="5:30" ht="15" outlineLevel="1" thickTop="1" thickBot="1" x14ac:dyDescent="0.5">
      <c r="E955" s="466" t="s">
        <v>1008</v>
      </c>
      <c r="F955" s="467"/>
      <c r="G955" s="467"/>
      <c r="H955" s="467"/>
      <c r="I955" s="521">
        <f>I937-I954</f>
        <v>-5291197.6290155444</v>
      </c>
      <c r="J955" s="522">
        <f>J937-J954</f>
        <v>-5846490.4550970877</v>
      </c>
      <c r="K955" s="521">
        <f>K937-K954</f>
        <v>-2017485.9213630408</v>
      </c>
      <c r="AC955" s="523"/>
      <c r="AD955" s="523"/>
    </row>
    <row r="956" spans="5:30" ht="14.65" outlineLevel="1" thickTop="1" x14ac:dyDescent="0.45">
      <c r="AC956" s="400"/>
      <c r="AD956" s="400"/>
    </row>
    <row r="957" spans="5:30" outlineLevel="1" x14ac:dyDescent="0.45">
      <c r="AC957" s="400"/>
      <c r="AD957" s="400"/>
    </row>
    <row r="958" spans="5:30" outlineLevel="1" x14ac:dyDescent="0.45">
      <c r="AC958" s="400"/>
      <c r="AD958" s="400"/>
    </row>
    <row r="959" spans="5:30" outlineLevel="1" x14ac:dyDescent="0.45">
      <c r="AC959" s="400"/>
      <c r="AD959" s="400"/>
    </row>
    <row r="960" spans="5:30" outlineLevel="1" x14ac:dyDescent="0.45">
      <c r="AC960" s="400"/>
      <c r="AD960" s="400"/>
    </row>
    <row r="961" spans="5:30" outlineLevel="1" x14ac:dyDescent="0.45">
      <c r="AC961" s="400"/>
      <c r="AD961" s="400"/>
    </row>
    <row r="962" spans="5:30" outlineLevel="1" x14ac:dyDescent="0.45">
      <c r="E962" s="61" t="s">
        <v>1010</v>
      </c>
      <c r="I962" s="502">
        <v>906373</v>
      </c>
      <c r="J962" s="502">
        <v>9582</v>
      </c>
      <c r="K962" s="502">
        <v>725</v>
      </c>
      <c r="AC962" s="400"/>
      <c r="AD962" s="400"/>
    </row>
  </sheetData>
  <sheetProtection formatCells="0" formatColumns="0" formatRows="0"/>
  <mergeCells count="40">
    <mergeCell ref="AW410:AW413"/>
    <mergeCell ref="B457:B512"/>
    <mergeCell ref="B514:B569"/>
    <mergeCell ref="AS524:AS527"/>
    <mergeCell ref="AW524:AW527"/>
    <mergeCell ref="AO410:AO413"/>
    <mergeCell ref="AS410:AS413"/>
    <mergeCell ref="B572:B613"/>
    <mergeCell ref="B286:B341"/>
    <mergeCell ref="B343:B398"/>
    <mergeCell ref="B400:B455"/>
    <mergeCell ref="AK410:AK413"/>
    <mergeCell ref="AO177:AO180"/>
    <mergeCell ref="AS177:AS180"/>
    <mergeCell ref="AW177:AW180"/>
    <mergeCell ref="B229:B284"/>
    <mergeCell ref="AS239:AS242"/>
    <mergeCell ref="AW239:AW242"/>
    <mergeCell ref="AK177:AK180"/>
    <mergeCell ref="B71:B78"/>
    <mergeCell ref="B81:B101"/>
    <mergeCell ref="B104:B126"/>
    <mergeCell ref="B128:B164"/>
    <mergeCell ref="B167:B222"/>
    <mergeCell ref="B30:B69"/>
    <mergeCell ref="I4:Z4"/>
    <mergeCell ref="AC4:AX4"/>
    <mergeCell ref="F5:H5"/>
    <mergeCell ref="I5:K5"/>
    <mergeCell ref="L5:N5"/>
    <mergeCell ref="O5:Q5"/>
    <mergeCell ref="R5:T5"/>
    <mergeCell ref="U5:W5"/>
    <mergeCell ref="AC5:AD5"/>
    <mergeCell ref="AG5:AH5"/>
    <mergeCell ref="AK5:AL5"/>
    <mergeCell ref="AO5:AP5"/>
    <mergeCell ref="AS5:AT5"/>
    <mergeCell ref="AW5:AX5"/>
    <mergeCell ref="B12:B27"/>
  </mergeCells>
  <conditionalFormatting sqref="I610">
    <cfRule type="cellIs" dxfId="50" priority="49" operator="between">
      <formula>0.00001</formula>
      <formula>2.99999</formula>
    </cfRule>
    <cfRule type="cellIs" dxfId="49" priority="50" operator="between">
      <formula>2.00001</formula>
      <formula>4.0001</formula>
    </cfRule>
    <cfRule type="cellIs" dxfId="48" priority="51" operator="between">
      <formula>4.0001</formula>
      <formula>5</formula>
    </cfRule>
  </conditionalFormatting>
  <conditionalFormatting sqref="I611:I613">
    <cfRule type="cellIs" dxfId="47" priority="46" operator="between">
      <formula>0.00001</formula>
      <formula>2.99999</formula>
    </cfRule>
    <cfRule type="cellIs" dxfId="46" priority="47" operator="between">
      <formula>2.00001</formula>
      <formula>4.0001</formula>
    </cfRule>
    <cfRule type="cellIs" dxfId="45" priority="48" operator="between">
      <formula>4.0001</formula>
      <formula>5</formula>
    </cfRule>
  </conditionalFormatting>
  <conditionalFormatting sqref="J610:M610 O610:P610 R610:S610 U610:V610">
    <cfRule type="cellIs" dxfId="44" priority="43" operator="between">
      <formula>0.00001</formula>
      <formula>2.99999</formula>
    </cfRule>
    <cfRule type="cellIs" dxfId="43" priority="44" operator="between">
      <formula>2.00001</formula>
      <formula>4.0001</formula>
    </cfRule>
    <cfRule type="cellIs" dxfId="42" priority="45" operator="between">
      <formula>4.0001</formula>
      <formula>5</formula>
    </cfRule>
  </conditionalFormatting>
  <conditionalFormatting sqref="J611:M613 O611:P613 R611:S613 U611:V613">
    <cfRule type="cellIs" dxfId="41" priority="40" operator="between">
      <formula>0.00001</formula>
      <formula>2.99999</formula>
    </cfRule>
    <cfRule type="cellIs" dxfId="40" priority="41" operator="between">
      <formula>2.00001</formula>
      <formula>4.0001</formula>
    </cfRule>
    <cfRule type="cellIs" dxfId="39" priority="42" operator="between">
      <formula>4.0001</formula>
      <formula>5</formula>
    </cfRule>
  </conditionalFormatting>
  <conditionalFormatting sqref="I67">
    <cfRule type="cellIs" dxfId="38" priority="37" operator="between">
      <formula>0.00001</formula>
      <formula>2.99999</formula>
    </cfRule>
    <cfRule type="cellIs" dxfId="37" priority="38" operator="between">
      <formula>2.00001</formula>
      <formula>4.0001</formula>
    </cfRule>
    <cfRule type="cellIs" dxfId="36" priority="39" operator="between">
      <formula>4.0001</formula>
      <formula>5</formula>
    </cfRule>
  </conditionalFormatting>
  <conditionalFormatting sqref="J67:W67">
    <cfRule type="cellIs" dxfId="35" priority="34" operator="between">
      <formula>0.00001</formula>
      <formula>2.99999</formula>
    </cfRule>
    <cfRule type="cellIs" dxfId="34" priority="35" operator="between">
      <formula>2.00001</formula>
      <formula>4.0001</formula>
    </cfRule>
    <cfRule type="cellIs" dxfId="33" priority="36" operator="between">
      <formula>4.0001</formula>
      <formula>5</formula>
    </cfRule>
  </conditionalFormatting>
  <conditionalFormatting sqref="F67:H67">
    <cfRule type="cellIs" dxfId="32" priority="31" operator="between">
      <formula>0.00001</formula>
      <formula>2.99999</formula>
    </cfRule>
    <cfRule type="cellIs" dxfId="31" priority="32" operator="between">
      <formula>2.00001</formula>
      <formula>4.0001</formula>
    </cfRule>
    <cfRule type="cellIs" dxfId="30" priority="33" operator="between">
      <formula>4.0001</formula>
      <formula>5</formula>
    </cfRule>
  </conditionalFormatting>
  <conditionalFormatting sqref="F610:H610">
    <cfRule type="cellIs" dxfId="29" priority="28" operator="between">
      <formula>0.00001</formula>
      <formula>2.99999</formula>
    </cfRule>
    <cfRule type="cellIs" dxfId="28" priority="29" operator="between">
      <formula>2.00001</formula>
      <formula>4.0001</formula>
    </cfRule>
    <cfRule type="cellIs" dxfId="27" priority="30" operator="between">
      <formula>4.0001</formula>
      <formula>5</formula>
    </cfRule>
  </conditionalFormatting>
  <conditionalFormatting sqref="F611:H613">
    <cfRule type="cellIs" dxfId="26" priority="25" operator="between">
      <formula>0.00001</formula>
      <formula>2.99999</formula>
    </cfRule>
    <cfRule type="cellIs" dxfId="25" priority="26" operator="between">
      <formula>2.00001</formula>
      <formula>4.0001</formula>
    </cfRule>
    <cfRule type="cellIs" dxfId="24" priority="27" operator="between">
      <formula>4.0001</formula>
      <formula>5</formula>
    </cfRule>
  </conditionalFormatting>
  <conditionalFormatting sqref="N610">
    <cfRule type="cellIs" dxfId="23" priority="22" operator="between">
      <formula>0.00001</formula>
      <formula>2.99999</formula>
    </cfRule>
    <cfRule type="cellIs" dxfId="22" priority="23" operator="between">
      <formula>2.00001</formula>
      <formula>4.0001</formula>
    </cfRule>
    <cfRule type="cellIs" dxfId="21" priority="24" operator="between">
      <formula>4.0001</formula>
      <formula>5</formula>
    </cfRule>
  </conditionalFormatting>
  <conditionalFormatting sqref="N611:N613">
    <cfRule type="cellIs" dxfId="20" priority="19" operator="between">
      <formula>0.00001</formula>
      <formula>2.99999</formula>
    </cfRule>
    <cfRule type="cellIs" dxfId="19" priority="20" operator="between">
      <formula>2.00001</formula>
      <formula>4.0001</formula>
    </cfRule>
    <cfRule type="cellIs" dxfId="18" priority="21" operator="between">
      <formula>4.0001</formula>
      <formula>5</formula>
    </cfRule>
  </conditionalFormatting>
  <conditionalFormatting sqref="Q610">
    <cfRule type="cellIs" dxfId="17" priority="16" operator="between">
      <formula>0.00001</formula>
      <formula>2.99999</formula>
    </cfRule>
    <cfRule type="cellIs" dxfId="16" priority="17" operator="between">
      <formula>2.00001</formula>
      <formula>4.0001</formula>
    </cfRule>
    <cfRule type="cellIs" dxfId="15" priority="18" operator="between">
      <formula>4.0001</formula>
      <formula>5</formula>
    </cfRule>
  </conditionalFormatting>
  <conditionalFormatting sqref="Q611:Q613">
    <cfRule type="cellIs" dxfId="14" priority="13" operator="between">
      <formula>0.00001</formula>
      <formula>2.99999</formula>
    </cfRule>
    <cfRule type="cellIs" dxfId="13" priority="14" operator="between">
      <formula>2.00001</formula>
      <formula>4.0001</formula>
    </cfRule>
    <cfRule type="cellIs" dxfId="12" priority="15" operator="between">
      <formula>4.0001</formula>
      <formula>5</formula>
    </cfRule>
  </conditionalFormatting>
  <conditionalFormatting sqref="T610">
    <cfRule type="cellIs" dxfId="11" priority="10" operator="between">
      <formula>0.00001</formula>
      <formula>2.99999</formula>
    </cfRule>
    <cfRule type="cellIs" dxfId="10" priority="11" operator="between">
      <formula>2.00001</formula>
      <formula>4.0001</formula>
    </cfRule>
    <cfRule type="cellIs" dxfId="9" priority="12" operator="between">
      <formula>4.0001</formula>
      <formula>5</formula>
    </cfRule>
  </conditionalFormatting>
  <conditionalFormatting sqref="T611:T613">
    <cfRule type="cellIs" dxfId="8" priority="7" operator="between">
      <formula>0.00001</formula>
      <formula>2.99999</formula>
    </cfRule>
    <cfRule type="cellIs" dxfId="7" priority="8" operator="between">
      <formula>2.00001</formula>
      <formula>4.0001</formula>
    </cfRule>
    <cfRule type="cellIs" dxfId="6" priority="9" operator="between">
      <formula>4.0001</formula>
      <formula>5</formula>
    </cfRule>
  </conditionalFormatting>
  <conditionalFormatting sqref="W610">
    <cfRule type="cellIs" dxfId="5" priority="4" operator="between">
      <formula>0.00001</formula>
      <formula>2.99999</formula>
    </cfRule>
    <cfRule type="cellIs" dxfId="4" priority="5" operator="between">
      <formula>2.00001</formula>
      <formula>4.0001</formula>
    </cfRule>
    <cfRule type="cellIs" dxfId="3" priority="6" operator="between">
      <formula>4.0001</formula>
      <formula>5</formula>
    </cfRule>
  </conditionalFormatting>
  <conditionalFormatting sqref="W611:W613">
    <cfRule type="cellIs" dxfId="2" priority="1" operator="between">
      <formula>0.00001</formula>
      <formula>2.99999</formula>
    </cfRule>
    <cfRule type="cellIs" dxfId="1" priority="2" operator="between">
      <formula>2.00001</formula>
      <formula>4.0001</formula>
    </cfRule>
    <cfRule type="cellIs" dxfId="0" priority="3" operator="between">
      <formula>4.0001</formula>
      <formula>5</formula>
    </cfRule>
  </conditionalFormatting>
  <dataValidations disablePrompts="1" count="2">
    <dataValidation type="list" allowBlank="1" showInputMessage="1" showErrorMessage="1" promptTitle="Condition of properties" prompt="Select a number from 1 to 5 that corresponds to the general condition of properties in each province" sqref="I610 I67" xr:uid="{F0D899F2-2A70-4973-92D0-DAC07127C91F}">
      <formula1>"1,2,3,4,5"</formula1>
    </dataValidation>
    <dataValidation type="list" allowBlank="1" showInputMessage="1" showErrorMessage="1" sqref="J67:W67 I611:I613 J610:W613" xr:uid="{363EEB3B-2133-43EC-9FA9-BF00D30D246A}">
      <formula1>"1,2,3,4,5"</formula1>
    </dataValidation>
  </dataValidations>
  <printOptions headings="1"/>
  <pageMargins left="0.27559055118110237" right="0.23622047244094491" top="0.57999999999999996" bottom="0.31496062992125984" header="0.31496062992125984" footer="0.15748031496062992"/>
  <pageSetup paperSize="8" scale="45" fitToHeight="3" orientation="landscape" r:id="rId1"/>
  <headerFooter>
    <oddFooter>&amp;R&amp;F &amp;A &amp;D Page &amp;P</oddFooter>
  </headerFooter>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AC92C-C112-4D32-8CC3-40506B667382}">
  <sheetPr codeName="Sheet19">
    <tabColor theme="4" tint="0.39997558519241921"/>
    <pageSetUpPr fitToPage="1"/>
  </sheetPr>
  <dimension ref="A2:Z113"/>
  <sheetViews>
    <sheetView showGridLines="0" view="pageBreakPreview" zoomScale="75" zoomScaleNormal="100" zoomScaleSheetLayoutView="75" workbookViewId="0">
      <selection activeCell="F5" sqref="F5"/>
    </sheetView>
  </sheetViews>
  <sheetFormatPr defaultRowHeight="14.25" x14ac:dyDescent="0.45"/>
  <cols>
    <col min="1" max="2" width="5.46484375" customWidth="1"/>
    <col min="3" max="3" width="34.73046875" customWidth="1"/>
    <col min="4" max="5" width="10.53125" bestFit="1" customWidth="1"/>
    <col min="6" max="11" width="15.46484375" bestFit="1" customWidth="1"/>
    <col min="12" max="12" width="7.265625" customWidth="1"/>
    <col min="13" max="15" width="14.46484375" customWidth="1"/>
    <col min="16" max="16" width="14" bestFit="1" customWidth="1"/>
    <col min="17" max="17" width="12.796875" bestFit="1" customWidth="1"/>
    <col min="18" max="18" width="15.46484375" bestFit="1" customWidth="1"/>
    <col min="19" max="20" width="14.73046875" bestFit="1" customWidth="1"/>
    <col min="21" max="21" width="18.53125" customWidth="1"/>
    <col min="22" max="23" width="14.73046875" bestFit="1" customWidth="1"/>
    <col min="24" max="24" width="13" customWidth="1"/>
    <col min="25" max="26" width="14.73046875" bestFit="1" customWidth="1"/>
    <col min="27" max="27" width="12.73046875" customWidth="1"/>
    <col min="30" max="30" width="13.796875" customWidth="1"/>
  </cols>
  <sheetData>
    <row r="2" spans="3:19" ht="21" x14ac:dyDescent="0.65">
      <c r="C2" s="60" t="str">
        <f>'1.Cover'!$C$2</f>
        <v xml:space="preserve">Performance and Expenditure Review of Provincial Government Housing Rental Stock </v>
      </c>
    </row>
    <row r="3" spans="3:19" ht="18" x14ac:dyDescent="0.55000000000000004">
      <c r="C3" s="58" t="s">
        <v>1041</v>
      </c>
    </row>
    <row r="6" spans="3:19" x14ac:dyDescent="0.45">
      <c r="C6" s="451" t="s">
        <v>1016</v>
      </c>
    </row>
    <row r="8" spans="3:19" x14ac:dyDescent="0.45">
      <c r="C8" t="s">
        <v>1012</v>
      </c>
    </row>
    <row r="9" spans="3:19" x14ac:dyDescent="0.45">
      <c r="F9" s="570" t="s">
        <v>11</v>
      </c>
      <c r="G9" s="570" t="s">
        <v>1</v>
      </c>
      <c r="H9" s="570" t="s">
        <v>2</v>
      </c>
      <c r="I9" s="570" t="s">
        <v>3</v>
      </c>
      <c r="J9" s="570" t="s">
        <v>4</v>
      </c>
      <c r="K9" s="570" t="s">
        <v>5</v>
      </c>
      <c r="L9" s="555"/>
      <c r="Q9" s="18"/>
    </row>
    <row r="10" spans="3:19" x14ac:dyDescent="0.45">
      <c r="C10" s="5" t="s">
        <v>7</v>
      </c>
      <c r="E10" s="3">
        <v>0.17461240310077519</v>
      </c>
      <c r="F10" s="6">
        <f>SUM(G10:O10)</f>
        <v>901</v>
      </c>
      <c r="G10" s="34">
        <v>38</v>
      </c>
      <c r="H10" s="34">
        <v>45</v>
      </c>
      <c r="I10" s="34">
        <v>298</v>
      </c>
      <c r="J10" s="34">
        <v>218</v>
      </c>
      <c r="K10" s="34">
        <v>302</v>
      </c>
      <c r="L10" s="562"/>
      <c r="Q10" s="18"/>
    </row>
    <row r="11" spans="3:19" x14ac:dyDescent="0.45">
      <c r="C11" s="5" t="s">
        <v>8</v>
      </c>
      <c r="E11" s="3">
        <v>0.73817829457364337</v>
      </c>
      <c r="F11" s="7">
        <f>SUM(G11:O11)</f>
        <v>3809</v>
      </c>
      <c r="G11" s="35">
        <v>22</v>
      </c>
      <c r="H11" s="35">
        <v>3</v>
      </c>
      <c r="I11" s="35">
        <v>1184</v>
      </c>
      <c r="J11" s="35">
        <v>2216</v>
      </c>
      <c r="K11" s="35">
        <v>384</v>
      </c>
      <c r="L11" s="562"/>
      <c r="Q11" s="18"/>
    </row>
    <row r="12" spans="3:19" x14ac:dyDescent="0.45">
      <c r="C12" s="5" t="s">
        <v>9</v>
      </c>
      <c r="E12" s="3">
        <v>2.1899224806201552E-2</v>
      </c>
      <c r="F12" s="7">
        <f>SUM(G12:O12)</f>
        <v>113</v>
      </c>
      <c r="G12" s="35">
        <v>0</v>
      </c>
      <c r="H12" s="35">
        <v>0</v>
      </c>
      <c r="I12" s="35">
        <v>95</v>
      </c>
      <c r="J12" s="35">
        <v>12</v>
      </c>
      <c r="K12" s="35">
        <v>6</v>
      </c>
      <c r="L12" s="562"/>
      <c r="Q12" s="18"/>
    </row>
    <row r="13" spans="3:19" x14ac:dyDescent="0.45">
      <c r="C13" s="5" t="s">
        <v>10</v>
      </c>
      <c r="E13" s="3">
        <v>6.5310077519379839E-2</v>
      </c>
      <c r="F13" s="8">
        <f>SUM(G13:O13)</f>
        <v>337</v>
      </c>
      <c r="G13" s="36">
        <v>30</v>
      </c>
      <c r="H13" s="36">
        <v>0</v>
      </c>
      <c r="I13" s="36">
        <v>117</v>
      </c>
      <c r="J13" s="36">
        <v>117</v>
      </c>
      <c r="K13" s="36">
        <v>73</v>
      </c>
      <c r="L13" s="562"/>
      <c r="Q13" s="18"/>
    </row>
    <row r="14" spans="3:19" ht="14.65" thickBot="1" x14ac:dyDescent="0.5">
      <c r="C14" s="5" t="s">
        <v>11</v>
      </c>
      <c r="E14" s="3">
        <v>1</v>
      </c>
      <c r="F14" s="19">
        <f>SUM(G14:O14)</f>
        <v>5160</v>
      </c>
      <c r="G14" s="19">
        <f>SUM(G10:G13)</f>
        <v>90</v>
      </c>
      <c r="H14" s="19">
        <f>SUM(H10:H13)</f>
        <v>48</v>
      </c>
      <c r="I14" s="19">
        <f>SUM(I10:I13)</f>
        <v>1694</v>
      </c>
      <c r="J14" s="19">
        <f>SUM(J10:J13)</f>
        <v>2563</v>
      </c>
      <c r="K14" s="19">
        <f>SUM(K10:K13)</f>
        <v>765</v>
      </c>
      <c r="L14" s="525"/>
      <c r="Q14" s="18"/>
    </row>
    <row r="15" spans="3:19" ht="14.65" thickTop="1" x14ac:dyDescent="0.45">
      <c r="C15" s="5" t="s">
        <v>12</v>
      </c>
      <c r="E15" s="4"/>
      <c r="F15" s="20"/>
      <c r="G15" s="20">
        <f>G14/$F14</f>
        <v>1.7441860465116279E-2</v>
      </c>
      <c r="H15" s="20">
        <f>H14/$F14</f>
        <v>9.3023255813953487E-3</v>
      </c>
      <c r="I15" s="20">
        <f>I14/$F14</f>
        <v>0.32829457364341086</v>
      </c>
      <c r="J15" s="20">
        <f>J14/$F14</f>
        <v>0.49670542635658915</v>
      </c>
      <c r="K15" s="20">
        <f>K14/$F14</f>
        <v>0.14825581395348839</v>
      </c>
      <c r="L15" s="20"/>
      <c r="Q15" s="18"/>
      <c r="S15" s="2"/>
    </row>
    <row r="16" spans="3:19" x14ac:dyDescent="0.45">
      <c r="E16" s="4"/>
      <c r="F16" s="4"/>
      <c r="G16" s="4"/>
      <c r="H16" s="4"/>
      <c r="I16" s="4"/>
      <c r="J16" s="4"/>
      <c r="K16" s="4"/>
      <c r="L16" s="4"/>
    </row>
    <row r="17" spans="2:12" x14ac:dyDescent="0.45">
      <c r="E17" s="4"/>
      <c r="F17" s="4"/>
      <c r="G17" s="4"/>
      <c r="H17" s="4"/>
      <c r="I17" s="4"/>
      <c r="J17" s="4"/>
      <c r="K17" s="4"/>
      <c r="L17" s="4"/>
    </row>
    <row r="18" spans="2:12" x14ac:dyDescent="0.45">
      <c r="C18" s="5" t="s">
        <v>14</v>
      </c>
      <c r="E18" s="4"/>
      <c r="F18" s="37">
        <v>1</v>
      </c>
      <c r="G18" s="4"/>
      <c r="H18" s="4"/>
      <c r="I18" s="4"/>
      <c r="J18" s="4"/>
      <c r="K18" s="4"/>
      <c r="L18" s="4"/>
    </row>
    <row r="19" spans="2:12" x14ac:dyDescent="0.45">
      <c r="C19" s="5" t="s">
        <v>13</v>
      </c>
      <c r="F19" s="38">
        <v>1</v>
      </c>
      <c r="G19" s="4"/>
      <c r="H19" s="4"/>
      <c r="I19" s="4"/>
      <c r="J19" s="4"/>
      <c r="K19" s="4"/>
      <c r="L19" s="4"/>
    </row>
    <row r="20" spans="2:12" x14ac:dyDescent="0.45">
      <c r="C20" t="s">
        <v>0</v>
      </c>
      <c r="F20" s="1014">
        <f>'14. Permanent Info'!M9</f>
        <v>19714.5</v>
      </c>
      <c r="G20" s="4"/>
      <c r="H20" s="4"/>
      <c r="I20" s="4"/>
      <c r="J20" s="4"/>
      <c r="K20" s="4"/>
      <c r="L20" s="4"/>
    </row>
    <row r="21" spans="2:12" x14ac:dyDescent="0.45">
      <c r="G21" s="4"/>
      <c r="H21" s="4"/>
      <c r="I21" s="4"/>
      <c r="J21" s="4"/>
      <c r="K21" s="4"/>
      <c r="L21" s="4"/>
    </row>
    <row r="22" spans="2:12" x14ac:dyDescent="0.45">
      <c r="C22" t="s">
        <v>15</v>
      </c>
      <c r="F22" s="1">
        <f>F14*F18*F19*F20</f>
        <v>101726820</v>
      </c>
      <c r="G22" s="4"/>
      <c r="H22" s="4"/>
      <c r="I22" s="4"/>
      <c r="J22" s="4"/>
      <c r="K22" s="4"/>
      <c r="L22" s="4"/>
    </row>
    <row r="23" spans="2:12" x14ac:dyDescent="0.45">
      <c r="E23" s="4"/>
      <c r="F23" s="4"/>
      <c r="G23" s="4"/>
      <c r="H23" s="4"/>
      <c r="I23" s="4"/>
      <c r="J23" s="4"/>
      <c r="K23" s="4"/>
      <c r="L23" s="4"/>
    </row>
    <row r="24" spans="2:12" x14ac:dyDescent="0.45">
      <c r="E24" s="4"/>
      <c r="F24" s="4"/>
      <c r="G24" s="4"/>
      <c r="H24" s="4"/>
      <c r="I24" s="4"/>
      <c r="J24" s="4"/>
      <c r="K24" s="4"/>
      <c r="L24" s="4"/>
    </row>
    <row r="25" spans="2:12" x14ac:dyDescent="0.45">
      <c r="E25" s="4"/>
      <c r="F25" s="4"/>
      <c r="G25" s="4"/>
      <c r="H25" s="4"/>
      <c r="I25" s="4"/>
      <c r="J25" s="4"/>
      <c r="K25" s="4"/>
      <c r="L25" s="4"/>
    </row>
    <row r="26" spans="2:12" x14ac:dyDescent="0.45">
      <c r="B26" s="39" t="s">
        <v>6</v>
      </c>
      <c r="C26" s="40"/>
      <c r="F26" s="41" t="s">
        <v>11</v>
      </c>
      <c r="G26" s="41" t="s">
        <v>1</v>
      </c>
      <c r="H26" s="41" t="s">
        <v>2</v>
      </c>
      <c r="I26" s="41" t="s">
        <v>3</v>
      </c>
      <c r="J26" s="41" t="s">
        <v>4</v>
      </c>
      <c r="K26" s="41" t="s">
        <v>5</v>
      </c>
      <c r="L26" s="556"/>
    </row>
    <row r="27" spans="2:12" x14ac:dyDescent="0.45">
      <c r="B27" s="39" t="s">
        <v>58</v>
      </c>
      <c r="C27" s="40"/>
      <c r="F27" s="41" t="s">
        <v>59</v>
      </c>
      <c r="G27" s="41" t="s">
        <v>59</v>
      </c>
      <c r="H27" s="41" t="s">
        <v>59</v>
      </c>
      <c r="I27" s="41" t="s">
        <v>59</v>
      </c>
      <c r="J27" s="41" t="s">
        <v>59</v>
      </c>
      <c r="K27" s="41" t="s">
        <v>59</v>
      </c>
      <c r="L27" s="556"/>
    </row>
    <row r="28" spans="2:12" ht="14.65" thickBot="1" x14ac:dyDescent="0.5">
      <c r="B28" s="39" t="s">
        <v>61</v>
      </c>
      <c r="C28" s="40"/>
      <c r="F28" s="40">
        <f t="shared" ref="F28:F36" si="0">SUM(G28:O28)</f>
        <v>4908</v>
      </c>
      <c r="G28" s="43">
        <v>127</v>
      </c>
      <c r="H28" s="43">
        <v>48</v>
      </c>
      <c r="I28" s="43">
        <v>1788</v>
      </c>
      <c r="J28" s="43">
        <v>2281</v>
      </c>
      <c r="K28" s="43">
        <v>664</v>
      </c>
      <c r="L28" s="527"/>
    </row>
    <row r="29" spans="2:12" ht="15" thickTop="1" thickBot="1" x14ac:dyDescent="0.5">
      <c r="B29" s="39" t="s">
        <v>62</v>
      </c>
      <c r="C29" s="40"/>
      <c r="F29" s="44">
        <f t="shared" si="0"/>
        <v>96914574.649999991</v>
      </c>
      <c r="G29" s="44">
        <v>1484558.63</v>
      </c>
      <c r="H29" s="44">
        <v>1513477.1</v>
      </c>
      <c r="I29" s="44">
        <v>31984446.030000001</v>
      </c>
      <c r="J29" s="44">
        <v>49730838.539999999</v>
      </c>
      <c r="K29" s="44">
        <v>12201254.35</v>
      </c>
      <c r="L29" s="527"/>
    </row>
    <row r="30" spans="2:12" ht="14.65" thickTop="1" x14ac:dyDescent="0.45">
      <c r="B30" s="39" t="s">
        <v>63</v>
      </c>
      <c r="C30" s="40"/>
      <c r="F30" s="40">
        <f t="shared" si="0"/>
        <v>96873395.209999993</v>
      </c>
      <c r="G30" s="40">
        <v>1484558.63</v>
      </c>
      <c r="H30" s="40">
        <v>1513477.1</v>
      </c>
      <c r="I30" s="40">
        <v>31984426.030000001</v>
      </c>
      <c r="J30" s="40">
        <v>49690196.090000004</v>
      </c>
      <c r="K30" s="40">
        <v>12200737.359999999</v>
      </c>
      <c r="L30" s="40"/>
    </row>
    <row r="31" spans="2:12" x14ac:dyDescent="0.45">
      <c r="B31" s="39" t="s">
        <v>27</v>
      </c>
      <c r="C31" s="40"/>
      <c r="F31" s="40">
        <f t="shared" si="0"/>
        <v>928668.98</v>
      </c>
      <c r="G31" s="40">
        <v>19872.53</v>
      </c>
      <c r="H31" s="40">
        <v>10794.81</v>
      </c>
      <c r="I31" s="40">
        <v>184583.56</v>
      </c>
      <c r="J31" s="40">
        <v>303721.09000000003</v>
      </c>
      <c r="K31" s="40">
        <v>409696.99</v>
      </c>
      <c r="L31" s="40"/>
    </row>
    <row r="32" spans="2:12" x14ac:dyDescent="0.45">
      <c r="B32" s="39" t="s">
        <v>64</v>
      </c>
      <c r="C32" s="40"/>
      <c r="F32" s="40">
        <f t="shared" si="0"/>
        <v>859076.97</v>
      </c>
      <c r="G32" s="40">
        <v>17960.57</v>
      </c>
      <c r="H32" s="40">
        <v>10974.81</v>
      </c>
      <c r="I32" s="40">
        <v>184452.52</v>
      </c>
      <c r="J32" s="40">
        <v>299945.71999999997</v>
      </c>
      <c r="K32" s="40">
        <v>345743.35</v>
      </c>
      <c r="L32" s="40"/>
    </row>
    <row r="33" spans="2:16" x14ac:dyDescent="0.45">
      <c r="B33" s="39" t="s">
        <v>31</v>
      </c>
      <c r="C33" s="40"/>
      <c r="F33" s="40">
        <f t="shared" si="0"/>
        <v>823059.97</v>
      </c>
      <c r="G33" s="40">
        <v>17660.599999999999</v>
      </c>
      <c r="H33" s="40">
        <v>10794.81</v>
      </c>
      <c r="I33" s="40">
        <v>184199.32</v>
      </c>
      <c r="J33" s="40">
        <v>297527.8</v>
      </c>
      <c r="K33" s="40">
        <v>312877.44</v>
      </c>
      <c r="L33" s="40"/>
    </row>
    <row r="34" spans="2:16" x14ac:dyDescent="0.45">
      <c r="B34" s="39" t="s">
        <v>65</v>
      </c>
      <c r="C34" s="40"/>
      <c r="F34" s="40">
        <f t="shared" si="0"/>
        <v>786868.45</v>
      </c>
      <c r="G34" s="40">
        <v>17171.599999999999</v>
      </c>
      <c r="H34" s="40">
        <v>10794.81</v>
      </c>
      <c r="I34" s="40">
        <v>184110.05</v>
      </c>
      <c r="J34" s="40">
        <v>295600.11</v>
      </c>
      <c r="K34" s="40">
        <v>279191.88</v>
      </c>
      <c r="L34" s="40"/>
    </row>
    <row r="35" spans="2:16" x14ac:dyDescent="0.45">
      <c r="B35" s="39" t="s">
        <v>66</v>
      </c>
      <c r="C35" s="40"/>
      <c r="F35" s="40">
        <f t="shared" si="0"/>
        <v>761864.49</v>
      </c>
      <c r="G35" s="40">
        <v>16759.599999999999</v>
      </c>
      <c r="H35" s="40">
        <v>10794.81</v>
      </c>
      <c r="I35" s="40">
        <v>184107.35</v>
      </c>
      <c r="J35" s="40">
        <v>294438.28000000003</v>
      </c>
      <c r="K35" s="40">
        <v>255764.45</v>
      </c>
      <c r="L35" s="40"/>
    </row>
    <row r="36" spans="2:16" x14ac:dyDescent="0.45">
      <c r="B36" s="39" t="s">
        <v>35</v>
      </c>
      <c r="C36" s="40"/>
      <c r="F36" s="40">
        <f t="shared" si="0"/>
        <v>92714036.349999994</v>
      </c>
      <c r="G36" s="40">
        <v>1395133.73</v>
      </c>
      <c r="H36" s="40">
        <v>1459503.05</v>
      </c>
      <c r="I36" s="40">
        <v>31062973.23</v>
      </c>
      <c r="J36" s="40">
        <v>48198963.090000004</v>
      </c>
      <c r="K36" s="40">
        <v>10597463.25</v>
      </c>
      <c r="L36" s="40"/>
    </row>
    <row r="37" spans="2:16" x14ac:dyDescent="0.45">
      <c r="B37" s="42"/>
      <c r="C37" s="40"/>
      <c r="F37" s="42"/>
      <c r="G37" s="42"/>
      <c r="H37" s="42"/>
      <c r="I37" s="42"/>
      <c r="J37" s="42"/>
      <c r="K37" s="42"/>
      <c r="L37" s="42"/>
    </row>
    <row r="38" spans="2:16" ht="14.65" thickBot="1" x14ac:dyDescent="0.5">
      <c r="B38" s="42" t="s">
        <v>67</v>
      </c>
      <c r="C38" s="40"/>
      <c r="F38" s="45">
        <f t="shared" ref="F38:K45" si="1">IF(F$28&lt;&gt;0,F29/F$28,0)</f>
        <v>19746.245853708231</v>
      </c>
      <c r="G38" s="45">
        <f t="shared" si="1"/>
        <v>11689.438031496062</v>
      </c>
      <c r="H38" s="45">
        <f t="shared" si="1"/>
        <v>31530.772916666669</v>
      </c>
      <c r="I38" s="45">
        <f t="shared" si="1"/>
        <v>17888.392634228188</v>
      </c>
      <c r="J38" s="45">
        <f t="shared" si="1"/>
        <v>21802.208917141605</v>
      </c>
      <c r="K38" s="45">
        <f t="shared" si="1"/>
        <v>18375.383057228915</v>
      </c>
      <c r="L38" s="527"/>
    </row>
    <row r="39" spans="2:16" ht="15" thickTop="1" thickBot="1" x14ac:dyDescent="0.5">
      <c r="B39" s="42" t="str">
        <f t="shared" ref="B39:B45" si="2">B30</f>
        <v>Arrear Amount</v>
      </c>
      <c r="C39" s="40"/>
      <c r="F39" s="44">
        <f t="shared" si="1"/>
        <v>19737.855584759574</v>
      </c>
      <c r="G39" s="44">
        <f t="shared" si="1"/>
        <v>11689.438031496062</v>
      </c>
      <c r="H39" s="44">
        <f t="shared" si="1"/>
        <v>31530.772916666669</v>
      </c>
      <c r="I39" s="44">
        <f t="shared" si="1"/>
        <v>17888.381448545861</v>
      </c>
      <c r="J39" s="44">
        <f t="shared" si="1"/>
        <v>21784.391096010524</v>
      </c>
      <c r="K39" s="44">
        <f t="shared" si="1"/>
        <v>18374.604457831323</v>
      </c>
      <c r="L39" s="527"/>
    </row>
    <row r="40" spans="2:16" ht="14.65" thickTop="1" x14ac:dyDescent="0.45">
      <c r="B40" s="42" t="str">
        <f t="shared" si="2"/>
        <v>Current</v>
      </c>
      <c r="C40" s="40"/>
      <c r="F40" s="40">
        <f t="shared" si="1"/>
        <v>189.21535859820702</v>
      </c>
      <c r="G40" s="40">
        <f t="shared" si="1"/>
        <v>156.47661417322834</v>
      </c>
      <c r="H40" s="40">
        <f t="shared" si="1"/>
        <v>224.891875</v>
      </c>
      <c r="I40" s="40">
        <f t="shared" si="1"/>
        <v>103.23465324384787</v>
      </c>
      <c r="J40" s="40">
        <f t="shared" si="1"/>
        <v>133.15260412099957</v>
      </c>
      <c r="K40" s="40">
        <f t="shared" si="1"/>
        <v>617.01353915662651</v>
      </c>
      <c r="L40" s="40"/>
    </row>
    <row r="41" spans="2:16" x14ac:dyDescent="0.45">
      <c r="B41" s="42" t="str">
        <f t="shared" si="2"/>
        <v>30 Days</v>
      </c>
      <c r="C41" s="40"/>
      <c r="F41" s="40">
        <f t="shared" si="1"/>
        <v>175.03605745721271</v>
      </c>
      <c r="G41" s="40">
        <f t="shared" si="1"/>
        <v>141.42181102362204</v>
      </c>
      <c r="H41" s="40">
        <f t="shared" si="1"/>
        <v>228.641875</v>
      </c>
      <c r="I41" s="40">
        <f t="shared" si="1"/>
        <v>103.16136465324384</v>
      </c>
      <c r="J41" s="40">
        <f t="shared" si="1"/>
        <v>131.49746602367381</v>
      </c>
      <c r="K41" s="40">
        <f t="shared" si="1"/>
        <v>520.69781626506017</v>
      </c>
      <c r="L41" s="40"/>
    </row>
    <row r="42" spans="2:16" x14ac:dyDescent="0.45">
      <c r="B42" s="42" t="str">
        <f t="shared" si="2"/>
        <v>60 days</v>
      </c>
      <c r="C42" s="40"/>
      <c r="F42" s="40">
        <f t="shared" si="1"/>
        <v>167.69763039934799</v>
      </c>
      <c r="G42" s="40">
        <f t="shared" si="1"/>
        <v>139.05984251968502</v>
      </c>
      <c r="H42" s="40">
        <f t="shared" si="1"/>
        <v>224.891875</v>
      </c>
      <c r="I42" s="40">
        <f t="shared" si="1"/>
        <v>103.01975391498881</v>
      </c>
      <c r="J42" s="40">
        <f t="shared" si="1"/>
        <v>130.43743971942129</v>
      </c>
      <c r="K42" s="40">
        <f t="shared" si="1"/>
        <v>471.20096385542166</v>
      </c>
      <c r="L42" s="40"/>
    </row>
    <row r="43" spans="2:16" x14ac:dyDescent="0.45">
      <c r="B43" s="42" t="str">
        <f t="shared" si="2"/>
        <v>90 Days</v>
      </c>
      <c r="C43" s="40"/>
      <c r="F43" s="40">
        <f t="shared" si="1"/>
        <v>160.32364506927465</v>
      </c>
      <c r="G43" s="40">
        <f t="shared" si="1"/>
        <v>135.20944881889761</v>
      </c>
      <c r="H43" s="40">
        <f t="shared" si="1"/>
        <v>224.891875</v>
      </c>
      <c r="I43" s="40">
        <f t="shared" si="1"/>
        <v>102.96982662192393</v>
      </c>
      <c r="J43" s="40">
        <f t="shared" si="1"/>
        <v>129.59233231039016</v>
      </c>
      <c r="K43" s="40">
        <f t="shared" si="1"/>
        <v>420.4696987951807</v>
      </c>
      <c r="L43" s="40"/>
    </row>
    <row r="44" spans="2:16" x14ac:dyDescent="0.45">
      <c r="B44" s="42" t="str">
        <f t="shared" si="2"/>
        <v>120 days</v>
      </c>
      <c r="C44" s="40"/>
      <c r="F44" s="40">
        <f t="shared" si="1"/>
        <v>155.22911369193153</v>
      </c>
      <c r="G44" s="40">
        <f t="shared" si="1"/>
        <v>131.96535433070866</v>
      </c>
      <c r="H44" s="40">
        <f t="shared" si="1"/>
        <v>224.891875</v>
      </c>
      <c r="I44" s="40">
        <f t="shared" si="1"/>
        <v>102.96831655480985</v>
      </c>
      <c r="J44" s="40">
        <f t="shared" si="1"/>
        <v>129.08298114861904</v>
      </c>
      <c r="K44" s="40">
        <f t="shared" si="1"/>
        <v>385.18742469879521</v>
      </c>
      <c r="L44" s="40"/>
    </row>
    <row r="45" spans="2:16" x14ac:dyDescent="0.45">
      <c r="B45" s="42" t="str">
        <f t="shared" si="2"/>
        <v>120+ days</v>
      </c>
      <c r="C45" s="40"/>
      <c r="F45" s="40">
        <f t="shared" si="1"/>
        <v>18890.390454360226</v>
      </c>
      <c r="G45" s="40">
        <f t="shared" si="1"/>
        <v>10985.304960629921</v>
      </c>
      <c r="H45" s="40">
        <f t="shared" si="1"/>
        <v>30406.313541666666</v>
      </c>
      <c r="I45" s="40">
        <f t="shared" si="1"/>
        <v>17373.027533557048</v>
      </c>
      <c r="J45" s="40">
        <f t="shared" si="1"/>
        <v>21130.62827268742</v>
      </c>
      <c r="K45" s="40">
        <f t="shared" si="1"/>
        <v>15960.035015060241</v>
      </c>
      <c r="L45" s="40"/>
    </row>
    <row r="46" spans="2:16" x14ac:dyDescent="0.45">
      <c r="E46" s="4"/>
      <c r="F46" s="4"/>
      <c r="G46" s="4"/>
      <c r="H46" s="4"/>
      <c r="I46" s="4"/>
      <c r="J46" s="4"/>
      <c r="P46" s="4"/>
    </row>
    <row r="47" spans="2:16" x14ac:dyDescent="0.45">
      <c r="E47" s="4"/>
      <c r="F47" s="4"/>
      <c r="G47" s="4"/>
      <c r="H47" s="4"/>
      <c r="I47" s="4"/>
      <c r="J47" s="4"/>
      <c r="K47" s="4"/>
      <c r="L47" s="4"/>
      <c r="M47" s="4"/>
      <c r="N47" s="4"/>
      <c r="O47" s="4"/>
      <c r="P47" s="4"/>
    </row>
    <row r="48" spans="2:16" x14ac:dyDescent="0.45">
      <c r="E48" s="4"/>
      <c r="F48" s="4"/>
      <c r="G48" s="4"/>
      <c r="H48" s="4"/>
      <c r="I48" s="4"/>
      <c r="J48" s="4"/>
      <c r="K48" s="4"/>
      <c r="L48" s="4"/>
      <c r="M48" s="4"/>
      <c r="N48" s="4"/>
      <c r="O48" s="4"/>
      <c r="P48" s="4"/>
    </row>
    <row r="49" spans="2:16" x14ac:dyDescent="0.45">
      <c r="B49" s="39" t="s">
        <v>6</v>
      </c>
      <c r="E49" s="4"/>
      <c r="F49" s="41" t="s">
        <v>11</v>
      </c>
      <c r="G49" s="41" t="s">
        <v>1</v>
      </c>
      <c r="H49" s="41" t="s">
        <v>2</v>
      </c>
      <c r="I49" s="41" t="s">
        <v>3</v>
      </c>
      <c r="J49" s="41" t="s">
        <v>4</v>
      </c>
      <c r="K49" s="41" t="s">
        <v>5</v>
      </c>
      <c r="L49" s="556"/>
      <c r="M49" s="4"/>
      <c r="N49" s="4"/>
      <c r="O49" s="4"/>
      <c r="P49" s="4"/>
    </row>
    <row r="50" spans="2:16" x14ac:dyDescent="0.45">
      <c r="B50" s="39" t="s">
        <v>58</v>
      </c>
      <c r="E50" s="4"/>
      <c r="F50" s="41" t="s">
        <v>60</v>
      </c>
      <c r="G50" s="41" t="s">
        <v>60</v>
      </c>
      <c r="H50" s="41" t="s">
        <v>60</v>
      </c>
      <c r="I50" s="41" t="s">
        <v>60</v>
      </c>
      <c r="J50" s="41" t="s">
        <v>60</v>
      </c>
      <c r="K50" s="41" t="s">
        <v>60</v>
      </c>
      <c r="L50" s="556"/>
      <c r="M50" s="4"/>
      <c r="N50" s="4"/>
      <c r="O50" s="4"/>
      <c r="P50" s="4"/>
    </row>
    <row r="51" spans="2:16" ht="14.65" thickBot="1" x14ac:dyDescent="0.5">
      <c r="B51" s="39" t="s">
        <v>61</v>
      </c>
      <c r="E51" s="4"/>
      <c r="F51" s="43">
        <f t="shared" ref="F51:F59" si="3">SUM(G51:K51)</f>
        <v>2239</v>
      </c>
      <c r="G51" s="43">
        <v>114</v>
      </c>
      <c r="H51" s="43">
        <v>1</v>
      </c>
      <c r="I51" s="43">
        <v>456</v>
      </c>
      <c r="J51" s="43">
        <v>778</v>
      </c>
      <c r="K51" s="43">
        <v>890</v>
      </c>
      <c r="L51" s="527"/>
      <c r="M51" s="4"/>
      <c r="N51" s="4"/>
      <c r="O51" s="4"/>
      <c r="P51" s="4"/>
    </row>
    <row r="52" spans="2:16" ht="15" thickTop="1" thickBot="1" x14ac:dyDescent="0.5">
      <c r="B52" s="39" t="s">
        <v>62</v>
      </c>
      <c r="E52" s="4"/>
      <c r="F52" s="44">
        <f t="shared" si="3"/>
        <v>195753487.02999997</v>
      </c>
      <c r="G52" s="44">
        <v>8780700.9399999995</v>
      </c>
      <c r="H52" s="44">
        <v>35073.449999999997</v>
      </c>
      <c r="I52" s="44">
        <v>69531298.599999994</v>
      </c>
      <c r="J52" s="44">
        <v>71198252.709999993</v>
      </c>
      <c r="K52" s="44">
        <v>46208161.329999998</v>
      </c>
      <c r="L52" s="527"/>
      <c r="M52" s="4"/>
      <c r="N52" s="4"/>
      <c r="O52" s="4"/>
      <c r="P52" s="4"/>
    </row>
    <row r="53" spans="2:16" ht="14.65" thickTop="1" x14ac:dyDescent="0.45">
      <c r="B53" s="39" t="s">
        <v>63</v>
      </c>
      <c r="E53" s="4"/>
      <c r="F53" s="40">
        <f t="shared" si="3"/>
        <v>173333076.53999999</v>
      </c>
      <c r="G53" s="40">
        <v>6584340.7000000002</v>
      </c>
      <c r="H53" s="40">
        <v>35073.449999999997</v>
      </c>
      <c r="I53" s="40">
        <v>67442136.209999993</v>
      </c>
      <c r="J53" s="40">
        <v>60206403.469999999</v>
      </c>
      <c r="K53" s="40">
        <v>39065122.710000001</v>
      </c>
      <c r="L53" s="40"/>
      <c r="M53" s="4"/>
      <c r="N53" s="4"/>
      <c r="O53" s="4"/>
      <c r="P53" s="4"/>
    </row>
    <row r="54" spans="2:16" x14ac:dyDescent="0.45">
      <c r="B54" s="39" t="s">
        <v>27</v>
      </c>
      <c r="E54" s="4"/>
      <c r="F54" s="40">
        <f t="shared" si="3"/>
        <v>2357678.67</v>
      </c>
      <c r="G54" s="40">
        <v>22349.119999999999</v>
      </c>
      <c r="H54" s="40">
        <v>35.880000000000003</v>
      </c>
      <c r="I54" s="40">
        <v>826785.65</v>
      </c>
      <c r="J54" s="40">
        <v>839217.18</v>
      </c>
      <c r="K54" s="40">
        <v>669290.84</v>
      </c>
      <c r="L54" s="40"/>
      <c r="M54" s="4"/>
      <c r="N54" s="4"/>
      <c r="O54" s="4"/>
      <c r="P54" s="4"/>
    </row>
    <row r="55" spans="2:16" x14ac:dyDescent="0.45">
      <c r="B55" s="39" t="s">
        <v>64</v>
      </c>
      <c r="E55" s="4"/>
      <c r="F55" s="40">
        <f t="shared" si="3"/>
        <v>1431257.38</v>
      </c>
      <c r="G55" s="40">
        <v>120984.86</v>
      </c>
      <c r="H55" s="40">
        <v>35.68</v>
      </c>
      <c r="I55" s="40">
        <v>736608.21</v>
      </c>
      <c r="J55" s="40">
        <v>-932.49</v>
      </c>
      <c r="K55" s="40">
        <v>574561.12</v>
      </c>
      <c r="L55" s="40"/>
      <c r="M55" s="4"/>
      <c r="N55" s="4"/>
      <c r="O55" s="4"/>
      <c r="P55" s="4"/>
    </row>
    <row r="56" spans="2:16" x14ac:dyDescent="0.45">
      <c r="B56" s="39" t="s">
        <v>31</v>
      </c>
      <c r="E56" s="4"/>
      <c r="F56" s="40">
        <f t="shared" si="3"/>
        <v>2123275.56</v>
      </c>
      <c r="G56" s="40">
        <v>421583.95</v>
      </c>
      <c r="H56" s="40">
        <v>38.68</v>
      </c>
      <c r="I56" s="40">
        <v>787811.95</v>
      </c>
      <c r="J56" s="40">
        <v>345213.55</v>
      </c>
      <c r="K56" s="40">
        <v>568627.43000000005</v>
      </c>
      <c r="L56" s="40"/>
      <c r="M56" s="4"/>
      <c r="N56" s="4"/>
      <c r="O56" s="4"/>
      <c r="P56" s="4"/>
    </row>
    <row r="57" spans="2:16" x14ac:dyDescent="0.45">
      <c r="B57" s="39" t="s">
        <v>65</v>
      </c>
      <c r="E57" s="4"/>
      <c r="F57" s="40">
        <f t="shared" si="3"/>
        <v>203181.42999999988</v>
      </c>
      <c r="G57" s="40">
        <v>88626.52</v>
      </c>
      <c r="H57" s="40">
        <v>35.68</v>
      </c>
      <c r="I57" s="40">
        <v>1120293.1299999999</v>
      </c>
      <c r="J57" s="40">
        <v>-1433106.94</v>
      </c>
      <c r="K57" s="40">
        <v>427333.04</v>
      </c>
      <c r="L57" s="40"/>
      <c r="M57" s="4"/>
      <c r="N57" s="4"/>
      <c r="O57" s="4"/>
      <c r="P57" s="4"/>
    </row>
    <row r="58" spans="2:16" x14ac:dyDescent="0.45">
      <c r="B58" s="39" t="s">
        <v>66</v>
      </c>
      <c r="E58" s="4"/>
      <c r="F58" s="40">
        <f t="shared" si="3"/>
        <v>-184018.03000000003</v>
      </c>
      <c r="G58" s="40">
        <v>99432.55</v>
      </c>
      <c r="H58" s="40">
        <v>35.68</v>
      </c>
      <c r="I58" s="40">
        <v>467328.28</v>
      </c>
      <c r="J58" s="40">
        <v>-1308603.23</v>
      </c>
      <c r="K58" s="40">
        <v>557788.68999999994</v>
      </c>
      <c r="L58" s="40"/>
      <c r="M58" s="4"/>
      <c r="N58" s="4"/>
      <c r="O58" s="4"/>
      <c r="P58" s="4"/>
    </row>
    <row r="59" spans="2:16" x14ac:dyDescent="0.45">
      <c r="B59" s="39" t="s">
        <v>35</v>
      </c>
      <c r="E59" s="4"/>
      <c r="F59" s="40">
        <f t="shared" si="3"/>
        <v>162153432.53</v>
      </c>
      <c r="G59" s="40">
        <v>583364.69999999995</v>
      </c>
      <c r="H59" s="40">
        <f>3494.85*0+H53-SUM(H54:H58)</f>
        <v>34891.85</v>
      </c>
      <c r="I59" s="40">
        <v>63503308.990000002</v>
      </c>
      <c r="J59" s="40">
        <v>61764615.399999999</v>
      </c>
      <c r="K59" s="40">
        <v>36267251.590000004</v>
      </c>
      <c r="L59" s="40"/>
      <c r="M59" s="4"/>
      <c r="N59" s="4"/>
      <c r="O59" s="4"/>
      <c r="P59" s="4"/>
    </row>
    <row r="60" spans="2:16" x14ac:dyDescent="0.45">
      <c r="B60" s="42"/>
      <c r="E60" s="4"/>
      <c r="F60" s="42"/>
      <c r="G60" s="42"/>
      <c r="H60" s="42"/>
      <c r="I60" s="42"/>
      <c r="J60" s="42"/>
      <c r="K60" s="42"/>
      <c r="L60" s="42"/>
      <c r="M60" s="4"/>
      <c r="N60" s="4"/>
      <c r="O60" s="4"/>
      <c r="P60" s="4"/>
    </row>
    <row r="61" spans="2:16" ht="14.65" thickBot="1" x14ac:dyDescent="0.5">
      <c r="B61" s="42" t="s">
        <v>67</v>
      </c>
      <c r="E61" s="4"/>
      <c r="F61" s="45">
        <f t="shared" ref="F61:K68" si="4">IF(F$51&lt;&gt;0,F52/F$51,0)</f>
        <v>87428.980361768641</v>
      </c>
      <c r="G61" s="45">
        <f t="shared" si="4"/>
        <v>77023.692456140343</v>
      </c>
      <c r="H61" s="45">
        <f t="shared" si="4"/>
        <v>35073.449999999997</v>
      </c>
      <c r="I61" s="45">
        <f t="shared" si="4"/>
        <v>152480.91798245613</v>
      </c>
      <c r="J61" s="45">
        <f t="shared" si="4"/>
        <v>91514.463637532128</v>
      </c>
      <c r="K61" s="45">
        <f t="shared" si="4"/>
        <v>51919.282393258422</v>
      </c>
      <c r="L61" s="527"/>
      <c r="M61" s="4"/>
      <c r="N61" s="4"/>
      <c r="O61" s="4"/>
      <c r="P61" s="4"/>
    </row>
    <row r="62" spans="2:16" ht="15" thickTop="1" thickBot="1" x14ac:dyDescent="0.5">
      <c r="B62" s="42" t="str">
        <f t="shared" ref="B62:B68" si="5">B53</f>
        <v>Arrear Amount</v>
      </c>
      <c r="E62" s="4"/>
      <c r="F62" s="44">
        <f t="shared" si="4"/>
        <v>77415.39818669048</v>
      </c>
      <c r="G62" s="44">
        <f t="shared" si="4"/>
        <v>57757.374561403507</v>
      </c>
      <c r="H62" s="44">
        <f t="shared" si="4"/>
        <v>35073.449999999997</v>
      </c>
      <c r="I62" s="44">
        <f t="shared" si="4"/>
        <v>147899.42151315787</v>
      </c>
      <c r="J62" s="44">
        <f t="shared" si="4"/>
        <v>77386.122712082259</v>
      </c>
      <c r="K62" s="44">
        <f t="shared" si="4"/>
        <v>43893.396303370784</v>
      </c>
      <c r="L62" s="527"/>
      <c r="M62" s="4"/>
      <c r="N62" s="4"/>
      <c r="O62" s="4"/>
      <c r="P62" s="4"/>
    </row>
    <row r="63" spans="2:16" ht="14.65" thickTop="1" x14ac:dyDescent="0.45">
      <c r="B63" s="42" t="str">
        <f t="shared" si="5"/>
        <v>Current</v>
      </c>
      <c r="E63" s="4"/>
      <c r="F63" s="40">
        <f t="shared" si="4"/>
        <v>1053.0052121482804</v>
      </c>
      <c r="G63" s="40">
        <f t="shared" si="4"/>
        <v>196.04491228070174</v>
      </c>
      <c r="H63" s="40">
        <f t="shared" si="4"/>
        <v>35.880000000000003</v>
      </c>
      <c r="I63" s="40">
        <f t="shared" si="4"/>
        <v>1813.1264254385965</v>
      </c>
      <c r="J63" s="40">
        <f t="shared" si="4"/>
        <v>1078.685321336761</v>
      </c>
      <c r="K63" s="40">
        <f t="shared" si="4"/>
        <v>752.01217977528086</v>
      </c>
      <c r="L63" s="40"/>
      <c r="M63" s="4"/>
      <c r="N63" s="4"/>
      <c r="O63" s="4"/>
      <c r="P63" s="4"/>
    </row>
    <row r="64" spans="2:16" x14ac:dyDescent="0.45">
      <c r="B64" s="42" t="str">
        <f t="shared" si="5"/>
        <v>30 Days</v>
      </c>
      <c r="E64" s="4"/>
      <c r="F64" s="40">
        <f t="shared" si="4"/>
        <v>639.23956230460021</v>
      </c>
      <c r="G64" s="40">
        <f t="shared" si="4"/>
        <v>1061.270701754386</v>
      </c>
      <c r="H64" s="40">
        <f t="shared" si="4"/>
        <v>35.68</v>
      </c>
      <c r="I64" s="40">
        <f t="shared" si="4"/>
        <v>1615.3688815789474</v>
      </c>
      <c r="J64" s="40">
        <f t="shared" si="4"/>
        <v>-1.1985732647814911</v>
      </c>
      <c r="K64" s="40">
        <f t="shared" si="4"/>
        <v>645.57429213483147</v>
      </c>
      <c r="L64" s="40"/>
      <c r="M64" s="4"/>
      <c r="N64" s="4"/>
      <c r="O64" s="4"/>
      <c r="P64" s="4"/>
    </row>
    <row r="65" spans="2:16" x14ac:dyDescent="0.45">
      <c r="B65" s="42" t="str">
        <f t="shared" si="5"/>
        <v>60 days</v>
      </c>
      <c r="E65" s="4"/>
      <c r="F65" s="40">
        <f t="shared" si="4"/>
        <v>948.3142295667709</v>
      </c>
      <c r="G65" s="40">
        <f t="shared" si="4"/>
        <v>3698.1048245614038</v>
      </c>
      <c r="H65" s="40">
        <f t="shared" si="4"/>
        <v>38.68</v>
      </c>
      <c r="I65" s="40">
        <f t="shared" si="4"/>
        <v>1727.6577850877193</v>
      </c>
      <c r="J65" s="40">
        <f t="shared" si="4"/>
        <v>443.71921593830331</v>
      </c>
      <c r="K65" s="40">
        <f t="shared" si="4"/>
        <v>638.90722471910124</v>
      </c>
      <c r="L65" s="40"/>
      <c r="M65" s="4"/>
      <c r="N65" s="4"/>
      <c r="O65" s="4"/>
      <c r="P65" s="4"/>
    </row>
    <row r="66" spans="2:16" x14ac:dyDescent="0.45">
      <c r="B66" s="42" t="str">
        <f t="shared" si="5"/>
        <v>90 Days</v>
      </c>
      <c r="E66" s="4"/>
      <c r="F66" s="40">
        <f t="shared" si="4"/>
        <v>90.746507369361268</v>
      </c>
      <c r="G66" s="40">
        <f t="shared" si="4"/>
        <v>777.42561403508773</v>
      </c>
      <c r="H66" s="40">
        <f t="shared" si="4"/>
        <v>35.68</v>
      </c>
      <c r="I66" s="40">
        <f t="shared" si="4"/>
        <v>2456.7831798245611</v>
      </c>
      <c r="J66" s="40">
        <f t="shared" si="4"/>
        <v>-1842.039768637532</v>
      </c>
      <c r="K66" s="40">
        <f t="shared" si="4"/>
        <v>480.14948314606738</v>
      </c>
      <c r="L66" s="40"/>
      <c r="M66" s="4"/>
      <c r="N66" s="4"/>
      <c r="O66" s="4"/>
      <c r="P66" s="4"/>
    </row>
    <row r="67" spans="2:16" x14ac:dyDescent="0.45">
      <c r="B67" s="42" t="str">
        <f t="shared" si="5"/>
        <v>120 days</v>
      </c>
      <c r="E67" s="4"/>
      <c r="F67" s="40">
        <f t="shared" si="4"/>
        <v>-82.18759714158108</v>
      </c>
      <c r="G67" s="40">
        <f t="shared" si="4"/>
        <v>872.21535087719303</v>
      </c>
      <c r="H67" s="40">
        <f t="shared" si="4"/>
        <v>35.68</v>
      </c>
      <c r="I67" s="40">
        <f t="shared" si="4"/>
        <v>1024.8427192982456</v>
      </c>
      <c r="J67" s="40">
        <f t="shared" si="4"/>
        <v>-1682.0092930591259</v>
      </c>
      <c r="K67" s="40">
        <f t="shared" si="4"/>
        <v>626.7288651685393</v>
      </c>
      <c r="L67" s="40"/>
      <c r="M67" s="4"/>
      <c r="N67" s="4"/>
      <c r="O67" s="4"/>
      <c r="P67" s="4"/>
    </row>
    <row r="68" spans="2:16" x14ac:dyDescent="0.45">
      <c r="B68" s="42" t="str">
        <f t="shared" si="5"/>
        <v>120+ days</v>
      </c>
      <c r="E68" s="4"/>
      <c r="F68" s="40">
        <f t="shared" si="4"/>
        <v>72422.256601161236</v>
      </c>
      <c r="G68" s="40">
        <f t="shared" si="4"/>
        <v>5117.2342105263151</v>
      </c>
      <c r="H68" s="40">
        <f t="shared" si="4"/>
        <v>34891.85</v>
      </c>
      <c r="I68" s="40">
        <f t="shared" si="4"/>
        <v>139261.64252192984</v>
      </c>
      <c r="J68" s="40">
        <f t="shared" si="4"/>
        <v>79388.965809768633</v>
      </c>
      <c r="K68" s="40">
        <f t="shared" si="4"/>
        <v>40749.720887640455</v>
      </c>
      <c r="L68" s="40"/>
      <c r="M68" s="4"/>
      <c r="N68" s="4"/>
      <c r="O68" s="4"/>
      <c r="P68" s="4"/>
    </row>
    <row r="69" spans="2:16" x14ac:dyDescent="0.45">
      <c r="E69" s="4"/>
      <c r="F69" s="4"/>
      <c r="G69" s="4"/>
      <c r="H69" s="4"/>
      <c r="I69" s="4"/>
      <c r="J69" s="4"/>
      <c r="K69" s="4"/>
      <c r="L69" s="4"/>
      <c r="M69" s="4"/>
      <c r="N69" s="4"/>
      <c r="O69" s="4"/>
      <c r="P69" s="4"/>
    </row>
    <row r="70" spans="2:16" x14ac:dyDescent="0.45">
      <c r="E70" s="4"/>
      <c r="F70" s="4"/>
      <c r="G70" s="4"/>
      <c r="H70" s="4"/>
      <c r="I70" s="4"/>
      <c r="J70" s="4"/>
      <c r="K70" s="4"/>
      <c r="L70" s="4"/>
      <c r="M70" s="4"/>
      <c r="N70" s="4"/>
      <c r="O70" s="4"/>
      <c r="P70" s="4"/>
    </row>
    <row r="71" spans="2:16" x14ac:dyDescent="0.45">
      <c r="E71" s="4"/>
      <c r="F71" s="4"/>
      <c r="G71" s="4"/>
      <c r="H71" s="4"/>
      <c r="I71" s="4"/>
      <c r="J71" s="4"/>
      <c r="K71" s="4"/>
      <c r="L71" s="4"/>
      <c r="M71" s="4"/>
      <c r="N71" s="4"/>
      <c r="O71" s="4"/>
      <c r="P71" s="4"/>
    </row>
    <row r="72" spans="2:16" ht="15" customHeight="1" x14ac:dyDescent="0.45">
      <c r="E72" s="4"/>
      <c r="F72" s="4"/>
      <c r="G72" s="4"/>
      <c r="H72" s="4"/>
      <c r="I72" s="4"/>
      <c r="J72" s="4"/>
      <c r="K72" s="4"/>
      <c r="L72" s="4"/>
    </row>
    <row r="73" spans="2:16" x14ac:dyDescent="0.45">
      <c r="C73" s="451" t="s">
        <v>1012</v>
      </c>
      <c r="D73" s="526" t="s">
        <v>7</v>
      </c>
      <c r="E73" s="526" t="s">
        <v>8</v>
      </c>
      <c r="F73" s="526" t="s">
        <v>9</v>
      </c>
      <c r="G73" s="526" t="s">
        <v>10</v>
      </c>
      <c r="H73" s="526" t="s">
        <v>11</v>
      </c>
      <c r="I73" s="526" t="s">
        <v>12</v>
      </c>
    </row>
    <row r="75" spans="2:16" x14ac:dyDescent="0.45">
      <c r="C75" t="s">
        <v>1013</v>
      </c>
    </row>
    <row r="76" spans="2:16" x14ac:dyDescent="0.45">
      <c r="C76" t="s">
        <v>1014</v>
      </c>
      <c r="D76" s="3">
        <v>0.17461240310077519</v>
      </c>
      <c r="E76" s="3">
        <v>0.73817829457364337</v>
      </c>
      <c r="F76" s="3">
        <v>2.1899224806201552E-2</v>
      </c>
      <c r="G76" s="3">
        <v>6.5310077519379839E-2</v>
      </c>
      <c r="H76" s="3">
        <v>1</v>
      </c>
      <c r="I76" s="4"/>
    </row>
    <row r="77" spans="2:16" x14ac:dyDescent="0.45">
      <c r="C77" s="531" t="s">
        <v>1</v>
      </c>
      <c r="D77" s="524">
        <v>38</v>
      </c>
      <c r="E77" s="524">
        <v>22</v>
      </c>
      <c r="F77" s="524">
        <v>0</v>
      </c>
      <c r="G77" s="524">
        <v>30</v>
      </c>
      <c r="H77" s="525">
        <f>SUM(D77:G77)</f>
        <v>90</v>
      </c>
      <c r="I77" s="20">
        <f>H77/H$82</f>
        <v>1.7441860465116279E-2</v>
      </c>
    </row>
    <row r="78" spans="2:16" x14ac:dyDescent="0.45">
      <c r="C78" s="531" t="s">
        <v>2</v>
      </c>
      <c r="D78" s="524">
        <v>45</v>
      </c>
      <c r="E78" s="524">
        <v>3</v>
      </c>
      <c r="F78" s="524">
        <v>0</v>
      </c>
      <c r="G78" s="524">
        <v>0</v>
      </c>
      <c r="H78" s="525">
        <f>SUM(D78:G78)</f>
        <v>48</v>
      </c>
      <c r="I78" s="20">
        <f>H78/H$82</f>
        <v>9.3023255813953487E-3</v>
      </c>
    </row>
    <row r="79" spans="2:16" x14ac:dyDescent="0.45">
      <c r="C79" s="531" t="s">
        <v>3</v>
      </c>
      <c r="D79" s="524">
        <v>298</v>
      </c>
      <c r="E79" s="524">
        <v>1184</v>
      </c>
      <c r="F79" s="524">
        <v>95</v>
      </c>
      <c r="G79" s="524">
        <v>117</v>
      </c>
      <c r="H79" s="525">
        <f>SUM(D79:G79)</f>
        <v>1694</v>
      </c>
      <c r="I79" s="20">
        <f>H79/H$82</f>
        <v>0.32829457364341086</v>
      </c>
    </row>
    <row r="80" spans="2:16" x14ac:dyDescent="0.45">
      <c r="C80" s="531" t="s">
        <v>4</v>
      </c>
      <c r="D80" s="524">
        <v>218</v>
      </c>
      <c r="E80" s="524">
        <v>2216</v>
      </c>
      <c r="F80" s="524">
        <v>12</v>
      </c>
      <c r="G80" s="524">
        <v>117</v>
      </c>
      <c r="H80" s="525">
        <f>SUM(D80:G80)</f>
        <v>2563</v>
      </c>
      <c r="I80" s="20">
        <f>H80/H$82</f>
        <v>0.49670542635658915</v>
      </c>
    </row>
    <row r="81" spans="1:26" x14ac:dyDescent="0.45">
      <c r="C81" s="531" t="s">
        <v>5</v>
      </c>
      <c r="D81" s="524">
        <v>302</v>
      </c>
      <c r="E81" s="524">
        <v>384</v>
      </c>
      <c r="F81" s="524">
        <v>6</v>
      </c>
      <c r="G81" s="524">
        <v>73</v>
      </c>
      <c r="H81" s="525">
        <f>SUM(D81:G81)</f>
        <v>765</v>
      </c>
      <c r="I81" s="20">
        <f>H81/H$82</f>
        <v>0.14825581395348839</v>
      </c>
    </row>
    <row r="82" spans="1:26" x14ac:dyDescent="0.45">
      <c r="C82" s="531" t="s">
        <v>11</v>
      </c>
      <c r="D82" s="525">
        <f>SUM(D77:D81)</f>
        <v>901</v>
      </c>
      <c r="E82" s="525">
        <f>SUM(E77:E81)</f>
        <v>3809</v>
      </c>
      <c r="F82" s="525">
        <f>SUM(F77:F81)</f>
        <v>113</v>
      </c>
      <c r="G82" s="525">
        <f>SUM(G77:G81)</f>
        <v>337</v>
      </c>
      <c r="H82" s="544">
        <f>SUM(H77:H81)</f>
        <v>5160</v>
      </c>
      <c r="I82" s="4"/>
      <c r="J82" s="4"/>
      <c r="K82" s="4"/>
      <c r="L82" s="4"/>
    </row>
    <row r="83" spans="1:26" x14ac:dyDescent="0.45">
      <c r="C83" s="4"/>
      <c r="D83" s="4"/>
      <c r="E83" s="4"/>
      <c r="F83" s="4"/>
      <c r="G83" s="4"/>
      <c r="H83" s="4"/>
      <c r="I83" s="4"/>
      <c r="J83" s="4"/>
      <c r="K83" s="4"/>
      <c r="L83" s="4"/>
      <c r="M83" s="4"/>
      <c r="N83" s="4"/>
      <c r="O83" s="4"/>
      <c r="P83" s="4"/>
    </row>
    <row r="88" spans="1:26" x14ac:dyDescent="0.45">
      <c r="E88" s="4"/>
      <c r="F88" s="4"/>
      <c r="G88" s="4"/>
      <c r="H88" s="4"/>
      <c r="I88" s="4"/>
      <c r="J88" s="4"/>
      <c r="K88" s="4"/>
      <c r="L88" s="4"/>
      <c r="M88" s="4"/>
      <c r="N88" s="4"/>
      <c r="O88" s="4"/>
      <c r="P88" s="4"/>
    </row>
    <row r="89" spans="1:26" ht="15.75" customHeight="1" x14ac:dyDescent="0.45">
      <c r="A89" s="1369" t="s">
        <v>17</v>
      </c>
      <c r="B89" s="9" t="s">
        <v>18</v>
      </c>
      <c r="C89" s="10" t="s">
        <v>19</v>
      </c>
      <c r="E89" s="4"/>
      <c r="F89" s="4"/>
      <c r="G89" s="4"/>
      <c r="H89" s="4"/>
      <c r="I89" s="4"/>
      <c r="J89" s="4"/>
      <c r="K89" s="4"/>
      <c r="L89" s="4"/>
      <c r="M89" s="4"/>
      <c r="N89" s="4"/>
      <c r="O89" s="4"/>
      <c r="P89" s="4"/>
    </row>
    <row r="90" spans="1:26" x14ac:dyDescent="0.45">
      <c r="A90" s="1370"/>
      <c r="B90" s="11" t="s">
        <v>20</v>
      </c>
      <c r="C90" s="12" t="s">
        <v>21</v>
      </c>
      <c r="E90" s="4"/>
      <c r="F90" s="17" t="s">
        <v>11</v>
      </c>
      <c r="G90" s="17" t="s">
        <v>1</v>
      </c>
      <c r="H90" s="17" t="s">
        <v>2</v>
      </c>
      <c r="I90" s="17" t="s">
        <v>3</v>
      </c>
      <c r="J90" s="17" t="s">
        <v>4</v>
      </c>
      <c r="K90" s="17" t="s">
        <v>5</v>
      </c>
      <c r="L90" s="555"/>
      <c r="M90" s="4"/>
      <c r="N90" s="4"/>
      <c r="O90" s="4"/>
    </row>
    <row r="91" spans="1:26" x14ac:dyDescent="0.45">
      <c r="A91" s="1370"/>
      <c r="B91" s="13" t="s">
        <v>22</v>
      </c>
      <c r="C91" s="13" t="s">
        <v>23</v>
      </c>
      <c r="E91" s="4"/>
      <c r="F91" s="27">
        <f t="shared" ref="F91:F97" si="6">SUM(G91:K91)</f>
        <v>96406988.940000013</v>
      </c>
      <c r="G91" s="21">
        <f>G92</f>
        <v>1018152.36</v>
      </c>
      <c r="H91" s="21">
        <f>H92</f>
        <v>1513477.1</v>
      </c>
      <c r="I91" s="21">
        <f>I92</f>
        <v>31984426.030000001</v>
      </c>
      <c r="J91" s="21">
        <f>J92</f>
        <v>49690196.090000004</v>
      </c>
      <c r="K91" s="21">
        <f>K92</f>
        <v>12200737.359999999</v>
      </c>
      <c r="L91" s="557"/>
      <c r="M91" s="4"/>
      <c r="N91" s="4"/>
      <c r="O91" s="4"/>
    </row>
    <row r="92" spans="1:26" x14ac:dyDescent="0.45">
      <c r="A92" s="1370"/>
      <c r="B92" s="13" t="s">
        <v>24</v>
      </c>
      <c r="C92" s="13" t="s">
        <v>25</v>
      </c>
      <c r="E92" s="4"/>
      <c r="F92" s="27">
        <f t="shared" si="6"/>
        <v>96406988.940000013</v>
      </c>
      <c r="G92" s="22">
        <f>SUM(G93:G97)</f>
        <v>1018152.36</v>
      </c>
      <c r="H92" s="22">
        <v>1513477.1</v>
      </c>
      <c r="I92" s="22">
        <v>31984426.030000001</v>
      </c>
      <c r="J92" s="22">
        <v>49690196.090000004</v>
      </c>
      <c r="K92" s="22">
        <v>12200737.359999999</v>
      </c>
      <c r="L92" s="557"/>
      <c r="M92" s="4"/>
      <c r="N92" s="4"/>
      <c r="O92" s="4"/>
    </row>
    <row r="93" spans="1:26" x14ac:dyDescent="0.45">
      <c r="A93" s="1370"/>
      <c r="B93" s="13" t="s">
        <v>26</v>
      </c>
      <c r="C93" t="s">
        <v>27</v>
      </c>
      <c r="E93" s="4"/>
      <c r="F93" s="27">
        <f t="shared" si="6"/>
        <v>908796.45</v>
      </c>
      <c r="G93" s="21">
        <v>0</v>
      </c>
      <c r="H93" s="21">
        <v>10794.81</v>
      </c>
      <c r="I93" s="21">
        <v>184583.56</v>
      </c>
      <c r="J93" s="21">
        <v>303721.09000000003</v>
      </c>
      <c r="K93" s="21">
        <v>409696.99</v>
      </c>
      <c r="L93" s="557"/>
      <c r="M93" s="40"/>
      <c r="N93">
        <v>0</v>
      </c>
      <c r="Q93">
        <v>10794.81</v>
      </c>
      <c r="T93">
        <v>184583.56</v>
      </c>
      <c r="W93">
        <v>303721.09000000003</v>
      </c>
      <c r="Z93">
        <v>409696.99</v>
      </c>
    </row>
    <row r="94" spans="1:26" x14ac:dyDescent="0.45">
      <c r="A94" s="1370"/>
      <c r="B94" s="13" t="s">
        <v>28</v>
      </c>
      <c r="C94" t="s">
        <v>29</v>
      </c>
      <c r="E94" s="4"/>
      <c r="F94" s="27">
        <f t="shared" si="6"/>
        <v>861038.16999999993</v>
      </c>
      <c r="G94" s="21">
        <v>19921.77</v>
      </c>
      <c r="H94" s="21">
        <v>10974.81</v>
      </c>
      <c r="I94" s="21">
        <v>184452.52</v>
      </c>
      <c r="J94" s="21">
        <v>299945.71999999997</v>
      </c>
      <c r="K94" s="21">
        <v>345743.35</v>
      </c>
      <c r="L94" s="557"/>
      <c r="M94" s="40"/>
      <c r="N94">
        <v>19921.77</v>
      </c>
      <c r="Q94">
        <v>10974.81</v>
      </c>
      <c r="T94">
        <v>184452.52</v>
      </c>
      <c r="W94">
        <v>299945.71999999997</v>
      </c>
      <c r="Z94">
        <v>345743.35</v>
      </c>
    </row>
    <row r="95" spans="1:26" x14ac:dyDescent="0.45">
      <c r="A95" s="1370"/>
      <c r="B95" s="13" t="s">
        <v>30</v>
      </c>
      <c r="C95" t="s">
        <v>31</v>
      </c>
      <c r="E95" s="4"/>
      <c r="F95" s="27">
        <f t="shared" si="6"/>
        <v>823669.91999999993</v>
      </c>
      <c r="G95" s="21">
        <v>18270.55</v>
      </c>
      <c r="H95" s="21">
        <v>10794.81</v>
      </c>
      <c r="I95" s="21">
        <v>184199.32</v>
      </c>
      <c r="J95" s="21">
        <v>297527.8</v>
      </c>
      <c r="K95" s="21">
        <v>312877.44</v>
      </c>
      <c r="L95" s="557"/>
      <c r="M95" s="40"/>
      <c r="N95">
        <v>18270.55</v>
      </c>
      <c r="Q95">
        <v>10794.81</v>
      </c>
      <c r="T95">
        <v>184199.32</v>
      </c>
      <c r="W95">
        <v>297527.8</v>
      </c>
      <c r="Z95">
        <v>312877.44</v>
      </c>
    </row>
    <row r="96" spans="1:26" x14ac:dyDescent="0.45">
      <c r="A96" s="1370"/>
      <c r="B96" s="13" t="s">
        <v>32</v>
      </c>
      <c r="C96" t="s">
        <v>33</v>
      </c>
      <c r="E96" s="4"/>
      <c r="F96" s="27">
        <f t="shared" si="6"/>
        <v>787027.02</v>
      </c>
      <c r="G96" s="21">
        <v>17330.169999999998</v>
      </c>
      <c r="H96" s="21">
        <v>10794.81</v>
      </c>
      <c r="I96" s="21">
        <v>184110.05</v>
      </c>
      <c r="J96" s="21">
        <v>295600.11</v>
      </c>
      <c r="K96" s="21">
        <v>279191.88</v>
      </c>
      <c r="L96" s="557"/>
      <c r="M96" s="40"/>
      <c r="N96">
        <v>17330.169999999998</v>
      </c>
      <c r="Q96">
        <v>10794.81</v>
      </c>
      <c r="T96">
        <v>184110.05</v>
      </c>
      <c r="W96">
        <v>295600.11</v>
      </c>
      <c r="Z96">
        <v>279191.88</v>
      </c>
    </row>
    <row r="97" spans="1:26" x14ac:dyDescent="0.45">
      <c r="A97" s="1370"/>
      <c r="B97" s="13" t="s">
        <v>34</v>
      </c>
      <c r="C97" t="s">
        <v>35</v>
      </c>
      <c r="E97" s="4"/>
      <c r="F97" s="27">
        <f t="shared" si="6"/>
        <v>92281532.49000001</v>
      </c>
      <c r="G97" s="21">
        <v>962629.87</v>
      </c>
      <c r="H97" s="21">
        <v>1459503.05</v>
      </c>
      <c r="I97" s="21">
        <v>31062973.23</v>
      </c>
      <c r="J97" s="21">
        <v>48198963.090000004</v>
      </c>
      <c r="K97" s="21">
        <v>10597463.25</v>
      </c>
      <c r="L97" s="557"/>
      <c r="M97" s="40"/>
      <c r="N97">
        <v>962629.87</v>
      </c>
      <c r="Q97">
        <v>1459503.05</v>
      </c>
      <c r="T97">
        <v>31062973.23</v>
      </c>
      <c r="W97">
        <v>48198963.090000004</v>
      </c>
      <c r="Z97">
        <v>10597463.25</v>
      </c>
    </row>
    <row r="98" spans="1:26" x14ac:dyDescent="0.45">
      <c r="A98" s="1370"/>
      <c r="B98" s="13" t="s">
        <v>36</v>
      </c>
      <c r="C98" s="14"/>
      <c r="E98" s="4"/>
      <c r="G98" s="23"/>
      <c r="H98" s="14"/>
      <c r="I98" s="14"/>
      <c r="J98" s="14"/>
      <c r="K98" s="14"/>
      <c r="L98" s="563"/>
      <c r="M98" s="40"/>
    </row>
    <row r="99" spans="1:26" x14ac:dyDescent="0.45">
      <c r="A99" s="1370"/>
      <c r="B99" s="13" t="s">
        <v>37</v>
      </c>
      <c r="C99" s="15" t="s">
        <v>38</v>
      </c>
      <c r="E99" s="4"/>
      <c r="F99" s="40">
        <f>SUM(G99:K99)</f>
        <v>4871</v>
      </c>
      <c r="G99" s="29">
        <v>90</v>
      </c>
      <c r="H99" s="29">
        <v>48</v>
      </c>
      <c r="I99" s="29">
        <v>1788</v>
      </c>
      <c r="J99" s="29">
        <v>2281</v>
      </c>
      <c r="K99" s="29">
        <v>664</v>
      </c>
      <c r="L99" s="215"/>
      <c r="M99" s="40"/>
    </row>
    <row r="100" spans="1:26" x14ac:dyDescent="0.45">
      <c r="A100" s="1370"/>
      <c r="B100" s="13" t="s">
        <v>39</v>
      </c>
      <c r="C100" s="14" t="s">
        <v>40</v>
      </c>
      <c r="E100" s="4"/>
      <c r="F100" s="40">
        <f>SUM(G100:K100)</f>
        <v>5164</v>
      </c>
      <c r="G100" s="24">
        <v>95</v>
      </c>
      <c r="H100" s="30">
        <v>48</v>
      </c>
      <c r="I100" s="30">
        <v>1692</v>
      </c>
      <c r="J100" s="30">
        <v>2486</v>
      </c>
      <c r="K100" s="30">
        <v>843</v>
      </c>
      <c r="L100" s="564"/>
      <c r="M100" s="40"/>
    </row>
    <row r="101" spans="1:26" x14ac:dyDescent="0.45">
      <c r="A101" s="1370"/>
      <c r="B101" s="13" t="s">
        <v>41</v>
      </c>
      <c r="C101" s="14" t="s">
        <v>42</v>
      </c>
      <c r="E101" s="4"/>
      <c r="F101" s="40">
        <f>SUM(G101:K101)</f>
        <v>1719</v>
      </c>
      <c r="G101" s="24">
        <v>52</v>
      </c>
      <c r="H101" s="30">
        <v>0</v>
      </c>
      <c r="I101" s="30">
        <v>79</v>
      </c>
      <c r="J101" s="30">
        <v>880</v>
      </c>
      <c r="K101" s="30">
        <v>708</v>
      </c>
      <c r="L101" s="564"/>
      <c r="M101" s="40"/>
    </row>
    <row r="102" spans="1:26" x14ac:dyDescent="0.45">
      <c r="A102" s="1370"/>
      <c r="B102" s="13" t="s">
        <v>43</v>
      </c>
      <c r="C102" s="14"/>
      <c r="E102" s="4"/>
      <c r="G102" s="25"/>
      <c r="H102" s="31"/>
      <c r="I102" s="31"/>
      <c r="J102" s="31"/>
      <c r="K102" s="31"/>
      <c r="L102" s="565"/>
      <c r="M102" s="40"/>
    </row>
    <row r="103" spans="1:26" x14ac:dyDescent="0.45">
      <c r="A103" s="1370"/>
      <c r="B103" s="13" t="s">
        <v>44</v>
      </c>
      <c r="C103" s="12" t="s">
        <v>45</v>
      </c>
      <c r="G103" s="26"/>
      <c r="H103" s="31"/>
      <c r="I103" s="31"/>
      <c r="J103" s="31"/>
      <c r="K103" s="31"/>
      <c r="L103" s="565"/>
      <c r="M103" s="40"/>
    </row>
    <row r="104" spans="1:26" x14ac:dyDescent="0.45">
      <c r="A104" s="1370"/>
      <c r="B104" s="13" t="s">
        <v>46</v>
      </c>
      <c r="C104" s="13" t="s">
        <v>23</v>
      </c>
      <c r="G104" s="26"/>
      <c r="H104" s="31"/>
      <c r="I104" s="31"/>
      <c r="J104" s="31"/>
      <c r="K104" s="31"/>
      <c r="L104" s="565"/>
      <c r="M104" s="40"/>
    </row>
    <row r="105" spans="1:26" x14ac:dyDescent="0.45">
      <c r="A105" s="1370"/>
      <c r="B105" s="13" t="s">
        <v>47</v>
      </c>
      <c r="C105" s="13" t="s">
        <v>25</v>
      </c>
      <c r="F105" s="27">
        <f>SUM(G105:K105)</f>
        <v>96406987.74607183</v>
      </c>
      <c r="G105" s="576">
        <f>SUM(G106:G108)</f>
        <v>1018152.4660718199</v>
      </c>
      <c r="H105" s="577">
        <f>H92</f>
        <v>1513477.1</v>
      </c>
      <c r="I105" s="22">
        <v>31984426.030000001</v>
      </c>
      <c r="J105" s="22">
        <v>49690194.789999999</v>
      </c>
      <c r="K105" s="22">
        <v>12200737.359999999</v>
      </c>
      <c r="L105" s="557"/>
      <c r="M105" s="40"/>
      <c r="N105">
        <v>1018152.36</v>
      </c>
      <c r="Q105">
        <v>1513477.1</v>
      </c>
      <c r="T105">
        <v>31984426.030000001</v>
      </c>
      <c r="W105">
        <v>49690194.789999999</v>
      </c>
      <c r="Z105">
        <v>12200737.359999999</v>
      </c>
    </row>
    <row r="106" spans="1:26" x14ac:dyDescent="0.45">
      <c r="A106" s="1370"/>
      <c r="B106" s="13" t="s">
        <v>48</v>
      </c>
      <c r="C106" s="13" t="s">
        <v>49</v>
      </c>
      <c r="F106" s="27">
        <f>SUM(G106:K106)</f>
        <v>8907150.0746468864</v>
      </c>
      <c r="G106" s="21">
        <v>94068.242265181776</v>
      </c>
      <c r="H106" s="21">
        <v>139831.85238170519</v>
      </c>
      <c r="I106" s="21">
        <v>2177664.67</v>
      </c>
      <c r="J106" s="21">
        <v>3528290.4</v>
      </c>
      <c r="K106" s="21">
        <v>2967294.91</v>
      </c>
      <c r="L106" s="557"/>
      <c r="M106" s="40"/>
      <c r="N106">
        <v>103643.05408773512</v>
      </c>
      <c r="Q106">
        <v>154064.75012821116</v>
      </c>
      <c r="S106">
        <v>6.8085157068550964E-2</v>
      </c>
      <c r="T106">
        <v>2177664.67</v>
      </c>
      <c r="V106">
        <v>7.1005767131950503E-2</v>
      </c>
      <c r="W106">
        <v>3528290.4</v>
      </c>
      <c r="Y106">
        <v>0.2432061950393464</v>
      </c>
      <c r="Z106">
        <v>2967294.91</v>
      </c>
    </row>
    <row r="107" spans="1:26" x14ac:dyDescent="0.45">
      <c r="A107" s="1370"/>
      <c r="B107" s="13" t="s">
        <v>50</v>
      </c>
      <c r="C107" s="16" t="s">
        <v>51</v>
      </c>
      <c r="F107" s="27">
        <f>SUM(G107:K107)</f>
        <v>25218172.656239878</v>
      </c>
      <c r="G107" s="21">
        <v>266328.64103913726</v>
      </c>
      <c r="H107" s="21">
        <v>395895.85520074278</v>
      </c>
      <c r="I107" s="21">
        <v>6707776.2199999997</v>
      </c>
      <c r="J107" s="21">
        <v>12892006.369999999</v>
      </c>
      <c r="K107" s="21">
        <v>4956165.57</v>
      </c>
      <c r="L107" s="557"/>
      <c r="M107" s="40"/>
      <c r="N107">
        <v>293437.11632793263</v>
      </c>
      <c r="Q107">
        <v>436192.43376537692</v>
      </c>
      <c r="S107">
        <v>0.20972007481730007</v>
      </c>
      <c r="T107">
        <v>6707776.2199999997</v>
      </c>
      <c r="V107">
        <v>0.25944769233616438</v>
      </c>
      <c r="W107">
        <v>12892006.369999999</v>
      </c>
      <c r="Y107">
        <v>0.40621852792674168</v>
      </c>
      <c r="Z107">
        <v>4956165.57</v>
      </c>
    </row>
    <row r="108" spans="1:26" x14ac:dyDescent="0.45">
      <c r="A108" s="1370"/>
      <c r="B108" s="13" t="s">
        <v>52</v>
      </c>
      <c r="C108" s="13" t="s">
        <v>53</v>
      </c>
      <c r="F108" s="27">
        <f>SUM(G108:K108)</f>
        <v>62281674.952860147</v>
      </c>
      <c r="G108" s="21">
        <v>657755.58276750077</v>
      </c>
      <c r="H108" s="21">
        <v>977749.55009264732</v>
      </c>
      <c r="I108" s="21">
        <v>23098985.140000001</v>
      </c>
      <c r="J108" s="21">
        <v>33269896.02</v>
      </c>
      <c r="K108" s="21">
        <v>4277288.66</v>
      </c>
      <c r="L108" s="557"/>
      <c r="M108" s="40"/>
      <c r="N108">
        <v>724705.7646628822</v>
      </c>
      <c r="Q108">
        <v>1077270.5757468964</v>
      </c>
      <c r="S108">
        <v>0.72219476811414896</v>
      </c>
      <c r="T108">
        <v>23098985.140000001</v>
      </c>
      <c r="V108">
        <v>0.66954650028249563</v>
      </c>
      <c r="W108">
        <v>33269896.02</v>
      </c>
      <c r="Y108">
        <v>0.3505762425493274</v>
      </c>
      <c r="Z108">
        <v>4277288.66</v>
      </c>
    </row>
    <row r="109" spans="1:26" x14ac:dyDescent="0.45">
      <c r="A109" s="1370"/>
      <c r="B109" s="13" t="s">
        <v>54</v>
      </c>
      <c r="C109" s="13" t="s">
        <v>55</v>
      </c>
      <c r="G109" s="26"/>
      <c r="H109" s="31"/>
      <c r="I109" s="31"/>
      <c r="J109" s="31"/>
      <c r="K109" s="31"/>
      <c r="L109" s="565"/>
      <c r="M109" s="40"/>
      <c r="N109">
        <f>SUM(N106:N108)</f>
        <v>1121785.9350785499</v>
      </c>
    </row>
    <row r="110" spans="1:26" x14ac:dyDescent="0.45">
      <c r="A110" s="1371"/>
      <c r="B110" s="13" t="s">
        <v>56</v>
      </c>
      <c r="C110" s="13" t="s">
        <v>57</v>
      </c>
      <c r="F110" s="40">
        <f>SUM(G110:K110)</f>
        <v>4871</v>
      </c>
      <c r="G110" s="30">
        <f>G99</f>
        <v>90</v>
      </c>
      <c r="H110" s="30">
        <f>H99</f>
        <v>48</v>
      </c>
      <c r="I110" s="30">
        <v>1788</v>
      </c>
      <c r="J110" s="30">
        <v>2281</v>
      </c>
      <c r="K110" s="30">
        <v>664</v>
      </c>
      <c r="L110" s="564"/>
      <c r="M110" s="4"/>
      <c r="N110" s="4"/>
      <c r="O110" s="4"/>
    </row>
    <row r="111" spans="1:26" x14ac:dyDescent="0.45">
      <c r="K111" s="4"/>
      <c r="L111" s="558"/>
      <c r="M111" s="4"/>
      <c r="N111" s="4"/>
      <c r="O111" s="4"/>
    </row>
    <row r="112" spans="1:26" x14ac:dyDescent="0.45">
      <c r="C112" s="257" t="s">
        <v>1051</v>
      </c>
      <c r="F112" s="27">
        <f t="shared" ref="F112:K112" si="7">F91/F14</f>
        <v>18683.524988372097</v>
      </c>
      <c r="G112" s="576">
        <f t="shared" si="7"/>
        <v>11312.804</v>
      </c>
      <c r="H112" s="576">
        <f t="shared" si="7"/>
        <v>31530.772916666669</v>
      </c>
      <c r="I112" s="576">
        <f t="shared" si="7"/>
        <v>18881.007101534829</v>
      </c>
      <c r="J112" s="576">
        <f t="shared" si="7"/>
        <v>19387.513105735467</v>
      </c>
      <c r="K112" s="576">
        <f t="shared" si="7"/>
        <v>15948.676287581698</v>
      </c>
      <c r="L112" s="4"/>
      <c r="M112" s="4"/>
      <c r="N112" s="4"/>
      <c r="O112" s="4"/>
    </row>
    <row r="113" spans="11:15" x14ac:dyDescent="0.45">
      <c r="K113" s="4"/>
      <c r="L113" s="4"/>
      <c r="M113" s="4"/>
      <c r="N113" s="4"/>
      <c r="O113" s="4"/>
    </row>
  </sheetData>
  <sheetProtection formatCells="0" formatColumns="0" formatRows="0"/>
  <mergeCells count="1">
    <mergeCell ref="A89:A110"/>
  </mergeCells>
  <pageMargins left="0.31496062992125984" right="0.27559055118110237" top="0.55118110236220474" bottom="0.31496062992125984" header="0.31496062992125984" footer="0.11811023622047245"/>
  <pageSetup paperSize="8" scale="45" orientation="landscape" r:id="rId1"/>
  <headerFooter>
    <oddFooter>&amp;R&amp;F &amp;A &amp;D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C3809-58FB-49BD-A2B1-319631AF4B4D}">
  <sheetPr codeName="Sheet20">
    <tabColor rgb="FFCCFFFF"/>
    <pageSetUpPr fitToPage="1"/>
  </sheetPr>
  <dimension ref="A2:S236"/>
  <sheetViews>
    <sheetView workbookViewId="0"/>
  </sheetViews>
  <sheetFormatPr defaultRowHeight="14.25" x14ac:dyDescent="0.45"/>
  <cols>
    <col min="1" max="2" width="3.46484375" customWidth="1"/>
    <col min="3" max="3" width="67" bestFit="1" customWidth="1"/>
    <col min="5" max="6" width="11.265625" bestFit="1" customWidth="1"/>
    <col min="7" max="7" width="12.265625" bestFit="1" customWidth="1"/>
    <col min="8" max="8" width="13.19921875" customWidth="1"/>
    <col min="9" max="10" width="13.265625" customWidth="1"/>
    <col min="11" max="16" width="11.73046875" customWidth="1"/>
    <col min="17" max="18" width="12" bestFit="1" customWidth="1"/>
    <col min="19" max="19" width="11.265625" bestFit="1" customWidth="1"/>
  </cols>
  <sheetData>
    <row r="2" spans="3:19" ht="21" x14ac:dyDescent="0.65">
      <c r="C2" s="60" t="s">
        <v>91</v>
      </c>
    </row>
    <row r="3" spans="3:19" ht="18" x14ac:dyDescent="0.55000000000000004">
      <c r="C3" s="58" t="s">
        <v>1036</v>
      </c>
    </row>
    <row r="4" spans="3:19" x14ac:dyDescent="0.45">
      <c r="H4" t="s">
        <v>1026</v>
      </c>
    </row>
    <row r="6" spans="3:19" x14ac:dyDescent="0.45">
      <c r="C6" s="573" t="s">
        <v>1059</v>
      </c>
      <c r="D6" s="4"/>
      <c r="E6" s="1397" t="s">
        <v>1057</v>
      </c>
      <c r="F6" s="1397"/>
      <c r="G6" s="1397"/>
      <c r="H6" s="1375" t="s">
        <v>1056</v>
      </c>
      <c r="I6" s="1375"/>
      <c r="J6" s="1375"/>
      <c r="K6" s="1375"/>
      <c r="L6" s="1375"/>
      <c r="M6" s="1375"/>
      <c r="N6" s="1375"/>
      <c r="O6" s="1375"/>
      <c r="P6" s="1375"/>
      <c r="Q6" s="1375"/>
      <c r="R6" s="1375"/>
      <c r="S6" s="1375"/>
    </row>
    <row r="7" spans="3:19" x14ac:dyDescent="0.45">
      <c r="C7" s="572" t="s">
        <v>1</v>
      </c>
      <c r="D7" s="4"/>
      <c r="E7" s="529">
        <v>-3</v>
      </c>
      <c r="F7" s="529">
        <v>-2</v>
      </c>
      <c r="G7" s="529">
        <v>-1</v>
      </c>
      <c r="H7" s="529">
        <v>0</v>
      </c>
      <c r="I7" s="529">
        <v>1</v>
      </c>
      <c r="J7" s="530">
        <v>2</v>
      </c>
      <c r="K7" s="529">
        <v>3</v>
      </c>
      <c r="L7" s="530">
        <v>4</v>
      </c>
      <c r="M7" s="529">
        <v>5</v>
      </c>
      <c r="N7" s="530">
        <v>6</v>
      </c>
      <c r="O7" s="529">
        <v>7</v>
      </c>
      <c r="P7" s="530">
        <v>8</v>
      </c>
      <c r="Q7" s="529">
        <v>9</v>
      </c>
      <c r="R7" s="530">
        <v>10</v>
      </c>
      <c r="S7" s="536" t="s">
        <v>11</v>
      </c>
    </row>
    <row r="8" spans="3:19" x14ac:dyDescent="0.45">
      <c r="C8" s="4"/>
      <c r="D8" s="4"/>
      <c r="E8" s="451">
        <v>2014</v>
      </c>
      <c r="F8" s="451">
        <v>2015</v>
      </c>
      <c r="G8" s="451">
        <v>2016</v>
      </c>
      <c r="H8" s="336">
        <v>2017</v>
      </c>
      <c r="I8" s="451">
        <v>2018</v>
      </c>
      <c r="J8" s="336">
        <v>2019</v>
      </c>
      <c r="K8" s="451">
        <v>2020</v>
      </c>
      <c r="L8" s="336">
        <v>2021</v>
      </c>
      <c r="M8" s="451">
        <v>2022</v>
      </c>
      <c r="N8" s="336">
        <v>2023</v>
      </c>
      <c r="O8" s="451">
        <v>2024</v>
      </c>
      <c r="P8" s="336">
        <v>2025</v>
      </c>
      <c r="Q8" s="451">
        <v>2026</v>
      </c>
      <c r="R8" s="336">
        <v>2027</v>
      </c>
    </row>
    <row r="9" spans="3:19" x14ac:dyDescent="0.45">
      <c r="C9" s="4"/>
      <c r="D9" s="4"/>
      <c r="H9" s="538">
        <v>0.1</v>
      </c>
      <c r="I9" s="538">
        <v>0.3</v>
      </c>
      <c r="J9" s="538">
        <v>0.6</v>
      </c>
      <c r="K9" s="538">
        <v>0</v>
      </c>
      <c r="L9" s="538">
        <v>0</v>
      </c>
      <c r="M9" s="538">
        <v>0</v>
      </c>
      <c r="N9" s="538">
        <v>0</v>
      </c>
      <c r="O9" s="538">
        <v>0</v>
      </c>
      <c r="P9" s="538">
        <v>0</v>
      </c>
      <c r="Q9" s="538">
        <v>0</v>
      </c>
      <c r="R9" s="3">
        <f>1-SUM(H9:Q9)</f>
        <v>0</v>
      </c>
    </row>
    <row r="10" spans="3:19" x14ac:dyDescent="0.45">
      <c r="C10" s="532" t="s">
        <v>1030</v>
      </c>
      <c r="D10" s="4"/>
      <c r="H10" s="4"/>
    </row>
    <row r="11" spans="3:19" x14ac:dyDescent="0.45">
      <c r="C11" t="str">
        <f>'12. Inputs-Props &amp; Debtors 2016'!C$77</f>
        <v>EC</v>
      </c>
      <c r="D11" s="4"/>
      <c r="E11" s="575">
        <f>INDEX('11. Table - Expenditure Review'!$A$81:$W$102,'11. Table - Expenditure Review'!$A83,'11. Table - Expenditure Review'!I$1)</f>
        <v>0</v>
      </c>
      <c r="F11" s="575">
        <f>INDEX('11. Table - Expenditure Review'!$A$81:$W$102,'11. Table - Expenditure Review'!$A83,'11. Table - Expenditure Review'!J$1)</f>
        <v>0</v>
      </c>
      <c r="G11" s="575">
        <f>INDEX('11. Table - Expenditure Review'!$A$81:$W$102,'11. Table - Expenditure Review'!$A83,'11. Table - Expenditure Review'!K$1)</f>
        <v>0</v>
      </c>
      <c r="H11" s="527">
        <f>ROUND('12. Inputs-Props &amp; Debtors 2016'!$H77*H$9,0)</f>
        <v>9</v>
      </c>
      <c r="I11" s="527">
        <f>ROUND('12. Inputs-Props &amp; Debtors 2016'!$H77*I$9,0)</f>
        <v>27</v>
      </c>
      <c r="J11" s="527">
        <f>ROUND('12. Inputs-Props &amp; Debtors 2016'!$H77*J$9,0)</f>
        <v>54</v>
      </c>
      <c r="K11" s="527">
        <f>ROUND('12. Inputs-Props &amp; Debtors 2016'!$H77*K$9,0)</f>
        <v>0</v>
      </c>
      <c r="L11" s="527">
        <f>ROUND('12. Inputs-Props &amp; Debtors 2016'!$H77*L$9,0)</f>
        <v>0</v>
      </c>
      <c r="M11" s="527">
        <f>ROUND('12. Inputs-Props &amp; Debtors 2016'!$H77*M$9,0)</f>
        <v>0</v>
      </c>
      <c r="N11" s="527">
        <f>ROUND('12. Inputs-Props &amp; Debtors 2016'!$H77*N$9,0)</f>
        <v>0</v>
      </c>
      <c r="O11" s="527">
        <f>ROUND('12. Inputs-Props &amp; Debtors 2016'!$H77*O$9,0)</f>
        <v>0</v>
      </c>
      <c r="P11" s="527">
        <f>ROUND('12. Inputs-Props &amp; Debtors 2016'!$H77*P$9,0)</f>
        <v>0</v>
      </c>
      <c r="Q11" s="527">
        <f>ROUND('12. Inputs-Props &amp; Debtors 2016'!$H77*Q$9,0)</f>
        <v>0</v>
      </c>
      <c r="R11" s="527">
        <f>'12. Inputs-Props &amp; Debtors 2016'!H77-SUM(H11:Q11)</f>
        <v>0</v>
      </c>
      <c r="S11" s="537">
        <f>SUM(H11:R11)</f>
        <v>90</v>
      </c>
    </row>
    <row r="12" spans="3:19" x14ac:dyDescent="0.45">
      <c r="C12" t="str">
        <f>'12. Inputs-Props &amp; Debtors 2016'!C$78</f>
        <v>FS</v>
      </c>
      <c r="D12" s="4"/>
      <c r="E12" s="40">
        <f>'11. Table - Expenditure Review'!L83</f>
        <v>0</v>
      </c>
      <c r="F12" s="40">
        <f>'11. Table - Expenditure Review'!M83</f>
        <v>0</v>
      </c>
      <c r="G12" s="40">
        <f>'11. Table - Expenditure Review'!N83</f>
        <v>0</v>
      </c>
      <c r="H12" s="527">
        <f>ROUND('12. Inputs-Props &amp; Debtors 2016'!$H78*H$9,0)</f>
        <v>5</v>
      </c>
      <c r="I12" s="527">
        <f>ROUND('12. Inputs-Props &amp; Debtors 2016'!$H78*I$9,0)</f>
        <v>14</v>
      </c>
      <c r="J12" s="527">
        <f>ROUND('12. Inputs-Props &amp; Debtors 2016'!$H78*J$9,0)</f>
        <v>29</v>
      </c>
      <c r="K12" s="527">
        <f>ROUND('12. Inputs-Props &amp; Debtors 2016'!$H78*K$9,0)</f>
        <v>0</v>
      </c>
      <c r="L12" s="527">
        <f>ROUND('12. Inputs-Props &amp; Debtors 2016'!$H78*L$9,0)</f>
        <v>0</v>
      </c>
      <c r="M12" s="527">
        <f>ROUND('12. Inputs-Props &amp; Debtors 2016'!$H78*M$9,0)</f>
        <v>0</v>
      </c>
      <c r="N12" s="527">
        <f>ROUND('12. Inputs-Props &amp; Debtors 2016'!$H78*N$9,0)</f>
        <v>0</v>
      </c>
      <c r="O12" s="527">
        <f>ROUND('12. Inputs-Props &amp; Debtors 2016'!$H78*O$9,0)</f>
        <v>0</v>
      </c>
      <c r="P12" s="527">
        <f>ROUND('12. Inputs-Props &amp; Debtors 2016'!$H78*P$9,0)</f>
        <v>0</v>
      </c>
      <c r="Q12" s="527">
        <f>ROUND('12. Inputs-Props &amp; Debtors 2016'!$H78*Q$9,0)</f>
        <v>0</v>
      </c>
      <c r="R12" s="527">
        <f>'12. Inputs-Props &amp; Debtors 2016'!H78-SUM(H12:Q12)</f>
        <v>0</v>
      </c>
      <c r="S12" s="537">
        <f>SUM(H12:R12)</f>
        <v>48</v>
      </c>
    </row>
    <row r="13" spans="3:19" x14ac:dyDescent="0.45">
      <c r="C13" t="str">
        <f>'12. Inputs-Props &amp; Debtors 2016'!C$79</f>
        <v>Gau</v>
      </c>
      <c r="D13" s="4"/>
      <c r="E13" s="40">
        <f>'11. Table - Expenditure Review'!O83</f>
        <v>0</v>
      </c>
      <c r="F13" s="40">
        <f>'11. Table - Expenditure Review'!P83</f>
        <v>0</v>
      </c>
      <c r="G13" s="40">
        <f>'11. Table - Expenditure Review'!Q83</f>
        <v>0</v>
      </c>
      <c r="H13" s="527">
        <f>ROUND('12. Inputs-Props &amp; Debtors 2016'!$H79*H$9,0)</f>
        <v>169</v>
      </c>
      <c r="I13" s="527">
        <f>ROUND('12. Inputs-Props &amp; Debtors 2016'!$H79*I$9,0)</f>
        <v>508</v>
      </c>
      <c r="J13" s="527">
        <f>ROUNDUP('12. Inputs-Props &amp; Debtors 2016'!$H79*J$9,0)</f>
        <v>1017</v>
      </c>
      <c r="K13" s="527">
        <f>ROUNDUP('12. Inputs-Props &amp; Debtors 2016'!$H79*K$9,0)</f>
        <v>0</v>
      </c>
      <c r="L13" s="527">
        <f>ROUNDUP('12. Inputs-Props &amp; Debtors 2016'!$H79*L$9,0)</f>
        <v>0</v>
      </c>
      <c r="M13" s="527">
        <f>ROUNDUP('12. Inputs-Props &amp; Debtors 2016'!$H79*M$9,0)</f>
        <v>0</v>
      </c>
      <c r="N13" s="527">
        <f>ROUNDUP('12. Inputs-Props &amp; Debtors 2016'!$H79*N$9,0)</f>
        <v>0</v>
      </c>
      <c r="O13" s="527">
        <f>ROUNDUP('12. Inputs-Props &amp; Debtors 2016'!$H79*O$9,0)</f>
        <v>0</v>
      </c>
      <c r="P13" s="527">
        <f>ROUNDUP('12. Inputs-Props &amp; Debtors 2016'!$H79*P$9,0)</f>
        <v>0</v>
      </c>
      <c r="Q13" s="527">
        <f>ROUNDUP('12. Inputs-Props &amp; Debtors 2016'!$H79*Q$9,0)</f>
        <v>0</v>
      </c>
      <c r="R13" s="527">
        <f>'12. Inputs-Props &amp; Debtors 2016'!H79-SUM(H13:Q13)</f>
        <v>0</v>
      </c>
      <c r="S13" s="537">
        <f>SUM(H13:R13)</f>
        <v>1694</v>
      </c>
    </row>
    <row r="14" spans="3:19" x14ac:dyDescent="0.45">
      <c r="C14" t="str">
        <f>'12. Inputs-Props &amp; Debtors 2016'!C$80</f>
        <v>KZN</v>
      </c>
      <c r="D14" s="4"/>
      <c r="E14" s="40">
        <f>'11. Table - Expenditure Review'!R83</f>
        <v>0</v>
      </c>
      <c r="F14" s="40">
        <f>'11. Table - Expenditure Review'!S83</f>
        <v>0</v>
      </c>
      <c r="G14" s="40">
        <f>'11. Table - Expenditure Review'!T83</f>
        <v>0</v>
      </c>
      <c r="H14" s="527">
        <f>ROUND('12. Inputs-Props &amp; Debtors 2016'!$H80*H$9,0)</f>
        <v>256</v>
      </c>
      <c r="I14" s="527">
        <f>ROUND('12. Inputs-Props &amp; Debtors 2016'!$H80*I$9,0)</f>
        <v>769</v>
      </c>
      <c r="J14" s="527">
        <f>ROUND('12. Inputs-Props &amp; Debtors 2016'!$H80*J$9,0)</f>
        <v>1538</v>
      </c>
      <c r="K14" s="527">
        <f>ROUND('12. Inputs-Props &amp; Debtors 2016'!$H80*K$9,0)</f>
        <v>0</v>
      </c>
      <c r="L14" s="527">
        <f>ROUND('12. Inputs-Props &amp; Debtors 2016'!$H80*L$9,0)</f>
        <v>0</v>
      </c>
      <c r="M14" s="527">
        <f>ROUND('12. Inputs-Props &amp; Debtors 2016'!$H80*M$9,0)</f>
        <v>0</v>
      </c>
      <c r="N14" s="527">
        <f>ROUND('12. Inputs-Props &amp; Debtors 2016'!$H80*N$9,0)</f>
        <v>0</v>
      </c>
      <c r="O14" s="527">
        <f>ROUND('12. Inputs-Props &amp; Debtors 2016'!$H80*O$9,0)</f>
        <v>0</v>
      </c>
      <c r="P14" s="527">
        <f>ROUND('12. Inputs-Props &amp; Debtors 2016'!$H80*P$9,0)</f>
        <v>0</v>
      </c>
      <c r="Q14" s="527">
        <f>ROUND('12. Inputs-Props &amp; Debtors 2016'!$H80*Q$9,0)</f>
        <v>0</v>
      </c>
      <c r="R14" s="527">
        <f>'12. Inputs-Props &amp; Debtors 2016'!H80-SUM(H14:Q14)</f>
        <v>0</v>
      </c>
      <c r="S14" s="537">
        <f>SUM(H14:R14)</f>
        <v>2563</v>
      </c>
    </row>
    <row r="15" spans="3:19" x14ac:dyDescent="0.45">
      <c r="C15" t="str">
        <f>'12. Inputs-Props &amp; Debtors 2016'!C$81</f>
        <v>WC</v>
      </c>
      <c r="D15" s="4"/>
      <c r="E15" s="40">
        <f>'11. Table - Expenditure Review'!U83</f>
        <v>0</v>
      </c>
      <c r="F15" s="40">
        <f>'11. Table - Expenditure Review'!V83</f>
        <v>0</v>
      </c>
      <c r="G15" s="40">
        <f>'11. Table - Expenditure Review'!W83</f>
        <v>0</v>
      </c>
      <c r="H15" s="527">
        <f>ROUND('12. Inputs-Props &amp; Debtors 2016'!$H81*H$9,0)</f>
        <v>77</v>
      </c>
      <c r="I15" s="527">
        <f>ROUNDDOWN('12. Inputs-Props &amp; Debtors 2016'!$H81*I$9,0)</f>
        <v>229</v>
      </c>
      <c r="J15" s="527">
        <f>ROUND('12. Inputs-Props &amp; Debtors 2016'!$H81*J$9,0)</f>
        <v>459</v>
      </c>
      <c r="K15" s="527">
        <f>ROUNDDOWN('12. Inputs-Props &amp; Debtors 2016'!$H81*K$9,0)</f>
        <v>0</v>
      </c>
      <c r="L15" s="527">
        <f>ROUNDDOWN('12. Inputs-Props &amp; Debtors 2016'!$H81*L$9,0)</f>
        <v>0</v>
      </c>
      <c r="M15" s="527">
        <f>ROUNDDOWN('12. Inputs-Props &amp; Debtors 2016'!$H81*M$9,0)</f>
        <v>0</v>
      </c>
      <c r="N15" s="527">
        <f>ROUNDDOWN('12. Inputs-Props &amp; Debtors 2016'!$H81*N$9,0)</f>
        <v>0</v>
      </c>
      <c r="O15" s="527">
        <f>ROUNDDOWN('12. Inputs-Props &amp; Debtors 2016'!$H81*O$9,0)</f>
        <v>0</v>
      </c>
      <c r="P15" s="527">
        <f>ROUNDDOWN('12. Inputs-Props &amp; Debtors 2016'!$H81*P$9,0)</f>
        <v>0</v>
      </c>
      <c r="Q15" s="527">
        <f>ROUNDDOWN('12. Inputs-Props &amp; Debtors 2016'!$H81*Q$9,0)</f>
        <v>0</v>
      </c>
      <c r="R15" s="527">
        <f>'12. Inputs-Props &amp; Debtors 2016'!H81-SUM(H15:Q15)</f>
        <v>0</v>
      </c>
      <c r="S15" s="537">
        <f>SUM(H15:R15)</f>
        <v>765</v>
      </c>
    </row>
    <row r="16" spans="3:19" x14ac:dyDescent="0.45">
      <c r="C16" s="4"/>
      <c r="D16" s="4"/>
      <c r="E16" s="528">
        <f t="shared" ref="E16:S16" si="0">SUM(E11:E15)</f>
        <v>0</v>
      </c>
      <c r="F16" s="528">
        <f t="shared" si="0"/>
        <v>0</v>
      </c>
      <c r="G16" s="528">
        <f t="shared" si="0"/>
        <v>0</v>
      </c>
      <c r="H16" s="528">
        <f t="shared" si="0"/>
        <v>516</v>
      </c>
      <c r="I16" s="528">
        <f t="shared" si="0"/>
        <v>1547</v>
      </c>
      <c r="J16" s="528">
        <f t="shared" si="0"/>
        <v>3097</v>
      </c>
      <c r="K16" s="528">
        <f t="shared" si="0"/>
        <v>0</v>
      </c>
      <c r="L16" s="528">
        <f t="shared" si="0"/>
        <v>0</v>
      </c>
      <c r="M16" s="528">
        <f t="shared" si="0"/>
        <v>0</v>
      </c>
      <c r="N16" s="528">
        <f t="shared" si="0"/>
        <v>0</v>
      </c>
      <c r="O16" s="528">
        <f t="shared" si="0"/>
        <v>0</v>
      </c>
      <c r="P16" s="528">
        <f t="shared" si="0"/>
        <v>0</v>
      </c>
      <c r="Q16" s="528">
        <f t="shared" si="0"/>
        <v>0</v>
      </c>
      <c r="R16" s="528">
        <f t="shared" si="0"/>
        <v>0</v>
      </c>
      <c r="S16" s="528">
        <f t="shared" si="0"/>
        <v>5160</v>
      </c>
    </row>
    <row r="17" spans="3:19" x14ac:dyDescent="0.45">
      <c r="C17" s="4"/>
      <c r="D17" s="4"/>
      <c r="E17" s="546"/>
      <c r="F17" s="546"/>
      <c r="G17" s="546"/>
      <c r="H17" s="546"/>
      <c r="I17" s="546"/>
      <c r="J17" s="546"/>
      <c r="K17" s="546"/>
      <c r="L17" s="546"/>
      <c r="M17" s="546"/>
      <c r="N17" s="546"/>
      <c r="O17" s="546"/>
      <c r="P17" s="546"/>
      <c r="Q17" s="546"/>
      <c r="R17" s="546"/>
      <c r="S17" s="546"/>
    </row>
    <row r="18" spans="3:19" x14ac:dyDescent="0.45">
      <c r="C18" s="4"/>
      <c r="D18" s="4"/>
      <c r="E18" s="546"/>
      <c r="F18" s="546"/>
      <c r="G18" s="546"/>
      <c r="H18" s="546"/>
      <c r="I18" s="546"/>
      <c r="J18" s="546"/>
      <c r="K18" s="546"/>
      <c r="L18" s="546"/>
      <c r="M18" s="546"/>
      <c r="N18" s="546"/>
      <c r="O18" s="546"/>
      <c r="P18" s="546"/>
      <c r="Q18" s="546"/>
      <c r="R18" s="546"/>
      <c r="S18" s="546"/>
    </row>
    <row r="19" spans="3:19" x14ac:dyDescent="0.45">
      <c r="C19" s="451" t="s">
        <v>1031</v>
      </c>
      <c r="E19" s="4"/>
      <c r="F19" s="4"/>
      <c r="G19" s="4"/>
      <c r="H19" s="4"/>
    </row>
    <row r="20" spans="3:19" x14ac:dyDescent="0.45">
      <c r="C20" t="str">
        <f>'12. Inputs-Props &amp; Debtors 2016'!C$77</f>
        <v>EC</v>
      </c>
      <c r="E20" s="4"/>
      <c r="F20" s="4"/>
      <c r="G20" s="40">
        <f>'11. Table - Expenditure Review'!K$105</f>
        <v>114</v>
      </c>
      <c r="H20" s="546">
        <f>G20+H11</f>
        <v>123</v>
      </c>
      <c r="I20" s="546">
        <f t="shared" ref="I20:Q24" si="1">H20+I11+H28</f>
        <v>150</v>
      </c>
      <c r="J20" s="546">
        <f t="shared" si="1"/>
        <v>129</v>
      </c>
      <c r="K20" s="546">
        <f t="shared" si="1"/>
        <v>0</v>
      </c>
      <c r="L20" s="546">
        <f t="shared" si="1"/>
        <v>0</v>
      </c>
      <c r="M20" s="546">
        <f t="shared" si="1"/>
        <v>0</v>
      </c>
      <c r="N20" s="546">
        <f t="shared" si="1"/>
        <v>0</v>
      </c>
      <c r="O20" s="546">
        <f t="shared" si="1"/>
        <v>0</v>
      </c>
      <c r="P20" s="546">
        <f t="shared" si="1"/>
        <v>0</v>
      </c>
      <c r="Q20" s="546">
        <f t="shared" si="1"/>
        <v>0</v>
      </c>
      <c r="R20" s="546">
        <f>Q20+R11+Q28</f>
        <v>0</v>
      </c>
    </row>
    <row r="21" spans="3:19" x14ac:dyDescent="0.45">
      <c r="C21" t="str">
        <f>'12. Inputs-Props &amp; Debtors 2016'!C$78</f>
        <v>FS</v>
      </c>
      <c r="E21" s="4"/>
      <c r="F21" s="4"/>
      <c r="G21" s="40">
        <f>'11. Table - Expenditure Review'!N$105</f>
        <v>1</v>
      </c>
      <c r="H21" s="546">
        <f>G21+H12</f>
        <v>6</v>
      </c>
      <c r="I21" s="546">
        <f t="shared" si="1"/>
        <v>20</v>
      </c>
      <c r="J21" s="546">
        <f t="shared" si="1"/>
        <v>39</v>
      </c>
      <c r="K21" s="546">
        <f t="shared" si="1"/>
        <v>0</v>
      </c>
      <c r="L21" s="546">
        <f t="shared" si="1"/>
        <v>0</v>
      </c>
      <c r="M21" s="546">
        <f t="shared" si="1"/>
        <v>0</v>
      </c>
      <c r="N21" s="546">
        <f t="shared" si="1"/>
        <v>0</v>
      </c>
      <c r="O21" s="546">
        <f t="shared" si="1"/>
        <v>0</v>
      </c>
      <c r="P21" s="546">
        <f t="shared" si="1"/>
        <v>0</v>
      </c>
      <c r="Q21" s="546">
        <f t="shared" si="1"/>
        <v>0</v>
      </c>
      <c r="R21" s="546">
        <f>Q21+R12+Q29</f>
        <v>0</v>
      </c>
    </row>
    <row r="22" spans="3:19" x14ac:dyDescent="0.45">
      <c r="C22" t="str">
        <f>'12. Inputs-Props &amp; Debtors 2016'!C$79</f>
        <v>Gau</v>
      </c>
      <c r="E22" s="4"/>
      <c r="F22" s="4"/>
      <c r="G22" s="40">
        <f>'11. Table - Expenditure Review'!Q$105</f>
        <v>456</v>
      </c>
      <c r="H22" s="546">
        <f>G22+H13</f>
        <v>625</v>
      </c>
      <c r="I22" s="546">
        <f t="shared" si="1"/>
        <v>1133</v>
      </c>
      <c r="J22" s="546">
        <f t="shared" si="1"/>
        <v>1583.5</v>
      </c>
      <c r="K22" s="546">
        <f t="shared" si="1"/>
        <v>0</v>
      </c>
      <c r="L22" s="546">
        <f t="shared" si="1"/>
        <v>0</v>
      </c>
      <c r="M22" s="546">
        <f t="shared" si="1"/>
        <v>0</v>
      </c>
      <c r="N22" s="546">
        <f t="shared" si="1"/>
        <v>0</v>
      </c>
      <c r="O22" s="546">
        <f t="shared" si="1"/>
        <v>0</v>
      </c>
      <c r="P22" s="546">
        <f t="shared" si="1"/>
        <v>0</v>
      </c>
      <c r="Q22" s="546">
        <f t="shared" si="1"/>
        <v>0</v>
      </c>
      <c r="R22" s="546">
        <f>Q22+R13+Q30</f>
        <v>0</v>
      </c>
    </row>
    <row r="23" spans="3:19" x14ac:dyDescent="0.45">
      <c r="C23" t="str">
        <f>'12. Inputs-Props &amp; Debtors 2016'!C$80</f>
        <v>KZN</v>
      </c>
      <c r="E23" s="4"/>
      <c r="F23" s="4"/>
      <c r="G23" s="40">
        <f>'11. Table - Expenditure Review'!T$105</f>
        <v>778</v>
      </c>
      <c r="H23" s="546">
        <f>G23+H14</f>
        <v>1034</v>
      </c>
      <c r="I23" s="546">
        <f t="shared" si="1"/>
        <v>1803</v>
      </c>
      <c r="J23" s="546">
        <f t="shared" si="1"/>
        <v>2439.5</v>
      </c>
      <c r="K23" s="546">
        <f t="shared" si="1"/>
        <v>0</v>
      </c>
      <c r="L23" s="546">
        <f t="shared" si="1"/>
        <v>0</v>
      </c>
      <c r="M23" s="546">
        <f t="shared" si="1"/>
        <v>0</v>
      </c>
      <c r="N23" s="546">
        <f t="shared" si="1"/>
        <v>0</v>
      </c>
      <c r="O23" s="546">
        <f t="shared" si="1"/>
        <v>0</v>
      </c>
      <c r="P23" s="546">
        <f t="shared" si="1"/>
        <v>0</v>
      </c>
      <c r="Q23" s="546">
        <f t="shared" si="1"/>
        <v>0</v>
      </c>
      <c r="R23" s="546">
        <f>Q23+R14+Q31</f>
        <v>0</v>
      </c>
    </row>
    <row r="24" spans="3:19" x14ac:dyDescent="0.45">
      <c r="C24" t="str">
        <f>'12. Inputs-Props &amp; Debtors 2016'!C$81</f>
        <v>WC</v>
      </c>
      <c r="E24" s="4"/>
      <c r="F24" s="4"/>
      <c r="G24" s="40">
        <f>'11. Table - Expenditure Review'!W$105</f>
        <v>890</v>
      </c>
      <c r="H24" s="546">
        <f>G24+H15</f>
        <v>967</v>
      </c>
      <c r="I24" s="546">
        <f t="shared" si="1"/>
        <v>1196</v>
      </c>
      <c r="J24" s="546">
        <f t="shared" si="1"/>
        <v>1057</v>
      </c>
      <c r="K24" s="546">
        <f t="shared" si="1"/>
        <v>0</v>
      </c>
      <c r="L24" s="546">
        <f t="shared" si="1"/>
        <v>0</v>
      </c>
      <c r="M24" s="546">
        <f t="shared" si="1"/>
        <v>0</v>
      </c>
      <c r="N24" s="546">
        <f t="shared" si="1"/>
        <v>0</v>
      </c>
      <c r="O24" s="546">
        <f t="shared" si="1"/>
        <v>0</v>
      </c>
      <c r="P24" s="546">
        <f t="shared" si="1"/>
        <v>0</v>
      </c>
      <c r="Q24" s="546">
        <f t="shared" si="1"/>
        <v>0</v>
      </c>
      <c r="R24" s="546">
        <f>Q24+R15+Q32</f>
        <v>0</v>
      </c>
    </row>
    <row r="25" spans="3:19" x14ac:dyDescent="0.45">
      <c r="E25" s="4"/>
      <c r="F25" s="4"/>
      <c r="G25" s="545">
        <f>'11. Table - Expenditure Review'!H$105</f>
        <v>2239</v>
      </c>
      <c r="H25" s="528">
        <f>SUM(H20:H24)</f>
        <v>2755</v>
      </c>
      <c r="I25" s="528">
        <f>SUM(I20:I24)</f>
        <v>4302</v>
      </c>
      <c r="J25" s="528">
        <f>SUM(J20:J24)</f>
        <v>5248</v>
      </c>
      <c r="K25" s="528">
        <f>SUM(K20:K24)</f>
        <v>0</v>
      </c>
      <c r="L25" s="528">
        <f t="shared" ref="L25:Q25" si="2">SUM(L20:L24)</f>
        <v>0</v>
      </c>
      <c r="M25" s="528">
        <f t="shared" si="2"/>
        <v>0</v>
      </c>
      <c r="N25" s="528">
        <f t="shared" si="2"/>
        <v>0</v>
      </c>
      <c r="O25" s="528">
        <f t="shared" si="2"/>
        <v>0</v>
      </c>
      <c r="P25" s="528">
        <f t="shared" si="2"/>
        <v>0</v>
      </c>
      <c r="Q25" s="528">
        <f t="shared" si="2"/>
        <v>0</v>
      </c>
      <c r="R25" s="553"/>
    </row>
    <row r="26" spans="3:19" x14ac:dyDescent="0.45">
      <c r="C26" s="4"/>
      <c r="D26" s="4"/>
      <c r="E26" s="546"/>
      <c r="F26" s="546"/>
      <c r="G26" s="546"/>
      <c r="H26" s="546"/>
      <c r="I26" s="546"/>
      <c r="J26" s="546"/>
      <c r="K26" s="546"/>
      <c r="L26" s="546"/>
      <c r="M26" s="546"/>
      <c r="N26" s="546"/>
      <c r="O26" s="546"/>
      <c r="P26" s="546"/>
      <c r="Q26" s="546"/>
      <c r="R26" s="546"/>
      <c r="S26" s="546"/>
    </row>
    <row r="27" spans="3:19" x14ac:dyDescent="0.45">
      <c r="C27" s="532" t="s">
        <v>1029</v>
      </c>
      <c r="D27" s="4"/>
      <c r="H27" s="538">
        <v>0</v>
      </c>
      <c r="I27" s="538">
        <v>0.5</v>
      </c>
      <c r="J27" s="538">
        <v>1</v>
      </c>
      <c r="K27" s="538"/>
      <c r="L27" s="538"/>
      <c r="M27" s="538"/>
      <c r="N27" s="538"/>
      <c r="O27" s="538"/>
      <c r="P27" s="538"/>
      <c r="Q27" s="538"/>
      <c r="R27" s="538"/>
      <c r="S27" s="546"/>
    </row>
    <row r="28" spans="3:19" x14ac:dyDescent="0.45">
      <c r="C28" t="str">
        <f>'12. Inputs-Props &amp; Debtors 2016'!C$77</f>
        <v>EC</v>
      </c>
      <c r="D28" s="4"/>
      <c r="G28" s="537"/>
      <c r="H28" s="527">
        <f>-(G20+H11)*H$27</f>
        <v>0</v>
      </c>
      <c r="I28" s="527">
        <f t="shared" ref="I28:R32" si="3">-I20*I$27</f>
        <v>-75</v>
      </c>
      <c r="J28" s="527">
        <f t="shared" si="3"/>
        <v>-129</v>
      </c>
      <c r="K28" s="527">
        <f t="shared" si="3"/>
        <v>0</v>
      </c>
      <c r="L28" s="527">
        <f t="shared" si="3"/>
        <v>0</v>
      </c>
      <c r="M28" s="527">
        <f t="shared" si="3"/>
        <v>0</v>
      </c>
      <c r="N28" s="527">
        <f t="shared" si="3"/>
        <v>0</v>
      </c>
      <c r="O28" s="527">
        <f t="shared" si="3"/>
        <v>0</v>
      </c>
      <c r="P28" s="527">
        <f t="shared" si="3"/>
        <v>0</v>
      </c>
      <c r="Q28" s="527">
        <f t="shared" si="3"/>
        <v>0</v>
      </c>
      <c r="R28" s="527">
        <f t="shared" si="3"/>
        <v>0</v>
      </c>
      <c r="S28" s="546"/>
    </row>
    <row r="29" spans="3:19" x14ac:dyDescent="0.45">
      <c r="C29" t="str">
        <f>'12. Inputs-Props &amp; Debtors 2016'!C$78</f>
        <v>FS</v>
      </c>
      <c r="D29" s="4"/>
      <c r="G29" s="537"/>
      <c r="H29" s="527">
        <f>-(G21+H12)*H$27</f>
        <v>0</v>
      </c>
      <c r="I29" s="527">
        <f t="shared" si="3"/>
        <v>-10</v>
      </c>
      <c r="J29" s="527">
        <f t="shared" si="3"/>
        <v>-39</v>
      </c>
      <c r="K29" s="527">
        <f t="shared" si="3"/>
        <v>0</v>
      </c>
      <c r="L29" s="527">
        <f t="shared" si="3"/>
        <v>0</v>
      </c>
      <c r="M29" s="527">
        <f t="shared" si="3"/>
        <v>0</v>
      </c>
      <c r="N29" s="527">
        <f t="shared" si="3"/>
        <v>0</v>
      </c>
      <c r="O29" s="527">
        <f t="shared" si="3"/>
        <v>0</v>
      </c>
      <c r="P29" s="527">
        <f t="shared" si="3"/>
        <v>0</v>
      </c>
      <c r="Q29" s="527">
        <f t="shared" si="3"/>
        <v>0</v>
      </c>
      <c r="R29" s="527">
        <f t="shared" si="3"/>
        <v>0</v>
      </c>
      <c r="S29" s="546"/>
    </row>
    <row r="30" spans="3:19" x14ac:dyDescent="0.45">
      <c r="C30" t="str">
        <f>'12. Inputs-Props &amp; Debtors 2016'!C$79</f>
        <v>Gau</v>
      </c>
      <c r="D30" s="4"/>
      <c r="G30" s="537"/>
      <c r="H30" s="527">
        <f>-(G22+H13)*H$27</f>
        <v>0</v>
      </c>
      <c r="I30" s="527">
        <f t="shared" si="3"/>
        <v>-566.5</v>
      </c>
      <c r="J30" s="527">
        <f t="shared" si="3"/>
        <v>-1583.5</v>
      </c>
      <c r="K30" s="527">
        <f t="shared" si="3"/>
        <v>0</v>
      </c>
      <c r="L30" s="527">
        <f t="shared" si="3"/>
        <v>0</v>
      </c>
      <c r="M30" s="527">
        <f t="shared" si="3"/>
        <v>0</v>
      </c>
      <c r="N30" s="527">
        <f t="shared" si="3"/>
        <v>0</v>
      </c>
      <c r="O30" s="527">
        <f t="shared" si="3"/>
        <v>0</v>
      </c>
      <c r="P30" s="527">
        <f t="shared" si="3"/>
        <v>0</v>
      </c>
      <c r="Q30" s="527">
        <f t="shared" si="3"/>
        <v>0</v>
      </c>
      <c r="R30" s="527">
        <f t="shared" si="3"/>
        <v>0</v>
      </c>
      <c r="S30" s="546"/>
    </row>
    <row r="31" spans="3:19" x14ac:dyDescent="0.45">
      <c r="C31" t="str">
        <f>'12. Inputs-Props &amp; Debtors 2016'!C$80</f>
        <v>KZN</v>
      </c>
      <c r="D31" s="4"/>
      <c r="G31" s="537"/>
      <c r="H31" s="527">
        <f>-(G23+H14)*H$27</f>
        <v>0</v>
      </c>
      <c r="I31" s="527">
        <f t="shared" si="3"/>
        <v>-901.5</v>
      </c>
      <c r="J31" s="527">
        <f t="shared" si="3"/>
        <v>-2439.5</v>
      </c>
      <c r="K31" s="527">
        <f t="shared" si="3"/>
        <v>0</v>
      </c>
      <c r="L31" s="527">
        <f t="shared" si="3"/>
        <v>0</v>
      </c>
      <c r="M31" s="527">
        <f t="shared" si="3"/>
        <v>0</v>
      </c>
      <c r="N31" s="527">
        <f t="shared" si="3"/>
        <v>0</v>
      </c>
      <c r="O31" s="527">
        <f t="shared" si="3"/>
        <v>0</v>
      </c>
      <c r="P31" s="527">
        <f t="shared" si="3"/>
        <v>0</v>
      </c>
      <c r="Q31" s="527">
        <f t="shared" si="3"/>
        <v>0</v>
      </c>
      <c r="R31" s="527">
        <f t="shared" si="3"/>
        <v>0</v>
      </c>
      <c r="S31" s="546"/>
    </row>
    <row r="32" spans="3:19" x14ac:dyDescent="0.45">
      <c r="C32" t="str">
        <f>'12. Inputs-Props &amp; Debtors 2016'!C$81</f>
        <v>WC</v>
      </c>
      <c r="D32" s="4"/>
      <c r="G32" s="537"/>
      <c r="H32" s="527">
        <f>-(G24+H15)*H$27</f>
        <v>0</v>
      </c>
      <c r="I32" s="527">
        <f t="shared" si="3"/>
        <v>-598</v>
      </c>
      <c r="J32" s="527">
        <f t="shared" si="3"/>
        <v>-1057</v>
      </c>
      <c r="K32" s="527">
        <f t="shared" si="3"/>
        <v>0</v>
      </c>
      <c r="L32" s="527">
        <f t="shared" si="3"/>
        <v>0</v>
      </c>
      <c r="M32" s="527">
        <f t="shared" si="3"/>
        <v>0</v>
      </c>
      <c r="N32" s="527">
        <f t="shared" si="3"/>
        <v>0</v>
      </c>
      <c r="O32" s="527">
        <f t="shared" si="3"/>
        <v>0</v>
      </c>
      <c r="P32" s="527">
        <f t="shared" si="3"/>
        <v>0</v>
      </c>
      <c r="Q32" s="527">
        <f t="shared" si="3"/>
        <v>0</v>
      </c>
      <c r="R32" s="527">
        <f t="shared" si="3"/>
        <v>0</v>
      </c>
      <c r="S32" s="546"/>
    </row>
    <row r="33" spans="3:19" x14ac:dyDescent="0.45">
      <c r="C33" s="4"/>
      <c r="D33" s="4"/>
      <c r="G33" s="546"/>
      <c r="H33" s="528">
        <f t="shared" ref="H33:R33" si="4">SUM(H28:H32)</f>
        <v>0</v>
      </c>
      <c r="I33" s="528">
        <f t="shared" si="4"/>
        <v>-2151</v>
      </c>
      <c r="J33" s="528">
        <f t="shared" si="4"/>
        <v>-5248</v>
      </c>
      <c r="K33" s="528">
        <f t="shared" si="4"/>
        <v>0</v>
      </c>
      <c r="L33" s="528">
        <f t="shared" ref="L33:Q33" si="5">SUM(L28:L32)</f>
        <v>0</v>
      </c>
      <c r="M33" s="528">
        <f t="shared" si="5"/>
        <v>0</v>
      </c>
      <c r="N33" s="528">
        <f t="shared" si="5"/>
        <v>0</v>
      </c>
      <c r="O33" s="528">
        <f t="shared" si="5"/>
        <v>0</v>
      </c>
      <c r="P33" s="528">
        <f t="shared" si="5"/>
        <v>0</v>
      </c>
      <c r="Q33" s="528">
        <f t="shared" si="5"/>
        <v>0</v>
      </c>
      <c r="R33" s="528">
        <f t="shared" si="4"/>
        <v>0</v>
      </c>
      <c r="S33" s="546"/>
    </row>
    <row r="34" spans="3:19" x14ac:dyDescent="0.45">
      <c r="S34" s="546"/>
    </row>
    <row r="35" spans="3:19" x14ac:dyDescent="0.45">
      <c r="C35" s="4"/>
      <c r="D35" s="4"/>
      <c r="E35" s="546"/>
      <c r="F35" s="546"/>
      <c r="G35" s="546"/>
      <c r="H35" s="546"/>
      <c r="I35" s="546"/>
      <c r="J35" s="546"/>
      <c r="K35" s="546"/>
      <c r="L35" s="546"/>
      <c r="M35" s="546"/>
      <c r="N35" s="546"/>
      <c r="O35" s="546"/>
      <c r="P35" s="546"/>
      <c r="Q35" s="546"/>
      <c r="R35" s="546"/>
      <c r="S35" s="546"/>
    </row>
    <row r="36" spans="3:19" x14ac:dyDescent="0.45">
      <c r="C36" s="532" t="s">
        <v>1032</v>
      </c>
      <c r="D36" s="4"/>
      <c r="E36" s="546"/>
      <c r="F36" s="546"/>
      <c r="G36" s="546"/>
      <c r="H36" s="546"/>
      <c r="I36" s="546"/>
      <c r="J36" s="546"/>
      <c r="K36" s="546"/>
      <c r="L36" s="546"/>
      <c r="M36" s="546"/>
      <c r="N36" s="546"/>
      <c r="O36" s="546"/>
      <c r="P36" s="546"/>
      <c r="Q36" s="546"/>
      <c r="R36" s="546"/>
      <c r="S36" s="546"/>
    </row>
    <row r="37" spans="3:19" x14ac:dyDescent="0.45">
      <c r="C37" t="str">
        <f>'12. Inputs-Props &amp; Debtors 2016'!C$77</f>
        <v>EC</v>
      </c>
      <c r="D37" s="4"/>
      <c r="E37" s="546"/>
      <c r="F37" s="546"/>
      <c r="G37" s="546"/>
      <c r="H37" s="546">
        <f t="shared" ref="H37:R41" si="6">H20+H28</f>
        <v>123</v>
      </c>
      <c r="I37" s="546">
        <f t="shared" si="6"/>
        <v>75</v>
      </c>
      <c r="J37" s="546">
        <f t="shared" si="6"/>
        <v>0</v>
      </c>
      <c r="K37" s="546">
        <f t="shared" si="6"/>
        <v>0</v>
      </c>
      <c r="L37" s="546">
        <f t="shared" si="6"/>
        <v>0</v>
      </c>
      <c r="M37" s="546">
        <f t="shared" si="6"/>
        <v>0</v>
      </c>
      <c r="N37" s="546">
        <f t="shared" si="6"/>
        <v>0</v>
      </c>
      <c r="O37" s="546">
        <f t="shared" si="6"/>
        <v>0</v>
      </c>
      <c r="P37" s="546">
        <f t="shared" si="6"/>
        <v>0</v>
      </c>
      <c r="Q37" s="546">
        <f t="shared" si="6"/>
        <v>0</v>
      </c>
      <c r="R37" s="546">
        <f t="shared" si="6"/>
        <v>0</v>
      </c>
      <c r="S37" s="546"/>
    </row>
    <row r="38" spans="3:19" x14ac:dyDescent="0.45">
      <c r="C38" t="str">
        <f>'12. Inputs-Props &amp; Debtors 2016'!C$78</f>
        <v>FS</v>
      </c>
      <c r="D38" s="4"/>
      <c r="E38" s="546"/>
      <c r="F38" s="546"/>
      <c r="G38" s="546"/>
      <c r="H38" s="546">
        <f t="shared" si="6"/>
        <v>6</v>
      </c>
      <c r="I38" s="546">
        <f t="shared" si="6"/>
        <v>10</v>
      </c>
      <c r="J38" s="546">
        <f t="shared" si="6"/>
        <v>0</v>
      </c>
      <c r="K38" s="546">
        <f t="shared" si="6"/>
        <v>0</v>
      </c>
      <c r="L38" s="546">
        <f t="shared" si="6"/>
        <v>0</v>
      </c>
      <c r="M38" s="546">
        <f t="shared" si="6"/>
        <v>0</v>
      </c>
      <c r="N38" s="546">
        <f t="shared" si="6"/>
        <v>0</v>
      </c>
      <c r="O38" s="546">
        <f t="shared" si="6"/>
        <v>0</v>
      </c>
      <c r="P38" s="546">
        <f t="shared" si="6"/>
        <v>0</v>
      </c>
      <c r="Q38" s="546">
        <f t="shared" si="6"/>
        <v>0</v>
      </c>
      <c r="R38" s="546">
        <f t="shared" si="6"/>
        <v>0</v>
      </c>
      <c r="S38" s="546"/>
    </row>
    <row r="39" spans="3:19" x14ac:dyDescent="0.45">
      <c r="C39" t="str">
        <f>'12. Inputs-Props &amp; Debtors 2016'!C$79</f>
        <v>Gau</v>
      </c>
      <c r="D39" s="4"/>
      <c r="E39" s="546"/>
      <c r="F39" s="546"/>
      <c r="G39" s="546"/>
      <c r="H39" s="546">
        <f t="shared" si="6"/>
        <v>625</v>
      </c>
      <c r="I39" s="546">
        <f t="shared" si="6"/>
        <v>566.5</v>
      </c>
      <c r="J39" s="546">
        <f t="shared" si="6"/>
        <v>0</v>
      </c>
      <c r="K39" s="546">
        <f t="shared" si="6"/>
        <v>0</v>
      </c>
      <c r="L39" s="546">
        <f t="shared" si="6"/>
        <v>0</v>
      </c>
      <c r="M39" s="546">
        <f t="shared" si="6"/>
        <v>0</v>
      </c>
      <c r="N39" s="546">
        <f t="shared" si="6"/>
        <v>0</v>
      </c>
      <c r="O39" s="546">
        <f t="shared" si="6"/>
        <v>0</v>
      </c>
      <c r="P39" s="546">
        <f t="shared" si="6"/>
        <v>0</v>
      </c>
      <c r="Q39" s="546">
        <f t="shared" si="6"/>
        <v>0</v>
      </c>
      <c r="R39" s="546">
        <f t="shared" si="6"/>
        <v>0</v>
      </c>
      <c r="S39" s="546"/>
    </row>
    <row r="40" spans="3:19" x14ac:dyDescent="0.45">
      <c r="C40" t="str">
        <f>'12. Inputs-Props &amp; Debtors 2016'!C$80</f>
        <v>KZN</v>
      </c>
      <c r="D40" s="4"/>
      <c r="E40" s="546"/>
      <c r="F40" s="546"/>
      <c r="G40" s="546"/>
      <c r="H40" s="546">
        <f t="shared" si="6"/>
        <v>1034</v>
      </c>
      <c r="I40" s="546">
        <f t="shared" si="6"/>
        <v>901.5</v>
      </c>
      <c r="J40" s="546">
        <f t="shared" si="6"/>
        <v>0</v>
      </c>
      <c r="K40" s="546">
        <f t="shared" si="6"/>
        <v>0</v>
      </c>
      <c r="L40" s="546">
        <f t="shared" si="6"/>
        <v>0</v>
      </c>
      <c r="M40" s="546">
        <f t="shared" si="6"/>
        <v>0</v>
      </c>
      <c r="N40" s="546">
        <f t="shared" si="6"/>
        <v>0</v>
      </c>
      <c r="O40" s="546">
        <f t="shared" si="6"/>
        <v>0</v>
      </c>
      <c r="P40" s="546">
        <f t="shared" si="6"/>
        <v>0</v>
      </c>
      <c r="Q40" s="546">
        <f t="shared" si="6"/>
        <v>0</v>
      </c>
      <c r="R40" s="546">
        <f t="shared" si="6"/>
        <v>0</v>
      </c>
      <c r="S40" s="546"/>
    </row>
    <row r="41" spans="3:19" x14ac:dyDescent="0.45">
      <c r="C41" t="str">
        <f>'12. Inputs-Props &amp; Debtors 2016'!C$81</f>
        <v>WC</v>
      </c>
      <c r="D41" s="4"/>
      <c r="E41" s="546"/>
      <c r="F41" s="546"/>
      <c r="G41" s="546"/>
      <c r="H41" s="546">
        <f t="shared" si="6"/>
        <v>967</v>
      </c>
      <c r="I41" s="546">
        <f t="shared" si="6"/>
        <v>598</v>
      </c>
      <c r="J41" s="546">
        <f t="shared" si="6"/>
        <v>0</v>
      </c>
      <c r="K41" s="546">
        <f t="shared" si="6"/>
        <v>0</v>
      </c>
      <c r="L41" s="546">
        <f t="shared" si="6"/>
        <v>0</v>
      </c>
      <c r="M41" s="546">
        <f t="shared" si="6"/>
        <v>0</v>
      </c>
      <c r="N41" s="546">
        <f t="shared" si="6"/>
        <v>0</v>
      </c>
      <c r="O41" s="546">
        <f t="shared" si="6"/>
        <v>0</v>
      </c>
      <c r="P41" s="546">
        <f t="shared" si="6"/>
        <v>0</v>
      </c>
      <c r="Q41" s="546">
        <f t="shared" si="6"/>
        <v>0</v>
      </c>
      <c r="R41" s="546">
        <f t="shared" si="6"/>
        <v>0</v>
      </c>
      <c r="S41" s="546"/>
    </row>
    <row r="42" spans="3:19" x14ac:dyDescent="0.45">
      <c r="C42" s="4"/>
      <c r="D42" s="4"/>
      <c r="E42" s="546"/>
      <c r="F42" s="546"/>
      <c r="G42" s="546"/>
      <c r="H42" s="528">
        <f t="shared" ref="H42:R42" si="7">SUM(H37:H41)</f>
        <v>2755</v>
      </c>
      <c r="I42" s="528">
        <f t="shared" si="7"/>
        <v>2151</v>
      </c>
      <c r="J42" s="528">
        <f t="shared" si="7"/>
        <v>0</v>
      </c>
      <c r="K42" s="528">
        <f t="shared" si="7"/>
        <v>0</v>
      </c>
      <c r="L42" s="528">
        <f t="shared" si="7"/>
        <v>0</v>
      </c>
      <c r="M42" s="528">
        <f t="shared" si="7"/>
        <v>0</v>
      </c>
      <c r="N42" s="528">
        <f t="shared" si="7"/>
        <v>0</v>
      </c>
      <c r="O42" s="528">
        <f t="shared" si="7"/>
        <v>0</v>
      </c>
      <c r="P42" s="528">
        <f t="shared" si="7"/>
        <v>0</v>
      </c>
      <c r="Q42" s="528">
        <f t="shared" si="7"/>
        <v>0</v>
      </c>
      <c r="R42" s="528">
        <f t="shared" si="7"/>
        <v>0</v>
      </c>
      <c r="S42" s="546"/>
    </row>
    <row r="43" spans="3:19" x14ac:dyDescent="0.45">
      <c r="C43" s="4"/>
      <c r="D43" s="4"/>
      <c r="E43" s="546"/>
      <c r="F43" s="546"/>
      <c r="G43" s="546"/>
      <c r="H43" s="546"/>
      <c r="I43" s="546"/>
      <c r="J43" s="546"/>
      <c r="K43" s="546"/>
      <c r="L43" s="546"/>
      <c r="M43" s="546"/>
      <c r="N43" s="546"/>
      <c r="O43" s="546"/>
      <c r="P43" s="546"/>
      <c r="Q43" s="546"/>
      <c r="R43" s="546"/>
      <c r="S43" s="546"/>
    </row>
    <row r="44" spans="3:19" x14ac:dyDescent="0.45">
      <c r="C44" s="4"/>
      <c r="D44" s="4"/>
      <c r="E44" s="4"/>
      <c r="F44" s="4"/>
      <c r="G44" s="4"/>
      <c r="H44" s="4"/>
    </row>
    <row r="45" spans="3:19" x14ac:dyDescent="0.45">
      <c r="E45" s="4"/>
      <c r="F45" s="4"/>
      <c r="G45" s="4"/>
      <c r="H45" s="4"/>
    </row>
    <row r="46" spans="3:19" x14ac:dyDescent="0.45">
      <c r="C46" s="532" t="s">
        <v>1015</v>
      </c>
      <c r="E46" s="4"/>
      <c r="F46" s="4"/>
      <c r="G46" s="4"/>
      <c r="H46" s="4"/>
    </row>
    <row r="47" spans="3:19" x14ac:dyDescent="0.45">
      <c r="C47" t="str">
        <f>'12. Inputs-Props &amp; Debtors 2016'!C$77</f>
        <v>EC</v>
      </c>
      <c r="E47" s="4"/>
      <c r="F47" s="4"/>
      <c r="G47" s="4"/>
      <c r="H47" s="539">
        <v>1</v>
      </c>
      <c r="I47" s="534">
        <f t="shared" ref="I47:Q51" si="8">IF(I11&lt;&gt;0,H47,0)</f>
        <v>1</v>
      </c>
      <c r="J47" s="534">
        <f t="shared" si="8"/>
        <v>1</v>
      </c>
      <c r="K47" s="534">
        <f t="shared" si="8"/>
        <v>0</v>
      </c>
      <c r="L47" s="534">
        <f t="shared" si="8"/>
        <v>0</v>
      </c>
      <c r="M47" s="534">
        <f t="shared" si="8"/>
        <v>0</v>
      </c>
      <c r="N47" s="534">
        <f t="shared" si="8"/>
        <v>0</v>
      </c>
      <c r="O47" s="534">
        <f t="shared" si="8"/>
        <v>0</v>
      </c>
      <c r="P47" s="534">
        <f t="shared" si="8"/>
        <v>0</v>
      </c>
      <c r="Q47" s="534">
        <f t="shared" si="8"/>
        <v>0</v>
      </c>
      <c r="R47" s="534">
        <f>IF(R11&lt;&gt;0,Q47,0)</f>
        <v>0</v>
      </c>
    </row>
    <row r="48" spans="3:19" x14ac:dyDescent="0.45">
      <c r="C48" t="str">
        <f>'12. Inputs-Props &amp; Debtors 2016'!C$78</f>
        <v>FS</v>
      </c>
      <c r="E48" s="4"/>
      <c r="F48" s="4"/>
      <c r="G48" s="4"/>
      <c r="H48" s="539">
        <v>1</v>
      </c>
      <c r="I48" s="534">
        <f t="shared" si="8"/>
        <v>1</v>
      </c>
      <c r="J48" s="534">
        <f t="shared" si="8"/>
        <v>1</v>
      </c>
      <c r="K48" s="534">
        <f t="shared" si="8"/>
        <v>0</v>
      </c>
      <c r="L48" s="534">
        <f t="shared" si="8"/>
        <v>0</v>
      </c>
      <c r="M48" s="534">
        <f t="shared" si="8"/>
        <v>0</v>
      </c>
      <c r="N48" s="534">
        <f t="shared" si="8"/>
        <v>0</v>
      </c>
      <c r="O48" s="534">
        <f t="shared" si="8"/>
        <v>0</v>
      </c>
      <c r="P48" s="534">
        <f t="shared" si="8"/>
        <v>0</v>
      </c>
      <c r="Q48" s="534">
        <f t="shared" si="8"/>
        <v>0</v>
      </c>
      <c r="R48" s="534">
        <f>IF(R12&lt;&gt;0,Q48,0)</f>
        <v>0</v>
      </c>
    </row>
    <row r="49" spans="1:19" x14ac:dyDescent="0.45">
      <c r="C49" t="str">
        <f>'12. Inputs-Props &amp; Debtors 2016'!C$79</f>
        <v>Gau</v>
      </c>
      <c r="E49" s="4"/>
      <c r="F49" s="4"/>
      <c r="G49" s="4"/>
      <c r="H49" s="539">
        <v>1</v>
      </c>
      <c r="I49" s="534">
        <f t="shared" si="8"/>
        <v>1</v>
      </c>
      <c r="J49" s="534">
        <f t="shared" si="8"/>
        <v>1</v>
      </c>
      <c r="K49" s="534">
        <f t="shared" si="8"/>
        <v>0</v>
      </c>
      <c r="L49" s="534">
        <f t="shared" si="8"/>
        <v>0</v>
      </c>
      <c r="M49" s="534">
        <f t="shared" si="8"/>
        <v>0</v>
      </c>
      <c r="N49" s="534">
        <f t="shared" si="8"/>
        <v>0</v>
      </c>
      <c r="O49" s="534">
        <f t="shared" si="8"/>
        <v>0</v>
      </c>
      <c r="P49" s="534">
        <f t="shared" si="8"/>
        <v>0</v>
      </c>
      <c r="Q49" s="534">
        <f t="shared" si="8"/>
        <v>0</v>
      </c>
      <c r="R49" s="534">
        <f>IF(R13&lt;&gt;0,Q49,0)</f>
        <v>0</v>
      </c>
    </row>
    <row r="50" spans="1:19" x14ac:dyDescent="0.45">
      <c r="C50" t="str">
        <f>'12. Inputs-Props &amp; Debtors 2016'!C$80</f>
        <v>KZN</v>
      </c>
      <c r="E50" s="4"/>
      <c r="F50" s="4"/>
      <c r="G50" s="4"/>
      <c r="H50" s="539">
        <v>1</v>
      </c>
      <c r="I50" s="534">
        <f t="shared" si="8"/>
        <v>1</v>
      </c>
      <c r="J50" s="534">
        <f t="shared" si="8"/>
        <v>1</v>
      </c>
      <c r="K50" s="534">
        <f t="shared" si="8"/>
        <v>0</v>
      </c>
      <c r="L50" s="534">
        <f t="shared" si="8"/>
        <v>0</v>
      </c>
      <c r="M50" s="534">
        <f t="shared" si="8"/>
        <v>0</v>
      </c>
      <c r="N50" s="534">
        <f t="shared" si="8"/>
        <v>0</v>
      </c>
      <c r="O50" s="534">
        <f t="shared" si="8"/>
        <v>0</v>
      </c>
      <c r="P50" s="534">
        <f t="shared" si="8"/>
        <v>0</v>
      </c>
      <c r="Q50" s="534">
        <f t="shared" si="8"/>
        <v>0</v>
      </c>
      <c r="R50" s="534">
        <f>IF(R14&lt;&gt;0,Q50,0)</f>
        <v>0</v>
      </c>
    </row>
    <row r="51" spans="1:19" x14ac:dyDescent="0.45">
      <c r="C51" t="str">
        <f>'12. Inputs-Props &amp; Debtors 2016'!C$81</f>
        <v>WC</v>
      </c>
      <c r="E51" s="4"/>
      <c r="F51" s="4"/>
      <c r="G51" s="4"/>
      <c r="H51" s="539">
        <v>1</v>
      </c>
      <c r="I51" s="534">
        <f t="shared" si="8"/>
        <v>1</v>
      </c>
      <c r="J51" s="534">
        <f t="shared" si="8"/>
        <v>1</v>
      </c>
      <c r="K51" s="534">
        <f t="shared" si="8"/>
        <v>0</v>
      </c>
      <c r="L51" s="534">
        <f t="shared" si="8"/>
        <v>0</v>
      </c>
      <c r="M51" s="534">
        <f t="shared" si="8"/>
        <v>0</v>
      </c>
      <c r="N51" s="534">
        <f t="shared" si="8"/>
        <v>0</v>
      </c>
      <c r="O51" s="534">
        <f t="shared" si="8"/>
        <v>0</v>
      </c>
      <c r="P51" s="534">
        <f t="shared" si="8"/>
        <v>0</v>
      </c>
      <c r="Q51" s="534">
        <f t="shared" si="8"/>
        <v>0</v>
      </c>
      <c r="R51" s="534">
        <f>IF(R15&lt;&gt;0,Q51,0)</f>
        <v>0</v>
      </c>
    </row>
    <row r="52" spans="1:19" x14ac:dyDescent="0.45">
      <c r="E52" s="4"/>
      <c r="F52" s="4"/>
      <c r="G52" s="4"/>
      <c r="H52" s="4"/>
    </row>
    <row r="53" spans="1:19" x14ac:dyDescent="0.45">
      <c r="E53" s="4"/>
      <c r="F53" s="4"/>
      <c r="G53" s="4"/>
      <c r="H53" s="4"/>
    </row>
    <row r="54" spans="1:19" x14ac:dyDescent="0.45">
      <c r="C54" s="451" t="s">
        <v>1017</v>
      </c>
      <c r="E54" s="4"/>
      <c r="F54" s="4"/>
      <c r="G54" s="4"/>
      <c r="H54" s="4"/>
    </row>
    <row r="55" spans="1:19" x14ac:dyDescent="0.45">
      <c r="C55" s="451" t="s">
        <v>1018</v>
      </c>
      <c r="D55" t="s">
        <v>1021</v>
      </c>
      <c r="E55" s="4"/>
      <c r="F55" s="4"/>
      <c r="G55" s="4"/>
      <c r="H55" s="4"/>
    </row>
    <row r="56" spans="1:19" x14ac:dyDescent="0.45">
      <c r="C56" t="str">
        <f>'12. Inputs-Props &amp; Debtors 2016'!C$77</f>
        <v>EC</v>
      </c>
      <c r="E56" s="4"/>
      <c r="F56" s="4"/>
      <c r="G56" s="4"/>
      <c r="H56" s="540">
        <v>7500</v>
      </c>
      <c r="I56" s="533">
        <f t="shared" ref="I56:Q60" si="9">IF(I11&lt;&gt;0,H56,0)</f>
        <v>7500</v>
      </c>
      <c r="J56" s="533">
        <f t="shared" si="9"/>
        <v>7500</v>
      </c>
      <c r="K56" s="533">
        <f t="shared" si="9"/>
        <v>0</v>
      </c>
      <c r="L56" s="533">
        <f t="shared" si="9"/>
        <v>0</v>
      </c>
      <c r="M56" s="533">
        <f t="shared" si="9"/>
        <v>0</v>
      </c>
      <c r="N56" s="533">
        <f t="shared" si="9"/>
        <v>0</v>
      </c>
      <c r="O56" s="533">
        <f t="shared" si="9"/>
        <v>0</v>
      </c>
      <c r="P56" s="533">
        <f t="shared" si="9"/>
        <v>0</v>
      </c>
      <c r="Q56" s="533">
        <f t="shared" si="9"/>
        <v>0</v>
      </c>
      <c r="R56" s="533">
        <f>IF(R11&lt;&gt;0,Q56,0)</f>
        <v>0</v>
      </c>
    </row>
    <row r="57" spans="1:19" x14ac:dyDescent="0.45">
      <c r="C57" t="str">
        <f>'12. Inputs-Props &amp; Debtors 2016'!C$78</f>
        <v>FS</v>
      </c>
      <c r="E57" s="4"/>
      <c r="F57" s="4"/>
      <c r="G57" s="4"/>
      <c r="H57" s="540">
        <v>7500</v>
      </c>
      <c r="I57" s="533">
        <f t="shared" si="9"/>
        <v>7500</v>
      </c>
      <c r="J57" s="533">
        <f t="shared" si="9"/>
        <v>7500</v>
      </c>
      <c r="K57" s="533">
        <f t="shared" si="9"/>
        <v>0</v>
      </c>
      <c r="L57" s="533">
        <f t="shared" si="9"/>
        <v>0</v>
      </c>
      <c r="M57" s="533">
        <f t="shared" si="9"/>
        <v>0</v>
      </c>
      <c r="N57" s="533">
        <f t="shared" si="9"/>
        <v>0</v>
      </c>
      <c r="O57" s="533">
        <f t="shared" si="9"/>
        <v>0</v>
      </c>
      <c r="P57" s="533">
        <f t="shared" si="9"/>
        <v>0</v>
      </c>
      <c r="Q57" s="533">
        <f t="shared" si="9"/>
        <v>0</v>
      </c>
      <c r="R57" s="533">
        <f>IF(R12&lt;&gt;0,Q57,0)</f>
        <v>0</v>
      </c>
    </row>
    <row r="58" spans="1:19" x14ac:dyDescent="0.45">
      <c r="C58" t="str">
        <f>'12. Inputs-Props &amp; Debtors 2016'!C$79</f>
        <v>Gau</v>
      </c>
      <c r="E58" s="4"/>
      <c r="F58" s="4"/>
      <c r="G58" s="4"/>
      <c r="H58" s="540">
        <v>7500</v>
      </c>
      <c r="I58" s="533">
        <f t="shared" si="9"/>
        <v>7500</v>
      </c>
      <c r="J58" s="533">
        <f t="shared" si="9"/>
        <v>7500</v>
      </c>
      <c r="K58" s="533">
        <f t="shared" si="9"/>
        <v>0</v>
      </c>
      <c r="L58" s="533">
        <f t="shared" si="9"/>
        <v>0</v>
      </c>
      <c r="M58" s="533">
        <f t="shared" si="9"/>
        <v>0</v>
      </c>
      <c r="N58" s="533">
        <f t="shared" si="9"/>
        <v>0</v>
      </c>
      <c r="O58" s="533">
        <f t="shared" si="9"/>
        <v>0</v>
      </c>
      <c r="P58" s="533">
        <f t="shared" si="9"/>
        <v>0</v>
      </c>
      <c r="Q58" s="533">
        <f t="shared" si="9"/>
        <v>0</v>
      </c>
      <c r="R58" s="533">
        <f>IF(R13&lt;&gt;0,Q58,0)</f>
        <v>0</v>
      </c>
    </row>
    <row r="59" spans="1:19" x14ac:dyDescent="0.45">
      <c r="C59" t="str">
        <f>'12. Inputs-Props &amp; Debtors 2016'!C$80</f>
        <v>KZN</v>
      </c>
      <c r="E59" s="4"/>
      <c r="F59" s="4"/>
      <c r="G59" s="4"/>
      <c r="H59" s="540">
        <v>7500</v>
      </c>
      <c r="I59" s="533">
        <f t="shared" si="9"/>
        <v>7500</v>
      </c>
      <c r="J59" s="533">
        <f t="shared" si="9"/>
        <v>7500</v>
      </c>
      <c r="K59" s="533">
        <f t="shared" si="9"/>
        <v>0</v>
      </c>
      <c r="L59" s="533">
        <f t="shared" si="9"/>
        <v>0</v>
      </c>
      <c r="M59" s="533">
        <f t="shared" si="9"/>
        <v>0</v>
      </c>
      <c r="N59" s="533">
        <f t="shared" si="9"/>
        <v>0</v>
      </c>
      <c r="O59" s="533">
        <f t="shared" si="9"/>
        <v>0</v>
      </c>
      <c r="P59" s="533">
        <f t="shared" si="9"/>
        <v>0</v>
      </c>
      <c r="Q59" s="533">
        <f t="shared" si="9"/>
        <v>0</v>
      </c>
      <c r="R59" s="533">
        <f>IF(R14&lt;&gt;0,Q59,0)</f>
        <v>0</v>
      </c>
    </row>
    <row r="60" spans="1:19" x14ac:dyDescent="0.45">
      <c r="C60" t="str">
        <f>'12. Inputs-Props &amp; Debtors 2016'!C$81</f>
        <v>WC</v>
      </c>
      <c r="E60" s="4"/>
      <c r="F60" s="4"/>
      <c r="G60" s="4"/>
      <c r="H60" s="540">
        <v>7500</v>
      </c>
      <c r="I60" s="533">
        <f t="shared" si="9"/>
        <v>7500</v>
      </c>
      <c r="J60" s="533">
        <f t="shared" si="9"/>
        <v>7500</v>
      </c>
      <c r="K60" s="533">
        <f t="shared" si="9"/>
        <v>0</v>
      </c>
      <c r="L60" s="533">
        <f t="shared" si="9"/>
        <v>0</v>
      </c>
      <c r="M60" s="533">
        <f t="shared" si="9"/>
        <v>0</v>
      </c>
      <c r="N60" s="533">
        <f t="shared" si="9"/>
        <v>0</v>
      </c>
      <c r="O60" s="533">
        <f t="shared" si="9"/>
        <v>0</v>
      </c>
      <c r="P60" s="533">
        <f t="shared" si="9"/>
        <v>0</v>
      </c>
      <c r="Q60" s="533">
        <f t="shared" si="9"/>
        <v>0</v>
      </c>
      <c r="R60" s="533">
        <f>IF(R15&lt;&gt;0,Q60,0)</f>
        <v>0</v>
      </c>
    </row>
    <row r="61" spans="1:19" x14ac:dyDescent="0.45">
      <c r="E61" s="4"/>
      <c r="F61" s="4"/>
      <c r="G61" s="4"/>
      <c r="H61" s="4"/>
    </row>
    <row r="62" spans="1:19" x14ac:dyDescent="0.45">
      <c r="A62" s="543"/>
      <c r="C62" s="451" t="s">
        <v>1027</v>
      </c>
      <c r="E62" s="4"/>
      <c r="F62" s="4"/>
      <c r="G62" s="4"/>
      <c r="H62" s="4"/>
    </row>
    <row r="63" spans="1:19" x14ac:dyDescent="0.45">
      <c r="A63" s="543"/>
      <c r="C63" t="str">
        <f>'12. Inputs-Props &amp; Debtors 2016'!C$77</f>
        <v>EC</v>
      </c>
      <c r="E63" s="533">
        <f>'11. Table - Expenditure Review'!I74</f>
        <v>5576064</v>
      </c>
      <c r="F63" s="533">
        <f>'11. Table - Expenditure Review'!J74</f>
        <v>1243913</v>
      </c>
      <c r="G63" s="533">
        <f>'11. Table - Expenditure Review'!K74</f>
        <v>313420</v>
      </c>
      <c r="H63" s="533">
        <f t="shared" ref="H63:R67" si="10">H11*H47*H56</f>
        <v>67500</v>
      </c>
      <c r="I63" s="533">
        <f t="shared" si="10"/>
        <v>202500</v>
      </c>
      <c r="J63" s="533">
        <f t="shared" si="10"/>
        <v>405000</v>
      </c>
      <c r="K63" s="533">
        <f t="shared" si="10"/>
        <v>0</v>
      </c>
      <c r="L63" s="533">
        <f t="shared" si="10"/>
        <v>0</v>
      </c>
      <c r="M63" s="533">
        <f t="shared" si="10"/>
        <v>0</v>
      </c>
      <c r="N63" s="533">
        <f t="shared" si="10"/>
        <v>0</v>
      </c>
      <c r="O63" s="533">
        <f t="shared" si="10"/>
        <v>0</v>
      </c>
      <c r="P63" s="533">
        <f t="shared" si="10"/>
        <v>0</v>
      </c>
      <c r="Q63" s="533">
        <f t="shared" si="10"/>
        <v>0</v>
      </c>
      <c r="R63" s="533">
        <f t="shared" si="10"/>
        <v>0</v>
      </c>
      <c r="S63" s="533">
        <f>SUM(H63:R63)</f>
        <v>675000</v>
      </c>
    </row>
    <row r="64" spans="1:19" x14ac:dyDescent="0.45">
      <c r="A64" s="543"/>
      <c r="C64" t="str">
        <f>'12. Inputs-Props &amp; Debtors 2016'!C$78</f>
        <v>FS</v>
      </c>
      <c r="E64" s="533">
        <f>'11. Table - Expenditure Review'!L74</f>
        <v>157500</v>
      </c>
      <c r="F64" s="533">
        <f>'11. Table - Expenditure Review'!M74</f>
        <v>135000</v>
      </c>
      <c r="G64" s="533">
        <f>'11. Table - Expenditure Review'!N74</f>
        <v>0</v>
      </c>
      <c r="H64" s="533">
        <f t="shared" si="10"/>
        <v>37500</v>
      </c>
      <c r="I64" s="533">
        <f t="shared" si="10"/>
        <v>105000</v>
      </c>
      <c r="J64" s="533">
        <f t="shared" si="10"/>
        <v>217500</v>
      </c>
      <c r="K64" s="533">
        <f t="shared" si="10"/>
        <v>0</v>
      </c>
      <c r="L64" s="533">
        <f t="shared" si="10"/>
        <v>0</v>
      </c>
      <c r="M64" s="533">
        <f t="shared" si="10"/>
        <v>0</v>
      </c>
      <c r="N64" s="533">
        <f t="shared" si="10"/>
        <v>0</v>
      </c>
      <c r="O64" s="533">
        <f t="shared" si="10"/>
        <v>0</v>
      </c>
      <c r="P64" s="533">
        <f t="shared" si="10"/>
        <v>0</v>
      </c>
      <c r="Q64" s="533">
        <f t="shared" si="10"/>
        <v>0</v>
      </c>
      <c r="R64" s="533">
        <f t="shared" si="10"/>
        <v>0</v>
      </c>
      <c r="S64" s="533">
        <f>SUM(H64:R64)</f>
        <v>360000</v>
      </c>
    </row>
    <row r="65" spans="1:19" x14ac:dyDescent="0.45">
      <c r="A65" s="543"/>
      <c r="C65" t="str">
        <f>'12. Inputs-Props &amp; Debtors 2016'!C$79</f>
        <v>Gau</v>
      </c>
      <c r="E65" s="533">
        <f>'11. Table - Expenditure Review'!O74</f>
        <v>1522381</v>
      </c>
      <c r="F65" s="533">
        <f>'11. Table - Expenditure Review'!P74</f>
        <v>2645202</v>
      </c>
      <c r="G65" s="533">
        <f>'11. Table - Expenditure Review'!Q74</f>
        <v>1475617</v>
      </c>
      <c r="H65" s="533">
        <f t="shared" si="10"/>
        <v>1267500</v>
      </c>
      <c r="I65" s="533">
        <f t="shared" si="10"/>
        <v>3810000</v>
      </c>
      <c r="J65" s="533">
        <f t="shared" si="10"/>
        <v>7627500</v>
      </c>
      <c r="K65" s="533">
        <f t="shared" si="10"/>
        <v>0</v>
      </c>
      <c r="L65" s="533">
        <f t="shared" si="10"/>
        <v>0</v>
      </c>
      <c r="M65" s="533">
        <f t="shared" si="10"/>
        <v>0</v>
      </c>
      <c r="N65" s="533">
        <f t="shared" si="10"/>
        <v>0</v>
      </c>
      <c r="O65" s="533">
        <f t="shared" si="10"/>
        <v>0</v>
      </c>
      <c r="P65" s="533">
        <f t="shared" si="10"/>
        <v>0</v>
      </c>
      <c r="Q65" s="533">
        <f t="shared" si="10"/>
        <v>0</v>
      </c>
      <c r="R65" s="533">
        <f t="shared" si="10"/>
        <v>0</v>
      </c>
      <c r="S65" s="533">
        <f>SUM(H65:R65)</f>
        <v>12705000</v>
      </c>
    </row>
    <row r="66" spans="1:19" x14ac:dyDescent="0.45">
      <c r="A66" s="543"/>
      <c r="C66" t="str">
        <f>'12. Inputs-Props &amp; Debtors 2016'!C$80</f>
        <v>KZN</v>
      </c>
      <c r="E66" s="533">
        <f>'11. Table - Expenditure Review'!R74</f>
        <v>10104396</v>
      </c>
      <c r="F66" s="533">
        <f>'11. Table - Expenditure Review'!S74</f>
        <v>13221991</v>
      </c>
      <c r="G66" s="533">
        <f>'11. Table - Expenditure Review'!T74</f>
        <v>8660989</v>
      </c>
      <c r="H66" s="533">
        <f t="shared" si="10"/>
        <v>1920000</v>
      </c>
      <c r="I66" s="533">
        <f t="shared" si="10"/>
        <v>5767500</v>
      </c>
      <c r="J66" s="533">
        <f t="shared" si="10"/>
        <v>11535000</v>
      </c>
      <c r="K66" s="533">
        <f t="shared" si="10"/>
        <v>0</v>
      </c>
      <c r="L66" s="533">
        <f t="shared" si="10"/>
        <v>0</v>
      </c>
      <c r="M66" s="533">
        <f t="shared" si="10"/>
        <v>0</v>
      </c>
      <c r="N66" s="533">
        <f t="shared" si="10"/>
        <v>0</v>
      </c>
      <c r="O66" s="533">
        <f t="shared" si="10"/>
        <v>0</v>
      </c>
      <c r="P66" s="533">
        <f t="shared" si="10"/>
        <v>0</v>
      </c>
      <c r="Q66" s="533">
        <f t="shared" si="10"/>
        <v>0</v>
      </c>
      <c r="R66" s="533">
        <f t="shared" si="10"/>
        <v>0</v>
      </c>
      <c r="S66" s="533">
        <f>SUM(H66:R66)</f>
        <v>19222500</v>
      </c>
    </row>
    <row r="67" spans="1:19" x14ac:dyDescent="0.45">
      <c r="A67" s="543"/>
      <c r="C67" t="str">
        <f>'12. Inputs-Props &amp; Debtors 2016'!C$81</f>
        <v>WC</v>
      </c>
      <c r="E67" s="533">
        <f>'11. Table - Expenditure Review'!U74</f>
        <v>562843</v>
      </c>
      <c r="F67" s="533">
        <f>'11. Table - Expenditure Review'!V74</f>
        <v>358439</v>
      </c>
      <c r="G67" s="533">
        <f>'11. Table - Expenditure Review'!W74</f>
        <v>267958</v>
      </c>
      <c r="H67" s="533">
        <f t="shared" si="10"/>
        <v>577500</v>
      </c>
      <c r="I67" s="533">
        <f t="shared" si="10"/>
        <v>1717500</v>
      </c>
      <c r="J67" s="533">
        <f t="shared" si="10"/>
        <v>3442500</v>
      </c>
      <c r="K67" s="533">
        <f t="shared" si="10"/>
        <v>0</v>
      </c>
      <c r="L67" s="533">
        <f t="shared" si="10"/>
        <v>0</v>
      </c>
      <c r="M67" s="533">
        <f t="shared" si="10"/>
        <v>0</v>
      </c>
      <c r="N67" s="533">
        <f t="shared" si="10"/>
        <v>0</v>
      </c>
      <c r="O67" s="533">
        <f t="shared" si="10"/>
        <v>0</v>
      </c>
      <c r="P67" s="533">
        <f t="shared" si="10"/>
        <v>0</v>
      </c>
      <c r="Q67" s="533">
        <f t="shared" si="10"/>
        <v>0</v>
      </c>
      <c r="R67" s="533">
        <f t="shared" si="10"/>
        <v>0</v>
      </c>
      <c r="S67" s="533">
        <f>SUM(H67:R67)</f>
        <v>5737500</v>
      </c>
    </row>
    <row r="68" spans="1:19" x14ac:dyDescent="0.45">
      <c r="E68" s="535">
        <f t="shared" ref="E68:S68" si="11">SUM(E63:E67)</f>
        <v>17923184</v>
      </c>
      <c r="F68" s="535">
        <f t="shared" si="11"/>
        <v>17604545</v>
      </c>
      <c r="G68" s="535">
        <f t="shared" si="11"/>
        <v>10717984</v>
      </c>
      <c r="H68" s="535">
        <f t="shared" si="11"/>
        <v>3870000</v>
      </c>
      <c r="I68" s="535">
        <f t="shared" si="11"/>
        <v>11602500</v>
      </c>
      <c r="J68" s="535">
        <f t="shared" si="11"/>
        <v>23227500</v>
      </c>
      <c r="K68" s="535">
        <f t="shared" si="11"/>
        <v>0</v>
      </c>
      <c r="L68" s="535">
        <f t="shared" si="11"/>
        <v>0</v>
      </c>
      <c r="M68" s="535">
        <f t="shared" si="11"/>
        <v>0</v>
      </c>
      <c r="N68" s="535">
        <f t="shared" si="11"/>
        <v>0</v>
      </c>
      <c r="O68" s="535">
        <f t="shared" si="11"/>
        <v>0</v>
      </c>
      <c r="P68" s="535">
        <f t="shared" si="11"/>
        <v>0</v>
      </c>
      <c r="Q68" s="535">
        <f t="shared" si="11"/>
        <v>0</v>
      </c>
      <c r="R68" s="535">
        <f t="shared" si="11"/>
        <v>0</v>
      </c>
      <c r="S68" s="535">
        <f t="shared" si="11"/>
        <v>38700000</v>
      </c>
    </row>
    <row r="69" spans="1:19" x14ac:dyDescent="0.45">
      <c r="E69" s="552"/>
      <c r="F69" s="552"/>
      <c r="G69" s="552"/>
      <c r="H69" s="552"/>
      <c r="I69" s="552"/>
      <c r="J69" s="552"/>
      <c r="K69" s="552"/>
      <c r="L69" s="552"/>
      <c r="M69" s="552"/>
      <c r="N69" s="552"/>
      <c r="O69" s="552"/>
      <c r="P69" s="552"/>
      <c r="Q69" s="552"/>
      <c r="R69" s="552"/>
      <c r="S69" s="552"/>
    </row>
    <row r="70" spans="1:19" x14ac:dyDescent="0.45">
      <c r="E70" s="4"/>
      <c r="F70" s="4"/>
      <c r="G70" s="4"/>
      <c r="H70" s="4"/>
    </row>
    <row r="71" spans="1:19" x14ac:dyDescent="0.45">
      <c r="C71" s="547" t="s">
        <v>255</v>
      </c>
      <c r="D71" s="548"/>
      <c r="E71" s="549"/>
      <c r="F71" s="549"/>
      <c r="G71" s="549"/>
      <c r="H71" s="4"/>
    </row>
    <row r="72" spans="1:19" x14ac:dyDescent="0.45">
      <c r="C72" s="548" t="str">
        <f>'12. Inputs-Props &amp; Debtors 2016'!C$77</f>
        <v>EC</v>
      </c>
      <c r="D72" s="548"/>
      <c r="E72" s="550">
        <f>'11. Table - Expenditure Review'!I$85</f>
        <v>121</v>
      </c>
      <c r="F72" s="550">
        <f>'11. Table - Expenditure Review'!J$85</f>
        <v>119</v>
      </c>
      <c r="G72" s="550">
        <f>'11. Table - Expenditure Review'!K$85</f>
        <v>113</v>
      </c>
      <c r="H72" s="4"/>
    </row>
    <row r="73" spans="1:19" x14ac:dyDescent="0.45">
      <c r="C73" s="548" t="str">
        <f>'12. Inputs-Props &amp; Debtors 2016'!C$78</f>
        <v>FS</v>
      </c>
      <c r="D73" s="548"/>
      <c r="E73" s="550">
        <f>'11. Table - Expenditure Review'!L$85</f>
        <v>0</v>
      </c>
      <c r="F73" s="550">
        <f>'11. Table - Expenditure Review'!M$85</f>
        <v>0</v>
      </c>
      <c r="G73" s="550">
        <f>'11. Table - Expenditure Review'!N$85</f>
        <v>0</v>
      </c>
      <c r="H73" s="4"/>
    </row>
    <row r="74" spans="1:19" x14ac:dyDescent="0.45">
      <c r="C74" s="548" t="str">
        <f>'12. Inputs-Props &amp; Debtors 2016'!C$79</f>
        <v>Gau</v>
      </c>
      <c r="D74" s="548"/>
      <c r="E74" s="550">
        <f>'11. Table - Expenditure Review'!O$85</f>
        <v>1090</v>
      </c>
      <c r="F74" s="550">
        <f>'11. Table - Expenditure Review'!P$85</f>
        <v>870</v>
      </c>
      <c r="G74" s="550">
        <f>'11. Table - Expenditure Review'!Q$85</f>
        <v>576</v>
      </c>
      <c r="H74" s="4"/>
    </row>
    <row r="75" spans="1:19" x14ac:dyDescent="0.45">
      <c r="C75" s="548" t="str">
        <f>'12. Inputs-Props &amp; Debtors 2016'!C$80</f>
        <v>KZN</v>
      </c>
      <c r="D75" s="548"/>
      <c r="E75" s="550">
        <f>'11. Table - Expenditure Review'!R$85</f>
        <v>2590</v>
      </c>
      <c r="F75" s="550">
        <f>'11. Table - Expenditure Review'!S$85</f>
        <v>2412</v>
      </c>
      <c r="G75" s="550">
        <f>'11. Table - Expenditure Review'!T$85</f>
        <v>1846</v>
      </c>
      <c r="H75" s="4"/>
    </row>
    <row r="76" spans="1:19" x14ac:dyDescent="0.45">
      <c r="C76" s="548" t="str">
        <f>'12. Inputs-Props &amp; Debtors 2016'!C$81</f>
        <v>WC</v>
      </c>
      <c r="D76" s="548"/>
      <c r="E76" s="550">
        <f>'11. Table - Expenditure Review'!T$85</f>
        <v>1846</v>
      </c>
      <c r="F76" s="550">
        <f>'11. Table - Expenditure Review'!U$85</f>
        <v>2665</v>
      </c>
      <c r="G76" s="550">
        <f>'11. Table - Expenditure Review'!V$85</f>
        <v>2028</v>
      </c>
      <c r="H76" s="4"/>
    </row>
    <row r="77" spans="1:19" x14ac:dyDescent="0.45">
      <c r="C77" s="548"/>
      <c r="D77" s="548"/>
      <c r="E77" s="551">
        <f>SUM(E72:E76)</f>
        <v>5647</v>
      </c>
      <c r="F77" s="551">
        <f>SUM(F72:F76)</f>
        <v>6066</v>
      </c>
      <c r="G77" s="551">
        <f>SUM(G72:G76)</f>
        <v>4563</v>
      </c>
      <c r="H77" s="4"/>
    </row>
    <row r="78" spans="1:19" x14ac:dyDescent="0.45">
      <c r="E78" s="4"/>
      <c r="F78" s="4"/>
      <c r="G78" s="4"/>
      <c r="H78" s="4"/>
    </row>
    <row r="79" spans="1:19" x14ac:dyDescent="0.45">
      <c r="E79" s="4"/>
      <c r="F79" s="4"/>
      <c r="G79" s="4"/>
      <c r="H79" s="4"/>
    </row>
    <row r="80" spans="1:19" x14ac:dyDescent="0.45">
      <c r="C80" s="451" t="s">
        <v>1022</v>
      </c>
      <c r="E80" s="4"/>
      <c r="F80" s="4"/>
      <c r="G80" s="4"/>
      <c r="H80" s="4"/>
    </row>
    <row r="81" spans="3:19" x14ac:dyDescent="0.45">
      <c r="C81" t="str">
        <f>'12. Inputs-Props &amp; Debtors 2016'!C$77</f>
        <v>EC</v>
      </c>
      <c r="E81" s="533"/>
      <c r="F81" s="533"/>
      <c r="G81" s="533">
        <f>'11. Table - Expenditure Review'!K104</f>
        <v>77023.692456140343</v>
      </c>
      <c r="H81" s="533">
        <f>IF(H20&lt;&gt;0,G81,0)</f>
        <v>77023.692456140343</v>
      </c>
      <c r="I81" s="533">
        <f t="shared" ref="I81:R86" si="12">IF(I20&lt;&gt;0,H81,0)</f>
        <v>77023.692456140343</v>
      </c>
      <c r="J81" s="533">
        <f t="shared" si="12"/>
        <v>77023.692456140343</v>
      </c>
      <c r="K81" s="533">
        <f t="shared" si="12"/>
        <v>0</v>
      </c>
      <c r="L81" s="533">
        <f t="shared" si="12"/>
        <v>0</v>
      </c>
      <c r="M81" s="533">
        <f t="shared" si="12"/>
        <v>0</v>
      </c>
      <c r="N81" s="533">
        <f t="shared" si="12"/>
        <v>0</v>
      </c>
      <c r="O81" s="533">
        <f t="shared" si="12"/>
        <v>0</v>
      </c>
      <c r="P81" s="533">
        <f t="shared" si="12"/>
        <v>0</v>
      </c>
      <c r="Q81" s="533">
        <f t="shared" si="12"/>
        <v>0</v>
      </c>
      <c r="R81" s="533">
        <f t="shared" si="12"/>
        <v>0</v>
      </c>
      <c r="S81" s="533"/>
    </row>
    <row r="82" spans="3:19" x14ac:dyDescent="0.45">
      <c r="C82" t="str">
        <f>'12. Inputs-Props &amp; Debtors 2016'!C$78</f>
        <v>FS</v>
      </c>
      <c r="E82" s="533"/>
      <c r="F82" s="533"/>
      <c r="G82" s="533">
        <f>'11. Table - Expenditure Review'!N104</f>
        <v>35073.449999999997</v>
      </c>
      <c r="H82" s="533">
        <f t="shared" ref="H82:K86" si="13">IF(H21&lt;&gt;0,G82,0)</f>
        <v>35073.449999999997</v>
      </c>
      <c r="I82" s="533">
        <f t="shared" si="13"/>
        <v>35073.449999999997</v>
      </c>
      <c r="J82" s="533">
        <f t="shared" si="13"/>
        <v>35073.449999999997</v>
      </c>
      <c r="K82" s="533">
        <f t="shared" si="13"/>
        <v>0</v>
      </c>
      <c r="L82" s="533">
        <f t="shared" si="12"/>
        <v>0</v>
      </c>
      <c r="M82" s="533">
        <f t="shared" si="12"/>
        <v>0</v>
      </c>
      <c r="N82" s="533">
        <f t="shared" si="12"/>
        <v>0</v>
      </c>
      <c r="O82" s="533">
        <f t="shared" si="12"/>
        <v>0</v>
      </c>
      <c r="P82" s="533">
        <f t="shared" si="12"/>
        <v>0</v>
      </c>
      <c r="Q82" s="533">
        <f t="shared" si="12"/>
        <v>0</v>
      </c>
      <c r="R82" s="533">
        <f t="shared" si="12"/>
        <v>0</v>
      </c>
      <c r="S82" s="533"/>
    </row>
    <row r="83" spans="3:19" x14ac:dyDescent="0.45">
      <c r="C83" t="str">
        <f>'12. Inputs-Props &amp; Debtors 2016'!C$79</f>
        <v>Gau</v>
      </c>
      <c r="E83" s="533"/>
      <c r="F83" s="533"/>
      <c r="G83" s="533">
        <f>'11. Table - Expenditure Review'!Q104</f>
        <v>152480.91798245613</v>
      </c>
      <c r="H83" s="533">
        <f t="shared" si="13"/>
        <v>152480.91798245613</v>
      </c>
      <c r="I83" s="533">
        <f t="shared" si="13"/>
        <v>152480.91798245613</v>
      </c>
      <c r="J83" s="533">
        <f t="shared" si="13"/>
        <v>152480.91798245613</v>
      </c>
      <c r="K83" s="533">
        <f t="shared" si="13"/>
        <v>0</v>
      </c>
      <c r="L83" s="533">
        <f t="shared" si="12"/>
        <v>0</v>
      </c>
      <c r="M83" s="533">
        <f t="shared" si="12"/>
        <v>0</v>
      </c>
      <c r="N83" s="533">
        <f t="shared" si="12"/>
        <v>0</v>
      </c>
      <c r="O83" s="533">
        <f t="shared" si="12"/>
        <v>0</v>
      </c>
      <c r="P83" s="533">
        <f t="shared" si="12"/>
        <v>0</v>
      </c>
      <c r="Q83" s="533">
        <f t="shared" si="12"/>
        <v>0</v>
      </c>
      <c r="R83" s="533">
        <f t="shared" si="12"/>
        <v>0</v>
      </c>
      <c r="S83" s="533"/>
    </row>
    <row r="84" spans="3:19" x14ac:dyDescent="0.45">
      <c r="C84" t="str">
        <f>'12. Inputs-Props &amp; Debtors 2016'!C$80</f>
        <v>KZN</v>
      </c>
      <c r="E84" s="533"/>
      <c r="F84" s="533"/>
      <c r="G84" s="533">
        <f>'11. Table - Expenditure Review'!T104</f>
        <v>91514.463637532128</v>
      </c>
      <c r="H84" s="533">
        <f t="shared" si="13"/>
        <v>91514.463637532128</v>
      </c>
      <c r="I84" s="533">
        <f t="shared" si="13"/>
        <v>91514.463637532128</v>
      </c>
      <c r="J84" s="533">
        <f t="shared" si="13"/>
        <v>91514.463637532128</v>
      </c>
      <c r="K84" s="533">
        <f t="shared" si="13"/>
        <v>0</v>
      </c>
      <c r="L84" s="533">
        <f t="shared" si="12"/>
        <v>0</v>
      </c>
      <c r="M84" s="533">
        <f t="shared" si="12"/>
        <v>0</v>
      </c>
      <c r="N84" s="533">
        <f t="shared" si="12"/>
        <v>0</v>
      </c>
      <c r="O84" s="533">
        <f t="shared" si="12"/>
        <v>0</v>
      </c>
      <c r="P84" s="533">
        <f t="shared" si="12"/>
        <v>0</v>
      </c>
      <c r="Q84" s="533">
        <f t="shared" si="12"/>
        <v>0</v>
      </c>
      <c r="R84" s="533">
        <f t="shared" si="12"/>
        <v>0</v>
      </c>
      <c r="S84" s="533"/>
    </row>
    <row r="85" spans="3:19" x14ac:dyDescent="0.45">
      <c r="C85" t="str">
        <f>'12. Inputs-Props &amp; Debtors 2016'!C$81</f>
        <v>WC</v>
      </c>
      <c r="E85" s="533"/>
      <c r="F85" s="533"/>
      <c r="G85" s="533">
        <f>'11. Table - Expenditure Review'!W104</f>
        <v>51919.282393258422</v>
      </c>
      <c r="H85" s="533">
        <f t="shared" si="13"/>
        <v>51919.282393258422</v>
      </c>
      <c r="I85" s="533">
        <f t="shared" si="13"/>
        <v>51919.282393258422</v>
      </c>
      <c r="J85" s="533">
        <f t="shared" si="13"/>
        <v>51919.282393258422</v>
      </c>
      <c r="K85" s="533">
        <f t="shared" si="13"/>
        <v>0</v>
      </c>
      <c r="L85" s="533">
        <f t="shared" si="12"/>
        <v>0</v>
      </c>
      <c r="M85" s="533">
        <f t="shared" si="12"/>
        <v>0</v>
      </c>
      <c r="N85" s="533">
        <f t="shared" si="12"/>
        <v>0</v>
      </c>
      <c r="O85" s="533">
        <f t="shared" si="12"/>
        <v>0</v>
      </c>
      <c r="P85" s="533">
        <f t="shared" si="12"/>
        <v>0</v>
      </c>
      <c r="Q85" s="533">
        <f t="shared" si="12"/>
        <v>0</v>
      </c>
      <c r="R85" s="533">
        <f t="shared" si="12"/>
        <v>0</v>
      </c>
      <c r="S85" s="533"/>
    </row>
    <row r="86" spans="3:19" x14ac:dyDescent="0.45">
      <c r="E86" s="535"/>
      <c r="F86" s="535"/>
      <c r="G86" s="535">
        <f>'11. Table - Expenditure Review'!H104</f>
        <v>87428.980361768641</v>
      </c>
      <c r="H86" s="535">
        <f t="shared" si="13"/>
        <v>87428.980361768641</v>
      </c>
      <c r="I86" s="535">
        <f t="shared" si="13"/>
        <v>87428.980361768641</v>
      </c>
      <c r="J86" s="535">
        <f t="shared" si="13"/>
        <v>87428.980361768641</v>
      </c>
      <c r="K86" s="535">
        <f t="shared" si="13"/>
        <v>0</v>
      </c>
      <c r="L86" s="535">
        <f t="shared" si="12"/>
        <v>0</v>
      </c>
      <c r="M86" s="535">
        <f t="shared" si="12"/>
        <v>0</v>
      </c>
      <c r="N86" s="535">
        <f t="shared" si="12"/>
        <v>0</v>
      </c>
      <c r="O86" s="535">
        <f t="shared" si="12"/>
        <v>0</v>
      </c>
      <c r="P86" s="535">
        <f t="shared" si="12"/>
        <v>0</v>
      </c>
      <c r="Q86" s="535">
        <f t="shared" si="12"/>
        <v>0</v>
      </c>
      <c r="R86" s="535">
        <f t="shared" si="12"/>
        <v>0</v>
      </c>
      <c r="S86" s="535"/>
    </row>
    <row r="87" spans="3:19" x14ac:dyDescent="0.45">
      <c r="E87" s="4"/>
      <c r="F87" s="4"/>
      <c r="G87" s="4"/>
      <c r="H87" s="4"/>
    </row>
    <row r="88" spans="3:19" x14ac:dyDescent="0.45">
      <c r="E88" s="4"/>
      <c r="F88" s="4"/>
      <c r="G88" s="4"/>
      <c r="H88" s="4"/>
    </row>
    <row r="89" spans="3:19" x14ac:dyDescent="0.45">
      <c r="C89" s="451" t="s">
        <v>1028</v>
      </c>
      <c r="E89" s="4"/>
      <c r="F89" s="4"/>
      <c r="G89" s="4"/>
      <c r="H89" s="4"/>
    </row>
    <row r="90" spans="3:19" x14ac:dyDescent="0.45">
      <c r="C90" t="str">
        <f>'12. Inputs-Props &amp; Debtors 2016'!C$77</f>
        <v>EC</v>
      </c>
      <c r="E90" s="4"/>
      <c r="F90" s="4"/>
      <c r="G90" s="533">
        <f>G20*G81</f>
        <v>8780700.9399999995</v>
      </c>
      <c r="H90" s="533">
        <f t="shared" ref="H90:J94" si="14">H81*H20</f>
        <v>9473914.1721052621</v>
      </c>
      <c r="I90" s="533">
        <f t="shared" si="14"/>
        <v>11553553.868421052</v>
      </c>
      <c r="J90" s="533">
        <f t="shared" si="14"/>
        <v>9936056.326842105</v>
      </c>
      <c r="K90" s="533">
        <f t="shared" ref="K90:R94" si="15">K81*K20</f>
        <v>0</v>
      </c>
      <c r="L90" s="533">
        <f t="shared" si="15"/>
        <v>0</v>
      </c>
      <c r="M90" s="533">
        <f t="shared" si="15"/>
        <v>0</v>
      </c>
      <c r="N90" s="533">
        <f t="shared" si="15"/>
        <v>0</v>
      </c>
      <c r="O90" s="533">
        <f t="shared" si="15"/>
        <v>0</v>
      </c>
      <c r="P90" s="533">
        <f t="shared" si="15"/>
        <v>0</v>
      </c>
      <c r="Q90" s="533">
        <f t="shared" si="15"/>
        <v>0</v>
      </c>
      <c r="R90" s="533">
        <f t="shared" si="15"/>
        <v>0</v>
      </c>
    </row>
    <row r="91" spans="3:19" x14ac:dyDescent="0.45">
      <c r="C91" t="str">
        <f>'12. Inputs-Props &amp; Debtors 2016'!C$78</f>
        <v>FS</v>
      </c>
      <c r="E91" s="4"/>
      <c r="F91" s="4"/>
      <c r="G91" s="533">
        <f>G21*G82</f>
        <v>35073.449999999997</v>
      </c>
      <c r="H91" s="533">
        <f t="shared" si="14"/>
        <v>210440.69999999998</v>
      </c>
      <c r="I91" s="533">
        <f t="shared" si="14"/>
        <v>701469</v>
      </c>
      <c r="J91" s="533">
        <f t="shared" si="14"/>
        <v>1367864.5499999998</v>
      </c>
      <c r="K91" s="533">
        <f>K82*K21</f>
        <v>0</v>
      </c>
      <c r="L91" s="533">
        <f t="shared" si="15"/>
        <v>0</v>
      </c>
      <c r="M91" s="533">
        <f t="shared" si="15"/>
        <v>0</v>
      </c>
      <c r="N91" s="533">
        <f t="shared" si="15"/>
        <v>0</v>
      </c>
      <c r="O91" s="533">
        <f t="shared" si="15"/>
        <v>0</v>
      </c>
      <c r="P91" s="533">
        <f t="shared" si="15"/>
        <v>0</v>
      </c>
      <c r="Q91" s="533">
        <f t="shared" si="15"/>
        <v>0</v>
      </c>
      <c r="R91" s="533">
        <f>R82*R21</f>
        <v>0</v>
      </c>
    </row>
    <row r="92" spans="3:19" x14ac:dyDescent="0.45">
      <c r="C92" t="str">
        <f>'12. Inputs-Props &amp; Debtors 2016'!C$79</f>
        <v>Gau</v>
      </c>
      <c r="E92" s="4"/>
      <c r="F92" s="4"/>
      <c r="G92" s="533">
        <f>G22*G83</f>
        <v>69531298.599999994</v>
      </c>
      <c r="H92" s="533">
        <f t="shared" si="14"/>
        <v>95300573.739035085</v>
      </c>
      <c r="I92" s="533">
        <f t="shared" si="14"/>
        <v>172760880.07412279</v>
      </c>
      <c r="J92" s="533">
        <f t="shared" si="14"/>
        <v>241453533.62521929</v>
      </c>
      <c r="K92" s="533">
        <f>K83*K22</f>
        <v>0</v>
      </c>
      <c r="L92" s="533">
        <f t="shared" si="15"/>
        <v>0</v>
      </c>
      <c r="M92" s="533">
        <f t="shared" si="15"/>
        <v>0</v>
      </c>
      <c r="N92" s="533">
        <f t="shared" si="15"/>
        <v>0</v>
      </c>
      <c r="O92" s="533">
        <f t="shared" si="15"/>
        <v>0</v>
      </c>
      <c r="P92" s="533">
        <f t="shared" si="15"/>
        <v>0</v>
      </c>
      <c r="Q92" s="533">
        <f t="shared" si="15"/>
        <v>0</v>
      </c>
      <c r="R92" s="533">
        <f>R83*R22</f>
        <v>0</v>
      </c>
    </row>
    <row r="93" spans="3:19" x14ac:dyDescent="0.45">
      <c r="C93" t="str">
        <f>'12. Inputs-Props &amp; Debtors 2016'!C$80</f>
        <v>KZN</v>
      </c>
      <c r="E93" s="4"/>
      <c r="F93" s="4"/>
      <c r="G93" s="533">
        <f>G23*G84</f>
        <v>71198252.709999993</v>
      </c>
      <c r="H93" s="533">
        <f t="shared" si="14"/>
        <v>94625955.401208222</v>
      </c>
      <c r="I93" s="533">
        <f t="shared" si="14"/>
        <v>165000577.93847042</v>
      </c>
      <c r="J93" s="533">
        <f t="shared" si="14"/>
        <v>223249534.04375961</v>
      </c>
      <c r="K93" s="533">
        <f>K84*K23</f>
        <v>0</v>
      </c>
      <c r="L93" s="533">
        <f t="shared" si="15"/>
        <v>0</v>
      </c>
      <c r="M93" s="533">
        <f t="shared" si="15"/>
        <v>0</v>
      </c>
      <c r="N93" s="533">
        <f t="shared" si="15"/>
        <v>0</v>
      </c>
      <c r="O93" s="533">
        <f t="shared" si="15"/>
        <v>0</v>
      </c>
      <c r="P93" s="533">
        <f t="shared" si="15"/>
        <v>0</v>
      </c>
      <c r="Q93" s="533">
        <f t="shared" si="15"/>
        <v>0</v>
      </c>
      <c r="R93" s="533">
        <f>R84*R23</f>
        <v>0</v>
      </c>
    </row>
    <row r="94" spans="3:19" x14ac:dyDescent="0.45">
      <c r="C94" t="str">
        <f>'12. Inputs-Props &amp; Debtors 2016'!C$81</f>
        <v>WC</v>
      </c>
      <c r="E94" s="4"/>
      <c r="F94" s="4"/>
      <c r="G94" s="533">
        <f>G24*G85</f>
        <v>46208161.329999998</v>
      </c>
      <c r="H94" s="533">
        <f t="shared" si="14"/>
        <v>50205946.074280895</v>
      </c>
      <c r="I94" s="533">
        <f t="shared" si="14"/>
        <v>62095461.74233707</v>
      </c>
      <c r="J94" s="533">
        <f t="shared" si="14"/>
        <v>54878681.489674151</v>
      </c>
      <c r="K94" s="533">
        <f>K85*K24</f>
        <v>0</v>
      </c>
      <c r="L94" s="533">
        <f t="shared" si="15"/>
        <v>0</v>
      </c>
      <c r="M94" s="533">
        <f t="shared" si="15"/>
        <v>0</v>
      </c>
      <c r="N94" s="533">
        <f t="shared" si="15"/>
        <v>0</v>
      </c>
      <c r="O94" s="533">
        <f t="shared" si="15"/>
        <v>0</v>
      </c>
      <c r="P94" s="533">
        <f t="shared" si="15"/>
        <v>0</v>
      </c>
      <c r="Q94" s="533">
        <f t="shared" si="15"/>
        <v>0</v>
      </c>
      <c r="R94" s="533">
        <f>R85*R24</f>
        <v>0</v>
      </c>
    </row>
    <row r="95" spans="3:19" x14ac:dyDescent="0.45">
      <c r="E95" s="4"/>
      <c r="F95" s="4"/>
      <c r="G95" s="535">
        <f>SUM(G90:G94)</f>
        <v>195753487.02999997</v>
      </c>
      <c r="H95" s="535">
        <f>SUM(H90:H94)</f>
        <v>249816830.08662945</v>
      </c>
      <c r="I95" s="535">
        <f>SUM(I90:I94)</f>
        <v>412111942.62335128</v>
      </c>
      <c r="J95" s="535">
        <f>SUM(J90:J94)</f>
        <v>530885670.03549516</v>
      </c>
      <c r="K95" s="535">
        <f t="shared" ref="K95:R95" si="16">SUM(K90:K94)</f>
        <v>0</v>
      </c>
      <c r="L95" s="535">
        <f t="shared" si="16"/>
        <v>0</v>
      </c>
      <c r="M95" s="535">
        <f t="shared" si="16"/>
        <v>0</v>
      </c>
      <c r="N95" s="535">
        <f t="shared" si="16"/>
        <v>0</v>
      </c>
      <c r="O95" s="535">
        <f t="shared" si="16"/>
        <v>0</v>
      </c>
      <c r="P95" s="535">
        <f t="shared" si="16"/>
        <v>0</v>
      </c>
      <c r="Q95" s="535">
        <f t="shared" si="16"/>
        <v>0</v>
      </c>
      <c r="R95" s="535">
        <f t="shared" si="16"/>
        <v>0</v>
      </c>
    </row>
    <row r="96" spans="3:19" x14ac:dyDescent="0.45">
      <c r="E96" s="4"/>
      <c r="F96" s="4"/>
      <c r="G96" s="552"/>
      <c r="H96" s="4"/>
    </row>
    <row r="97" spans="3:18" x14ac:dyDescent="0.45">
      <c r="E97" s="4"/>
      <c r="F97" s="4"/>
      <c r="G97" s="4"/>
      <c r="H97" s="4"/>
    </row>
    <row r="98" spans="3:18" x14ac:dyDescent="0.45">
      <c r="C98" s="451" t="s">
        <v>1020</v>
      </c>
      <c r="E98" s="4"/>
      <c r="F98" s="4"/>
      <c r="G98" s="4"/>
      <c r="H98" s="4"/>
    </row>
    <row r="99" spans="3:18" x14ac:dyDescent="0.45">
      <c r="C99" t="str">
        <f>'12. Inputs-Props &amp; Debtors 2016'!C$77</f>
        <v>EC</v>
      </c>
      <c r="E99" s="4"/>
      <c r="F99" s="4"/>
      <c r="G99" s="4"/>
      <c r="H99" s="540">
        <f>G81</f>
        <v>77023.692456140343</v>
      </c>
      <c r="I99" s="533">
        <f>IF(I20&lt;&gt;0,H99,0)</f>
        <v>77023.692456140343</v>
      </c>
      <c r="J99" s="533">
        <f t="shared" ref="J99:Q103" si="17">IF(J20&lt;&gt;0,I99,0)</f>
        <v>77023.692456140343</v>
      </c>
      <c r="K99" s="533">
        <f t="shared" si="17"/>
        <v>0</v>
      </c>
      <c r="L99" s="533">
        <f t="shared" si="17"/>
        <v>0</v>
      </c>
      <c r="M99" s="533">
        <f t="shared" si="17"/>
        <v>0</v>
      </c>
      <c r="N99" s="533">
        <f t="shared" si="17"/>
        <v>0</v>
      </c>
      <c r="O99" s="533">
        <f t="shared" si="17"/>
        <v>0</v>
      </c>
      <c r="P99" s="533">
        <f t="shared" si="17"/>
        <v>0</v>
      </c>
      <c r="Q99" s="533">
        <f t="shared" si="17"/>
        <v>0</v>
      </c>
      <c r="R99" s="533">
        <f>IF(R20&lt;&gt;0,Q99,0)</f>
        <v>0</v>
      </c>
    </row>
    <row r="100" spans="3:18" x14ac:dyDescent="0.45">
      <c r="C100" t="str">
        <f>'12. Inputs-Props &amp; Debtors 2016'!C$78</f>
        <v>FS</v>
      </c>
      <c r="E100" s="4"/>
      <c r="F100" s="4"/>
      <c r="G100" s="4"/>
      <c r="H100" s="540">
        <f>G82</f>
        <v>35073.449999999997</v>
      </c>
      <c r="I100" s="533">
        <f t="shared" ref="I100:K103" si="18">IF(I21&lt;&gt;0,H100,0)</f>
        <v>35073.449999999997</v>
      </c>
      <c r="J100" s="533">
        <f t="shared" si="18"/>
        <v>35073.449999999997</v>
      </c>
      <c r="K100" s="533">
        <f t="shared" si="18"/>
        <v>0</v>
      </c>
      <c r="L100" s="533">
        <f t="shared" si="17"/>
        <v>0</v>
      </c>
      <c r="M100" s="533">
        <f t="shared" si="17"/>
        <v>0</v>
      </c>
      <c r="N100" s="533">
        <f t="shared" si="17"/>
        <v>0</v>
      </c>
      <c r="O100" s="533">
        <f t="shared" si="17"/>
        <v>0</v>
      </c>
      <c r="P100" s="533">
        <f t="shared" si="17"/>
        <v>0</v>
      </c>
      <c r="Q100" s="533">
        <f t="shared" si="17"/>
        <v>0</v>
      </c>
      <c r="R100" s="533">
        <f>IF(R21&lt;&gt;0,Q100,0)</f>
        <v>0</v>
      </c>
    </row>
    <row r="101" spans="3:18" x14ac:dyDescent="0.45">
      <c r="C101" t="str">
        <f>'12. Inputs-Props &amp; Debtors 2016'!C$79</f>
        <v>Gau</v>
      </c>
      <c r="E101" s="4"/>
      <c r="F101" s="4"/>
      <c r="G101" s="4"/>
      <c r="H101" s="540">
        <f>G83</f>
        <v>152480.91798245613</v>
      </c>
      <c r="I101" s="533">
        <f t="shared" si="18"/>
        <v>152480.91798245613</v>
      </c>
      <c r="J101" s="533">
        <f t="shared" si="18"/>
        <v>152480.91798245613</v>
      </c>
      <c r="K101" s="533">
        <f t="shared" si="18"/>
        <v>0</v>
      </c>
      <c r="L101" s="533">
        <f t="shared" si="17"/>
        <v>0</v>
      </c>
      <c r="M101" s="533">
        <f t="shared" si="17"/>
        <v>0</v>
      </c>
      <c r="N101" s="533">
        <f t="shared" si="17"/>
        <v>0</v>
      </c>
      <c r="O101" s="533">
        <f t="shared" si="17"/>
        <v>0</v>
      </c>
      <c r="P101" s="533">
        <f t="shared" si="17"/>
        <v>0</v>
      </c>
      <c r="Q101" s="533">
        <f t="shared" si="17"/>
        <v>0</v>
      </c>
      <c r="R101" s="533">
        <f>IF(R22&lt;&gt;0,Q101,0)</f>
        <v>0</v>
      </c>
    </row>
    <row r="102" spans="3:18" x14ac:dyDescent="0.45">
      <c r="C102" t="str">
        <f>'12. Inputs-Props &amp; Debtors 2016'!C$80</f>
        <v>KZN</v>
      </c>
      <c r="E102" s="4"/>
      <c r="F102" s="4"/>
      <c r="G102" s="4"/>
      <c r="H102" s="540">
        <f>G84</f>
        <v>91514.463637532128</v>
      </c>
      <c r="I102" s="533">
        <f t="shared" si="18"/>
        <v>91514.463637532128</v>
      </c>
      <c r="J102" s="533">
        <f t="shared" si="18"/>
        <v>91514.463637532128</v>
      </c>
      <c r="K102" s="533">
        <f t="shared" si="18"/>
        <v>0</v>
      </c>
      <c r="L102" s="533">
        <f t="shared" si="17"/>
        <v>0</v>
      </c>
      <c r="M102" s="533">
        <f t="shared" si="17"/>
        <v>0</v>
      </c>
      <c r="N102" s="533">
        <f t="shared" si="17"/>
        <v>0</v>
      </c>
      <c r="O102" s="533">
        <f t="shared" si="17"/>
        <v>0</v>
      </c>
      <c r="P102" s="533">
        <f t="shared" si="17"/>
        <v>0</v>
      </c>
      <c r="Q102" s="533">
        <f t="shared" si="17"/>
        <v>0</v>
      </c>
      <c r="R102" s="533">
        <f>IF(R23&lt;&gt;0,Q102,0)</f>
        <v>0</v>
      </c>
    </row>
    <row r="103" spans="3:18" x14ac:dyDescent="0.45">
      <c r="C103" t="str">
        <f>'12. Inputs-Props &amp; Debtors 2016'!C$81</f>
        <v>WC</v>
      </c>
      <c r="E103" s="4"/>
      <c r="F103" s="4"/>
      <c r="G103" s="4"/>
      <c r="H103" s="540">
        <f>G85</f>
        <v>51919.282393258422</v>
      </c>
      <c r="I103" s="533">
        <f t="shared" si="18"/>
        <v>51919.282393258422</v>
      </c>
      <c r="J103" s="533">
        <f t="shared" si="18"/>
        <v>51919.282393258422</v>
      </c>
      <c r="K103" s="533">
        <f t="shared" si="18"/>
        <v>0</v>
      </c>
      <c r="L103" s="533">
        <f t="shared" si="17"/>
        <v>0</v>
      </c>
      <c r="M103" s="533">
        <f t="shared" si="17"/>
        <v>0</v>
      </c>
      <c r="N103" s="533">
        <f t="shared" si="17"/>
        <v>0</v>
      </c>
      <c r="O103" s="533">
        <f t="shared" si="17"/>
        <v>0</v>
      </c>
      <c r="P103" s="533">
        <f t="shared" si="17"/>
        <v>0</v>
      </c>
      <c r="Q103" s="533">
        <f t="shared" si="17"/>
        <v>0</v>
      </c>
      <c r="R103" s="533">
        <f>IF(R24&lt;&gt;0,Q103,0)</f>
        <v>0</v>
      </c>
    </row>
    <row r="104" spans="3:18" x14ac:dyDescent="0.45">
      <c r="E104" s="4"/>
      <c r="F104" s="4"/>
      <c r="G104" s="4"/>
      <c r="H104" s="4"/>
    </row>
    <row r="105" spans="3:18" x14ac:dyDescent="0.45">
      <c r="E105" s="4"/>
      <c r="F105" s="4"/>
      <c r="G105" s="4"/>
      <c r="H105" s="4"/>
    </row>
    <row r="106" spans="3:18" x14ac:dyDescent="0.45">
      <c r="C106" s="451" t="s">
        <v>324</v>
      </c>
      <c r="E106" s="4"/>
      <c r="F106" s="4"/>
      <c r="G106" s="4"/>
      <c r="H106" s="4"/>
    </row>
    <row r="107" spans="3:18" x14ac:dyDescent="0.45">
      <c r="C107" t="str">
        <f>'12. Inputs-Props &amp; Debtors 2016'!C$77</f>
        <v>EC</v>
      </c>
      <c r="E107" s="4"/>
      <c r="F107" s="4"/>
      <c r="G107" s="4"/>
      <c r="H107" s="533">
        <f>H99*H11</f>
        <v>693213.23210526304</v>
      </c>
      <c r="I107" s="533">
        <f t="shared" ref="I107:R111" si="19">I99*I11</f>
        <v>2079639.6963157894</v>
      </c>
      <c r="J107" s="533">
        <f t="shared" si="19"/>
        <v>4159279.3926315787</v>
      </c>
      <c r="K107" s="533">
        <f t="shared" si="19"/>
        <v>0</v>
      </c>
      <c r="L107" s="533">
        <f t="shared" si="19"/>
        <v>0</v>
      </c>
      <c r="M107" s="533">
        <f t="shared" si="19"/>
        <v>0</v>
      </c>
      <c r="N107" s="533">
        <f t="shared" si="19"/>
        <v>0</v>
      </c>
      <c r="O107" s="533">
        <f t="shared" si="19"/>
        <v>0</v>
      </c>
      <c r="P107" s="533">
        <f t="shared" si="19"/>
        <v>0</v>
      </c>
      <c r="Q107" s="533">
        <f t="shared" si="19"/>
        <v>0</v>
      </c>
      <c r="R107" s="533">
        <f t="shared" si="19"/>
        <v>0</v>
      </c>
    </row>
    <row r="108" spans="3:18" x14ac:dyDescent="0.45">
      <c r="C108" t="str">
        <f>'12. Inputs-Props &amp; Debtors 2016'!C$78</f>
        <v>FS</v>
      </c>
      <c r="E108" s="4"/>
      <c r="F108" s="4"/>
      <c r="G108" s="4"/>
      <c r="H108" s="533">
        <f>H100*H12</f>
        <v>175367.25</v>
      </c>
      <c r="I108" s="533">
        <f t="shared" ref="I108:K111" si="20">I100*I12</f>
        <v>491028.29999999993</v>
      </c>
      <c r="J108" s="533">
        <f t="shared" si="20"/>
        <v>1017130.0499999999</v>
      </c>
      <c r="K108" s="533">
        <f t="shared" si="20"/>
        <v>0</v>
      </c>
      <c r="L108" s="533">
        <f t="shared" si="19"/>
        <v>0</v>
      </c>
      <c r="M108" s="533">
        <f t="shared" si="19"/>
        <v>0</v>
      </c>
      <c r="N108" s="533">
        <f t="shared" si="19"/>
        <v>0</v>
      </c>
      <c r="O108" s="533">
        <f t="shared" si="19"/>
        <v>0</v>
      </c>
      <c r="P108" s="533">
        <f t="shared" si="19"/>
        <v>0</v>
      </c>
      <c r="Q108" s="533">
        <f t="shared" si="19"/>
        <v>0</v>
      </c>
      <c r="R108" s="533">
        <f>R100*R12</f>
        <v>0</v>
      </c>
    </row>
    <row r="109" spans="3:18" x14ac:dyDescent="0.45">
      <c r="C109" t="str">
        <f>'12. Inputs-Props &amp; Debtors 2016'!C$79</f>
        <v>Gau</v>
      </c>
      <c r="E109" s="4"/>
      <c r="F109" s="4"/>
      <c r="G109" s="4"/>
      <c r="H109" s="533">
        <f>H101*H13</f>
        <v>25769275.139035087</v>
      </c>
      <c r="I109" s="533">
        <f t="shared" si="20"/>
        <v>77460306.335087717</v>
      </c>
      <c r="J109" s="533">
        <f t="shared" si="20"/>
        <v>155073093.58815789</v>
      </c>
      <c r="K109" s="533">
        <f t="shared" si="20"/>
        <v>0</v>
      </c>
      <c r="L109" s="533">
        <f t="shared" si="19"/>
        <v>0</v>
      </c>
      <c r="M109" s="533">
        <f t="shared" si="19"/>
        <v>0</v>
      </c>
      <c r="N109" s="533">
        <f t="shared" si="19"/>
        <v>0</v>
      </c>
      <c r="O109" s="533">
        <f t="shared" si="19"/>
        <v>0</v>
      </c>
      <c r="P109" s="533">
        <f t="shared" si="19"/>
        <v>0</v>
      </c>
      <c r="Q109" s="533">
        <f t="shared" si="19"/>
        <v>0</v>
      </c>
      <c r="R109" s="533">
        <f>R101*R13</f>
        <v>0</v>
      </c>
    </row>
    <row r="110" spans="3:18" x14ac:dyDescent="0.45">
      <c r="C110" t="str">
        <f>'12. Inputs-Props &amp; Debtors 2016'!C$80</f>
        <v>KZN</v>
      </c>
      <c r="E110" s="4"/>
      <c r="F110" s="4"/>
      <c r="G110" s="4"/>
      <c r="H110" s="533">
        <f>H102*H14</f>
        <v>23427702.691208225</v>
      </c>
      <c r="I110" s="533">
        <f t="shared" si="20"/>
        <v>70374622.537262201</v>
      </c>
      <c r="J110" s="533">
        <f t="shared" si="20"/>
        <v>140749245.0745244</v>
      </c>
      <c r="K110" s="533">
        <f t="shared" si="20"/>
        <v>0</v>
      </c>
      <c r="L110" s="533">
        <f t="shared" si="19"/>
        <v>0</v>
      </c>
      <c r="M110" s="533">
        <f t="shared" si="19"/>
        <v>0</v>
      </c>
      <c r="N110" s="533">
        <f t="shared" si="19"/>
        <v>0</v>
      </c>
      <c r="O110" s="533">
        <f t="shared" si="19"/>
        <v>0</v>
      </c>
      <c r="P110" s="533">
        <f t="shared" si="19"/>
        <v>0</v>
      </c>
      <c r="Q110" s="533">
        <f t="shared" si="19"/>
        <v>0</v>
      </c>
      <c r="R110" s="533">
        <f>R102*R14</f>
        <v>0</v>
      </c>
    </row>
    <row r="111" spans="3:18" x14ac:dyDescent="0.45">
      <c r="C111" t="str">
        <f>'12. Inputs-Props &amp; Debtors 2016'!C$81</f>
        <v>WC</v>
      </c>
      <c r="E111" s="4"/>
      <c r="F111" s="4"/>
      <c r="G111" s="4"/>
      <c r="H111" s="533">
        <f>H103*H15</f>
        <v>3997784.7442808985</v>
      </c>
      <c r="I111" s="533">
        <f t="shared" si="20"/>
        <v>11889515.668056179</v>
      </c>
      <c r="J111" s="533">
        <f t="shared" si="20"/>
        <v>23830950.618505616</v>
      </c>
      <c r="K111" s="533">
        <f t="shared" si="20"/>
        <v>0</v>
      </c>
      <c r="L111" s="533">
        <f t="shared" si="19"/>
        <v>0</v>
      </c>
      <c r="M111" s="533">
        <f t="shared" si="19"/>
        <v>0</v>
      </c>
      <c r="N111" s="533">
        <f t="shared" si="19"/>
        <v>0</v>
      </c>
      <c r="O111" s="533">
        <f t="shared" si="19"/>
        <v>0</v>
      </c>
      <c r="P111" s="533">
        <f t="shared" si="19"/>
        <v>0</v>
      </c>
      <c r="Q111" s="533">
        <f t="shared" si="19"/>
        <v>0</v>
      </c>
      <c r="R111" s="533">
        <f>R103*R15</f>
        <v>0</v>
      </c>
    </row>
    <row r="112" spans="3:18" x14ac:dyDescent="0.45">
      <c r="E112" s="4"/>
      <c r="F112" s="4"/>
      <c r="G112" s="4"/>
      <c r="H112" s="535">
        <f>SUM(H107:H111)</f>
        <v>54063343.056629471</v>
      </c>
      <c r="I112" s="535">
        <f t="shared" ref="I112:R112" si="21">SUM(I107:I111)</f>
        <v>162295112.53672189</v>
      </c>
      <c r="J112" s="535">
        <f t="shared" si="21"/>
        <v>324829698.72381949</v>
      </c>
      <c r="K112" s="535">
        <f t="shared" si="21"/>
        <v>0</v>
      </c>
      <c r="L112" s="535">
        <f t="shared" si="21"/>
        <v>0</v>
      </c>
      <c r="M112" s="535">
        <f t="shared" si="21"/>
        <v>0</v>
      </c>
      <c r="N112" s="535">
        <f t="shared" si="21"/>
        <v>0</v>
      </c>
      <c r="O112" s="535">
        <f t="shared" si="21"/>
        <v>0</v>
      </c>
      <c r="P112" s="535">
        <f t="shared" si="21"/>
        <v>0</v>
      </c>
      <c r="Q112" s="535">
        <f t="shared" si="21"/>
        <v>0</v>
      </c>
      <c r="R112" s="535">
        <f t="shared" si="21"/>
        <v>0</v>
      </c>
    </row>
    <row r="113" spans="3:18" x14ac:dyDescent="0.45">
      <c r="E113" s="4"/>
      <c r="F113" s="4"/>
      <c r="G113" s="4"/>
      <c r="H113" s="4"/>
    </row>
    <row r="114" spans="3:18" x14ac:dyDescent="0.45">
      <c r="E114" s="4"/>
      <c r="F114" s="4"/>
      <c r="G114" s="4"/>
      <c r="H114" s="4"/>
    </row>
    <row r="115" spans="3:18" x14ac:dyDescent="0.45">
      <c r="C115" s="451" t="s">
        <v>1025</v>
      </c>
      <c r="E115" s="4"/>
      <c r="F115" s="4"/>
      <c r="G115" s="4"/>
      <c r="H115" s="4"/>
    </row>
    <row r="116" spans="3:18" x14ac:dyDescent="0.45">
      <c r="C116" t="str">
        <f>'12. Inputs-Props &amp; Debtors 2016'!C$77</f>
        <v>EC</v>
      </c>
      <c r="E116" s="4"/>
      <c r="F116" s="4"/>
      <c r="G116" s="4"/>
      <c r="H116" s="540">
        <v>2500</v>
      </c>
      <c r="I116" s="533">
        <f>IF(I20&lt;&gt;0,H116,0)</f>
        <v>2500</v>
      </c>
      <c r="J116" s="533">
        <f t="shared" ref="J116:Q120" si="22">IF(J20&lt;&gt;0,I116,0)</f>
        <v>2500</v>
      </c>
      <c r="K116" s="533">
        <f t="shared" si="22"/>
        <v>0</v>
      </c>
      <c r="L116" s="533">
        <f t="shared" si="22"/>
        <v>0</v>
      </c>
      <c r="M116" s="533">
        <f t="shared" si="22"/>
        <v>0</v>
      </c>
      <c r="N116" s="533">
        <f t="shared" si="22"/>
        <v>0</v>
      </c>
      <c r="O116" s="533">
        <f t="shared" si="22"/>
        <v>0</v>
      </c>
      <c r="P116" s="533">
        <f t="shared" si="22"/>
        <v>0</v>
      </c>
      <c r="Q116" s="533">
        <f t="shared" si="22"/>
        <v>0</v>
      </c>
      <c r="R116" s="533">
        <f>IF(R20&lt;&gt;0,Q116,0)</f>
        <v>0</v>
      </c>
    </row>
    <row r="117" spans="3:18" x14ac:dyDescent="0.45">
      <c r="C117" t="str">
        <f>'12. Inputs-Props &amp; Debtors 2016'!C$78</f>
        <v>FS</v>
      </c>
      <c r="E117" s="4"/>
      <c r="F117" s="4"/>
      <c r="G117" s="4"/>
      <c r="H117" s="540">
        <v>2500</v>
      </c>
      <c r="I117" s="533">
        <f t="shared" ref="I117:K120" si="23">IF(I21&lt;&gt;0,H117,0)</f>
        <v>2500</v>
      </c>
      <c r="J117" s="533">
        <f t="shared" si="23"/>
        <v>2500</v>
      </c>
      <c r="K117" s="533">
        <f t="shared" si="23"/>
        <v>0</v>
      </c>
      <c r="L117" s="533">
        <f t="shared" si="22"/>
        <v>0</v>
      </c>
      <c r="M117" s="533">
        <f t="shared" si="22"/>
        <v>0</v>
      </c>
      <c r="N117" s="533">
        <f t="shared" si="22"/>
        <v>0</v>
      </c>
      <c r="O117" s="533">
        <f t="shared" si="22"/>
        <v>0</v>
      </c>
      <c r="P117" s="533">
        <f t="shared" si="22"/>
        <v>0</v>
      </c>
      <c r="Q117" s="533">
        <f t="shared" si="22"/>
        <v>0</v>
      </c>
      <c r="R117" s="533">
        <f>IF(R21&lt;&gt;0,Q117,0)</f>
        <v>0</v>
      </c>
    </row>
    <row r="118" spans="3:18" x14ac:dyDescent="0.45">
      <c r="C118" t="str">
        <f>'12. Inputs-Props &amp; Debtors 2016'!C$79</f>
        <v>Gau</v>
      </c>
      <c r="E118" s="4"/>
      <c r="F118" s="4"/>
      <c r="G118" s="4"/>
      <c r="H118" s="540">
        <v>2500</v>
      </c>
      <c r="I118" s="533">
        <f t="shared" si="23"/>
        <v>2500</v>
      </c>
      <c r="J118" s="533">
        <f t="shared" si="23"/>
        <v>2500</v>
      </c>
      <c r="K118" s="533">
        <f t="shared" si="23"/>
        <v>0</v>
      </c>
      <c r="L118" s="533">
        <f t="shared" si="22"/>
        <v>0</v>
      </c>
      <c r="M118" s="533">
        <f t="shared" si="22"/>
        <v>0</v>
      </c>
      <c r="N118" s="533">
        <f t="shared" si="22"/>
        <v>0</v>
      </c>
      <c r="O118" s="533">
        <f t="shared" si="22"/>
        <v>0</v>
      </c>
      <c r="P118" s="533">
        <f t="shared" si="22"/>
        <v>0</v>
      </c>
      <c r="Q118" s="533">
        <f t="shared" si="22"/>
        <v>0</v>
      </c>
      <c r="R118" s="533">
        <f>IF(R22&lt;&gt;0,Q118,0)</f>
        <v>0</v>
      </c>
    </row>
    <row r="119" spans="3:18" x14ac:dyDescent="0.45">
      <c r="C119" t="str">
        <f>'12. Inputs-Props &amp; Debtors 2016'!C$80</f>
        <v>KZN</v>
      </c>
      <c r="E119" s="4"/>
      <c r="F119" s="4"/>
      <c r="G119" s="4"/>
      <c r="H119" s="540">
        <v>2500</v>
      </c>
      <c r="I119" s="533">
        <f t="shared" si="23"/>
        <v>2500</v>
      </c>
      <c r="J119" s="533">
        <f t="shared" si="23"/>
        <v>2500</v>
      </c>
      <c r="K119" s="533">
        <f t="shared" si="23"/>
        <v>0</v>
      </c>
      <c r="L119" s="533">
        <f t="shared" si="22"/>
        <v>0</v>
      </c>
      <c r="M119" s="533">
        <f t="shared" si="22"/>
        <v>0</v>
      </c>
      <c r="N119" s="533">
        <f t="shared" si="22"/>
        <v>0</v>
      </c>
      <c r="O119" s="533">
        <f t="shared" si="22"/>
        <v>0</v>
      </c>
      <c r="P119" s="533">
        <f t="shared" si="22"/>
        <v>0</v>
      </c>
      <c r="Q119" s="533">
        <f t="shared" si="22"/>
        <v>0</v>
      </c>
      <c r="R119" s="533">
        <f>IF(R23&lt;&gt;0,Q119,0)</f>
        <v>0</v>
      </c>
    </row>
    <row r="120" spans="3:18" x14ac:dyDescent="0.45">
      <c r="C120" t="str">
        <f>'12. Inputs-Props &amp; Debtors 2016'!C$81</f>
        <v>WC</v>
      </c>
      <c r="E120" s="4"/>
      <c r="F120" s="4"/>
      <c r="G120" s="4"/>
      <c r="H120" s="540">
        <v>2500</v>
      </c>
      <c r="I120" s="533">
        <f t="shared" si="23"/>
        <v>2500</v>
      </c>
      <c r="J120" s="533">
        <f t="shared" si="23"/>
        <v>2500</v>
      </c>
      <c r="K120" s="533">
        <f t="shared" si="23"/>
        <v>0</v>
      </c>
      <c r="L120" s="533">
        <f t="shared" si="22"/>
        <v>0</v>
      </c>
      <c r="M120" s="533">
        <f t="shared" si="22"/>
        <v>0</v>
      </c>
      <c r="N120" s="533">
        <f t="shared" si="22"/>
        <v>0</v>
      </c>
      <c r="O120" s="533">
        <f t="shared" si="22"/>
        <v>0</v>
      </c>
      <c r="P120" s="533">
        <f t="shared" si="22"/>
        <v>0</v>
      </c>
      <c r="Q120" s="533">
        <f t="shared" si="22"/>
        <v>0</v>
      </c>
      <c r="R120" s="533">
        <f>IF(R24&lt;&gt;0,Q120,0)</f>
        <v>0</v>
      </c>
    </row>
    <row r="121" spans="3:18" x14ac:dyDescent="0.45">
      <c r="E121" s="4"/>
      <c r="F121" s="4"/>
      <c r="G121" s="4"/>
      <c r="H121" s="4"/>
    </row>
    <row r="122" spans="3:18" x14ac:dyDescent="0.45">
      <c r="E122" s="4"/>
      <c r="F122" s="4"/>
      <c r="G122" s="4"/>
      <c r="H122" s="4"/>
    </row>
    <row r="123" spans="3:18" x14ac:dyDescent="0.45">
      <c r="C123" s="451" t="s">
        <v>1024</v>
      </c>
      <c r="E123" s="4"/>
      <c r="F123" s="4"/>
      <c r="G123" s="4"/>
      <c r="H123" s="4"/>
    </row>
    <row r="124" spans="3:18" x14ac:dyDescent="0.45">
      <c r="C124" t="str">
        <f>'12. Inputs-Props &amp; Debtors 2016'!C$77</f>
        <v>EC</v>
      </c>
      <c r="E124" s="4"/>
      <c r="F124" s="4"/>
      <c r="G124" s="4"/>
      <c r="H124" s="540">
        <v>2500</v>
      </c>
      <c r="I124" s="533">
        <f>IF(I20&lt;&gt;0,H124,0)</f>
        <v>2500</v>
      </c>
      <c r="J124" s="533">
        <f t="shared" ref="J124:Q128" si="24">IF(J20&lt;&gt;0,I124,0)</f>
        <v>2500</v>
      </c>
      <c r="K124" s="533">
        <f t="shared" si="24"/>
        <v>0</v>
      </c>
      <c r="L124" s="533">
        <f t="shared" si="24"/>
        <v>0</v>
      </c>
      <c r="M124" s="533">
        <f t="shared" si="24"/>
        <v>0</v>
      </c>
      <c r="N124" s="533">
        <f t="shared" si="24"/>
        <v>0</v>
      </c>
      <c r="O124" s="533">
        <f t="shared" si="24"/>
        <v>0</v>
      </c>
      <c r="P124" s="533">
        <f t="shared" si="24"/>
        <v>0</v>
      </c>
      <c r="Q124" s="533">
        <f t="shared" si="24"/>
        <v>0</v>
      </c>
      <c r="R124" s="533">
        <f>IF(R20&lt;&gt;0,Q124,0)</f>
        <v>0</v>
      </c>
    </row>
    <row r="125" spans="3:18" x14ac:dyDescent="0.45">
      <c r="C125" t="str">
        <f>'12. Inputs-Props &amp; Debtors 2016'!C$78</f>
        <v>FS</v>
      </c>
      <c r="E125" s="4"/>
      <c r="F125" s="4"/>
      <c r="G125" s="4"/>
      <c r="H125" s="540">
        <v>2500</v>
      </c>
      <c r="I125" s="533">
        <f t="shared" ref="I125:K128" si="25">IF(I21&lt;&gt;0,H125,0)</f>
        <v>2500</v>
      </c>
      <c r="J125" s="533">
        <f t="shared" si="25"/>
        <v>2500</v>
      </c>
      <c r="K125" s="533">
        <f t="shared" si="25"/>
        <v>0</v>
      </c>
      <c r="L125" s="533">
        <f t="shared" si="24"/>
        <v>0</v>
      </c>
      <c r="M125" s="533">
        <f t="shared" si="24"/>
        <v>0</v>
      </c>
      <c r="N125" s="533">
        <f t="shared" si="24"/>
        <v>0</v>
      </c>
      <c r="O125" s="533">
        <f t="shared" si="24"/>
        <v>0</v>
      </c>
      <c r="P125" s="533">
        <f t="shared" si="24"/>
        <v>0</v>
      </c>
      <c r="Q125" s="533">
        <f t="shared" si="24"/>
        <v>0</v>
      </c>
      <c r="R125" s="533">
        <f>IF(R21&lt;&gt;0,Q125,0)</f>
        <v>0</v>
      </c>
    </row>
    <row r="126" spans="3:18" x14ac:dyDescent="0.45">
      <c r="C126" t="str">
        <f>'12. Inputs-Props &amp; Debtors 2016'!C$79</f>
        <v>Gau</v>
      </c>
      <c r="E126" s="4"/>
      <c r="F126" s="4"/>
      <c r="G126" s="4"/>
      <c r="H126" s="540">
        <v>2500</v>
      </c>
      <c r="I126" s="533">
        <f t="shared" si="25"/>
        <v>2500</v>
      </c>
      <c r="J126" s="533">
        <f t="shared" si="25"/>
        <v>2500</v>
      </c>
      <c r="K126" s="533">
        <f t="shared" si="25"/>
        <v>0</v>
      </c>
      <c r="L126" s="533">
        <f t="shared" si="24"/>
        <v>0</v>
      </c>
      <c r="M126" s="533">
        <f t="shared" si="24"/>
        <v>0</v>
      </c>
      <c r="N126" s="533">
        <f t="shared" si="24"/>
        <v>0</v>
      </c>
      <c r="O126" s="533">
        <f t="shared" si="24"/>
        <v>0</v>
      </c>
      <c r="P126" s="533">
        <f t="shared" si="24"/>
        <v>0</v>
      </c>
      <c r="Q126" s="533">
        <f t="shared" si="24"/>
        <v>0</v>
      </c>
      <c r="R126" s="533">
        <f>IF(R22&lt;&gt;0,Q126,0)</f>
        <v>0</v>
      </c>
    </row>
    <row r="127" spans="3:18" x14ac:dyDescent="0.45">
      <c r="C127" t="str">
        <f>'12. Inputs-Props &amp; Debtors 2016'!C$80</f>
        <v>KZN</v>
      </c>
      <c r="E127" s="4"/>
      <c r="F127" s="4"/>
      <c r="G127" s="4"/>
      <c r="H127" s="540">
        <v>2500</v>
      </c>
      <c r="I127" s="533">
        <f t="shared" si="25"/>
        <v>2500</v>
      </c>
      <c r="J127" s="533">
        <f t="shared" si="25"/>
        <v>2500</v>
      </c>
      <c r="K127" s="533">
        <f t="shared" si="25"/>
        <v>0</v>
      </c>
      <c r="L127" s="533">
        <f t="shared" si="24"/>
        <v>0</v>
      </c>
      <c r="M127" s="533">
        <f t="shared" si="24"/>
        <v>0</v>
      </c>
      <c r="N127" s="533">
        <f t="shared" si="24"/>
        <v>0</v>
      </c>
      <c r="O127" s="533">
        <f t="shared" si="24"/>
        <v>0</v>
      </c>
      <c r="P127" s="533">
        <f t="shared" si="24"/>
        <v>0</v>
      </c>
      <c r="Q127" s="533">
        <f t="shared" si="24"/>
        <v>0</v>
      </c>
      <c r="R127" s="533">
        <f>IF(R23&lt;&gt;0,Q127,0)</f>
        <v>0</v>
      </c>
    </row>
    <row r="128" spans="3:18" x14ac:dyDescent="0.45">
      <c r="C128" t="str">
        <f>'12. Inputs-Props &amp; Debtors 2016'!C$81</f>
        <v>WC</v>
      </c>
      <c r="E128" s="4"/>
      <c r="F128" s="4"/>
      <c r="G128" s="4"/>
      <c r="H128" s="540">
        <v>2500</v>
      </c>
      <c r="I128" s="533">
        <f t="shared" si="25"/>
        <v>2500</v>
      </c>
      <c r="J128" s="533">
        <f t="shared" si="25"/>
        <v>2500</v>
      </c>
      <c r="K128" s="533">
        <f t="shared" si="25"/>
        <v>0</v>
      </c>
      <c r="L128" s="533">
        <f t="shared" si="24"/>
        <v>0</v>
      </c>
      <c r="M128" s="533">
        <f t="shared" si="24"/>
        <v>0</v>
      </c>
      <c r="N128" s="533">
        <f t="shared" si="24"/>
        <v>0</v>
      </c>
      <c r="O128" s="533">
        <f t="shared" si="24"/>
        <v>0</v>
      </c>
      <c r="P128" s="533">
        <f t="shared" si="24"/>
        <v>0</v>
      </c>
      <c r="Q128" s="533">
        <f t="shared" si="24"/>
        <v>0</v>
      </c>
      <c r="R128" s="533">
        <f>IF(R24&lt;&gt;0,Q128,0)</f>
        <v>0</v>
      </c>
    </row>
    <row r="129" spans="3:18" x14ac:dyDescent="0.45">
      <c r="E129" s="4"/>
      <c r="F129" s="4"/>
      <c r="G129" s="4"/>
      <c r="H129" s="4"/>
    </row>
    <row r="130" spans="3:18" x14ac:dyDescent="0.45">
      <c r="C130" s="451" t="s">
        <v>1023</v>
      </c>
      <c r="E130" s="4"/>
      <c r="F130" s="4"/>
      <c r="G130" s="4"/>
      <c r="H130" s="4"/>
    </row>
    <row r="131" spans="3:18" x14ac:dyDescent="0.45">
      <c r="C131" t="str">
        <f>'12. Inputs-Props &amp; Debtors 2016'!C$77</f>
        <v>EC</v>
      </c>
      <c r="E131" s="4"/>
      <c r="F131" s="4"/>
      <c r="G131" s="4"/>
      <c r="H131" s="4"/>
    </row>
    <row r="132" spans="3:18" x14ac:dyDescent="0.45">
      <c r="C132" t="str">
        <f>'12. Inputs-Props &amp; Debtors 2016'!C$78</f>
        <v>FS</v>
      </c>
      <c r="E132" s="4"/>
      <c r="F132" s="4"/>
      <c r="G132" s="4"/>
      <c r="H132" s="540">
        <v>750</v>
      </c>
      <c r="I132" s="533">
        <f>IF(I20&lt;&gt;0,H132,0)</f>
        <v>750</v>
      </c>
      <c r="J132" s="533">
        <f t="shared" ref="J132:Q136" si="26">IF(J20&lt;&gt;0,I132,0)</f>
        <v>750</v>
      </c>
      <c r="K132" s="533">
        <f t="shared" si="26"/>
        <v>0</v>
      </c>
      <c r="L132" s="533">
        <f t="shared" si="26"/>
        <v>0</v>
      </c>
      <c r="M132" s="533">
        <f t="shared" si="26"/>
        <v>0</v>
      </c>
      <c r="N132" s="533">
        <f t="shared" si="26"/>
        <v>0</v>
      </c>
      <c r="O132" s="533">
        <f t="shared" si="26"/>
        <v>0</v>
      </c>
      <c r="P132" s="533">
        <f t="shared" si="26"/>
        <v>0</v>
      </c>
      <c r="Q132" s="533">
        <f t="shared" si="26"/>
        <v>0</v>
      </c>
      <c r="R132" s="533">
        <f>IF(R20&lt;&gt;0,Q132,0)</f>
        <v>0</v>
      </c>
    </row>
    <row r="133" spans="3:18" x14ac:dyDescent="0.45">
      <c r="C133" t="str">
        <f>'12. Inputs-Props &amp; Debtors 2016'!C$79</f>
        <v>Gau</v>
      </c>
      <c r="E133" s="4"/>
      <c r="F133" s="4"/>
      <c r="G133" s="4"/>
      <c r="H133" s="540">
        <v>750</v>
      </c>
      <c r="I133" s="533">
        <f t="shared" ref="I133:K136" si="27">IF(I21&lt;&gt;0,H133,0)</f>
        <v>750</v>
      </c>
      <c r="J133" s="533">
        <f t="shared" si="27"/>
        <v>750</v>
      </c>
      <c r="K133" s="533">
        <f t="shared" si="27"/>
        <v>0</v>
      </c>
      <c r="L133" s="533">
        <f t="shared" si="26"/>
        <v>0</v>
      </c>
      <c r="M133" s="533">
        <f t="shared" si="26"/>
        <v>0</v>
      </c>
      <c r="N133" s="533">
        <f t="shared" si="26"/>
        <v>0</v>
      </c>
      <c r="O133" s="533">
        <f t="shared" si="26"/>
        <v>0</v>
      </c>
      <c r="P133" s="533">
        <f t="shared" si="26"/>
        <v>0</v>
      </c>
      <c r="Q133" s="533">
        <f t="shared" si="26"/>
        <v>0</v>
      </c>
      <c r="R133" s="533">
        <f>IF(R21&lt;&gt;0,Q133,0)</f>
        <v>0</v>
      </c>
    </row>
    <row r="134" spans="3:18" x14ac:dyDescent="0.45">
      <c r="C134" t="str">
        <f>'12. Inputs-Props &amp; Debtors 2016'!C$80</f>
        <v>KZN</v>
      </c>
      <c r="E134" s="4"/>
      <c r="F134" s="4"/>
      <c r="G134" s="4"/>
      <c r="H134" s="540">
        <v>750</v>
      </c>
      <c r="I134" s="533">
        <f t="shared" si="27"/>
        <v>750</v>
      </c>
      <c r="J134" s="533">
        <f t="shared" si="27"/>
        <v>750</v>
      </c>
      <c r="K134" s="533">
        <f t="shared" si="27"/>
        <v>0</v>
      </c>
      <c r="L134" s="533">
        <f t="shared" si="26"/>
        <v>0</v>
      </c>
      <c r="M134" s="533">
        <f t="shared" si="26"/>
        <v>0</v>
      </c>
      <c r="N134" s="533">
        <f t="shared" si="26"/>
        <v>0</v>
      </c>
      <c r="O134" s="533">
        <f t="shared" si="26"/>
        <v>0</v>
      </c>
      <c r="P134" s="533">
        <f t="shared" si="26"/>
        <v>0</v>
      </c>
      <c r="Q134" s="533">
        <f t="shared" si="26"/>
        <v>0</v>
      </c>
      <c r="R134" s="533">
        <f>IF(R22&lt;&gt;0,Q134,0)</f>
        <v>0</v>
      </c>
    </row>
    <row r="135" spans="3:18" x14ac:dyDescent="0.45">
      <c r="C135" t="str">
        <f>'12. Inputs-Props &amp; Debtors 2016'!C$81</f>
        <v>WC</v>
      </c>
      <c r="E135" s="4"/>
      <c r="F135" s="4"/>
      <c r="G135" s="4"/>
      <c r="H135" s="540">
        <v>750</v>
      </c>
      <c r="I135" s="533">
        <f t="shared" si="27"/>
        <v>750</v>
      </c>
      <c r="J135" s="533">
        <f t="shared" si="27"/>
        <v>750</v>
      </c>
      <c r="K135" s="533">
        <f t="shared" si="27"/>
        <v>0</v>
      </c>
      <c r="L135" s="533">
        <f t="shared" si="26"/>
        <v>0</v>
      </c>
      <c r="M135" s="533">
        <f t="shared" si="26"/>
        <v>0</v>
      </c>
      <c r="N135" s="533">
        <f t="shared" si="26"/>
        <v>0</v>
      </c>
      <c r="O135" s="533">
        <f t="shared" si="26"/>
        <v>0</v>
      </c>
      <c r="P135" s="533">
        <f t="shared" si="26"/>
        <v>0</v>
      </c>
      <c r="Q135" s="533">
        <f t="shared" si="26"/>
        <v>0</v>
      </c>
      <c r="R135" s="533">
        <f>IF(R23&lt;&gt;0,Q135,0)</f>
        <v>0</v>
      </c>
    </row>
    <row r="136" spans="3:18" x14ac:dyDescent="0.45">
      <c r="E136" s="4"/>
      <c r="F136" s="4"/>
      <c r="G136" s="4"/>
      <c r="H136" s="540">
        <v>750</v>
      </c>
      <c r="I136" s="533">
        <f t="shared" si="27"/>
        <v>750</v>
      </c>
      <c r="J136" s="533">
        <f t="shared" si="27"/>
        <v>750</v>
      </c>
      <c r="K136" s="533">
        <f t="shared" si="27"/>
        <v>0</v>
      </c>
      <c r="L136" s="533">
        <f t="shared" si="26"/>
        <v>0</v>
      </c>
      <c r="M136" s="533">
        <f t="shared" si="26"/>
        <v>0</v>
      </c>
      <c r="N136" s="533">
        <f t="shared" si="26"/>
        <v>0</v>
      </c>
      <c r="O136" s="533">
        <f t="shared" si="26"/>
        <v>0</v>
      </c>
      <c r="P136" s="533">
        <f t="shared" si="26"/>
        <v>0</v>
      </c>
      <c r="Q136" s="533">
        <f t="shared" si="26"/>
        <v>0</v>
      </c>
      <c r="R136" s="533">
        <f>IF(R24&lt;&gt;0,Q136,0)</f>
        <v>0</v>
      </c>
    </row>
    <row r="137" spans="3:18" x14ac:dyDescent="0.45">
      <c r="E137" s="4"/>
      <c r="F137" s="4"/>
      <c r="G137" s="4"/>
      <c r="H137" s="4"/>
    </row>
    <row r="138" spans="3:18" x14ac:dyDescent="0.45">
      <c r="C138" s="451" t="s">
        <v>342</v>
      </c>
      <c r="E138" s="4"/>
      <c r="F138" s="4"/>
      <c r="G138" s="4"/>
      <c r="H138" s="4"/>
    </row>
    <row r="139" spans="3:18" x14ac:dyDescent="0.45">
      <c r="C139" t="str">
        <f>'12. Inputs-Props &amp; Debtors 2016'!C$77</f>
        <v>EC</v>
      </c>
      <c r="E139" s="4"/>
      <c r="F139" s="4"/>
      <c r="G139" s="4"/>
      <c r="H139" s="4"/>
    </row>
    <row r="140" spans="3:18" x14ac:dyDescent="0.45">
      <c r="C140" t="str">
        <f>'12. Inputs-Props &amp; Debtors 2016'!C$78</f>
        <v>FS</v>
      </c>
      <c r="E140" s="4"/>
      <c r="F140" s="4"/>
      <c r="G140" s="4"/>
      <c r="H140" s="540">
        <v>0</v>
      </c>
      <c r="I140" s="540">
        <v>0</v>
      </c>
      <c r="J140" s="533">
        <f>IF(J20&lt;&gt;0,I140,0)</f>
        <v>0</v>
      </c>
      <c r="K140" s="533">
        <f t="shared" ref="K140:Q144" si="28">IF(K20&lt;&gt;0,J140,0)</f>
        <v>0</v>
      </c>
      <c r="L140" s="533">
        <f t="shared" si="28"/>
        <v>0</v>
      </c>
      <c r="M140" s="533">
        <f t="shared" si="28"/>
        <v>0</v>
      </c>
      <c r="N140" s="533">
        <f t="shared" si="28"/>
        <v>0</v>
      </c>
      <c r="O140" s="533">
        <f t="shared" si="28"/>
        <v>0</v>
      </c>
      <c r="P140" s="533">
        <f t="shared" si="28"/>
        <v>0</v>
      </c>
      <c r="Q140" s="533">
        <f t="shared" si="28"/>
        <v>0</v>
      </c>
      <c r="R140" s="533">
        <f>IF(R20&lt;&gt;0,Q140,0)</f>
        <v>0</v>
      </c>
    </row>
    <row r="141" spans="3:18" x14ac:dyDescent="0.45">
      <c r="C141" t="str">
        <f>'12. Inputs-Props &amp; Debtors 2016'!C$79</f>
        <v>Gau</v>
      </c>
      <c r="E141" s="4"/>
      <c r="F141" s="4"/>
      <c r="G141" s="4"/>
      <c r="H141" s="540">
        <v>0</v>
      </c>
      <c r="I141" s="540">
        <v>0</v>
      </c>
      <c r="J141" s="533">
        <f t="shared" ref="J141:K144" si="29">IF(J21&lt;&gt;0,I141,0)</f>
        <v>0</v>
      </c>
      <c r="K141" s="533">
        <f t="shared" si="29"/>
        <v>0</v>
      </c>
      <c r="L141" s="533">
        <f t="shared" si="28"/>
        <v>0</v>
      </c>
      <c r="M141" s="533">
        <f t="shared" si="28"/>
        <v>0</v>
      </c>
      <c r="N141" s="533">
        <f t="shared" si="28"/>
        <v>0</v>
      </c>
      <c r="O141" s="533">
        <f t="shared" si="28"/>
        <v>0</v>
      </c>
      <c r="P141" s="533">
        <f t="shared" si="28"/>
        <v>0</v>
      </c>
      <c r="Q141" s="533">
        <f t="shared" si="28"/>
        <v>0</v>
      </c>
      <c r="R141" s="533">
        <f>IF(R21&lt;&gt;0,Q141,0)</f>
        <v>0</v>
      </c>
    </row>
    <row r="142" spans="3:18" x14ac:dyDescent="0.45">
      <c r="C142" t="str">
        <f>'12. Inputs-Props &amp; Debtors 2016'!C$80</f>
        <v>KZN</v>
      </c>
      <c r="E142" s="4"/>
      <c r="F142" s="4"/>
      <c r="G142" s="4"/>
      <c r="H142" s="540">
        <v>0</v>
      </c>
      <c r="I142" s="540">
        <v>0</v>
      </c>
      <c r="J142" s="533">
        <f t="shared" si="29"/>
        <v>0</v>
      </c>
      <c r="K142" s="533">
        <f t="shared" si="29"/>
        <v>0</v>
      </c>
      <c r="L142" s="533">
        <f t="shared" si="28"/>
        <v>0</v>
      </c>
      <c r="M142" s="533">
        <f t="shared" si="28"/>
        <v>0</v>
      </c>
      <c r="N142" s="533">
        <f t="shared" si="28"/>
        <v>0</v>
      </c>
      <c r="O142" s="533">
        <f t="shared" si="28"/>
        <v>0</v>
      </c>
      <c r="P142" s="533">
        <f t="shared" si="28"/>
        <v>0</v>
      </c>
      <c r="Q142" s="533">
        <f t="shared" si="28"/>
        <v>0</v>
      </c>
      <c r="R142" s="533">
        <f>IF(R22&lt;&gt;0,Q142,0)</f>
        <v>0</v>
      </c>
    </row>
    <row r="143" spans="3:18" x14ac:dyDescent="0.45">
      <c r="C143" t="str">
        <f>'12. Inputs-Props &amp; Debtors 2016'!C$81</f>
        <v>WC</v>
      </c>
      <c r="E143" s="4"/>
      <c r="F143" s="4"/>
      <c r="G143" s="4"/>
      <c r="H143" s="540">
        <v>0</v>
      </c>
      <c r="I143" s="540">
        <v>0</v>
      </c>
      <c r="J143" s="533">
        <f t="shared" si="29"/>
        <v>0</v>
      </c>
      <c r="K143" s="533">
        <f t="shared" si="29"/>
        <v>0</v>
      </c>
      <c r="L143" s="533">
        <f t="shared" si="28"/>
        <v>0</v>
      </c>
      <c r="M143" s="533">
        <f t="shared" si="28"/>
        <v>0</v>
      </c>
      <c r="N143" s="533">
        <f t="shared" si="28"/>
        <v>0</v>
      </c>
      <c r="O143" s="533">
        <f t="shared" si="28"/>
        <v>0</v>
      </c>
      <c r="P143" s="533">
        <f t="shared" si="28"/>
        <v>0</v>
      </c>
      <c r="Q143" s="533">
        <f t="shared" si="28"/>
        <v>0</v>
      </c>
      <c r="R143" s="533">
        <f>IF(R23&lt;&gt;0,Q143,0)</f>
        <v>0</v>
      </c>
    </row>
    <row r="144" spans="3:18" x14ac:dyDescent="0.45">
      <c r="E144" s="4"/>
      <c r="F144" s="4"/>
      <c r="G144" s="4"/>
      <c r="H144" s="540">
        <v>0</v>
      </c>
      <c r="I144" s="540">
        <v>0</v>
      </c>
      <c r="J144" s="533">
        <f t="shared" si="29"/>
        <v>0</v>
      </c>
      <c r="K144" s="533">
        <f t="shared" si="29"/>
        <v>0</v>
      </c>
      <c r="L144" s="533">
        <f t="shared" si="28"/>
        <v>0</v>
      </c>
      <c r="M144" s="533">
        <f t="shared" si="28"/>
        <v>0</v>
      </c>
      <c r="N144" s="533">
        <f t="shared" si="28"/>
        <v>0</v>
      </c>
      <c r="O144" s="533">
        <f t="shared" si="28"/>
        <v>0</v>
      </c>
      <c r="P144" s="533">
        <f t="shared" si="28"/>
        <v>0</v>
      </c>
      <c r="Q144" s="533">
        <f t="shared" si="28"/>
        <v>0</v>
      </c>
      <c r="R144" s="533">
        <f>IF(R24&lt;&gt;0,Q144,0)</f>
        <v>0</v>
      </c>
    </row>
    <row r="145" spans="3:18" x14ac:dyDescent="0.45">
      <c r="E145" s="4"/>
      <c r="F145" s="4"/>
      <c r="G145" s="4"/>
      <c r="H145" s="4"/>
    </row>
    <row r="146" spans="3:18" x14ac:dyDescent="0.45">
      <c r="C146" s="451" t="s">
        <v>1043</v>
      </c>
      <c r="E146" s="4"/>
      <c r="F146" s="4"/>
      <c r="G146" s="4"/>
      <c r="H146" s="4"/>
    </row>
    <row r="147" spans="3:18" x14ac:dyDescent="0.45">
      <c r="C147" t="str">
        <f>'12. Inputs-Props &amp; Debtors 2016'!C$77</f>
        <v>EC</v>
      </c>
      <c r="E147" s="4"/>
      <c r="F147" s="4"/>
      <c r="G147" s="4"/>
      <c r="H147" s="552">
        <f>H116+H124+H132</f>
        <v>5750</v>
      </c>
      <c r="I147" s="552">
        <f t="shared" ref="I147:R151" si="30">I116+I124+I132</f>
        <v>5750</v>
      </c>
      <c r="J147" s="552">
        <f t="shared" si="30"/>
        <v>5750</v>
      </c>
      <c r="K147" s="552">
        <f t="shared" si="30"/>
        <v>0</v>
      </c>
      <c r="L147" s="552">
        <f t="shared" si="30"/>
        <v>0</v>
      </c>
      <c r="M147" s="552">
        <f t="shared" si="30"/>
        <v>0</v>
      </c>
      <c r="N147" s="552">
        <f t="shared" si="30"/>
        <v>0</v>
      </c>
      <c r="O147" s="552">
        <f t="shared" si="30"/>
        <v>0</v>
      </c>
      <c r="P147" s="552">
        <f t="shared" si="30"/>
        <v>0</v>
      </c>
      <c r="Q147" s="552">
        <f t="shared" si="30"/>
        <v>0</v>
      </c>
      <c r="R147" s="552">
        <f t="shared" si="30"/>
        <v>0</v>
      </c>
    </row>
    <row r="148" spans="3:18" x14ac:dyDescent="0.45">
      <c r="C148" t="str">
        <f>'12. Inputs-Props &amp; Debtors 2016'!C$78</f>
        <v>FS</v>
      </c>
      <c r="E148" s="4"/>
      <c r="F148" s="4"/>
      <c r="G148" s="4"/>
      <c r="H148" s="552">
        <f>H117+H125+H133</f>
        <v>5750</v>
      </c>
      <c r="I148" s="552">
        <f t="shared" ref="I148:K151" si="31">I117+I125+I133</f>
        <v>5750</v>
      </c>
      <c r="J148" s="552">
        <f t="shared" si="31"/>
        <v>5750</v>
      </c>
      <c r="K148" s="552">
        <f t="shared" si="31"/>
        <v>0</v>
      </c>
      <c r="L148" s="552">
        <f t="shared" si="30"/>
        <v>0</v>
      </c>
      <c r="M148" s="552">
        <f t="shared" si="30"/>
        <v>0</v>
      </c>
      <c r="N148" s="552">
        <f t="shared" si="30"/>
        <v>0</v>
      </c>
      <c r="O148" s="552">
        <f t="shared" si="30"/>
        <v>0</v>
      </c>
      <c r="P148" s="552">
        <f t="shared" si="30"/>
        <v>0</v>
      </c>
      <c r="Q148" s="552">
        <f t="shared" si="30"/>
        <v>0</v>
      </c>
      <c r="R148" s="552">
        <f>R117+R125+R133</f>
        <v>0</v>
      </c>
    </row>
    <row r="149" spans="3:18" x14ac:dyDescent="0.45">
      <c r="C149" t="str">
        <f>'12. Inputs-Props &amp; Debtors 2016'!C$79</f>
        <v>Gau</v>
      </c>
      <c r="E149" s="4"/>
      <c r="F149" s="4"/>
      <c r="G149" s="4"/>
      <c r="H149" s="552">
        <f>H118+H126+H134</f>
        <v>5750</v>
      </c>
      <c r="I149" s="552">
        <f t="shared" si="31"/>
        <v>5750</v>
      </c>
      <c r="J149" s="552">
        <f t="shared" si="31"/>
        <v>5750</v>
      </c>
      <c r="K149" s="552">
        <f t="shared" si="31"/>
        <v>0</v>
      </c>
      <c r="L149" s="552">
        <f t="shared" si="30"/>
        <v>0</v>
      </c>
      <c r="M149" s="552">
        <f t="shared" si="30"/>
        <v>0</v>
      </c>
      <c r="N149" s="552">
        <f t="shared" si="30"/>
        <v>0</v>
      </c>
      <c r="O149" s="552">
        <f t="shared" si="30"/>
        <v>0</v>
      </c>
      <c r="P149" s="552">
        <f t="shared" si="30"/>
        <v>0</v>
      </c>
      <c r="Q149" s="552">
        <f t="shared" si="30"/>
        <v>0</v>
      </c>
      <c r="R149" s="552">
        <f>R118+R126+R134</f>
        <v>0</v>
      </c>
    </row>
    <row r="150" spans="3:18" x14ac:dyDescent="0.45">
      <c r="C150" t="str">
        <f>'12. Inputs-Props &amp; Debtors 2016'!C$80</f>
        <v>KZN</v>
      </c>
      <c r="E150" s="4"/>
      <c r="F150" s="4"/>
      <c r="G150" s="4"/>
      <c r="H150" s="552">
        <f>H119+H127+H135</f>
        <v>5750</v>
      </c>
      <c r="I150" s="552">
        <f t="shared" si="31"/>
        <v>5750</v>
      </c>
      <c r="J150" s="552">
        <f t="shared" si="31"/>
        <v>5750</v>
      </c>
      <c r="K150" s="552">
        <f t="shared" si="31"/>
        <v>0</v>
      </c>
      <c r="L150" s="552">
        <f t="shared" si="30"/>
        <v>0</v>
      </c>
      <c r="M150" s="552">
        <f t="shared" si="30"/>
        <v>0</v>
      </c>
      <c r="N150" s="552">
        <f t="shared" si="30"/>
        <v>0</v>
      </c>
      <c r="O150" s="552">
        <f t="shared" si="30"/>
        <v>0</v>
      </c>
      <c r="P150" s="552">
        <f t="shared" si="30"/>
        <v>0</v>
      </c>
      <c r="Q150" s="552">
        <f t="shared" si="30"/>
        <v>0</v>
      </c>
      <c r="R150" s="552">
        <f>R119+R127+R135</f>
        <v>0</v>
      </c>
    </row>
    <row r="151" spans="3:18" x14ac:dyDescent="0.45">
      <c r="C151" t="str">
        <f>'12. Inputs-Props &amp; Debtors 2016'!C$81</f>
        <v>WC</v>
      </c>
      <c r="E151" s="4"/>
      <c r="F151" s="4"/>
      <c r="G151" s="4"/>
      <c r="H151" s="552">
        <f>H120+H128+H136</f>
        <v>5750</v>
      </c>
      <c r="I151" s="552">
        <f t="shared" si="31"/>
        <v>5750</v>
      </c>
      <c r="J151" s="552">
        <f t="shared" si="31"/>
        <v>5750</v>
      </c>
      <c r="K151" s="552">
        <f t="shared" si="31"/>
        <v>0</v>
      </c>
      <c r="L151" s="552">
        <f t="shared" si="30"/>
        <v>0</v>
      </c>
      <c r="M151" s="552">
        <f t="shared" si="30"/>
        <v>0</v>
      </c>
      <c r="N151" s="552">
        <f t="shared" si="30"/>
        <v>0</v>
      </c>
      <c r="O151" s="552">
        <f t="shared" si="30"/>
        <v>0</v>
      </c>
      <c r="P151" s="552">
        <f t="shared" si="30"/>
        <v>0</v>
      </c>
      <c r="Q151" s="552">
        <f t="shared" si="30"/>
        <v>0</v>
      </c>
      <c r="R151" s="552">
        <f>R120+R128+R136</f>
        <v>0</v>
      </c>
    </row>
    <row r="152" spans="3:18" x14ac:dyDescent="0.45">
      <c r="E152" s="4"/>
      <c r="F152" s="4"/>
      <c r="G152" s="4"/>
      <c r="H152" s="4"/>
    </row>
    <row r="153" spans="3:18" x14ac:dyDescent="0.45">
      <c r="E153" s="4"/>
      <c r="F153" s="4"/>
      <c r="G153" s="4"/>
      <c r="H153" s="4"/>
    </row>
    <row r="154" spans="3:18" x14ac:dyDescent="0.45">
      <c r="C154" s="451" t="s">
        <v>1042</v>
      </c>
      <c r="E154" s="4"/>
      <c r="F154" s="4"/>
      <c r="G154" s="4"/>
      <c r="H154" s="4"/>
    </row>
    <row r="155" spans="3:18" x14ac:dyDescent="0.45">
      <c r="C155" t="str">
        <f>'12. Inputs-Props &amp; Debtors 2016'!C$77</f>
        <v>EC</v>
      </c>
      <c r="E155" s="4"/>
      <c r="F155" s="4"/>
      <c r="G155" s="4"/>
      <c r="H155" s="552">
        <f>H147*H11</f>
        <v>51750</v>
      </c>
      <c r="I155" s="552">
        <f t="shared" ref="I155:R159" si="32">I147*I11</f>
        <v>155250</v>
      </c>
      <c r="J155" s="552">
        <f t="shared" si="32"/>
        <v>310500</v>
      </c>
      <c r="K155" s="552">
        <f t="shared" si="32"/>
        <v>0</v>
      </c>
      <c r="L155" s="552">
        <f t="shared" si="32"/>
        <v>0</v>
      </c>
      <c r="M155" s="552">
        <f t="shared" si="32"/>
        <v>0</v>
      </c>
      <c r="N155" s="552">
        <f t="shared" si="32"/>
        <v>0</v>
      </c>
      <c r="O155" s="552">
        <f t="shared" si="32"/>
        <v>0</v>
      </c>
      <c r="P155" s="552">
        <f t="shared" si="32"/>
        <v>0</v>
      </c>
      <c r="Q155" s="552">
        <f t="shared" si="32"/>
        <v>0</v>
      </c>
      <c r="R155" s="552">
        <f t="shared" si="32"/>
        <v>0</v>
      </c>
    </row>
    <row r="156" spans="3:18" x14ac:dyDescent="0.45">
      <c r="C156" t="str">
        <f>'12. Inputs-Props &amp; Debtors 2016'!C$78</f>
        <v>FS</v>
      </c>
      <c r="E156" s="4"/>
      <c r="F156" s="4"/>
      <c r="G156" s="4"/>
      <c r="H156" s="552">
        <f>H148*H12</f>
        <v>28750</v>
      </c>
      <c r="I156" s="552">
        <f t="shared" ref="I156:K159" si="33">I148*I12</f>
        <v>80500</v>
      </c>
      <c r="J156" s="552">
        <f t="shared" si="33"/>
        <v>166750</v>
      </c>
      <c r="K156" s="552">
        <f t="shared" si="33"/>
        <v>0</v>
      </c>
      <c r="L156" s="552">
        <f t="shared" si="32"/>
        <v>0</v>
      </c>
      <c r="M156" s="552">
        <f t="shared" si="32"/>
        <v>0</v>
      </c>
      <c r="N156" s="552">
        <f t="shared" si="32"/>
        <v>0</v>
      </c>
      <c r="O156" s="552">
        <f t="shared" si="32"/>
        <v>0</v>
      </c>
      <c r="P156" s="552">
        <f t="shared" si="32"/>
        <v>0</v>
      </c>
      <c r="Q156" s="552">
        <f t="shared" si="32"/>
        <v>0</v>
      </c>
      <c r="R156" s="552">
        <f>R148*R12</f>
        <v>0</v>
      </c>
    </row>
    <row r="157" spans="3:18" x14ac:dyDescent="0.45">
      <c r="C157" t="str">
        <f>'12. Inputs-Props &amp; Debtors 2016'!C$79</f>
        <v>Gau</v>
      </c>
      <c r="E157" s="4"/>
      <c r="F157" s="4"/>
      <c r="G157" s="4"/>
      <c r="H157" s="552">
        <f>H149*H13</f>
        <v>971750</v>
      </c>
      <c r="I157" s="552">
        <f t="shared" si="33"/>
        <v>2921000</v>
      </c>
      <c r="J157" s="552">
        <f t="shared" si="33"/>
        <v>5847750</v>
      </c>
      <c r="K157" s="552">
        <f t="shared" si="33"/>
        <v>0</v>
      </c>
      <c r="L157" s="552">
        <f t="shared" si="32"/>
        <v>0</v>
      </c>
      <c r="M157" s="552">
        <f t="shared" si="32"/>
        <v>0</v>
      </c>
      <c r="N157" s="552">
        <f t="shared" si="32"/>
        <v>0</v>
      </c>
      <c r="O157" s="552">
        <f t="shared" si="32"/>
        <v>0</v>
      </c>
      <c r="P157" s="552">
        <f t="shared" si="32"/>
        <v>0</v>
      </c>
      <c r="Q157" s="552">
        <f t="shared" si="32"/>
        <v>0</v>
      </c>
      <c r="R157" s="552">
        <f>R149*R13</f>
        <v>0</v>
      </c>
    </row>
    <row r="158" spans="3:18" x14ac:dyDescent="0.45">
      <c r="C158" t="str">
        <f>'12. Inputs-Props &amp; Debtors 2016'!C$80</f>
        <v>KZN</v>
      </c>
      <c r="E158" s="4"/>
      <c r="F158" s="4"/>
      <c r="G158" s="4"/>
      <c r="H158" s="552">
        <f>H150*H14</f>
        <v>1472000</v>
      </c>
      <c r="I158" s="552">
        <f t="shared" si="33"/>
        <v>4421750</v>
      </c>
      <c r="J158" s="552">
        <f t="shared" si="33"/>
        <v>8843500</v>
      </c>
      <c r="K158" s="552">
        <f t="shared" si="33"/>
        <v>0</v>
      </c>
      <c r="L158" s="552">
        <f t="shared" si="32"/>
        <v>0</v>
      </c>
      <c r="M158" s="552">
        <f t="shared" si="32"/>
        <v>0</v>
      </c>
      <c r="N158" s="552">
        <f t="shared" si="32"/>
        <v>0</v>
      </c>
      <c r="O158" s="552">
        <f t="shared" si="32"/>
        <v>0</v>
      </c>
      <c r="P158" s="552">
        <f t="shared" si="32"/>
        <v>0</v>
      </c>
      <c r="Q158" s="552">
        <f t="shared" si="32"/>
        <v>0</v>
      </c>
      <c r="R158" s="552">
        <f>R150*R14</f>
        <v>0</v>
      </c>
    </row>
    <row r="159" spans="3:18" x14ac:dyDescent="0.45">
      <c r="C159" t="str">
        <f>'12. Inputs-Props &amp; Debtors 2016'!C$81</f>
        <v>WC</v>
      </c>
      <c r="E159" s="4"/>
      <c r="F159" s="4"/>
      <c r="G159" s="4"/>
      <c r="H159" s="552">
        <f>H151*H15</f>
        <v>442750</v>
      </c>
      <c r="I159" s="552">
        <f t="shared" si="33"/>
        <v>1316750</v>
      </c>
      <c r="J159" s="552">
        <f t="shared" si="33"/>
        <v>2639250</v>
      </c>
      <c r="K159" s="552">
        <f t="shared" si="33"/>
        <v>0</v>
      </c>
      <c r="L159" s="552">
        <f t="shared" si="32"/>
        <v>0</v>
      </c>
      <c r="M159" s="552">
        <f t="shared" si="32"/>
        <v>0</v>
      </c>
      <c r="N159" s="552">
        <f t="shared" si="32"/>
        <v>0</v>
      </c>
      <c r="O159" s="552">
        <f t="shared" si="32"/>
        <v>0</v>
      </c>
      <c r="P159" s="552">
        <f t="shared" si="32"/>
        <v>0</v>
      </c>
      <c r="Q159" s="552">
        <f t="shared" si="32"/>
        <v>0</v>
      </c>
      <c r="R159" s="552">
        <f>R151*R15</f>
        <v>0</v>
      </c>
    </row>
    <row r="160" spans="3:18" x14ac:dyDescent="0.45">
      <c r="E160" s="4"/>
      <c r="F160" s="4"/>
      <c r="G160" s="4"/>
      <c r="H160" s="535">
        <f>SUM(H155:H159)</f>
        <v>2967000</v>
      </c>
      <c r="I160" s="535">
        <f t="shared" ref="I160:R160" si="34">SUM(I155:I159)</f>
        <v>8895250</v>
      </c>
      <c r="J160" s="535">
        <f t="shared" si="34"/>
        <v>17807750</v>
      </c>
      <c r="K160" s="535">
        <f t="shared" si="34"/>
        <v>0</v>
      </c>
      <c r="L160" s="535">
        <f t="shared" si="34"/>
        <v>0</v>
      </c>
      <c r="M160" s="535">
        <f t="shared" si="34"/>
        <v>0</v>
      </c>
      <c r="N160" s="535">
        <f t="shared" si="34"/>
        <v>0</v>
      </c>
      <c r="O160" s="535">
        <f t="shared" si="34"/>
        <v>0</v>
      </c>
      <c r="P160" s="535">
        <f t="shared" si="34"/>
        <v>0</v>
      </c>
      <c r="Q160" s="535">
        <f t="shared" si="34"/>
        <v>0</v>
      </c>
      <c r="R160" s="535">
        <f t="shared" si="34"/>
        <v>0</v>
      </c>
    </row>
    <row r="161" spans="3:19" x14ac:dyDescent="0.45">
      <c r="E161" s="4"/>
      <c r="F161" s="4"/>
      <c r="G161" s="4"/>
      <c r="H161" s="535"/>
      <c r="I161" s="535"/>
      <c r="J161" s="535"/>
      <c r="K161" s="535"/>
      <c r="L161" s="535"/>
      <c r="M161" s="535"/>
      <c r="N161" s="535"/>
      <c r="O161" s="535"/>
      <c r="P161" s="535"/>
      <c r="Q161" s="535"/>
      <c r="R161" s="535"/>
    </row>
    <row r="162" spans="3:19" x14ac:dyDescent="0.45">
      <c r="E162" s="4"/>
      <c r="F162" s="4"/>
      <c r="G162" s="4"/>
      <c r="H162" s="535"/>
      <c r="I162" s="535"/>
      <c r="J162" s="535"/>
      <c r="K162" s="535"/>
      <c r="L162" s="535"/>
      <c r="M162" s="535"/>
      <c r="N162" s="535"/>
      <c r="O162" s="535"/>
      <c r="P162" s="535"/>
      <c r="Q162" s="535"/>
      <c r="R162" s="535"/>
    </row>
    <row r="163" spans="3:19" x14ac:dyDescent="0.45">
      <c r="E163" s="1397" t="s">
        <v>1055</v>
      </c>
      <c r="F163" s="1397"/>
      <c r="G163" s="1397"/>
      <c r="H163" s="1375" t="s">
        <v>1054</v>
      </c>
      <c r="I163" s="1375"/>
      <c r="J163" s="1375"/>
      <c r="K163" s="1375"/>
      <c r="L163" s="1375"/>
      <c r="M163" s="1375"/>
      <c r="N163" s="1375"/>
      <c r="O163" s="1375"/>
      <c r="P163" s="1375"/>
      <c r="Q163" s="1375"/>
      <c r="R163" s="1375"/>
      <c r="S163" s="1375"/>
    </row>
    <row r="164" spans="3:19" x14ac:dyDescent="0.45">
      <c r="C164" t="s">
        <v>16</v>
      </c>
      <c r="E164" s="529">
        <v>-3</v>
      </c>
      <c r="F164" s="529">
        <v>-2</v>
      </c>
      <c r="G164" s="529">
        <v>-1</v>
      </c>
      <c r="H164" s="529">
        <v>0</v>
      </c>
      <c r="I164" s="529">
        <v>1</v>
      </c>
      <c r="J164" s="530">
        <v>2</v>
      </c>
      <c r="K164" s="529">
        <v>3</v>
      </c>
      <c r="L164" s="529"/>
      <c r="M164" s="529"/>
      <c r="N164" s="529"/>
      <c r="O164" s="529"/>
      <c r="P164" s="529"/>
      <c r="Q164" s="529">
        <v>4</v>
      </c>
      <c r="R164" s="529">
        <v>5</v>
      </c>
      <c r="S164" s="536" t="s">
        <v>11</v>
      </c>
    </row>
    <row r="165" spans="3:19" x14ac:dyDescent="0.45">
      <c r="H165" s="336">
        <v>2017</v>
      </c>
      <c r="I165" s="451">
        <v>2018</v>
      </c>
      <c r="J165" s="336">
        <v>2019</v>
      </c>
      <c r="K165" s="451">
        <v>2020</v>
      </c>
      <c r="L165" s="451"/>
      <c r="M165" s="451"/>
      <c r="N165" s="451"/>
      <c r="O165" s="451"/>
      <c r="P165" s="451"/>
      <c r="Q165" s="336">
        <v>2021</v>
      </c>
      <c r="R165" s="451">
        <v>2022</v>
      </c>
    </row>
    <row r="166" spans="3:19" x14ac:dyDescent="0.45">
      <c r="C166" s="451" t="s">
        <v>1044</v>
      </c>
    </row>
    <row r="167" spans="3:19" x14ac:dyDescent="0.45">
      <c r="C167" t="str">
        <f>'12. Inputs-Props &amp; Debtors 2016'!C$77</f>
        <v>EC</v>
      </c>
      <c r="E167" s="40"/>
      <c r="F167" s="40"/>
      <c r="G167" s="40">
        <f>'12. Inputs-Props &amp; Debtors 2016'!$G$14</f>
        <v>90</v>
      </c>
      <c r="H167" s="40">
        <f>G167-H11</f>
        <v>81</v>
      </c>
      <c r="I167" s="40">
        <f>H167-I11</f>
        <v>54</v>
      </c>
      <c r="J167" s="40">
        <f>I167-J11</f>
        <v>0</v>
      </c>
      <c r="K167" s="40">
        <f>J167-K11</f>
        <v>0</v>
      </c>
      <c r="L167" s="40"/>
      <c r="M167" s="40"/>
      <c r="N167" s="40"/>
      <c r="O167" s="40"/>
      <c r="P167" s="40"/>
      <c r="Q167" s="40">
        <f>K167-Q11</f>
        <v>0</v>
      </c>
      <c r="R167" s="40">
        <f>Q167-R11</f>
        <v>0</v>
      </c>
    </row>
    <row r="168" spans="3:19" x14ac:dyDescent="0.45">
      <c r="C168" t="str">
        <f>'12. Inputs-Props &amp; Debtors 2016'!C$78</f>
        <v>FS</v>
      </c>
      <c r="E168" s="40"/>
      <c r="F168" s="40"/>
      <c r="G168" s="40">
        <f>'12. Inputs-Props &amp; Debtors 2016'!$H$14</f>
        <v>48</v>
      </c>
      <c r="H168" s="40">
        <f t="shared" ref="H168:K171" si="35">G168-H12</f>
        <v>43</v>
      </c>
      <c r="I168" s="40">
        <f t="shared" si="35"/>
        <v>29</v>
      </c>
      <c r="J168" s="40">
        <f t="shared" si="35"/>
        <v>0</v>
      </c>
      <c r="K168" s="40">
        <f t="shared" si="35"/>
        <v>0</v>
      </c>
      <c r="L168" s="40"/>
      <c r="M168" s="40"/>
      <c r="N168" s="40"/>
      <c r="O168" s="40"/>
      <c r="P168" s="40"/>
      <c r="Q168" s="40">
        <f>K168-Q12</f>
        <v>0</v>
      </c>
      <c r="R168" s="40">
        <f>Q168-R12</f>
        <v>0</v>
      </c>
    </row>
    <row r="169" spans="3:19" x14ac:dyDescent="0.45">
      <c r="C169" t="str">
        <f>'12. Inputs-Props &amp; Debtors 2016'!C$79</f>
        <v>Gau</v>
      </c>
      <c r="E169" s="40"/>
      <c r="F169" s="40"/>
      <c r="G169" s="40">
        <f>'12. Inputs-Props &amp; Debtors 2016'!$I$14</f>
        <v>1694</v>
      </c>
      <c r="H169" s="40">
        <f t="shared" si="35"/>
        <v>1525</v>
      </c>
      <c r="I169" s="40">
        <f t="shared" si="35"/>
        <v>1017</v>
      </c>
      <c r="J169" s="40">
        <f t="shared" si="35"/>
        <v>0</v>
      </c>
      <c r="K169" s="40">
        <f t="shared" si="35"/>
        <v>0</v>
      </c>
      <c r="L169" s="40"/>
      <c r="M169" s="40"/>
      <c r="N169" s="40"/>
      <c r="O169" s="40"/>
      <c r="P169" s="40"/>
      <c r="Q169" s="40">
        <f>K169-Q13</f>
        <v>0</v>
      </c>
      <c r="R169" s="40">
        <f>Q169-R13</f>
        <v>0</v>
      </c>
    </row>
    <row r="170" spans="3:19" x14ac:dyDescent="0.45">
      <c r="C170" t="str">
        <f>'12. Inputs-Props &amp; Debtors 2016'!C$80</f>
        <v>KZN</v>
      </c>
      <c r="E170" s="40"/>
      <c r="F170" s="40"/>
      <c r="G170" s="40">
        <f>'12. Inputs-Props &amp; Debtors 2016'!$J$14</f>
        <v>2563</v>
      </c>
      <c r="H170" s="40">
        <f t="shared" si="35"/>
        <v>2307</v>
      </c>
      <c r="I170" s="40">
        <f t="shared" si="35"/>
        <v>1538</v>
      </c>
      <c r="J170" s="40">
        <f t="shared" si="35"/>
        <v>0</v>
      </c>
      <c r="K170" s="40">
        <f t="shared" si="35"/>
        <v>0</v>
      </c>
      <c r="L170" s="40"/>
      <c r="M170" s="40"/>
      <c r="N170" s="40"/>
      <c r="O170" s="40"/>
      <c r="P170" s="40"/>
      <c r="Q170" s="40">
        <f>K170-Q14</f>
        <v>0</v>
      </c>
      <c r="R170" s="40">
        <f>Q170-R14</f>
        <v>0</v>
      </c>
    </row>
    <row r="171" spans="3:19" x14ac:dyDescent="0.45">
      <c r="C171" t="str">
        <f>'12. Inputs-Props &amp; Debtors 2016'!C$81</f>
        <v>WC</v>
      </c>
      <c r="E171" s="40"/>
      <c r="F171" s="40"/>
      <c r="G171" s="40">
        <f>'12. Inputs-Props &amp; Debtors 2016'!$K$14</f>
        <v>765</v>
      </c>
      <c r="H171" s="40">
        <f t="shared" si="35"/>
        <v>688</v>
      </c>
      <c r="I171" s="40">
        <f t="shared" si="35"/>
        <v>459</v>
      </c>
      <c r="J171" s="40">
        <f t="shared" si="35"/>
        <v>0</v>
      </c>
      <c r="K171" s="40">
        <f t="shared" si="35"/>
        <v>0</v>
      </c>
      <c r="L171" s="40"/>
      <c r="M171" s="40"/>
      <c r="N171" s="40"/>
      <c r="O171" s="40"/>
      <c r="P171" s="40"/>
      <c r="Q171" s="40">
        <f>K171-Q15</f>
        <v>0</v>
      </c>
      <c r="R171" s="40">
        <f>Q171-R15</f>
        <v>0</v>
      </c>
    </row>
    <row r="172" spans="3:19" x14ac:dyDescent="0.45">
      <c r="E172" s="40"/>
      <c r="F172" s="40"/>
      <c r="G172" s="545">
        <f>SUM(G167:G171)</f>
        <v>5160</v>
      </c>
      <c r="H172" s="545">
        <f t="shared" ref="H172:R172" si="36">SUM(H167:H171)</f>
        <v>4644</v>
      </c>
      <c r="I172" s="545">
        <f t="shared" si="36"/>
        <v>3097</v>
      </c>
      <c r="J172" s="545">
        <f t="shared" si="36"/>
        <v>0</v>
      </c>
      <c r="K172" s="545">
        <f t="shared" si="36"/>
        <v>0</v>
      </c>
      <c r="L172" s="545"/>
      <c r="M172" s="545"/>
      <c r="N172" s="545"/>
      <c r="O172" s="545"/>
      <c r="P172" s="545"/>
      <c r="Q172" s="545">
        <f t="shared" si="36"/>
        <v>0</v>
      </c>
      <c r="R172" s="545">
        <f t="shared" si="36"/>
        <v>0</v>
      </c>
    </row>
    <row r="174" spans="3:19" x14ac:dyDescent="0.45">
      <c r="C174" s="451" t="s">
        <v>1046</v>
      </c>
    </row>
    <row r="175" spans="3:19" x14ac:dyDescent="0.45">
      <c r="C175" t="str">
        <f>'12. Inputs-Props &amp; Debtors 2016'!C$77</f>
        <v>EC</v>
      </c>
      <c r="G175" s="552">
        <f>'11. Table - Expenditure Review'!K$206</f>
        <v>342866.4</v>
      </c>
    </row>
    <row r="176" spans="3:19" x14ac:dyDescent="0.45">
      <c r="C176" t="str">
        <f>'12. Inputs-Props &amp; Debtors 2016'!C$78</f>
        <v>FS</v>
      </c>
      <c r="G176" s="552">
        <f>'11. Table - Expenditure Review'!N$206</f>
        <v>129537.72</v>
      </c>
    </row>
    <row r="177" spans="3:8" x14ac:dyDescent="0.45">
      <c r="C177" t="str">
        <f>'12. Inputs-Props &amp; Debtors 2016'!C$79</f>
        <v>Gau</v>
      </c>
      <c r="G177" s="552">
        <f>'11. Table - Expenditure Review'!Q$206</f>
        <v>1816987.6800000002</v>
      </c>
    </row>
    <row r="178" spans="3:8" x14ac:dyDescent="0.45">
      <c r="C178" t="str">
        <f>'12. Inputs-Props &amp; Debtors 2016'!C$80</f>
        <v>KZN</v>
      </c>
      <c r="G178" s="552">
        <f>'11. Table - Expenditure Review'!T$206</f>
        <v>3861444.2399999998</v>
      </c>
    </row>
    <row r="179" spans="3:8" x14ac:dyDescent="0.45">
      <c r="C179" t="str">
        <f>'12. Inputs-Props &amp; Debtors 2016'!C$81</f>
        <v>WC</v>
      </c>
      <c r="G179" s="552">
        <f>'11. Table - Expenditure Review'!W$206</f>
        <v>5589559.7700000014</v>
      </c>
    </row>
    <row r="180" spans="3:8" x14ac:dyDescent="0.45">
      <c r="G180" s="535">
        <f>SUM(G175:G179)</f>
        <v>11740395.810000002</v>
      </c>
    </row>
    <row r="182" spans="3:8" x14ac:dyDescent="0.45">
      <c r="C182" s="451" t="s">
        <v>1047</v>
      </c>
    </row>
    <row r="183" spans="3:8" x14ac:dyDescent="0.45">
      <c r="C183" t="str">
        <f>'12. Inputs-Props &amp; Debtors 2016'!C$77</f>
        <v>EC</v>
      </c>
      <c r="G183" s="552">
        <f>'11. Table - Expenditure Review'!K$198</f>
        <v>219792.4</v>
      </c>
    </row>
    <row r="184" spans="3:8" x14ac:dyDescent="0.45">
      <c r="C184" t="str">
        <f>'12. Inputs-Props &amp; Debtors 2016'!C$78</f>
        <v>FS</v>
      </c>
      <c r="G184" s="552">
        <f>'11. Table - Expenditure Review'!N$198</f>
        <v>0</v>
      </c>
    </row>
    <row r="185" spans="3:8" x14ac:dyDescent="0.45">
      <c r="C185" t="str">
        <f>'12. Inputs-Props &amp; Debtors 2016'!C$79</f>
        <v>Gau</v>
      </c>
      <c r="G185" s="552">
        <f>'11. Table - Expenditure Review'!Q$198</f>
        <v>68874.049999999988</v>
      </c>
    </row>
    <row r="186" spans="3:8" x14ac:dyDescent="0.45">
      <c r="C186" t="str">
        <f>'12. Inputs-Props &amp; Debtors 2016'!C$80</f>
        <v>KZN</v>
      </c>
      <c r="G186" s="552">
        <f>'11. Table - Expenditure Review'!T$198</f>
        <v>1067847.6499999999</v>
      </c>
    </row>
    <row r="187" spans="3:8" x14ac:dyDescent="0.45">
      <c r="C187" t="str">
        <f>'12. Inputs-Props &amp; Debtors 2016'!C$81</f>
        <v>WC</v>
      </c>
      <c r="G187" s="552">
        <f>'11. Table - Expenditure Review'!W$198</f>
        <v>4278588.93</v>
      </c>
    </row>
    <row r="188" spans="3:8" x14ac:dyDescent="0.45">
      <c r="G188" s="535">
        <f>SUM(G183:G187)</f>
        <v>5635103.0299999993</v>
      </c>
    </row>
    <row r="191" spans="3:8" x14ac:dyDescent="0.45">
      <c r="C191" t="s">
        <v>1048</v>
      </c>
    </row>
    <row r="192" spans="3:8" x14ac:dyDescent="0.45">
      <c r="C192" t="str">
        <f>'12. Inputs-Props &amp; Debtors 2016'!C$77</f>
        <v>EC</v>
      </c>
      <c r="G192" s="533">
        <f>G175-G183</f>
        <v>123074.00000000003</v>
      </c>
      <c r="H192" s="533">
        <f>IF(H20&lt;&gt;0,G192,0)</f>
        <v>123074.00000000003</v>
      </c>
    </row>
    <row r="193" spans="3:19" x14ac:dyDescent="0.45">
      <c r="C193" t="str">
        <f>'12. Inputs-Props &amp; Debtors 2016'!C$78</f>
        <v>FS</v>
      </c>
      <c r="G193" s="533">
        <f>G176-G184</f>
        <v>129537.72</v>
      </c>
    </row>
    <row r="194" spans="3:19" x14ac:dyDescent="0.45">
      <c r="C194" t="str">
        <f>'12. Inputs-Props &amp; Debtors 2016'!C$79</f>
        <v>Gau</v>
      </c>
      <c r="G194" s="533">
        <f>G177-G185</f>
        <v>1748113.6300000001</v>
      </c>
    </row>
    <row r="195" spans="3:19" x14ac:dyDescent="0.45">
      <c r="C195" t="str">
        <f>'12. Inputs-Props &amp; Debtors 2016'!C$80</f>
        <v>KZN</v>
      </c>
      <c r="G195" s="533">
        <f>G178-G186</f>
        <v>2793596.59</v>
      </c>
    </row>
    <row r="196" spans="3:19" x14ac:dyDescent="0.45">
      <c r="C196" t="str">
        <f>'12. Inputs-Props &amp; Debtors 2016'!C$81</f>
        <v>WC</v>
      </c>
      <c r="G196" s="533">
        <f>G179-G187</f>
        <v>1310970.8400000017</v>
      </c>
    </row>
    <row r="197" spans="3:19" x14ac:dyDescent="0.45">
      <c r="G197" s="535">
        <f>SUM(G192:G196)</f>
        <v>6105292.7800000012</v>
      </c>
    </row>
    <row r="198" spans="3:19" x14ac:dyDescent="0.45">
      <c r="G198" s="533"/>
    </row>
    <row r="199" spans="3:19" x14ac:dyDescent="0.45">
      <c r="C199" s="451" t="s">
        <v>1049</v>
      </c>
    </row>
    <row r="200" spans="3:19" x14ac:dyDescent="0.45">
      <c r="C200" t="str">
        <f>'12. Inputs-Props &amp; Debtors 2016'!C$77</f>
        <v>EC</v>
      </c>
      <c r="G200" s="533">
        <f>G192/G167</f>
        <v>1367.4888888888893</v>
      </c>
      <c r="H200" s="533">
        <f t="shared" ref="H200:K204" si="37">IF(H11&lt;&gt;0,G200,0)</f>
        <v>1367.4888888888893</v>
      </c>
      <c r="I200" s="533">
        <f t="shared" si="37"/>
        <v>1367.4888888888893</v>
      </c>
      <c r="J200" s="533">
        <f t="shared" si="37"/>
        <v>1367.4888888888893</v>
      </c>
      <c r="K200" s="533">
        <f t="shared" si="37"/>
        <v>0</v>
      </c>
      <c r="L200" s="533"/>
      <c r="M200" s="533"/>
      <c r="N200" s="533"/>
      <c r="O200" s="533"/>
      <c r="P200" s="533"/>
      <c r="Q200" s="533">
        <f>IF(Q11&lt;&gt;0,K200,0)</f>
        <v>0</v>
      </c>
      <c r="R200" s="533">
        <f t="shared" ref="R200:S204" si="38">IF(R11&lt;&gt;0,Q200,0)</f>
        <v>0</v>
      </c>
      <c r="S200" s="533">
        <f t="shared" si="38"/>
        <v>0</v>
      </c>
    </row>
    <row r="201" spans="3:19" x14ac:dyDescent="0.45">
      <c r="C201" t="str">
        <f>'12. Inputs-Props &amp; Debtors 2016'!C$78</f>
        <v>FS</v>
      </c>
      <c r="G201" s="533">
        <f>G193/G168</f>
        <v>2698.7024999999999</v>
      </c>
      <c r="H201" s="533">
        <f t="shared" si="37"/>
        <v>2698.7024999999999</v>
      </c>
      <c r="I201" s="533">
        <f t="shared" si="37"/>
        <v>2698.7024999999999</v>
      </c>
      <c r="J201" s="533">
        <f t="shared" si="37"/>
        <v>2698.7024999999999</v>
      </c>
      <c r="K201" s="533">
        <f t="shared" si="37"/>
        <v>0</v>
      </c>
      <c r="L201" s="533"/>
      <c r="M201" s="533"/>
      <c r="N201" s="533"/>
      <c r="O201" s="533"/>
      <c r="P201" s="533"/>
      <c r="Q201" s="533">
        <f>IF(Q12&lt;&gt;0,K201,0)</f>
        <v>0</v>
      </c>
      <c r="R201" s="533">
        <f t="shared" si="38"/>
        <v>0</v>
      </c>
      <c r="S201" s="533">
        <f t="shared" si="38"/>
        <v>0</v>
      </c>
    </row>
    <row r="202" spans="3:19" x14ac:dyDescent="0.45">
      <c r="C202" t="str">
        <f>'12. Inputs-Props &amp; Debtors 2016'!C$79</f>
        <v>Gau</v>
      </c>
      <c r="G202" s="533">
        <f>G194/G169</f>
        <v>1031.9442916174735</v>
      </c>
      <c r="H202" s="533">
        <f t="shared" si="37"/>
        <v>1031.9442916174735</v>
      </c>
      <c r="I202" s="533">
        <f t="shared" si="37"/>
        <v>1031.9442916174735</v>
      </c>
      <c r="J202" s="533">
        <f t="shared" si="37"/>
        <v>1031.9442916174735</v>
      </c>
      <c r="K202" s="533">
        <f t="shared" si="37"/>
        <v>0</v>
      </c>
      <c r="L202" s="533"/>
      <c r="M202" s="533"/>
      <c r="N202" s="533"/>
      <c r="O202" s="533"/>
      <c r="P202" s="533"/>
      <c r="Q202" s="533">
        <f>IF(Q13&lt;&gt;0,K202,0)</f>
        <v>0</v>
      </c>
      <c r="R202" s="533">
        <f t="shared" si="38"/>
        <v>0</v>
      </c>
      <c r="S202" s="533">
        <f t="shared" si="38"/>
        <v>0</v>
      </c>
    </row>
    <row r="203" spans="3:19" x14ac:dyDescent="0.45">
      <c r="C203" t="str">
        <f>'12. Inputs-Props &amp; Debtors 2016'!C$80</f>
        <v>KZN</v>
      </c>
      <c r="G203" s="533">
        <f>G195/G170</f>
        <v>1089.971357783847</v>
      </c>
      <c r="H203" s="533">
        <f t="shared" si="37"/>
        <v>1089.971357783847</v>
      </c>
      <c r="I203" s="533">
        <f t="shared" si="37"/>
        <v>1089.971357783847</v>
      </c>
      <c r="J203" s="533">
        <f t="shared" si="37"/>
        <v>1089.971357783847</v>
      </c>
      <c r="K203" s="533">
        <f t="shared" si="37"/>
        <v>0</v>
      </c>
      <c r="L203" s="533"/>
      <c r="M203" s="533"/>
      <c r="N203" s="533"/>
      <c r="O203" s="533"/>
      <c r="P203" s="533"/>
      <c r="Q203" s="533">
        <f>IF(Q14&lt;&gt;0,K203,0)</f>
        <v>0</v>
      </c>
      <c r="R203" s="533">
        <f t="shared" si="38"/>
        <v>0</v>
      </c>
      <c r="S203" s="533">
        <f t="shared" si="38"/>
        <v>0</v>
      </c>
    </row>
    <row r="204" spans="3:19" x14ac:dyDescent="0.45">
      <c r="C204" t="str">
        <f>'12. Inputs-Props &amp; Debtors 2016'!C$81</f>
        <v>WC</v>
      </c>
      <c r="G204" s="533">
        <f>G196/G171</f>
        <v>1713.6873725490218</v>
      </c>
      <c r="H204" s="533">
        <f t="shared" si="37"/>
        <v>1713.6873725490218</v>
      </c>
      <c r="I204" s="533">
        <f t="shared" si="37"/>
        <v>1713.6873725490218</v>
      </c>
      <c r="J204" s="533">
        <f t="shared" si="37"/>
        <v>1713.6873725490218</v>
      </c>
      <c r="K204" s="533">
        <f t="shared" si="37"/>
        <v>0</v>
      </c>
      <c r="L204" s="533"/>
      <c r="M204" s="533"/>
      <c r="N204" s="533"/>
      <c r="O204" s="533"/>
      <c r="P204" s="533"/>
      <c r="Q204" s="533">
        <f>IF(Q15&lt;&gt;0,K204,0)</f>
        <v>0</v>
      </c>
      <c r="R204" s="533">
        <f t="shared" si="38"/>
        <v>0</v>
      </c>
      <c r="S204" s="533">
        <f t="shared" si="38"/>
        <v>0</v>
      </c>
    </row>
    <row r="205" spans="3:19" x14ac:dyDescent="0.45">
      <c r="H205" s="535">
        <f>IF(H16&lt;&gt;0,SUMPRODUCT(H200:H204,H167:H171)/H172,0)</f>
        <v>1183.0548421485162</v>
      </c>
      <c r="I205" s="535">
        <f t="shared" ref="I205:R205" si="39">IF(I172&lt;&gt;0,SUMPRODUCT(I200:I204,I167:I171)/I172,0)</f>
        <v>1183.2588212291016</v>
      </c>
      <c r="J205" s="535">
        <f t="shared" si="39"/>
        <v>0</v>
      </c>
      <c r="K205" s="535">
        <f t="shared" si="39"/>
        <v>0</v>
      </c>
      <c r="L205" s="535"/>
      <c r="M205" s="535"/>
      <c r="N205" s="535"/>
      <c r="O205" s="535"/>
      <c r="P205" s="535"/>
      <c r="Q205" s="535">
        <f t="shared" si="39"/>
        <v>0</v>
      </c>
      <c r="R205" s="535">
        <f t="shared" si="39"/>
        <v>0</v>
      </c>
    </row>
    <row r="207" spans="3:19" x14ac:dyDescent="0.45">
      <c r="C207" s="451" t="s">
        <v>1050</v>
      </c>
    </row>
    <row r="208" spans="3:19" x14ac:dyDescent="0.45">
      <c r="C208" t="str">
        <f>'12. Inputs-Props &amp; Debtors 2016'!C$77</f>
        <v>EC</v>
      </c>
      <c r="H208" s="533">
        <f t="shared" ref="H208:K212" si="40">G167*H200</f>
        <v>123074.00000000003</v>
      </c>
      <c r="I208" s="533">
        <f t="shared" si="40"/>
        <v>110766.60000000003</v>
      </c>
      <c r="J208" s="533">
        <f t="shared" si="40"/>
        <v>73844.400000000023</v>
      </c>
      <c r="K208" s="533">
        <f t="shared" si="40"/>
        <v>0</v>
      </c>
      <c r="L208" s="533"/>
      <c r="M208" s="533"/>
      <c r="N208" s="533"/>
      <c r="O208" s="533"/>
      <c r="P208" s="533"/>
      <c r="Q208" s="533">
        <f>K167*Q200</f>
        <v>0</v>
      </c>
      <c r="R208" s="533">
        <f>Q167*R200</f>
        <v>0</v>
      </c>
    </row>
    <row r="209" spans="3:18" x14ac:dyDescent="0.45">
      <c r="C209" t="str">
        <f>'12. Inputs-Props &amp; Debtors 2016'!C$78</f>
        <v>FS</v>
      </c>
      <c r="H209" s="533">
        <f t="shared" si="40"/>
        <v>129537.72</v>
      </c>
      <c r="I209" s="533">
        <f t="shared" si="40"/>
        <v>116044.20749999999</v>
      </c>
      <c r="J209" s="533">
        <f t="shared" si="40"/>
        <v>78262.372499999998</v>
      </c>
      <c r="K209" s="533">
        <f t="shared" si="40"/>
        <v>0</v>
      </c>
      <c r="L209" s="533"/>
      <c r="M209" s="533"/>
      <c r="N209" s="533"/>
      <c r="O209" s="533"/>
      <c r="P209" s="533"/>
      <c r="Q209" s="533">
        <f>K168*Q201</f>
        <v>0</v>
      </c>
      <c r="R209" s="533">
        <f>Q168*R201</f>
        <v>0</v>
      </c>
    </row>
    <row r="210" spans="3:18" x14ac:dyDescent="0.45">
      <c r="C210" t="str">
        <f>'12. Inputs-Props &amp; Debtors 2016'!C$79</f>
        <v>Gau</v>
      </c>
      <c r="H210" s="533">
        <f t="shared" si="40"/>
        <v>1748113.6300000001</v>
      </c>
      <c r="I210" s="533">
        <f t="shared" si="40"/>
        <v>1573715.0447166471</v>
      </c>
      <c r="J210" s="533">
        <f t="shared" si="40"/>
        <v>1049487.3445749704</v>
      </c>
      <c r="K210" s="533">
        <f t="shared" si="40"/>
        <v>0</v>
      </c>
      <c r="L210" s="533"/>
      <c r="M210" s="533"/>
      <c r="N210" s="533"/>
      <c r="O210" s="533"/>
      <c r="P210" s="533"/>
      <c r="Q210" s="533">
        <f>K169*Q202</f>
        <v>0</v>
      </c>
      <c r="R210" s="533">
        <f>Q169*R202</f>
        <v>0</v>
      </c>
    </row>
    <row r="211" spans="3:18" x14ac:dyDescent="0.45">
      <c r="C211" t="str">
        <f>'12. Inputs-Props &amp; Debtors 2016'!C$80</f>
        <v>KZN</v>
      </c>
      <c r="H211" s="533">
        <f t="shared" si="40"/>
        <v>2793596.59</v>
      </c>
      <c r="I211" s="533">
        <f t="shared" si="40"/>
        <v>2514563.9224073351</v>
      </c>
      <c r="J211" s="533">
        <f t="shared" si="40"/>
        <v>1676375.9482715568</v>
      </c>
      <c r="K211" s="533">
        <f t="shared" si="40"/>
        <v>0</v>
      </c>
      <c r="L211" s="533"/>
      <c r="M211" s="533"/>
      <c r="N211" s="533"/>
      <c r="O211" s="533"/>
      <c r="P211" s="533"/>
      <c r="Q211" s="533">
        <f>K170*Q203</f>
        <v>0</v>
      </c>
      <c r="R211" s="533">
        <f>Q170*R203</f>
        <v>0</v>
      </c>
    </row>
    <row r="212" spans="3:18" x14ac:dyDescent="0.45">
      <c r="C212" t="str">
        <f>'12. Inputs-Props &amp; Debtors 2016'!C$81</f>
        <v>WC</v>
      </c>
      <c r="H212" s="533">
        <f t="shared" si="40"/>
        <v>1310970.8400000017</v>
      </c>
      <c r="I212" s="533">
        <f t="shared" si="40"/>
        <v>1179016.912313727</v>
      </c>
      <c r="J212" s="533">
        <f t="shared" si="40"/>
        <v>786582.504000001</v>
      </c>
      <c r="K212" s="533">
        <f t="shared" si="40"/>
        <v>0</v>
      </c>
      <c r="L212" s="533"/>
      <c r="M212" s="533"/>
      <c r="N212" s="533"/>
      <c r="O212" s="533"/>
      <c r="P212" s="533"/>
      <c r="Q212" s="533">
        <f>K171*Q204</f>
        <v>0</v>
      </c>
      <c r="R212" s="533">
        <f>Q171*R204</f>
        <v>0</v>
      </c>
    </row>
    <row r="214" spans="3:18" x14ac:dyDescent="0.45">
      <c r="C214" s="451" t="s">
        <v>1052</v>
      </c>
    </row>
    <row r="215" spans="3:18" x14ac:dyDescent="0.45">
      <c r="C215" t="str">
        <f>'12. Inputs-Props &amp; Debtors 2016'!C$77</f>
        <v>EC</v>
      </c>
      <c r="G215" s="1">
        <f>'12. Inputs-Props &amp; Debtors 2016'!G$112</f>
        <v>11312.804</v>
      </c>
      <c r="H215" s="533">
        <f>IF(G167&lt;&gt;0,H200+G215,0)</f>
        <v>12680.292888888889</v>
      </c>
      <c r="I215" s="533">
        <f>IF(H167&lt;&gt;0,I200+H215,0)</f>
        <v>14047.781777777778</v>
      </c>
      <c r="J215" s="533">
        <f>IF(I167&lt;&gt;0,J200+I215,0)</f>
        <v>15415.270666666667</v>
      </c>
      <c r="K215" s="533">
        <f>IF(J167&lt;&gt;0,K200+J215,0)</f>
        <v>0</v>
      </c>
      <c r="L215" s="533"/>
      <c r="M215" s="533"/>
      <c r="N215" s="533"/>
      <c r="O215" s="533"/>
      <c r="P215" s="533"/>
      <c r="Q215" s="533">
        <f t="shared" ref="Q215:Q220" si="41">IF(K167&lt;&gt;0,Q200+K215,0)</f>
        <v>0</v>
      </c>
      <c r="R215" s="533">
        <f t="shared" ref="R215:R220" si="42">IF(Q167&lt;&gt;0,R200+Q215,0)</f>
        <v>0</v>
      </c>
    </row>
    <row r="216" spans="3:18" x14ac:dyDescent="0.45">
      <c r="C216" t="str">
        <f>'12. Inputs-Props &amp; Debtors 2016'!C$78</f>
        <v>FS</v>
      </c>
      <c r="G216" s="1">
        <f>'12. Inputs-Props &amp; Debtors 2016'!H$112</f>
        <v>31530.772916666669</v>
      </c>
      <c r="H216" s="533">
        <f t="shared" ref="H216:K220" si="43">IF(G168&lt;&gt;0,H201+G216,0)</f>
        <v>34229.475416666668</v>
      </c>
      <c r="I216" s="533">
        <f t="shared" si="43"/>
        <v>36928.177916666667</v>
      </c>
      <c r="J216" s="533">
        <f t="shared" si="43"/>
        <v>39626.880416666667</v>
      </c>
      <c r="K216" s="533">
        <f t="shared" si="43"/>
        <v>0</v>
      </c>
      <c r="L216" s="533"/>
      <c r="M216" s="533"/>
      <c r="N216" s="533"/>
      <c r="O216" s="533"/>
      <c r="P216" s="533"/>
      <c r="Q216" s="533">
        <f t="shared" si="41"/>
        <v>0</v>
      </c>
      <c r="R216" s="533">
        <f t="shared" si="42"/>
        <v>0</v>
      </c>
    </row>
    <row r="217" spans="3:18" x14ac:dyDescent="0.45">
      <c r="C217" t="str">
        <f>'12. Inputs-Props &amp; Debtors 2016'!C$79</f>
        <v>Gau</v>
      </c>
      <c r="G217" s="1">
        <f>'12. Inputs-Props &amp; Debtors 2016'!I$112</f>
        <v>18881.007101534829</v>
      </c>
      <c r="H217" s="533">
        <f t="shared" si="43"/>
        <v>19912.951393152303</v>
      </c>
      <c r="I217" s="533">
        <f t="shared" si="43"/>
        <v>20944.895684769777</v>
      </c>
      <c r="J217" s="533">
        <f t="shared" si="43"/>
        <v>21976.839976387251</v>
      </c>
      <c r="K217" s="533">
        <f t="shared" si="43"/>
        <v>0</v>
      </c>
      <c r="L217" s="533"/>
      <c r="M217" s="533"/>
      <c r="N217" s="533"/>
      <c r="O217" s="533"/>
      <c r="P217" s="533"/>
      <c r="Q217" s="533">
        <f t="shared" si="41"/>
        <v>0</v>
      </c>
      <c r="R217" s="533">
        <f t="shared" si="42"/>
        <v>0</v>
      </c>
    </row>
    <row r="218" spans="3:18" x14ac:dyDescent="0.45">
      <c r="C218" t="str">
        <f>'12. Inputs-Props &amp; Debtors 2016'!C$80</f>
        <v>KZN</v>
      </c>
      <c r="G218" s="1">
        <f>'12. Inputs-Props &amp; Debtors 2016'!J$112</f>
        <v>19387.513105735467</v>
      </c>
      <c r="H218" s="533">
        <f t="shared" si="43"/>
        <v>20477.484463519315</v>
      </c>
      <c r="I218" s="533">
        <f t="shared" si="43"/>
        <v>21567.455821303163</v>
      </c>
      <c r="J218" s="533">
        <f t="shared" si="43"/>
        <v>22657.427179087012</v>
      </c>
      <c r="K218" s="533">
        <f t="shared" si="43"/>
        <v>0</v>
      </c>
      <c r="L218" s="533"/>
      <c r="M218" s="533"/>
      <c r="N218" s="533"/>
      <c r="O218" s="533"/>
      <c r="P218" s="533"/>
      <c r="Q218" s="533">
        <f t="shared" si="41"/>
        <v>0</v>
      </c>
      <c r="R218" s="533">
        <f t="shared" si="42"/>
        <v>0</v>
      </c>
    </row>
    <row r="219" spans="3:18" x14ac:dyDescent="0.45">
      <c r="C219" t="str">
        <f>'12. Inputs-Props &amp; Debtors 2016'!C$81</f>
        <v>WC</v>
      </c>
      <c r="G219" s="1">
        <f>'12. Inputs-Props &amp; Debtors 2016'!K$112</f>
        <v>15948.676287581698</v>
      </c>
      <c r="H219" s="533">
        <f t="shared" si="43"/>
        <v>17662.363660130719</v>
      </c>
      <c r="I219" s="533">
        <f t="shared" si="43"/>
        <v>19376.051032679741</v>
      </c>
      <c r="J219" s="533">
        <f t="shared" si="43"/>
        <v>21089.738405228763</v>
      </c>
      <c r="K219" s="533">
        <f t="shared" si="43"/>
        <v>0</v>
      </c>
      <c r="L219" s="533"/>
      <c r="M219" s="533"/>
      <c r="N219" s="533"/>
      <c r="O219" s="533"/>
      <c r="P219" s="533"/>
      <c r="Q219" s="533">
        <f t="shared" si="41"/>
        <v>0</v>
      </c>
      <c r="R219" s="533">
        <f t="shared" si="42"/>
        <v>0</v>
      </c>
    </row>
    <row r="220" spans="3:18" x14ac:dyDescent="0.45">
      <c r="G220" s="569">
        <f>'12. Inputs-Props &amp; Debtors 2016'!F$112</f>
        <v>18683.524988372097</v>
      </c>
      <c r="H220" s="535">
        <f t="shared" si="43"/>
        <v>19866.579830520612</v>
      </c>
      <c r="I220" s="535">
        <f t="shared" si="43"/>
        <v>21049.838651749713</v>
      </c>
      <c r="J220" s="535">
        <f t="shared" si="43"/>
        <v>21049.838651749713</v>
      </c>
      <c r="K220" s="535">
        <f t="shared" si="43"/>
        <v>0</v>
      </c>
      <c r="L220" s="535"/>
      <c r="M220" s="535"/>
      <c r="N220" s="535"/>
      <c r="O220" s="535"/>
      <c r="P220" s="535"/>
      <c r="Q220" s="535">
        <f t="shared" si="41"/>
        <v>0</v>
      </c>
      <c r="R220" s="535">
        <f t="shared" si="42"/>
        <v>0</v>
      </c>
    </row>
    <row r="222" spans="3:18" x14ac:dyDescent="0.45">
      <c r="C222" s="451" t="s">
        <v>1053</v>
      </c>
    </row>
    <row r="223" spans="3:18" x14ac:dyDescent="0.45">
      <c r="C223" t="str">
        <f>'12. Inputs-Props &amp; Debtors 2016'!C$77</f>
        <v>EC</v>
      </c>
      <c r="H223" s="533">
        <f t="shared" ref="H223:R228" si="44">-H11*H215</f>
        <v>-114122.636</v>
      </c>
      <c r="I223" s="533">
        <f t="shared" si="44"/>
        <v>-379290.10800000001</v>
      </c>
      <c r="J223" s="533">
        <f t="shared" si="44"/>
        <v>-832424.61600000004</v>
      </c>
      <c r="K223" s="533">
        <f t="shared" si="44"/>
        <v>0</v>
      </c>
      <c r="L223" s="533"/>
      <c r="M223" s="533"/>
      <c r="N223" s="533"/>
      <c r="O223" s="533"/>
      <c r="P223" s="533"/>
      <c r="Q223" s="533">
        <f t="shared" si="44"/>
        <v>0</v>
      </c>
      <c r="R223" s="533">
        <f t="shared" si="44"/>
        <v>0</v>
      </c>
    </row>
    <row r="224" spans="3:18" x14ac:dyDescent="0.45">
      <c r="C224" t="str">
        <f>'12. Inputs-Props &amp; Debtors 2016'!C$78</f>
        <v>FS</v>
      </c>
      <c r="H224" s="533">
        <f t="shared" si="44"/>
        <v>-171147.37708333333</v>
      </c>
      <c r="I224" s="533">
        <f t="shared" si="44"/>
        <v>-516994.49083333334</v>
      </c>
      <c r="J224" s="533">
        <f t="shared" si="44"/>
        <v>-1149179.5320833332</v>
      </c>
      <c r="K224" s="533">
        <f t="shared" si="44"/>
        <v>0</v>
      </c>
      <c r="L224" s="533"/>
      <c r="M224" s="533"/>
      <c r="N224" s="533"/>
      <c r="O224" s="533"/>
      <c r="P224" s="533"/>
      <c r="Q224" s="533">
        <f t="shared" si="44"/>
        <v>0</v>
      </c>
      <c r="R224" s="533">
        <f t="shared" si="44"/>
        <v>0</v>
      </c>
    </row>
    <row r="225" spans="3:18" x14ac:dyDescent="0.45">
      <c r="C225" t="str">
        <f>'12. Inputs-Props &amp; Debtors 2016'!C$79</f>
        <v>Gau</v>
      </c>
      <c r="H225" s="533">
        <f t="shared" si="44"/>
        <v>-3365288.7854427393</v>
      </c>
      <c r="I225" s="533">
        <f t="shared" si="44"/>
        <v>-10640007.007863047</v>
      </c>
      <c r="J225" s="533">
        <f t="shared" si="44"/>
        <v>-22350446.255985834</v>
      </c>
      <c r="K225" s="533">
        <f t="shared" si="44"/>
        <v>0</v>
      </c>
      <c r="L225" s="533"/>
      <c r="M225" s="533"/>
      <c r="N225" s="533"/>
      <c r="O225" s="533"/>
      <c r="P225" s="533"/>
      <c r="Q225" s="533">
        <f t="shared" si="44"/>
        <v>0</v>
      </c>
      <c r="R225" s="533">
        <f t="shared" si="44"/>
        <v>0</v>
      </c>
    </row>
    <row r="226" spans="3:18" x14ac:dyDescent="0.45">
      <c r="C226" t="str">
        <f>'12. Inputs-Props &amp; Debtors 2016'!C$80</f>
        <v>KZN</v>
      </c>
      <c r="H226" s="533">
        <f t="shared" si="44"/>
        <v>-5242236.0226609446</v>
      </c>
      <c r="I226" s="533">
        <f t="shared" si="44"/>
        <v>-16585373.526582133</v>
      </c>
      <c r="J226" s="533">
        <f t="shared" si="44"/>
        <v>-34847123.001435824</v>
      </c>
      <c r="K226" s="533">
        <f t="shared" si="44"/>
        <v>0</v>
      </c>
      <c r="L226" s="533"/>
      <c r="M226" s="533"/>
      <c r="N226" s="533"/>
      <c r="O226" s="533"/>
      <c r="P226" s="533"/>
      <c r="Q226" s="533">
        <f t="shared" si="44"/>
        <v>0</v>
      </c>
      <c r="R226" s="533">
        <f t="shared" si="44"/>
        <v>0</v>
      </c>
    </row>
    <row r="227" spans="3:18" x14ac:dyDescent="0.45">
      <c r="C227" t="str">
        <f>'12. Inputs-Props &amp; Debtors 2016'!C$81</f>
        <v>WC</v>
      </c>
      <c r="H227" s="533">
        <f t="shared" si="44"/>
        <v>-1360002.0018300654</v>
      </c>
      <c r="I227" s="533">
        <f t="shared" si="44"/>
        <v>-4437115.6864836607</v>
      </c>
      <c r="J227" s="533">
        <f t="shared" si="44"/>
        <v>-9680189.9280000031</v>
      </c>
      <c r="K227" s="533">
        <f t="shared" si="44"/>
        <v>0</v>
      </c>
      <c r="L227" s="533"/>
      <c r="M227" s="533"/>
      <c r="N227" s="533"/>
      <c r="O227" s="533"/>
      <c r="P227" s="533"/>
      <c r="Q227" s="533">
        <f t="shared" si="44"/>
        <v>0</v>
      </c>
      <c r="R227" s="533">
        <f t="shared" si="44"/>
        <v>0</v>
      </c>
    </row>
    <row r="228" spans="3:18" x14ac:dyDescent="0.45">
      <c r="H228" s="535">
        <f t="shared" si="44"/>
        <v>-10251155.192548636</v>
      </c>
      <c r="I228" s="535">
        <f t="shared" si="44"/>
        <v>-32564100.394256804</v>
      </c>
      <c r="J228" s="535">
        <f t="shared" si="44"/>
        <v>-65191350.304468863</v>
      </c>
      <c r="K228" s="535">
        <f t="shared" si="44"/>
        <v>0</v>
      </c>
      <c r="L228" s="535"/>
      <c r="M228" s="535"/>
      <c r="N228" s="535"/>
      <c r="O228" s="535"/>
      <c r="P228" s="535"/>
      <c r="Q228" s="535">
        <f t="shared" si="44"/>
        <v>0</v>
      </c>
      <c r="R228" s="535">
        <f t="shared" si="44"/>
        <v>0</v>
      </c>
    </row>
    <row r="230" spans="3:18" x14ac:dyDescent="0.45">
      <c r="C230" s="451" t="s">
        <v>1045</v>
      </c>
    </row>
    <row r="231" spans="3:18" x14ac:dyDescent="0.45">
      <c r="C231" t="str">
        <f>'12. Inputs-Props &amp; Debtors 2016'!C$77</f>
        <v>EC</v>
      </c>
      <c r="G231" s="1">
        <f>'12. Inputs-Props &amp; Debtors 2016'!$G$91</f>
        <v>1018152.36</v>
      </c>
      <c r="H231" s="1">
        <f t="shared" ref="H231:K235" si="45">G231+H223+H208</f>
        <v>1027103.7239999999</v>
      </c>
      <c r="I231" s="1">
        <f t="shared" si="45"/>
        <v>758580.21600000001</v>
      </c>
      <c r="J231" s="1">
        <f t="shared" si="45"/>
        <v>0</v>
      </c>
      <c r="K231" s="1">
        <f t="shared" si="45"/>
        <v>0</v>
      </c>
      <c r="L231" s="1"/>
      <c r="M231" s="1"/>
      <c r="N231" s="1"/>
      <c r="O231" s="1"/>
      <c r="P231" s="1"/>
      <c r="Q231" s="1">
        <f>K231+Q223+Q208</f>
        <v>0</v>
      </c>
      <c r="R231" s="1">
        <f>Q231+R223+R208</f>
        <v>0</v>
      </c>
    </row>
    <row r="232" spans="3:18" x14ac:dyDescent="0.45">
      <c r="C232" t="str">
        <f>'12. Inputs-Props &amp; Debtors 2016'!C$78</f>
        <v>FS</v>
      </c>
      <c r="G232" s="1">
        <f>'12. Inputs-Props &amp; Debtors 2016'!$H$91</f>
        <v>1513477.1</v>
      </c>
      <c r="H232" s="1">
        <f t="shared" si="45"/>
        <v>1471867.4429166669</v>
      </c>
      <c r="I232" s="1">
        <f t="shared" si="45"/>
        <v>1070917.1595833334</v>
      </c>
      <c r="J232" s="1">
        <f>I232+J224+J209</f>
        <v>1.7462298274040222E-10</v>
      </c>
      <c r="K232" s="1">
        <f t="shared" si="45"/>
        <v>1.7462298274040222E-10</v>
      </c>
      <c r="L232" s="1"/>
      <c r="M232" s="1"/>
      <c r="N232" s="1"/>
      <c r="O232" s="1"/>
      <c r="P232" s="1"/>
      <c r="Q232" s="1">
        <f>K232+Q224+Q209</f>
        <v>1.7462298274040222E-10</v>
      </c>
      <c r="R232" s="1">
        <f>Q232+R224+R209</f>
        <v>1.7462298274040222E-10</v>
      </c>
    </row>
    <row r="233" spans="3:18" x14ac:dyDescent="0.45">
      <c r="C233" t="str">
        <f>'12. Inputs-Props &amp; Debtors 2016'!C$79</f>
        <v>Gau</v>
      </c>
      <c r="G233" s="1">
        <f>'12. Inputs-Props &amp; Debtors 2016'!$I$91</f>
        <v>31984426.030000001</v>
      </c>
      <c r="H233" s="1">
        <f t="shared" si="45"/>
        <v>30367250.87455726</v>
      </c>
      <c r="I233" s="1">
        <f t="shared" si="45"/>
        <v>21300958.911410861</v>
      </c>
      <c r="J233" s="1">
        <f t="shared" si="45"/>
        <v>-2.5611370801925659E-9</v>
      </c>
      <c r="K233" s="1">
        <f t="shared" si="45"/>
        <v>-2.5611370801925659E-9</v>
      </c>
      <c r="L233" s="1"/>
      <c r="M233" s="1"/>
      <c r="N233" s="1"/>
      <c r="O233" s="1"/>
      <c r="P233" s="1"/>
      <c r="Q233" s="1">
        <f>K233+Q225+Q210</f>
        <v>-2.5611370801925659E-9</v>
      </c>
      <c r="R233" s="1">
        <f>Q233+R225+R210</f>
        <v>-2.5611370801925659E-9</v>
      </c>
    </row>
    <row r="234" spans="3:18" x14ac:dyDescent="0.45">
      <c r="C234" t="str">
        <f>'12. Inputs-Props &amp; Debtors 2016'!C$80</f>
        <v>KZN</v>
      </c>
      <c r="G234" s="1">
        <f>'12. Inputs-Props &amp; Debtors 2016'!$J$91</f>
        <v>49690196.090000004</v>
      </c>
      <c r="H234" s="1">
        <f t="shared" si="45"/>
        <v>47241556.657339066</v>
      </c>
      <c r="I234" s="1">
        <f t="shared" si="45"/>
        <v>33170747.05316427</v>
      </c>
      <c r="J234" s="1">
        <f t="shared" si="45"/>
        <v>2.7939677238464355E-9</v>
      </c>
      <c r="K234" s="1">
        <f t="shared" si="45"/>
        <v>2.7939677238464355E-9</v>
      </c>
      <c r="L234" s="1"/>
      <c r="M234" s="1"/>
      <c r="N234" s="1"/>
      <c r="O234" s="1"/>
      <c r="P234" s="1"/>
      <c r="Q234" s="1">
        <f>K234+Q226+Q211</f>
        <v>2.7939677238464355E-9</v>
      </c>
      <c r="R234" s="1">
        <f>Q234+R226+R211</f>
        <v>2.7939677238464355E-9</v>
      </c>
    </row>
    <row r="235" spans="3:18" x14ac:dyDescent="0.45">
      <c r="C235" t="str">
        <f>'12. Inputs-Props &amp; Debtors 2016'!C$81</f>
        <v>WC</v>
      </c>
      <c r="G235" s="1">
        <f>'12. Inputs-Props &amp; Debtors 2016'!$K$91</f>
        <v>12200737.359999999</v>
      </c>
      <c r="H235" s="1">
        <f t="shared" si="45"/>
        <v>12151706.198169935</v>
      </c>
      <c r="I235" s="1">
        <f t="shared" si="45"/>
        <v>8893607.4240000024</v>
      </c>
      <c r="J235" s="1">
        <f t="shared" si="45"/>
        <v>0</v>
      </c>
      <c r="K235" s="1">
        <f t="shared" si="45"/>
        <v>0</v>
      </c>
      <c r="L235" s="1"/>
      <c r="M235" s="1"/>
      <c r="N235" s="1"/>
      <c r="O235" s="1"/>
      <c r="P235" s="1"/>
      <c r="Q235" s="1">
        <f>K235+Q227+Q212</f>
        <v>0</v>
      </c>
      <c r="R235" s="1">
        <f>Q235+R227+R212</f>
        <v>0</v>
      </c>
    </row>
    <row r="236" spans="3:18" x14ac:dyDescent="0.45">
      <c r="G236" s="569">
        <f t="shared" ref="G236:R236" si="46">SUM(G231:G235)</f>
        <v>96406988.940000013</v>
      </c>
      <c r="H236" s="569">
        <f t="shared" si="46"/>
        <v>92259484.896982923</v>
      </c>
      <c r="I236" s="569">
        <f t="shared" si="46"/>
        <v>65194810.764158465</v>
      </c>
      <c r="J236" s="569">
        <f t="shared" si="46"/>
        <v>4.0745362639427185E-10</v>
      </c>
      <c r="K236" s="569">
        <f t="shared" si="46"/>
        <v>4.0745362639427185E-10</v>
      </c>
      <c r="L236" s="569"/>
      <c r="M236" s="569"/>
      <c r="N236" s="569"/>
      <c r="O236" s="569"/>
      <c r="P236" s="569"/>
      <c r="Q236" s="569">
        <f t="shared" si="46"/>
        <v>4.0745362639427185E-10</v>
      </c>
      <c r="R236" s="569">
        <f t="shared" si="46"/>
        <v>4.0745362639427185E-10</v>
      </c>
    </row>
  </sheetData>
  <mergeCells count="4">
    <mergeCell ref="E6:G6"/>
    <mergeCell ref="H6:S6"/>
    <mergeCell ref="E163:G163"/>
    <mergeCell ref="H163:S163"/>
  </mergeCells>
  <pageMargins left="0.39370078740157483" right="0.19685039370078741" top="0.47244094488188981" bottom="0.39370078740157483" header="0.31496062992125984" footer="0.15748031496062992"/>
  <pageSetup paperSize="9" scale="44" fitToHeight="2" orientation="portrait" horizontalDpi="0" verticalDpi="0" r:id="rId1"/>
  <headerFooter>
    <oddFooter>&amp;R&amp;F &amp;A &amp;D 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F69C45B-2B38-4D46-BCBB-B7CA8C4E97F2}">
          <x14:formula1>
            <xm:f>'14. Permanent Info'!$C$7:$C$11</xm:f>
          </x14:formula1>
          <xm:sqref>C7</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7DBF-0169-4351-AB51-C3F35B482231}">
  <sheetPr codeName="Sheet22">
    <tabColor theme="0" tint="-0.249977111117893"/>
    <pageSetUpPr fitToPage="1"/>
  </sheetPr>
  <dimension ref="A1:Y63"/>
  <sheetViews>
    <sheetView showGridLines="0" view="pageBreakPreview" zoomScale="85" zoomScaleNormal="100" zoomScaleSheetLayoutView="85" workbookViewId="0">
      <selection activeCell="D2" sqref="D2"/>
    </sheetView>
  </sheetViews>
  <sheetFormatPr defaultRowHeight="14.25" x14ac:dyDescent="0.45"/>
  <cols>
    <col min="1" max="1" width="1.796875" customWidth="1"/>
    <col min="2" max="2" width="15.46484375" customWidth="1"/>
    <col min="3" max="3" width="16.53125" customWidth="1"/>
    <col min="4" max="4" width="14.265625" customWidth="1"/>
    <col min="5" max="5" width="19.796875" customWidth="1"/>
    <col min="6" max="6" width="30.19921875" customWidth="1"/>
    <col min="7" max="7" width="22.19921875" customWidth="1"/>
    <col min="8" max="8" width="13.46484375" customWidth="1"/>
    <col min="9" max="9" width="16.265625" customWidth="1"/>
    <col min="10" max="10" width="16.53125" customWidth="1"/>
    <col min="11" max="12" width="11.53125" customWidth="1"/>
    <col min="13" max="13" width="1.19921875" customWidth="1"/>
    <col min="14" max="15" width="7" customWidth="1"/>
    <col min="16" max="16" width="38.53125" customWidth="1"/>
    <col min="17" max="17" width="9.796875" customWidth="1"/>
  </cols>
  <sheetData>
    <row r="1" spans="1:25" ht="21" x14ac:dyDescent="0.65">
      <c r="B1" s="60" t="str">
        <f>'1.Cover'!$C$2</f>
        <v xml:space="preserve">Performance and Expenditure Review of Provincial Government Housing Rental Stock </v>
      </c>
    </row>
    <row r="2" spans="1:25" ht="18.399999999999999" thickBot="1" x14ac:dyDescent="0.6">
      <c r="B2" s="58" t="s">
        <v>1091</v>
      </c>
      <c r="D2" s="657"/>
      <c r="E2" s="657"/>
      <c r="F2" s="657"/>
      <c r="G2" s="657"/>
      <c r="H2" s="657"/>
      <c r="I2" s="658"/>
      <c r="J2" s="657"/>
      <c r="K2" s="657"/>
      <c r="L2" s="657"/>
      <c r="N2" s="1472" t="s">
        <v>1304</v>
      </c>
      <c r="O2" s="1473"/>
      <c r="P2" s="1473"/>
      <c r="Q2" s="1474"/>
    </row>
    <row r="3" spans="1:25" ht="14.65" thickBot="1" x14ac:dyDescent="0.5">
      <c r="B3" s="919" t="s">
        <v>1092</v>
      </c>
      <c r="C3" s="920" t="s">
        <v>1093</v>
      </c>
      <c r="D3" s="921" t="s">
        <v>1094</v>
      </c>
      <c r="E3" s="921" t="s">
        <v>1095</v>
      </c>
      <c r="F3" s="921" t="s">
        <v>1096</v>
      </c>
      <c r="G3" s="921" t="s">
        <v>1097</v>
      </c>
      <c r="H3" s="921" t="s">
        <v>105</v>
      </c>
      <c r="I3" s="921" t="s">
        <v>1098</v>
      </c>
      <c r="J3" s="921" t="s">
        <v>1099</v>
      </c>
      <c r="K3" s="921" t="s">
        <v>1100</v>
      </c>
      <c r="L3" s="922" t="s">
        <v>1101</v>
      </c>
      <c r="N3" s="923" t="s">
        <v>1302</v>
      </c>
      <c r="O3" s="923"/>
      <c r="P3" s="924" t="s">
        <v>1303</v>
      </c>
      <c r="Q3" s="924" t="s">
        <v>1301</v>
      </c>
    </row>
    <row r="4" spans="1:25" ht="32.25" x14ac:dyDescent="0.45">
      <c r="B4" s="1404" t="s">
        <v>1102</v>
      </c>
      <c r="C4" s="1421" t="s">
        <v>1103</v>
      </c>
      <c r="D4" s="659" t="s">
        <v>1104</v>
      </c>
      <c r="E4" s="660" t="s">
        <v>1105</v>
      </c>
      <c r="F4" s="660" t="s">
        <v>1106</v>
      </c>
      <c r="G4" s="661" t="s">
        <v>1107</v>
      </c>
      <c r="H4" s="661" t="s">
        <v>1108</v>
      </c>
      <c r="I4" s="660" t="s">
        <v>1109</v>
      </c>
      <c r="J4" s="1424" t="s">
        <v>1110</v>
      </c>
      <c r="K4" s="1398" t="s">
        <v>1111</v>
      </c>
      <c r="L4" s="1401" t="s">
        <v>1357</v>
      </c>
      <c r="N4" s="739" t="str">
        <f>'10. Inputs &amp; Calcs'!B142</f>
        <v>Sales</v>
      </c>
      <c r="O4" s="740">
        <f>'10. Inputs &amp; Calcs'!C142</f>
        <v>13</v>
      </c>
      <c r="P4" s="740" t="str">
        <f>'10. Inputs &amp; Calcs'!D142</f>
        <v>Total EEDBS Paid p.a. i.r.o. Existing Rental Units</v>
      </c>
      <c r="Q4" s="741">
        <v>114</v>
      </c>
    </row>
    <row r="5" spans="1:25" ht="21" x14ac:dyDescent="0.45">
      <c r="B5" s="1405"/>
      <c r="C5" s="1422"/>
      <c r="D5" s="662" t="s">
        <v>1112</v>
      </c>
      <c r="E5" s="663" t="s">
        <v>1113</v>
      </c>
      <c r="F5" s="664" t="s">
        <v>1114</v>
      </c>
      <c r="G5" s="665" t="s">
        <v>1115</v>
      </c>
      <c r="H5" s="664" t="s">
        <v>1116</v>
      </c>
      <c r="I5" s="664" t="s">
        <v>1117</v>
      </c>
      <c r="J5" s="1425"/>
      <c r="K5" s="1399"/>
      <c r="L5" s="1402"/>
      <c r="N5" s="742"/>
      <c r="O5" s="738"/>
      <c r="P5" s="738"/>
      <c r="Q5" s="743"/>
    </row>
    <row r="6" spans="1:25" ht="31.9" thickBot="1" x14ac:dyDescent="0.5">
      <c r="B6" s="1406"/>
      <c r="C6" s="1422"/>
      <c r="D6" s="666" t="s">
        <v>1118</v>
      </c>
      <c r="E6" s="666" t="s">
        <v>1119</v>
      </c>
      <c r="F6" s="667" t="s">
        <v>1120</v>
      </c>
      <c r="G6" s="668" t="s">
        <v>1121</v>
      </c>
      <c r="H6" s="668" t="s">
        <v>1122</v>
      </c>
      <c r="I6" s="669" t="s">
        <v>1123</v>
      </c>
      <c r="J6" s="1425"/>
      <c r="K6" s="1399"/>
      <c r="L6" s="1402"/>
      <c r="N6" s="744"/>
      <c r="O6" s="745"/>
      <c r="P6" s="745"/>
      <c r="Q6" s="746"/>
    </row>
    <row r="7" spans="1:25" ht="28.5" x14ac:dyDescent="0.45">
      <c r="B7" s="1404" t="s">
        <v>1124</v>
      </c>
      <c r="C7" s="1422"/>
      <c r="D7" s="1407" t="s">
        <v>1125</v>
      </c>
      <c r="E7" s="670" t="s">
        <v>152</v>
      </c>
      <c r="F7" s="671" t="s">
        <v>1126</v>
      </c>
      <c r="G7" s="672" t="s">
        <v>1127</v>
      </c>
      <c r="H7" s="673" t="s">
        <v>152</v>
      </c>
      <c r="I7" s="673" t="s">
        <v>1128</v>
      </c>
      <c r="J7" s="1425"/>
      <c r="K7" s="1399"/>
      <c r="L7" s="1402"/>
      <c r="N7" s="739" t="str">
        <f>'10. Inputs &amp; Calcs'!B50</f>
        <v>Sales</v>
      </c>
      <c r="O7" s="740">
        <f>'10. Inputs &amp; Calcs'!C50</f>
        <v>3</v>
      </c>
      <c r="P7" s="740" t="str">
        <f>'10. Inputs &amp; Calcs'!D50</f>
        <v>No. of Rental Units Sold (Increase in No. of Sales Debtors)</v>
      </c>
      <c r="Q7" s="741">
        <v>50</v>
      </c>
    </row>
    <row r="8" spans="1:25" ht="31.5" x14ac:dyDescent="0.45">
      <c r="B8" s="1405"/>
      <c r="C8" s="1422"/>
      <c r="D8" s="1408"/>
      <c r="E8" s="674" t="s">
        <v>1129</v>
      </c>
      <c r="F8" s="675" t="s">
        <v>1130</v>
      </c>
      <c r="G8" s="676" t="s">
        <v>1131</v>
      </c>
      <c r="H8" s="676" t="s">
        <v>1132</v>
      </c>
      <c r="I8" s="675" t="s">
        <v>1133</v>
      </c>
      <c r="J8" s="1425"/>
      <c r="K8" s="1399"/>
      <c r="L8" s="1402"/>
      <c r="N8" s="742" t="str">
        <f>'10. Inputs &amp; Calcs'!B77</f>
        <v>Sales</v>
      </c>
      <c r="O8" s="738">
        <f>'10. Inputs &amp; Calcs'!C77</f>
        <v>6</v>
      </c>
      <c r="P8" s="738" t="str">
        <f>'10. Inputs &amp; Calcs'!D77</f>
        <v>No. of Sale &amp; Loan Debtors Accounts</v>
      </c>
      <c r="Q8" s="743">
        <v>59</v>
      </c>
    </row>
    <row r="9" spans="1:25" ht="31.5" x14ac:dyDescent="0.45">
      <c r="B9" s="1405"/>
      <c r="C9" s="1422"/>
      <c r="D9" s="1408"/>
      <c r="E9" s="1410" t="s">
        <v>1134</v>
      </c>
      <c r="F9" s="677" t="s">
        <v>1135</v>
      </c>
      <c r="G9" s="1413" t="s">
        <v>1136</v>
      </c>
      <c r="H9" s="1416" t="s">
        <v>1137</v>
      </c>
      <c r="I9" s="1416" t="s">
        <v>1138</v>
      </c>
      <c r="J9" s="1425"/>
      <c r="K9" s="1399"/>
      <c r="L9" s="1402"/>
      <c r="N9" s="742"/>
      <c r="O9" s="738"/>
      <c r="P9" s="738"/>
      <c r="Q9" s="743"/>
    </row>
    <row r="10" spans="1:25" x14ac:dyDescent="0.45">
      <c r="B10" s="1405"/>
      <c r="C10" s="1422"/>
      <c r="D10" s="1408"/>
      <c r="E10" s="1411"/>
      <c r="F10" s="678" t="s">
        <v>1139</v>
      </c>
      <c r="G10" s="1414"/>
      <c r="H10" s="1417"/>
      <c r="I10" s="1417"/>
      <c r="J10" s="1425"/>
      <c r="K10" s="1399"/>
      <c r="L10" s="1402"/>
      <c r="N10" s="742"/>
      <c r="O10" s="738"/>
      <c r="P10" s="738"/>
      <c r="Q10" s="743"/>
    </row>
    <row r="11" spans="1:25" x14ac:dyDescent="0.45">
      <c r="B11" s="1405"/>
      <c r="C11" s="1422"/>
      <c r="D11" s="1408"/>
      <c r="E11" s="1412"/>
      <c r="F11" s="678" t="s">
        <v>1140</v>
      </c>
      <c r="G11" s="1415"/>
      <c r="H11" s="1418"/>
      <c r="I11" s="1418"/>
      <c r="J11" s="1425"/>
      <c r="K11" s="1399"/>
      <c r="L11" s="1402"/>
      <c r="N11" s="742"/>
      <c r="O11" s="738"/>
      <c r="P11" s="738"/>
      <c r="Q11" s="743"/>
    </row>
    <row r="12" spans="1:25" ht="21" x14ac:dyDescent="0.45">
      <c r="B12" s="1405"/>
      <c r="C12" s="1422"/>
      <c r="D12" s="1408"/>
      <c r="E12" s="1416" t="s">
        <v>1141</v>
      </c>
      <c r="F12" s="677" t="s">
        <v>1142</v>
      </c>
      <c r="G12" s="1413" t="s">
        <v>1143</v>
      </c>
      <c r="H12" s="1416" t="s">
        <v>1144</v>
      </c>
      <c r="I12" s="1416" t="s">
        <v>1145</v>
      </c>
      <c r="J12" s="1425"/>
      <c r="K12" s="1399"/>
      <c r="L12" s="1402"/>
      <c r="N12" s="742" t="str">
        <f>'10. Inputs &amp; Calcs'!B480</f>
        <v>Sales</v>
      </c>
      <c r="O12" s="738">
        <f>'10. Inputs &amp; Calcs'!C480</f>
        <v>50</v>
      </c>
      <c r="P12" s="738" t="str">
        <f>'10. Inputs &amp; Calcs'!D480</f>
        <v>Maintenance per unit</v>
      </c>
      <c r="Q12" s="743">
        <v>207</v>
      </c>
    </row>
    <row r="13" spans="1:25" ht="21" x14ac:dyDescent="0.45">
      <c r="B13" s="1405"/>
      <c r="C13" s="1422"/>
      <c r="D13" s="1409"/>
      <c r="E13" s="1418"/>
      <c r="F13" s="677" t="s">
        <v>1146</v>
      </c>
      <c r="G13" s="1415"/>
      <c r="H13" s="1418"/>
      <c r="I13" s="1418"/>
      <c r="J13" s="1425"/>
      <c r="K13" s="1399"/>
      <c r="L13" s="1402"/>
      <c r="N13" s="742"/>
      <c r="O13" s="738"/>
      <c r="P13" s="738"/>
      <c r="Q13" s="743"/>
    </row>
    <row r="14" spans="1:25" ht="42" x14ac:dyDescent="0.45">
      <c r="B14" s="1405"/>
      <c r="C14" s="1422"/>
      <c r="D14" s="1419" t="s">
        <v>1147</v>
      </c>
      <c r="E14" s="677" t="s">
        <v>1148</v>
      </c>
      <c r="F14" s="677" t="s">
        <v>1149</v>
      </c>
      <c r="G14" s="676" t="s">
        <v>1150</v>
      </c>
      <c r="H14" s="677" t="s">
        <v>1151</v>
      </c>
      <c r="I14" s="677" t="s">
        <v>1152</v>
      </c>
      <c r="J14" s="1425"/>
      <c r="K14" s="1399"/>
      <c r="L14" s="1402"/>
      <c r="N14" s="742" t="str">
        <f>'10. Inputs &amp; Calcs'!B50</f>
        <v>Sales</v>
      </c>
      <c r="O14" s="738">
        <f>'10. Inputs &amp; Calcs'!C50</f>
        <v>3</v>
      </c>
      <c r="P14" s="738" t="str">
        <f>'10. Inputs &amp; Calcs'!D50</f>
        <v>No. of Rental Units Sold (Increase in No. of Sales Debtors)</v>
      </c>
      <c r="Q14" s="743">
        <v>50</v>
      </c>
    </row>
    <row r="15" spans="1:25" x14ac:dyDescent="0.45">
      <c r="B15" s="1405"/>
      <c r="C15" s="1422"/>
      <c r="D15" s="1408"/>
      <c r="E15" s="1416" t="s">
        <v>1153</v>
      </c>
      <c r="F15" s="679" t="s">
        <v>1154</v>
      </c>
      <c r="G15" s="680" t="s">
        <v>1155</v>
      </c>
      <c r="H15" s="681" t="s">
        <v>1156</v>
      </c>
      <c r="I15" s="1416" t="s">
        <v>1157</v>
      </c>
      <c r="J15" s="1425"/>
      <c r="K15" s="1399"/>
      <c r="L15" s="1402"/>
      <c r="N15" s="742"/>
      <c r="O15" s="738"/>
      <c r="P15" s="738"/>
      <c r="Q15" s="743"/>
    </row>
    <row r="16" spans="1:25" s="682" customFormat="1" x14ac:dyDescent="0.45">
      <c r="A16" s="4"/>
      <c r="B16" s="1405"/>
      <c r="C16" s="1422"/>
      <c r="D16" s="1408"/>
      <c r="E16" s="1418"/>
      <c r="F16" s="678" t="s">
        <v>1158</v>
      </c>
      <c r="G16" s="680" t="s">
        <v>1159</v>
      </c>
      <c r="H16" s="681" t="s">
        <v>1156</v>
      </c>
      <c r="I16" s="1418"/>
      <c r="J16" s="1425"/>
      <c r="K16" s="1399"/>
      <c r="L16" s="1402"/>
      <c r="M16" s="55"/>
      <c r="N16" s="742"/>
      <c r="O16" s="738"/>
      <c r="P16" s="738"/>
      <c r="Q16" s="743"/>
      <c r="R16" s="4"/>
      <c r="S16" s="4"/>
      <c r="T16" s="4"/>
      <c r="U16" s="4"/>
      <c r="V16" s="4"/>
      <c r="W16" s="4"/>
      <c r="X16" s="4"/>
      <c r="Y16" s="4"/>
    </row>
    <row r="17" spans="2:17" s="4" customFormat="1" ht="21.4" thickBot="1" x14ac:dyDescent="0.5">
      <c r="B17" s="1406"/>
      <c r="C17" s="1423"/>
      <c r="D17" s="1420"/>
      <c r="E17" s="683" t="s">
        <v>1112</v>
      </c>
      <c r="F17" s="684" t="s">
        <v>1160</v>
      </c>
      <c r="G17" s="685" t="s">
        <v>1161</v>
      </c>
      <c r="H17" s="683" t="s">
        <v>1162</v>
      </c>
      <c r="I17" s="683" t="s">
        <v>1163</v>
      </c>
      <c r="J17" s="1426"/>
      <c r="K17" s="1399"/>
      <c r="L17" s="1402"/>
      <c r="N17" s="744" t="str">
        <f>'10. Inputs &amp; Calcs'!B507</f>
        <v>Sales</v>
      </c>
      <c r="O17" s="745">
        <f>'10. Inputs &amp; Calcs'!C507</f>
        <v>53</v>
      </c>
      <c r="P17" s="745" t="str">
        <f>'10. Inputs &amp; Calcs'!D507</f>
        <v>Total Disposal Costs</v>
      </c>
      <c r="Q17" s="746">
        <v>225</v>
      </c>
    </row>
    <row r="18" spans="2:17" ht="28.5" x14ac:dyDescent="0.45">
      <c r="B18" s="1404" t="s">
        <v>1164</v>
      </c>
      <c r="C18" s="1441" t="s">
        <v>1165</v>
      </c>
      <c r="D18" s="1444" t="s">
        <v>1166</v>
      </c>
      <c r="E18" s="1445" t="s">
        <v>1167</v>
      </c>
      <c r="F18" s="686" t="s">
        <v>1168</v>
      </c>
      <c r="G18" s="687" t="s">
        <v>1169</v>
      </c>
      <c r="H18" s="688" t="s">
        <v>1137</v>
      </c>
      <c r="I18" s="688" t="s">
        <v>1170</v>
      </c>
      <c r="J18" s="1424" t="s">
        <v>1171</v>
      </c>
      <c r="K18" s="1399"/>
      <c r="L18" s="1402"/>
      <c r="N18" s="739" t="str">
        <f>'10. Inputs &amp; Calcs'!B50</f>
        <v>Sales</v>
      </c>
      <c r="O18" s="740">
        <f>'10. Inputs &amp; Calcs'!C50</f>
        <v>3</v>
      </c>
      <c r="P18" s="740" t="str">
        <f>'10. Inputs &amp; Calcs'!D50</f>
        <v>No. of Rental Units Sold (Increase in No. of Sales Debtors)</v>
      </c>
      <c r="Q18" s="741">
        <v>50</v>
      </c>
    </row>
    <row r="19" spans="2:17" ht="21" x14ac:dyDescent="0.45">
      <c r="B19" s="1405"/>
      <c r="C19" s="1442"/>
      <c r="D19" s="1429"/>
      <c r="E19" s="1446"/>
      <c r="F19" s="689" t="s">
        <v>1172</v>
      </c>
      <c r="G19" s="690" t="s">
        <v>1173</v>
      </c>
      <c r="H19" s="689" t="s">
        <v>1137</v>
      </c>
      <c r="I19" s="689" t="s">
        <v>1174</v>
      </c>
      <c r="J19" s="1425"/>
      <c r="K19" s="1399"/>
      <c r="L19" s="1402"/>
      <c r="N19" s="742"/>
      <c r="O19" s="738"/>
      <c r="P19" s="738"/>
      <c r="Q19" s="743"/>
    </row>
    <row r="20" spans="2:17" ht="42" x14ac:dyDescent="0.45">
      <c r="B20" s="1405"/>
      <c r="C20" s="1442"/>
      <c r="D20" s="691" t="s">
        <v>1175</v>
      </c>
      <c r="E20" s="692" t="s">
        <v>1176</v>
      </c>
      <c r="F20" s="692" t="s">
        <v>1177</v>
      </c>
      <c r="G20" s="690" t="s">
        <v>1178</v>
      </c>
      <c r="H20" s="689" t="s">
        <v>1179</v>
      </c>
      <c r="I20" s="692" t="s">
        <v>1180</v>
      </c>
      <c r="J20" s="1425"/>
      <c r="K20" s="1399"/>
      <c r="L20" s="1402"/>
      <c r="N20" s="742"/>
      <c r="O20" s="738"/>
      <c r="P20" s="738"/>
      <c r="Q20" s="743"/>
    </row>
    <row r="21" spans="2:17" ht="63" customHeight="1" x14ac:dyDescent="0.45">
      <c r="B21" s="1405"/>
      <c r="C21" s="1442"/>
      <c r="D21" s="693" t="s">
        <v>1181</v>
      </c>
      <c r="E21" s="694" t="s">
        <v>1182</v>
      </c>
      <c r="F21" s="695" t="s">
        <v>1183</v>
      </c>
      <c r="G21" s="696" t="s">
        <v>1184</v>
      </c>
      <c r="H21" s="697" t="s">
        <v>1185</v>
      </c>
      <c r="I21" s="698" t="s">
        <v>1186</v>
      </c>
      <c r="J21" s="1425"/>
      <c r="K21" s="1399"/>
      <c r="L21" s="1402"/>
      <c r="N21" s="742" t="str">
        <f>'10. Inputs &amp; Calcs'!B142</f>
        <v>Sales</v>
      </c>
      <c r="O21" s="738">
        <f>'10. Inputs &amp; Calcs'!C142</f>
        <v>13</v>
      </c>
      <c r="P21" s="738" t="str">
        <f>'10. Inputs &amp; Calcs'!D142</f>
        <v>Total EEDBS Paid p.a. i.r.o. Existing Rental Units</v>
      </c>
      <c r="Q21" s="743">
        <v>114</v>
      </c>
    </row>
    <row r="22" spans="2:17" ht="42" x14ac:dyDescent="0.45">
      <c r="B22" s="1405"/>
      <c r="C22" s="1442"/>
      <c r="D22" s="1427" t="s">
        <v>1187</v>
      </c>
      <c r="E22" s="1430" t="s">
        <v>1188</v>
      </c>
      <c r="F22" s="699" t="s">
        <v>1189</v>
      </c>
      <c r="G22" s="1433" t="s">
        <v>1190</v>
      </c>
      <c r="H22" s="1433" t="s">
        <v>1191</v>
      </c>
      <c r="I22" s="1430" t="s">
        <v>1192</v>
      </c>
      <c r="J22" s="1425"/>
      <c r="K22" s="1399"/>
      <c r="L22" s="1402"/>
      <c r="N22" s="742"/>
      <c r="O22" s="738"/>
      <c r="P22" s="738"/>
      <c r="Q22" s="743"/>
    </row>
    <row r="23" spans="2:17" ht="21" x14ac:dyDescent="0.45">
      <c r="B23" s="1405"/>
      <c r="C23" s="1442"/>
      <c r="D23" s="1428"/>
      <c r="E23" s="1431"/>
      <c r="F23" s="699" t="s">
        <v>1193</v>
      </c>
      <c r="G23" s="1434"/>
      <c r="H23" s="1434"/>
      <c r="I23" s="1431"/>
      <c r="J23" s="1425"/>
      <c r="K23" s="1399"/>
      <c r="L23" s="1402"/>
      <c r="N23" s="742"/>
      <c r="O23" s="738"/>
      <c r="P23" s="738"/>
      <c r="Q23" s="743"/>
    </row>
    <row r="24" spans="2:17" ht="21" x14ac:dyDescent="0.45">
      <c r="B24" s="1405"/>
      <c r="C24" s="1442"/>
      <c r="D24" s="1429"/>
      <c r="E24" s="1432"/>
      <c r="F24" s="699" t="s">
        <v>1194</v>
      </c>
      <c r="G24" s="1435"/>
      <c r="H24" s="1435"/>
      <c r="I24" s="1432"/>
      <c r="J24" s="1425"/>
      <c r="K24" s="1399"/>
      <c r="L24" s="1402"/>
      <c r="N24" s="742"/>
      <c r="O24" s="738"/>
      <c r="P24" s="738"/>
      <c r="Q24" s="743"/>
    </row>
    <row r="25" spans="2:17" ht="21" x14ac:dyDescent="0.45">
      <c r="B25" s="1405"/>
      <c r="C25" s="1442"/>
      <c r="D25" s="1427" t="s">
        <v>1195</v>
      </c>
      <c r="E25" s="1436" t="s">
        <v>1196</v>
      </c>
      <c r="F25" s="695" t="s">
        <v>1197</v>
      </c>
      <c r="G25" s="1433" t="s">
        <v>1198</v>
      </c>
      <c r="H25" s="1487" t="s">
        <v>1199</v>
      </c>
      <c r="I25" s="1436" t="s">
        <v>1200</v>
      </c>
      <c r="J25" s="1425"/>
      <c r="K25" s="1399"/>
      <c r="L25" s="1402"/>
      <c r="N25" s="742"/>
      <c r="O25" s="738"/>
      <c r="P25" s="738"/>
      <c r="Q25" s="743"/>
    </row>
    <row r="26" spans="2:17" x14ac:dyDescent="0.45">
      <c r="B26" s="1405"/>
      <c r="C26" s="1442"/>
      <c r="D26" s="1428"/>
      <c r="E26" s="1437"/>
      <c r="F26" s="695" t="s">
        <v>1201</v>
      </c>
      <c r="G26" s="1435"/>
      <c r="H26" s="1488"/>
      <c r="I26" s="1437"/>
      <c r="J26" s="1425"/>
      <c r="K26" s="1399"/>
      <c r="L26" s="1402"/>
      <c r="N26" s="742"/>
      <c r="O26" s="738"/>
      <c r="P26" s="738"/>
      <c r="Q26" s="743"/>
    </row>
    <row r="27" spans="2:17" x14ac:dyDescent="0.45">
      <c r="B27" s="1405"/>
      <c r="C27" s="1442"/>
      <c r="D27" s="1428"/>
      <c r="E27" s="1437"/>
      <c r="F27" s="695" t="s">
        <v>1202</v>
      </c>
      <c r="G27" s="700" t="s">
        <v>1203</v>
      </c>
      <c r="H27" s="1439" t="s">
        <v>1204</v>
      </c>
      <c r="I27" s="1437"/>
      <c r="J27" s="1425"/>
      <c r="K27" s="1399"/>
      <c r="L27" s="1402"/>
      <c r="N27" s="742" t="str">
        <f>'10. Inputs &amp; Calcs'!B142</f>
        <v>Sales</v>
      </c>
      <c r="O27" s="738">
        <f>'10. Inputs &amp; Calcs'!C142</f>
        <v>13</v>
      </c>
      <c r="P27" s="738" t="str">
        <f>'10. Inputs &amp; Calcs'!D142</f>
        <v>Total EEDBS Paid p.a. i.r.o. Existing Rental Units</v>
      </c>
      <c r="Q27" s="743">
        <v>114</v>
      </c>
    </row>
    <row r="28" spans="2:17" x14ac:dyDescent="0.45">
      <c r="B28" s="1405"/>
      <c r="C28" s="1442"/>
      <c r="D28" s="1428"/>
      <c r="E28" s="1437"/>
      <c r="F28" s="695" t="s">
        <v>1205</v>
      </c>
      <c r="G28" s="700" t="s">
        <v>1206</v>
      </c>
      <c r="H28" s="1440"/>
      <c r="I28" s="1437"/>
      <c r="J28" s="1425"/>
      <c r="K28" s="1399"/>
      <c r="L28" s="1402"/>
      <c r="N28" s="742"/>
      <c r="O28" s="738"/>
      <c r="P28" s="738"/>
      <c r="Q28" s="743"/>
    </row>
    <row r="29" spans="2:17" ht="28.9" thickBot="1" x14ac:dyDescent="0.5">
      <c r="B29" s="1406"/>
      <c r="C29" s="1443"/>
      <c r="D29" s="701" t="s">
        <v>1207</v>
      </c>
      <c r="E29" s="702" t="s">
        <v>1208</v>
      </c>
      <c r="F29" s="703" t="s">
        <v>1209</v>
      </c>
      <c r="G29" s="702" t="s">
        <v>1210</v>
      </c>
      <c r="H29" s="704" t="s">
        <v>1211</v>
      </c>
      <c r="I29" s="1438"/>
      <c r="J29" s="1426"/>
      <c r="K29" s="1400"/>
      <c r="L29" s="1402"/>
      <c r="N29" s="744" t="str">
        <f>'10. Inputs &amp; Calcs'!B50</f>
        <v>Sales</v>
      </c>
      <c r="O29" s="745">
        <f>'10. Inputs &amp; Calcs'!C50</f>
        <v>3</v>
      </c>
      <c r="P29" s="745" t="str">
        <f>'10. Inputs &amp; Calcs'!D50</f>
        <v>No. of Rental Units Sold (Increase in No. of Sales Debtors)</v>
      </c>
      <c r="Q29" s="746">
        <v>50</v>
      </c>
    </row>
    <row r="30" spans="2:17" ht="21" x14ac:dyDescent="0.45">
      <c r="B30" s="1405" t="s">
        <v>1212</v>
      </c>
      <c r="C30" s="1452" t="s">
        <v>1213</v>
      </c>
      <c r="D30" s="705" t="s">
        <v>1214</v>
      </c>
      <c r="E30" s="706" t="s">
        <v>1215</v>
      </c>
      <c r="F30" s="707" t="s">
        <v>1216</v>
      </c>
      <c r="G30" s="708" t="s">
        <v>959</v>
      </c>
      <c r="H30" s="709" t="s">
        <v>206</v>
      </c>
      <c r="I30" s="710" t="s">
        <v>1217</v>
      </c>
      <c r="J30" s="1425" t="s">
        <v>1218</v>
      </c>
      <c r="K30" s="1399" t="s">
        <v>1219</v>
      </c>
      <c r="L30" s="1402"/>
      <c r="N30" s="739"/>
      <c r="O30" s="740"/>
      <c r="P30" s="740"/>
      <c r="Q30" s="741"/>
    </row>
    <row r="31" spans="2:17" ht="21" x14ac:dyDescent="0.45">
      <c r="B31" s="1405"/>
      <c r="C31" s="1453"/>
      <c r="D31" s="1455" t="s">
        <v>1220</v>
      </c>
      <c r="E31" s="1457" t="s">
        <v>1221</v>
      </c>
      <c r="F31" s="711" t="s">
        <v>1222</v>
      </c>
      <c r="G31" s="712" t="s">
        <v>1223</v>
      </c>
      <c r="H31" s="711" t="s">
        <v>1224</v>
      </c>
      <c r="I31" s="711" t="s">
        <v>1225</v>
      </c>
      <c r="J31" s="1425"/>
      <c r="K31" s="1399"/>
      <c r="L31" s="1402"/>
      <c r="N31" s="742" t="str">
        <f>'10. Inputs &amp; Calcs'!B537</f>
        <v>Rent</v>
      </c>
      <c r="O31" s="738">
        <f>'10. Inputs &amp; Calcs'!C537</f>
        <v>56</v>
      </c>
      <c r="P31" s="738" t="str">
        <f>'10. Inputs &amp; Calcs'!D537</f>
        <v>Total Rental Raised p.a.</v>
      </c>
      <c r="Q31" s="743">
        <v>255</v>
      </c>
    </row>
    <row r="32" spans="2:17" ht="21" x14ac:dyDescent="0.45">
      <c r="B32" s="1405"/>
      <c r="C32" s="1453"/>
      <c r="D32" s="1456"/>
      <c r="E32" s="1457"/>
      <c r="F32" s="713" t="s">
        <v>1226</v>
      </c>
      <c r="G32" s="1458" t="s">
        <v>1227</v>
      </c>
      <c r="H32" s="1460" t="s">
        <v>1224</v>
      </c>
      <c r="I32" s="1460" t="s">
        <v>1228</v>
      </c>
      <c r="J32" s="1425"/>
      <c r="K32" s="1399"/>
      <c r="L32" s="1402"/>
      <c r="N32" s="742" t="str">
        <f>'10. Inputs &amp; Calcs'!B564</f>
        <v>Rent</v>
      </c>
      <c r="O32" s="738">
        <f>'10. Inputs &amp; Calcs'!C564</f>
        <v>59</v>
      </c>
      <c r="P32" s="738" t="str">
        <f>'10. Inputs &amp; Calcs'!D564</f>
        <v>% of Rental Collected p.a.</v>
      </c>
      <c r="Q32" s="743">
        <v>282</v>
      </c>
    </row>
    <row r="33" spans="2:17" x14ac:dyDescent="0.45">
      <c r="B33" s="1405"/>
      <c r="C33" s="1453"/>
      <c r="D33" s="1456"/>
      <c r="E33" s="1457"/>
      <c r="F33" s="714" t="s">
        <v>1229</v>
      </c>
      <c r="G33" s="1459"/>
      <c r="H33" s="1461"/>
      <c r="I33" s="1450"/>
      <c r="J33" s="1425"/>
      <c r="K33" s="1399"/>
      <c r="L33" s="1402"/>
      <c r="N33" s="742"/>
      <c r="O33" s="738"/>
      <c r="P33" s="738"/>
      <c r="Q33" s="743"/>
    </row>
    <row r="34" spans="2:17" ht="21" x14ac:dyDescent="0.45">
      <c r="B34" s="1405"/>
      <c r="C34" s="1453"/>
      <c r="D34" s="1456"/>
      <c r="E34" s="1457"/>
      <c r="F34" s="711" t="s">
        <v>1230</v>
      </c>
      <c r="G34" s="1459"/>
      <c r="H34" s="1460" t="s">
        <v>1231</v>
      </c>
      <c r="I34" s="1450"/>
      <c r="J34" s="1425"/>
      <c r="K34" s="1399"/>
      <c r="L34" s="1402"/>
      <c r="N34" s="742"/>
      <c r="O34" s="738"/>
      <c r="P34" s="738"/>
      <c r="Q34" s="743"/>
    </row>
    <row r="35" spans="2:17" x14ac:dyDescent="0.45">
      <c r="B35" s="1405"/>
      <c r="C35" s="1453"/>
      <c r="D35" s="1456"/>
      <c r="E35" s="1457"/>
      <c r="F35" s="715" t="s">
        <v>1232</v>
      </c>
      <c r="G35" s="1459"/>
      <c r="H35" s="1450"/>
      <c r="I35" s="1450"/>
      <c r="J35" s="1425"/>
      <c r="K35" s="1399"/>
      <c r="L35" s="1402"/>
      <c r="N35" s="742"/>
      <c r="O35" s="738"/>
      <c r="P35" s="738"/>
      <c r="Q35" s="743"/>
    </row>
    <row r="36" spans="2:17" x14ac:dyDescent="0.45">
      <c r="B36" s="1405"/>
      <c r="C36" s="1453"/>
      <c r="D36" s="1456"/>
      <c r="E36" s="1457"/>
      <c r="F36" s="716" t="s">
        <v>1233</v>
      </c>
      <c r="G36" s="1459"/>
      <c r="H36" s="1461"/>
      <c r="I36" s="1461"/>
      <c r="J36" s="1425"/>
      <c r="K36" s="1399"/>
      <c r="L36" s="1402"/>
      <c r="N36" s="742"/>
      <c r="O36" s="738"/>
      <c r="P36" s="738"/>
      <c r="Q36" s="743"/>
    </row>
    <row r="37" spans="2:17" ht="21" x14ac:dyDescent="0.45">
      <c r="B37" s="1405"/>
      <c r="C37" s="1453"/>
      <c r="D37" s="1456"/>
      <c r="E37" s="716" t="s">
        <v>1234</v>
      </c>
      <c r="F37" s="715" t="s">
        <v>1235</v>
      </c>
      <c r="G37" s="714" t="s">
        <v>415</v>
      </c>
      <c r="H37" s="716" t="s">
        <v>1236</v>
      </c>
      <c r="I37" s="717" t="s">
        <v>1237</v>
      </c>
      <c r="J37" s="1425"/>
      <c r="K37" s="1399"/>
      <c r="L37" s="1402"/>
      <c r="N37" s="742"/>
      <c r="O37" s="738"/>
      <c r="P37" s="738"/>
      <c r="Q37" s="743"/>
    </row>
    <row r="38" spans="2:17" ht="21" x14ac:dyDescent="0.45">
      <c r="B38" s="1405"/>
      <c r="C38" s="1453"/>
      <c r="D38" s="1475" t="s">
        <v>1238</v>
      </c>
      <c r="E38" s="716" t="s">
        <v>1239</v>
      </c>
      <c r="F38" s="715" t="s">
        <v>1240</v>
      </c>
      <c r="G38" s="1477" t="s">
        <v>1241</v>
      </c>
      <c r="H38" s="1480" t="s">
        <v>1242</v>
      </c>
      <c r="I38" s="1483" t="s">
        <v>1243</v>
      </c>
      <c r="J38" s="1425"/>
      <c r="K38" s="1399"/>
      <c r="L38" s="1402"/>
      <c r="N38" s="742"/>
      <c r="O38" s="738"/>
      <c r="P38" s="738"/>
      <c r="Q38" s="743"/>
    </row>
    <row r="39" spans="2:17" ht="21" x14ac:dyDescent="0.45">
      <c r="B39" s="1405"/>
      <c r="C39" s="1453"/>
      <c r="D39" s="1476"/>
      <c r="E39" s="1486" t="s">
        <v>1244</v>
      </c>
      <c r="F39" s="715" t="s">
        <v>1245</v>
      </c>
      <c r="G39" s="1478"/>
      <c r="H39" s="1481"/>
      <c r="I39" s="1484"/>
      <c r="J39" s="1425"/>
      <c r="K39" s="1399"/>
      <c r="L39" s="1402"/>
      <c r="N39" s="742"/>
      <c r="O39" s="738"/>
      <c r="P39" s="738"/>
      <c r="Q39" s="743"/>
    </row>
    <row r="40" spans="2:17" ht="21" x14ac:dyDescent="0.45">
      <c r="B40" s="1405"/>
      <c r="C40" s="1453"/>
      <c r="D40" s="1476"/>
      <c r="E40" s="1486"/>
      <c r="F40" s="715" t="s">
        <v>1246</v>
      </c>
      <c r="G40" s="1479"/>
      <c r="H40" s="1482"/>
      <c r="I40" s="1485"/>
      <c r="J40" s="1425"/>
      <c r="K40" s="1399"/>
      <c r="L40" s="1402"/>
      <c r="N40" s="742"/>
      <c r="O40" s="738"/>
      <c r="P40" s="738"/>
      <c r="Q40" s="743"/>
    </row>
    <row r="41" spans="2:17" ht="21" x14ac:dyDescent="0.45">
      <c r="B41" s="1405"/>
      <c r="C41" s="1453"/>
      <c r="D41" s="1476"/>
      <c r="E41" s="716" t="s">
        <v>1247</v>
      </c>
      <c r="F41" s="715" t="s">
        <v>1248</v>
      </c>
      <c r="G41" s="714" t="s">
        <v>1249</v>
      </c>
      <c r="H41" s="716" t="s">
        <v>1250</v>
      </c>
      <c r="I41" s="718" t="s">
        <v>1251</v>
      </c>
      <c r="J41" s="1425"/>
      <c r="K41" s="1399"/>
      <c r="L41" s="1402"/>
      <c r="N41" s="742"/>
      <c r="O41" s="738"/>
      <c r="P41" s="738"/>
      <c r="Q41" s="743"/>
    </row>
    <row r="42" spans="2:17" ht="31.5" x14ac:dyDescent="0.45">
      <c r="B42" s="1405"/>
      <c r="C42" s="1453"/>
      <c r="D42" s="1476"/>
      <c r="E42" s="719" t="s">
        <v>1252</v>
      </c>
      <c r="F42" s="711" t="s">
        <v>1253</v>
      </c>
      <c r="G42" s="713" t="s">
        <v>1254</v>
      </c>
      <c r="H42" s="716" t="s">
        <v>1250</v>
      </c>
      <c r="I42" s="720" t="s">
        <v>1255</v>
      </c>
      <c r="J42" s="1425"/>
      <c r="K42" s="1399"/>
      <c r="L42" s="1402"/>
      <c r="N42" s="742"/>
      <c r="O42" s="738"/>
      <c r="P42" s="738"/>
      <c r="Q42" s="743"/>
    </row>
    <row r="43" spans="2:17" ht="31.5" x14ac:dyDescent="0.45">
      <c r="B43" s="1451"/>
      <c r="C43" s="1453"/>
      <c r="D43" s="721" t="s">
        <v>1256</v>
      </c>
      <c r="E43" s="711" t="s">
        <v>1257</v>
      </c>
      <c r="F43" s="711" t="s">
        <v>1258</v>
      </c>
      <c r="G43" s="714" t="s">
        <v>1259</v>
      </c>
      <c r="H43" s="716" t="s">
        <v>940</v>
      </c>
      <c r="I43" s="720" t="s">
        <v>1260</v>
      </c>
      <c r="J43" s="1425"/>
      <c r="K43" s="1399"/>
      <c r="L43" s="1402"/>
      <c r="N43" s="742"/>
      <c r="O43" s="738"/>
      <c r="P43" s="738"/>
      <c r="Q43" s="743"/>
    </row>
    <row r="44" spans="2:17" ht="21" x14ac:dyDescent="0.45">
      <c r="B44" s="1447" t="s">
        <v>1261</v>
      </c>
      <c r="C44" s="1453"/>
      <c r="D44" s="1449" t="s">
        <v>1262</v>
      </c>
      <c r="E44" s="722" t="s">
        <v>1239</v>
      </c>
      <c r="F44" s="709" t="s">
        <v>1263</v>
      </c>
      <c r="G44" s="723" t="s">
        <v>1264</v>
      </c>
      <c r="H44" s="724" t="s">
        <v>1265</v>
      </c>
      <c r="I44" s="1450" t="s">
        <v>1266</v>
      </c>
      <c r="J44" s="1425"/>
      <c r="K44" s="1399"/>
      <c r="L44" s="1402"/>
      <c r="N44" s="742"/>
      <c r="O44" s="738"/>
      <c r="P44" s="738"/>
      <c r="Q44" s="743"/>
    </row>
    <row r="45" spans="2:17" ht="31.5" x14ac:dyDescent="0.45">
      <c r="B45" s="1447"/>
      <c r="C45" s="1453"/>
      <c r="D45" s="1449"/>
      <c r="E45" s="719" t="s">
        <v>1252</v>
      </c>
      <c r="F45" s="711" t="s">
        <v>1267</v>
      </c>
      <c r="G45" s="725" t="s">
        <v>1268</v>
      </c>
      <c r="H45" s="710" t="s">
        <v>1269</v>
      </c>
      <c r="I45" s="1450"/>
      <c r="J45" s="1425"/>
      <c r="K45" s="1399"/>
      <c r="L45" s="1402"/>
      <c r="N45" s="742" t="str">
        <f>'10. Inputs &amp; Calcs'!B667</f>
        <v>Rent</v>
      </c>
      <c r="O45" s="738">
        <f>'10. Inputs &amp; Calcs'!C667</f>
        <v>70</v>
      </c>
      <c r="P45" s="738" t="str">
        <f>'10. Inputs &amp; Calcs'!D667</f>
        <v>Maintenance</v>
      </c>
      <c r="Q45" s="743">
        <v>385</v>
      </c>
    </row>
    <row r="46" spans="2:17" x14ac:dyDescent="0.45">
      <c r="B46" s="1447"/>
      <c r="C46" s="1453"/>
      <c r="D46" s="1449"/>
      <c r="E46" s="716" t="s">
        <v>1270</v>
      </c>
      <c r="F46" s="715" t="s">
        <v>1271</v>
      </c>
      <c r="G46" s="726" t="s">
        <v>1272</v>
      </c>
      <c r="H46" s="724" t="s">
        <v>1144</v>
      </c>
      <c r="I46" s="1450"/>
      <c r="J46" s="1425"/>
      <c r="K46" s="1399"/>
      <c r="L46" s="1402"/>
      <c r="N46" s="742"/>
      <c r="O46" s="738"/>
      <c r="P46" s="738"/>
      <c r="Q46" s="743"/>
    </row>
    <row r="47" spans="2:17" ht="21.4" thickBot="1" x14ac:dyDescent="0.5">
      <c r="B47" s="1448"/>
      <c r="C47" s="1454"/>
      <c r="D47" s="727" t="s">
        <v>1273</v>
      </c>
      <c r="E47" s="728" t="s">
        <v>1274</v>
      </c>
      <c r="F47" s="728" t="s">
        <v>1275</v>
      </c>
      <c r="G47" s="729" t="s">
        <v>1276</v>
      </c>
      <c r="H47" s="730" t="s">
        <v>1277</v>
      </c>
      <c r="I47" s="730" t="s">
        <v>1278</v>
      </c>
      <c r="J47" s="1426"/>
      <c r="K47" s="1400"/>
      <c r="L47" s="1403"/>
      <c r="N47" s="744"/>
      <c r="O47" s="745"/>
      <c r="P47" s="745"/>
      <c r="Q47" s="746"/>
    </row>
    <row r="48" spans="2:17" ht="14.65" thickBot="1" x14ac:dyDescent="0.5"/>
    <row r="49" spans="3:11" ht="14.65" thickBot="1" x14ac:dyDescent="0.5">
      <c r="C49" s="1466" t="s">
        <v>1279</v>
      </c>
      <c r="D49" s="1467"/>
      <c r="E49" s="1467"/>
      <c r="F49" s="1468"/>
      <c r="G49" s="1469" t="s">
        <v>1280</v>
      </c>
      <c r="H49" s="1469"/>
      <c r="I49" s="1469"/>
      <c r="J49" s="1469"/>
      <c r="K49" s="1470"/>
    </row>
    <row r="50" spans="3:11" x14ac:dyDescent="0.45">
      <c r="C50" s="1462" t="s">
        <v>1281</v>
      </c>
      <c r="D50" s="1463"/>
      <c r="E50" s="1463"/>
      <c r="F50" s="1464"/>
      <c r="G50" s="1465" t="s">
        <v>1282</v>
      </c>
      <c r="H50" s="1465"/>
      <c r="I50" s="1465"/>
      <c r="J50" s="1465"/>
      <c r="K50" s="1471"/>
    </row>
    <row r="51" spans="3:11" x14ac:dyDescent="0.45">
      <c r="C51" s="1462" t="s">
        <v>1283</v>
      </c>
      <c r="D51" s="1463"/>
      <c r="E51" s="1463"/>
      <c r="F51" s="1464"/>
      <c r="G51" s="1465" t="s">
        <v>1284</v>
      </c>
      <c r="H51" s="1465"/>
      <c r="I51" s="1465"/>
      <c r="J51" s="1465"/>
      <c r="K51" s="1471"/>
    </row>
    <row r="52" spans="3:11" x14ac:dyDescent="0.45">
      <c r="C52" s="1462" t="s">
        <v>1285</v>
      </c>
      <c r="D52" s="1463"/>
      <c r="E52" s="1463"/>
      <c r="F52" s="1464"/>
      <c r="G52" s="1465" t="s">
        <v>1286</v>
      </c>
      <c r="H52" s="1465"/>
      <c r="I52" s="1465"/>
      <c r="J52" s="1465"/>
      <c r="K52" s="1471"/>
    </row>
    <row r="53" spans="3:11" x14ac:dyDescent="0.45">
      <c r="C53" s="1462" t="s">
        <v>1287</v>
      </c>
      <c r="D53" s="1463"/>
      <c r="E53" s="1463"/>
      <c r="F53" s="1464"/>
      <c r="G53" s="1465" t="s">
        <v>1288</v>
      </c>
      <c r="H53" s="1465"/>
      <c r="I53" s="1465"/>
      <c r="J53" s="1465"/>
      <c r="K53" s="1471"/>
    </row>
    <row r="54" spans="3:11" x14ac:dyDescent="0.45">
      <c r="C54" s="1462" t="s">
        <v>1289</v>
      </c>
      <c r="D54" s="1463"/>
      <c r="E54" s="1463"/>
      <c r="F54" s="1464"/>
      <c r="G54" s="1465" t="s">
        <v>1290</v>
      </c>
      <c r="H54" s="1465"/>
      <c r="I54" s="1465"/>
      <c r="J54" s="1465"/>
      <c r="K54" s="1465"/>
    </row>
    <row r="55" spans="3:11" ht="14.65" thickBot="1" x14ac:dyDescent="0.5">
      <c r="C55" s="1489"/>
      <c r="D55" s="1490"/>
      <c r="E55" s="1490"/>
      <c r="F55" s="1491"/>
      <c r="G55" s="1492" t="s">
        <v>1291</v>
      </c>
      <c r="H55" s="1492"/>
      <c r="I55" s="1492"/>
      <c r="J55" s="1492"/>
      <c r="K55" s="1493"/>
    </row>
    <row r="56" spans="3:11" ht="14.65" thickBot="1" x14ac:dyDescent="0.5"/>
    <row r="57" spans="3:11" ht="14.65" thickBot="1" x14ac:dyDescent="0.5">
      <c r="C57" s="1494" t="s">
        <v>1292</v>
      </c>
      <c r="D57" s="1495"/>
    </row>
    <row r="58" spans="3:11" x14ac:dyDescent="0.45">
      <c r="C58" s="1496" t="s">
        <v>1293</v>
      </c>
      <c r="D58" s="731" t="s">
        <v>1294</v>
      </c>
    </row>
    <row r="59" spans="3:11" ht="14.65" thickBot="1" x14ac:dyDescent="0.5">
      <c r="C59" s="1497"/>
      <c r="D59" s="732" t="s">
        <v>1295</v>
      </c>
    </row>
    <row r="60" spans="3:11" x14ac:dyDescent="0.45">
      <c r="C60" s="1498" t="s">
        <v>1296</v>
      </c>
      <c r="D60" s="733" t="s">
        <v>1297</v>
      </c>
    </row>
    <row r="61" spans="3:11" x14ac:dyDescent="0.45">
      <c r="C61" s="1499"/>
      <c r="D61" s="734" t="s">
        <v>1298</v>
      </c>
    </row>
    <row r="62" spans="3:11" ht="14.65" thickBot="1" x14ac:dyDescent="0.5">
      <c r="C62" s="735"/>
      <c r="D62" s="736" t="s">
        <v>1299</v>
      </c>
    </row>
    <row r="63" spans="3:11" x14ac:dyDescent="0.45">
      <c r="C63" s="737" t="s">
        <v>1300</v>
      </c>
    </row>
  </sheetData>
  <sheetProtection formatCells="0" formatColumns="0" formatRows="0"/>
  <mergeCells count="70">
    <mergeCell ref="C55:F55"/>
    <mergeCell ref="G55:K55"/>
    <mergeCell ref="C57:D57"/>
    <mergeCell ref="C58:C59"/>
    <mergeCell ref="C60:C61"/>
    <mergeCell ref="N2:Q2"/>
    <mergeCell ref="C52:F52"/>
    <mergeCell ref="G52:K52"/>
    <mergeCell ref="C53:F53"/>
    <mergeCell ref="G53:K53"/>
    <mergeCell ref="D38:D42"/>
    <mergeCell ref="G38:G40"/>
    <mergeCell ref="H38:H40"/>
    <mergeCell ref="I38:I40"/>
    <mergeCell ref="E39:E40"/>
    <mergeCell ref="J30:J47"/>
    <mergeCell ref="K30:K47"/>
    <mergeCell ref="D25:D28"/>
    <mergeCell ref="E25:E28"/>
    <mergeCell ref="G25:G26"/>
    <mergeCell ref="H25:H26"/>
    <mergeCell ref="C54:F54"/>
    <mergeCell ref="G54:K54"/>
    <mergeCell ref="C49:F49"/>
    <mergeCell ref="G49:K49"/>
    <mergeCell ref="C50:F50"/>
    <mergeCell ref="G50:K50"/>
    <mergeCell ref="C51:F51"/>
    <mergeCell ref="G51:K51"/>
    <mergeCell ref="I44:I46"/>
    <mergeCell ref="B30:B43"/>
    <mergeCell ref="C30:C47"/>
    <mergeCell ref="D31:D37"/>
    <mergeCell ref="E31:E36"/>
    <mergeCell ref="G32:G36"/>
    <mergeCell ref="H32:H33"/>
    <mergeCell ref="I32:I36"/>
    <mergeCell ref="H34:H36"/>
    <mergeCell ref="B18:B29"/>
    <mergeCell ref="C18:C29"/>
    <mergeCell ref="D18:D19"/>
    <mergeCell ref="E18:E19"/>
    <mergeCell ref="B44:B47"/>
    <mergeCell ref="D44:D46"/>
    <mergeCell ref="I12:I13"/>
    <mergeCell ref="J18:J29"/>
    <mergeCell ref="D22:D24"/>
    <mergeCell ref="E22:E24"/>
    <mergeCell ref="G22:G24"/>
    <mergeCell ref="H22:H24"/>
    <mergeCell ref="I22:I24"/>
    <mergeCell ref="I25:I29"/>
    <mergeCell ref="H27:H28"/>
    <mergeCell ref="J4:J17"/>
    <mergeCell ref="K4:K29"/>
    <mergeCell ref="L4:L47"/>
    <mergeCell ref="B7:B17"/>
    <mergeCell ref="D7:D13"/>
    <mergeCell ref="E9:E11"/>
    <mergeCell ref="G9:G11"/>
    <mergeCell ref="H9:H11"/>
    <mergeCell ref="D14:D17"/>
    <mergeCell ref="E15:E16"/>
    <mergeCell ref="I15:I16"/>
    <mergeCell ref="B4:B6"/>
    <mergeCell ref="C4:C17"/>
    <mergeCell ref="I9:I11"/>
    <mergeCell ref="E12:E13"/>
    <mergeCell ref="G12:G13"/>
    <mergeCell ref="H12:H13"/>
  </mergeCells>
  <pageMargins left="0.47" right="0.70866141732283472" top="0.55118110236220474" bottom="0.43307086614173229" header="0.31496062992125984" footer="0.19685039370078741"/>
  <pageSetup paperSize="9" scale="52" fitToHeight="0" orientation="landscape" r:id="rId1"/>
  <headerFooter>
    <oddFooter>&amp;R&amp;F &amp;A &amp;D Page &amp;P</oddFooter>
  </headerFooter>
  <rowBreaks count="1" manualBreakCount="1">
    <brk id="29"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B7A43-6E97-4AFB-9274-6E69F8EAD7C8}">
  <sheetPr codeName="Sheet23">
    <tabColor theme="0" tint="-0.249977111117893"/>
    <pageSetUpPr fitToPage="1"/>
  </sheetPr>
  <dimension ref="C1:S27"/>
  <sheetViews>
    <sheetView showGridLines="0" view="pageBreakPreview" zoomScale="75" zoomScaleNormal="100" zoomScaleSheetLayoutView="75" workbookViewId="0">
      <selection activeCell="C4" sqref="C4"/>
    </sheetView>
  </sheetViews>
  <sheetFormatPr defaultRowHeight="14.25" outlineLevelCol="1" x14ac:dyDescent="0.45"/>
  <cols>
    <col min="1" max="2" width="4.53125" customWidth="1"/>
    <col min="3" max="3" width="13.73046875" customWidth="1"/>
    <col min="4" max="4" width="17.46484375" customWidth="1"/>
    <col min="5" max="5" width="59.73046875" bestFit="1" customWidth="1"/>
    <col min="6" max="6" width="9.19921875" customWidth="1"/>
    <col min="7" max="9" width="3.46484375" customWidth="1"/>
    <col min="10" max="10" width="20.265625" customWidth="1"/>
    <col min="11" max="11" width="15.796875" customWidth="1"/>
    <col min="12" max="12" width="7" customWidth="1"/>
    <col min="13" max="13" width="15.796875" customWidth="1"/>
    <col min="14" max="14" width="25.19921875" customWidth="1"/>
    <col min="15" max="15" width="16.53125" customWidth="1"/>
    <col min="16" max="16" width="14.796875" hidden="1" customWidth="1" outlineLevel="1"/>
    <col min="17" max="17" width="14.46484375" hidden="1" customWidth="1" outlineLevel="1"/>
    <col min="18" max="18" width="14.19921875" hidden="1" customWidth="1" outlineLevel="1"/>
    <col min="19" max="19" width="9.19921875" collapsed="1"/>
  </cols>
  <sheetData>
    <row r="1" spans="3:18" ht="21" x14ac:dyDescent="0.65">
      <c r="C1" s="60" t="str">
        <f>'1.Cover'!$C$2</f>
        <v xml:space="preserve">Performance and Expenditure Review of Provincial Government Housing Rental Stock </v>
      </c>
    </row>
    <row r="2" spans="3:18" ht="21" x14ac:dyDescent="0.65">
      <c r="C2" s="60" t="s">
        <v>1340</v>
      </c>
    </row>
    <row r="3" spans="3:18" ht="18" x14ac:dyDescent="0.55000000000000004">
      <c r="C3" s="58" t="s">
        <v>1501</v>
      </c>
    </row>
    <row r="5" spans="3:18" x14ac:dyDescent="0.45">
      <c r="D5" s="1500" t="s">
        <v>94</v>
      </c>
      <c r="E5" s="1501"/>
    </row>
    <row r="6" spans="3:18" ht="42.75" x14ac:dyDescent="0.45">
      <c r="C6" s="1012" t="s">
        <v>1058</v>
      </c>
      <c r="D6" s="998" t="s">
        <v>1499</v>
      </c>
      <c r="E6" s="1011" t="s">
        <v>1500</v>
      </c>
      <c r="F6" s="1314" t="s">
        <v>1795</v>
      </c>
      <c r="G6" s="451"/>
      <c r="H6" s="451"/>
      <c r="I6" s="451"/>
      <c r="J6" s="74" t="str">
        <f>'7. Scenario Detailed'!F8</f>
        <v>Years to Close the HS Programme (from 2018/19)</v>
      </c>
      <c r="K6" s="952" t="s">
        <v>1502</v>
      </c>
      <c r="M6" s="1502" t="s">
        <v>233</v>
      </c>
      <c r="N6" s="1503"/>
      <c r="P6" s="841" t="s">
        <v>1430</v>
      </c>
      <c r="Q6" s="841" t="s">
        <v>1431</v>
      </c>
      <c r="R6" s="841" t="s">
        <v>1429</v>
      </c>
    </row>
    <row r="7" spans="3:18" x14ac:dyDescent="0.45">
      <c r="C7" s="1015" t="s">
        <v>1</v>
      </c>
      <c r="D7" s="1018" t="s">
        <v>1406</v>
      </c>
      <c r="E7" s="1023" t="s">
        <v>1405</v>
      </c>
      <c r="F7" s="1315" t="str">
        <f>D7</f>
        <v>BC</v>
      </c>
      <c r="J7" s="1021">
        <v>1</v>
      </c>
      <c r="K7" s="959">
        <f>'7. Scenario Detailed'!$Q$9+'14. Permanent Info'!J7</f>
        <v>3</v>
      </c>
      <c r="M7" s="989" t="s">
        <v>1447</v>
      </c>
      <c r="N7" s="990" t="s">
        <v>1428</v>
      </c>
      <c r="P7" s="602">
        <f>'12. Inputs-Props &amp; Debtors 2016'!$G$14</f>
        <v>90</v>
      </c>
      <c r="Q7" s="537">
        <f>P7-R7</f>
        <v>90</v>
      </c>
      <c r="R7" s="826">
        <v>0</v>
      </c>
    </row>
    <row r="8" spans="3:18" x14ac:dyDescent="0.45">
      <c r="C8" s="1016" t="s">
        <v>2</v>
      </c>
      <c r="D8" s="1019" t="s">
        <v>1315</v>
      </c>
      <c r="E8" s="1024" t="s">
        <v>1358</v>
      </c>
      <c r="F8" s="1316"/>
      <c r="J8" s="1022">
        <v>2</v>
      </c>
      <c r="K8" s="960">
        <f>'7. Scenario Detailed'!$Q$9+'14. Permanent Info'!J8</f>
        <v>4</v>
      </c>
      <c r="M8" s="854" t="s">
        <v>1434</v>
      </c>
      <c r="N8" s="854" t="s">
        <v>1448</v>
      </c>
      <c r="P8" s="602">
        <f>'12. Inputs-Props &amp; Debtors 2016'!$H$14</f>
        <v>48</v>
      </c>
      <c r="Q8" s="537">
        <f>P8-R8</f>
        <v>48</v>
      </c>
      <c r="R8" s="826">
        <v>0</v>
      </c>
    </row>
    <row r="9" spans="3:18" x14ac:dyDescent="0.45">
      <c r="C9" s="1016" t="s">
        <v>3</v>
      </c>
      <c r="D9" s="1019" t="s">
        <v>1316</v>
      </c>
      <c r="E9" s="1025" t="s">
        <v>1359</v>
      </c>
      <c r="F9" s="1316"/>
      <c r="J9" s="1022">
        <v>3</v>
      </c>
      <c r="K9" s="960">
        <f>'7. Scenario Detailed'!$Q$9+'14. Permanent Info'!J9</f>
        <v>5</v>
      </c>
      <c r="M9" s="1013">
        <f>AVERAGE(7500,31929)</f>
        <v>19714.5</v>
      </c>
      <c r="N9" s="1010" t="s">
        <v>1578</v>
      </c>
      <c r="P9" s="602">
        <f>'12. Inputs-Props &amp; Debtors 2016'!$I$14</f>
        <v>1694</v>
      </c>
      <c r="Q9" s="537">
        <f>P9-R9</f>
        <v>1694</v>
      </c>
      <c r="R9" s="826">
        <v>0</v>
      </c>
    </row>
    <row r="10" spans="3:18" x14ac:dyDescent="0.45">
      <c r="C10" s="1016" t="s">
        <v>4</v>
      </c>
      <c r="D10" s="1019" t="s">
        <v>1317</v>
      </c>
      <c r="E10" s="1026" t="s">
        <v>1314</v>
      </c>
      <c r="F10" s="1316"/>
      <c r="J10" s="1022">
        <v>4</v>
      </c>
      <c r="K10" s="960">
        <f>'7. Scenario Detailed'!$Q$9+'14. Permanent Info'!J10</f>
        <v>6</v>
      </c>
      <c r="L10" t="str">
        <f t="shared" ref="L10:L15" si="0">C7</f>
        <v>EC</v>
      </c>
      <c r="M10" s="1199">
        <f>MIN('14. Permanent Info'!$M$9,SUMIF('12. Inputs-Props &amp; Debtors 2016'!$F$26:$K$26,L10,'12. Inputs-Props &amp; Debtors 2016'!$F$38:$K$38))</f>
        <v>11689.438031496062</v>
      </c>
      <c r="N10" s="1010"/>
      <c r="P10" s="602">
        <f>'12. Inputs-Props &amp; Debtors 2016'!$J$14</f>
        <v>2563</v>
      </c>
      <c r="Q10" s="537">
        <f>P10-R10</f>
        <v>2563</v>
      </c>
      <c r="R10" s="826">
        <v>0</v>
      </c>
    </row>
    <row r="11" spans="3:18" x14ac:dyDescent="0.45">
      <c r="C11" s="1016" t="s">
        <v>5</v>
      </c>
      <c r="D11" s="1020" t="s">
        <v>1318</v>
      </c>
      <c r="E11" s="1027" t="s">
        <v>1407</v>
      </c>
      <c r="F11" s="1317" t="str">
        <f>D11</f>
        <v>Sc4</v>
      </c>
      <c r="J11" s="1022">
        <v>5</v>
      </c>
      <c r="K11" s="960">
        <f>'7. Scenario Detailed'!$Q$9+'14. Permanent Info'!J11</f>
        <v>7</v>
      </c>
      <c r="L11" t="str">
        <f t="shared" si="0"/>
        <v>FS</v>
      </c>
      <c r="M11" s="1200">
        <f>MIN('14. Permanent Info'!$M$9,SUMIF('12. Inputs-Props &amp; Debtors 2016'!$F$26:$K$26,L11,'12. Inputs-Props &amp; Debtors 2016'!$F$38:$K$38))</f>
        <v>19714.5</v>
      </c>
      <c r="N11" s="1010"/>
      <c r="P11" s="602">
        <f>'12. Inputs-Props &amp; Debtors 2016'!$K$14</f>
        <v>765</v>
      </c>
      <c r="Q11" s="537">
        <f>P11-R11</f>
        <v>765</v>
      </c>
      <c r="R11" s="826">
        <v>0</v>
      </c>
    </row>
    <row r="12" spans="3:18" x14ac:dyDescent="0.45">
      <c r="C12" s="1017" t="s">
        <v>11</v>
      </c>
      <c r="J12" s="1022">
        <v>6</v>
      </c>
      <c r="K12" s="960">
        <f>'7. Scenario Detailed'!$Q$9+'14. Permanent Info'!J12</f>
        <v>8</v>
      </c>
      <c r="L12" t="str">
        <f t="shared" si="0"/>
        <v>Gau</v>
      </c>
      <c r="M12" s="1200">
        <f>MIN('14. Permanent Info'!$M$9,SUMIF('12. Inputs-Props &amp; Debtors 2016'!$F$26:$K$26,L12,'12. Inputs-Props &amp; Debtors 2016'!$F$38:$K$38))</f>
        <v>17888.392634228188</v>
      </c>
      <c r="N12" s="1010"/>
      <c r="P12" s="628">
        <f>SUM(P7:P11)</f>
        <v>5160</v>
      </c>
      <c r="Q12" s="628">
        <f>SUM(Q7:Q11)</f>
        <v>5160</v>
      </c>
      <c r="R12" s="628">
        <f>SUM(R7:R11)</f>
        <v>0</v>
      </c>
    </row>
    <row r="13" spans="3:18" x14ac:dyDescent="0.45">
      <c r="J13" s="1022">
        <v>7</v>
      </c>
      <c r="K13" s="960">
        <f>'7. Scenario Detailed'!$Q$9+'14. Permanent Info'!J13</f>
        <v>9</v>
      </c>
      <c r="L13" t="str">
        <f t="shared" si="0"/>
        <v>KZN</v>
      </c>
      <c r="M13" s="1200">
        <f>MIN('14. Permanent Info'!$M$9,SUMIF('12. Inputs-Props &amp; Debtors 2016'!$F$26:$K$26,L13,'12. Inputs-Props &amp; Debtors 2016'!$F$38:$K$38))</f>
        <v>19714.5</v>
      </c>
      <c r="N13" s="1010"/>
    </row>
    <row r="14" spans="3:18" x14ac:dyDescent="0.45">
      <c r="J14" s="1022">
        <v>8</v>
      </c>
      <c r="K14" s="960">
        <f>'7. Scenario Detailed'!$Q$9+'14. Permanent Info'!J14</f>
        <v>10</v>
      </c>
      <c r="L14" t="str">
        <f t="shared" si="0"/>
        <v>WC</v>
      </c>
      <c r="M14" s="1200">
        <f>MIN('14. Permanent Info'!$M$9,SUMIF('12. Inputs-Props &amp; Debtors 2016'!$F$26:$K$26,L14,'12. Inputs-Props &amp; Debtors 2016'!$F$38:$K$38))</f>
        <v>18375.383057228915</v>
      </c>
    </row>
    <row r="15" spans="3:18" x14ac:dyDescent="0.45">
      <c r="J15" s="1022">
        <v>9</v>
      </c>
      <c r="K15" s="960">
        <f>'7. Scenario Detailed'!$Q$9+'14. Permanent Info'!J15</f>
        <v>11</v>
      </c>
      <c r="L15" t="str">
        <f t="shared" si="0"/>
        <v>Total</v>
      </c>
      <c r="M15" s="1201">
        <f>MIN('14. Permanent Info'!$M$9,SUMIF('12. Inputs-Props &amp; Debtors 2016'!$F$26:$K$26,L15,'12. Inputs-Props &amp; Debtors 2016'!$F$38:$K$38))</f>
        <v>19714.5</v>
      </c>
    </row>
    <row r="16" spans="3:18" x14ac:dyDescent="0.45">
      <c r="J16" s="1022">
        <v>10</v>
      </c>
      <c r="K16" s="960">
        <f>'7. Scenario Detailed'!$Q$9+'14. Permanent Info'!J16</f>
        <v>12</v>
      </c>
    </row>
    <row r="17" spans="10:11" x14ac:dyDescent="0.45">
      <c r="J17" s="1022">
        <v>11</v>
      </c>
      <c r="K17" s="960">
        <f>'7. Scenario Detailed'!$Q$9+'14. Permanent Info'!J17</f>
        <v>13</v>
      </c>
    </row>
    <row r="18" spans="10:11" x14ac:dyDescent="0.45">
      <c r="J18" s="1022">
        <v>12</v>
      </c>
      <c r="K18" s="960">
        <f>'7. Scenario Detailed'!$Q$9+'14. Permanent Info'!J18</f>
        <v>14</v>
      </c>
    </row>
    <row r="19" spans="10:11" x14ac:dyDescent="0.45">
      <c r="J19" s="1022">
        <v>13</v>
      </c>
      <c r="K19" s="960">
        <f>'7. Scenario Detailed'!$Q$9+'14. Permanent Info'!J19</f>
        <v>15</v>
      </c>
    </row>
    <row r="20" spans="10:11" x14ac:dyDescent="0.45">
      <c r="J20" s="1022">
        <v>14</v>
      </c>
      <c r="K20" s="960">
        <f>'7. Scenario Detailed'!$Q$9+'14. Permanent Info'!J20</f>
        <v>16</v>
      </c>
    </row>
    <row r="21" spans="10:11" x14ac:dyDescent="0.45">
      <c r="J21" s="1022">
        <v>15</v>
      </c>
      <c r="K21" s="960">
        <f>'7. Scenario Detailed'!$Q$9+'14. Permanent Info'!J21</f>
        <v>17</v>
      </c>
    </row>
    <row r="22" spans="10:11" x14ac:dyDescent="0.45">
      <c r="J22" s="1022">
        <v>16</v>
      </c>
      <c r="K22" s="960">
        <f>'7. Scenario Detailed'!$Q$9+'14. Permanent Info'!J22</f>
        <v>18</v>
      </c>
    </row>
    <row r="23" spans="10:11" x14ac:dyDescent="0.45">
      <c r="J23" s="1031">
        <v>17</v>
      </c>
      <c r="K23" s="961">
        <f>'7. Scenario Detailed'!$Q$9+'14. Permanent Info'!J23</f>
        <v>19</v>
      </c>
    </row>
    <row r="24" spans="10:11" x14ac:dyDescent="0.45">
      <c r="J24" s="962"/>
    </row>
    <row r="25" spans="10:11" x14ac:dyDescent="0.45">
      <c r="J25" s="962"/>
    </row>
    <row r="26" spans="10:11" x14ac:dyDescent="0.45">
      <c r="J26" s="962"/>
    </row>
    <row r="27" spans="10:11" x14ac:dyDescent="0.45">
      <c r="J27" s="962"/>
    </row>
  </sheetData>
  <sheetProtection formatCells="0" formatColumns="0" formatRows="0"/>
  <mergeCells count="2">
    <mergeCell ref="D5:E5"/>
    <mergeCell ref="M6:N6"/>
  </mergeCells>
  <pageMargins left="0.34" right="0.63" top="0.54" bottom="0.49" header="0.31496062992125984" footer="0.16"/>
  <pageSetup paperSize="9" scale="67" orientation="landscape" r:id="rId1"/>
  <headerFooter>
    <oddFooter>&amp;R&amp;F &amp;A &amp;D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E88C-9BA3-4BB3-B4BC-8C80B1ABD5BF}">
  <sheetPr codeName="Sheet24">
    <pageSetUpPr fitToPage="1"/>
  </sheetPr>
  <dimension ref="A1"/>
  <sheetViews>
    <sheetView showGridLines="0" topLeftCell="A93" workbookViewId="0">
      <selection activeCell="C118" sqref="C118"/>
    </sheetView>
  </sheetViews>
  <sheetFormatPr defaultRowHeight="14.25" x14ac:dyDescent="0.45"/>
  <sheetData/>
  <pageMargins left="0.70866141732283472" right="0.70866141732283472" top="0.74803149606299213" bottom="0.74803149606299213" header="0.31496062992125984" footer="0.31496062992125984"/>
  <pageSetup paperSize="9" scale="54" orientation="landscape" r:id="rId1"/>
  <headerFooter>
    <oddFooter>&amp;R&amp;F &amp;A &amp;D 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8202A-3904-4776-B7F2-AC30611B5870}">
  <sheetPr codeName="Sheet4">
    <tabColor theme="0" tint="-0.249977111117893"/>
    <pageSetUpPr fitToPage="1"/>
  </sheetPr>
  <dimension ref="B1:W76"/>
  <sheetViews>
    <sheetView showGridLines="0" zoomScaleNormal="100" zoomScaleSheetLayoutView="75" workbookViewId="0">
      <selection activeCell="F16" sqref="F16"/>
    </sheetView>
  </sheetViews>
  <sheetFormatPr defaultRowHeight="14.25" outlineLevelRow="1" x14ac:dyDescent="0.45"/>
  <cols>
    <col min="1" max="2" width="3.53125" customWidth="1"/>
  </cols>
  <sheetData>
    <row r="1" spans="3:3" ht="18" x14ac:dyDescent="0.55000000000000004">
      <c r="C1" s="561" t="str">
        <f>'1.Cover'!$C$2</f>
        <v xml:space="preserve">Performance and Expenditure Review of Provincial Government Housing Rental Stock </v>
      </c>
    </row>
    <row r="2" spans="3:3" ht="18" x14ac:dyDescent="0.55000000000000004">
      <c r="C2" s="560" t="s">
        <v>93</v>
      </c>
    </row>
    <row r="31" spans="2:23" ht="18" x14ac:dyDescent="0.55000000000000004">
      <c r="C31" s="58" t="s">
        <v>1408</v>
      </c>
    </row>
    <row r="32" spans="2:23" x14ac:dyDescent="0.45">
      <c r="B32" s="870" t="s">
        <v>148</v>
      </c>
      <c r="C32" s="871" t="s">
        <v>1365</v>
      </c>
      <c r="D32" s="872"/>
      <c r="E32" s="872"/>
      <c r="F32" s="872"/>
      <c r="G32" s="872"/>
      <c r="H32" s="872"/>
      <c r="I32" s="872" t="s">
        <v>1598</v>
      </c>
      <c r="J32" s="872"/>
      <c r="K32" s="1075" t="s">
        <v>1599</v>
      </c>
      <c r="L32" s="872"/>
      <c r="M32" s="872"/>
      <c r="N32" s="872"/>
      <c r="O32" s="872"/>
      <c r="P32" s="872"/>
      <c r="Q32" s="872"/>
      <c r="R32" s="872"/>
      <c r="S32" s="872"/>
      <c r="T32" s="872"/>
      <c r="U32" s="872"/>
      <c r="V32" s="872"/>
      <c r="W32" s="872"/>
    </row>
    <row r="33" spans="2:23" x14ac:dyDescent="0.45">
      <c r="B33" s="870"/>
      <c r="C33" s="871" t="s">
        <v>1366</v>
      </c>
      <c r="D33" s="872"/>
      <c r="E33" s="872"/>
      <c r="F33" s="872"/>
      <c r="G33" s="872"/>
      <c r="H33" s="872"/>
      <c r="I33" s="872"/>
      <c r="J33" s="872"/>
      <c r="K33" s="872"/>
      <c r="L33" s="872"/>
      <c r="M33" s="872"/>
      <c r="N33" s="872"/>
      <c r="O33" s="872"/>
      <c r="P33" s="872"/>
      <c r="Q33" s="872"/>
      <c r="R33" s="872"/>
      <c r="S33" s="872"/>
      <c r="T33" s="872"/>
      <c r="U33" s="872"/>
      <c r="V33" s="872"/>
      <c r="W33" s="872"/>
    </row>
    <row r="34" spans="2:23" x14ac:dyDescent="0.45">
      <c r="B34" s="870"/>
      <c r="C34" s="873" t="s">
        <v>1367</v>
      </c>
      <c r="D34" s="872"/>
      <c r="E34" s="872"/>
      <c r="F34" s="872"/>
      <c r="G34" s="872"/>
      <c r="H34" s="872"/>
      <c r="I34" s="872"/>
      <c r="J34" s="872"/>
      <c r="K34" s="872"/>
      <c r="L34" s="872"/>
      <c r="M34" s="872"/>
      <c r="N34" s="872"/>
      <c r="O34" s="872"/>
      <c r="P34" s="872"/>
      <c r="Q34" s="872"/>
      <c r="R34" s="872"/>
      <c r="S34" s="872"/>
      <c r="T34" s="872"/>
      <c r="U34" s="872"/>
      <c r="V34" s="872"/>
      <c r="W34" s="872"/>
    </row>
    <row r="35" spans="2:23" x14ac:dyDescent="0.45">
      <c r="B35" s="870"/>
      <c r="C35" s="873" t="s">
        <v>1368</v>
      </c>
      <c r="D35" s="872"/>
      <c r="E35" s="872"/>
      <c r="F35" s="872"/>
      <c r="G35" s="872"/>
      <c r="H35" s="872"/>
      <c r="I35" s="872"/>
      <c r="J35" s="872"/>
      <c r="K35" s="872"/>
      <c r="L35" s="872"/>
      <c r="M35" s="872"/>
      <c r="N35" s="872"/>
      <c r="O35" s="872"/>
      <c r="P35" s="872"/>
      <c r="Q35" s="872"/>
      <c r="R35" s="872"/>
      <c r="S35" s="872"/>
      <c r="T35" s="872"/>
      <c r="U35" s="872"/>
      <c r="V35" s="872"/>
      <c r="W35" s="872"/>
    </row>
    <row r="36" spans="2:23" x14ac:dyDescent="0.45">
      <c r="B36" s="870"/>
      <c r="C36" s="873" t="s">
        <v>1369</v>
      </c>
      <c r="D36" s="872"/>
      <c r="E36" s="872"/>
      <c r="F36" s="872"/>
      <c r="G36" s="872"/>
      <c r="H36" s="872"/>
      <c r="I36" s="872"/>
      <c r="J36" s="872"/>
      <c r="K36" s="872"/>
      <c r="L36" s="872"/>
      <c r="M36" s="872"/>
      <c r="N36" s="872"/>
      <c r="O36" s="872"/>
      <c r="P36" s="872"/>
      <c r="Q36" s="872"/>
      <c r="R36" s="872"/>
      <c r="S36" s="872"/>
      <c r="T36" s="872"/>
      <c r="U36" s="872"/>
      <c r="V36" s="872"/>
      <c r="W36" s="872"/>
    </row>
    <row r="37" spans="2:23" x14ac:dyDescent="0.45">
      <c r="B37" s="870"/>
      <c r="C37" s="873" t="s">
        <v>1370</v>
      </c>
      <c r="D37" s="872"/>
      <c r="E37" s="872"/>
      <c r="F37" s="872"/>
      <c r="G37" s="872"/>
      <c r="H37" s="872"/>
      <c r="I37" s="872"/>
      <c r="J37" s="872"/>
      <c r="K37" s="872"/>
      <c r="L37" s="872"/>
      <c r="M37" s="872"/>
      <c r="N37" s="872"/>
      <c r="O37" s="872"/>
      <c r="P37" s="872"/>
      <c r="Q37" s="872"/>
      <c r="R37" s="872"/>
      <c r="S37" s="872"/>
      <c r="T37" s="872"/>
      <c r="U37" s="872"/>
      <c r="V37" s="872"/>
      <c r="W37" s="872"/>
    </row>
    <row r="38" spans="2:23" x14ac:dyDescent="0.45">
      <c r="B38" s="870"/>
      <c r="C38" s="873" t="s">
        <v>1371</v>
      </c>
      <c r="D38" s="872"/>
      <c r="E38" s="872"/>
      <c r="F38" s="872"/>
      <c r="G38" s="872"/>
      <c r="H38" s="872"/>
      <c r="I38" s="872"/>
      <c r="J38" s="872"/>
      <c r="K38" s="872"/>
      <c r="L38" s="872"/>
      <c r="M38" s="872"/>
      <c r="N38" s="872"/>
      <c r="O38" s="872"/>
      <c r="P38" s="872"/>
      <c r="Q38" s="872"/>
      <c r="R38" s="872"/>
      <c r="S38" s="872"/>
      <c r="T38" s="872"/>
      <c r="U38" s="872"/>
      <c r="V38" s="872"/>
      <c r="W38" s="872"/>
    </row>
    <row r="39" spans="2:23" x14ac:dyDescent="0.45">
      <c r="B39" s="870"/>
      <c r="C39" s="873" t="s">
        <v>1372</v>
      </c>
      <c r="D39" s="872"/>
      <c r="E39" s="872"/>
      <c r="F39" s="872"/>
      <c r="G39" s="872"/>
      <c r="H39" s="872"/>
      <c r="I39" s="872"/>
      <c r="J39" s="872"/>
      <c r="K39" s="872"/>
      <c r="L39" s="872"/>
      <c r="M39" s="872"/>
      <c r="N39" s="872"/>
      <c r="O39" s="872"/>
      <c r="P39" s="872"/>
      <c r="Q39" s="872"/>
      <c r="R39" s="872"/>
      <c r="S39" s="872"/>
      <c r="T39" s="872"/>
      <c r="U39" s="872"/>
      <c r="V39" s="872"/>
      <c r="W39" s="872"/>
    </row>
    <row r="40" spans="2:23" x14ac:dyDescent="0.45">
      <c r="B40" s="870"/>
      <c r="C40" s="873" t="s">
        <v>1373</v>
      </c>
      <c r="D40" s="872"/>
      <c r="E40" s="872"/>
      <c r="F40" s="872"/>
      <c r="G40" s="872"/>
      <c r="H40" s="872"/>
      <c r="I40" s="872"/>
      <c r="J40" s="872"/>
      <c r="K40" s="872"/>
      <c r="L40" s="872"/>
      <c r="M40" s="872"/>
      <c r="N40" s="872"/>
      <c r="O40" s="872"/>
      <c r="P40" s="872"/>
      <c r="Q40" s="872"/>
      <c r="R40" s="872"/>
      <c r="S40" s="872"/>
      <c r="T40" s="872"/>
      <c r="U40" s="872"/>
      <c r="V40" s="872"/>
      <c r="W40" s="872"/>
    </row>
    <row r="41" spans="2:23" x14ac:dyDescent="0.45">
      <c r="B41" s="870"/>
      <c r="C41" s="873" t="s">
        <v>1374</v>
      </c>
      <c r="D41" s="872"/>
      <c r="E41" s="872"/>
      <c r="F41" s="872"/>
      <c r="G41" s="872"/>
      <c r="H41" s="872"/>
      <c r="I41" s="872"/>
      <c r="J41" s="872"/>
      <c r="K41" s="872"/>
      <c r="L41" s="872"/>
      <c r="M41" s="872"/>
      <c r="N41" s="872"/>
      <c r="O41" s="872"/>
      <c r="P41" s="872"/>
      <c r="Q41" s="872"/>
      <c r="R41" s="872"/>
      <c r="S41" s="872"/>
      <c r="T41" s="872"/>
      <c r="U41" s="872"/>
      <c r="V41" s="872"/>
      <c r="W41" s="872"/>
    </row>
    <row r="42" spans="2:23" x14ac:dyDescent="0.45">
      <c r="B42" s="870"/>
      <c r="C42" s="873" t="s">
        <v>1375</v>
      </c>
      <c r="D42" s="872"/>
      <c r="E42" s="872"/>
      <c r="F42" s="872"/>
      <c r="G42" s="872"/>
      <c r="H42" s="872"/>
      <c r="I42" s="872"/>
      <c r="J42" s="872"/>
      <c r="K42" s="872"/>
      <c r="L42" s="872"/>
      <c r="M42" s="872"/>
      <c r="N42" s="872"/>
      <c r="O42" s="872"/>
      <c r="P42" s="872"/>
      <c r="Q42" s="872"/>
      <c r="R42" s="872"/>
      <c r="S42" s="872"/>
      <c r="T42" s="872"/>
      <c r="U42" s="872"/>
      <c r="V42" s="872"/>
      <c r="W42" s="872"/>
    </row>
    <row r="43" spans="2:23" x14ac:dyDescent="0.45">
      <c r="B43" s="870"/>
      <c r="C43" s="873" t="s">
        <v>1376</v>
      </c>
      <c r="D43" s="872"/>
      <c r="E43" s="872"/>
      <c r="F43" s="872"/>
      <c r="G43" s="872"/>
      <c r="H43" s="872"/>
      <c r="I43" s="872"/>
      <c r="J43" s="872"/>
      <c r="K43" s="872"/>
      <c r="L43" s="872"/>
      <c r="M43" s="872"/>
      <c r="N43" s="872"/>
      <c r="O43" s="872"/>
      <c r="P43" s="872"/>
      <c r="Q43" s="872"/>
      <c r="R43" s="872"/>
      <c r="S43" s="872"/>
      <c r="T43" s="872"/>
      <c r="U43" s="872"/>
      <c r="V43" s="872"/>
      <c r="W43" s="872"/>
    </row>
    <row r="44" spans="2:23" x14ac:dyDescent="0.45">
      <c r="B44" s="870"/>
      <c r="C44" s="873" t="s">
        <v>1483</v>
      </c>
      <c r="D44" s="872"/>
      <c r="E44" s="872"/>
      <c r="F44" s="872"/>
      <c r="G44" s="872"/>
      <c r="H44" s="872"/>
      <c r="I44" s="872"/>
      <c r="J44" s="872"/>
      <c r="K44" s="872"/>
      <c r="L44" s="872"/>
      <c r="M44" s="872"/>
      <c r="N44" s="872"/>
      <c r="O44" s="872"/>
      <c r="P44" s="872"/>
      <c r="Q44" s="872"/>
      <c r="R44" s="872"/>
      <c r="S44" s="872"/>
      <c r="T44" s="872"/>
      <c r="U44" s="872"/>
      <c r="V44" s="872"/>
      <c r="W44" s="872"/>
    </row>
    <row r="45" spans="2:23" x14ac:dyDescent="0.45">
      <c r="B45" s="870"/>
      <c r="C45" s="873" t="s">
        <v>1482</v>
      </c>
      <c r="D45" s="872"/>
      <c r="E45" s="872"/>
      <c r="F45" s="872"/>
      <c r="G45" s="872"/>
      <c r="H45" s="872"/>
      <c r="I45" s="872"/>
      <c r="J45" s="872"/>
      <c r="K45" s="872"/>
      <c r="L45" s="872"/>
      <c r="M45" s="872"/>
      <c r="N45" s="872"/>
      <c r="O45" s="872"/>
      <c r="P45" s="872"/>
      <c r="Q45" s="872"/>
      <c r="R45" s="872"/>
      <c r="S45" s="872"/>
      <c r="T45" s="872"/>
      <c r="U45" s="872"/>
      <c r="V45" s="872"/>
      <c r="W45" s="872"/>
    </row>
    <row r="46" spans="2:23" x14ac:dyDescent="0.45">
      <c r="B46" s="870"/>
      <c r="C46" s="873" t="s">
        <v>1394</v>
      </c>
      <c r="D46" s="872"/>
      <c r="E46" s="872"/>
      <c r="F46" s="872"/>
      <c r="G46" s="872"/>
      <c r="H46" s="872"/>
      <c r="I46" s="872"/>
      <c r="J46" s="872"/>
      <c r="K46" s="872"/>
      <c r="L46" s="872"/>
      <c r="M46" s="872"/>
      <c r="N46" s="872"/>
      <c r="O46" s="872"/>
      <c r="P46" s="872"/>
      <c r="Q46" s="872"/>
      <c r="R46" s="872"/>
      <c r="S46" s="872"/>
      <c r="T46" s="872"/>
      <c r="U46" s="872"/>
      <c r="V46" s="872"/>
      <c r="W46" s="872"/>
    </row>
    <row r="47" spans="2:23" x14ac:dyDescent="0.45">
      <c r="B47" s="451"/>
      <c r="C47" s="825"/>
    </row>
    <row r="48" spans="2:23" x14ac:dyDescent="0.45">
      <c r="B48" s="451"/>
      <c r="C48" s="825"/>
    </row>
    <row r="49" spans="2:23" x14ac:dyDescent="0.45">
      <c r="B49" s="862" t="s">
        <v>224</v>
      </c>
      <c r="C49" s="863" t="s">
        <v>1377</v>
      </c>
      <c r="D49" s="864"/>
      <c r="E49" s="864"/>
      <c r="F49" s="864"/>
      <c r="G49" s="864"/>
      <c r="H49" s="864"/>
      <c r="I49" s="864"/>
      <c r="J49" s="864"/>
      <c r="K49" s="864"/>
      <c r="L49" s="1076" t="s">
        <v>1600</v>
      </c>
      <c r="M49" s="864"/>
      <c r="N49" s="864"/>
      <c r="O49" s="864"/>
      <c r="P49" s="864"/>
      <c r="Q49" s="864"/>
      <c r="R49" s="864"/>
      <c r="S49" s="864"/>
      <c r="T49" s="864"/>
      <c r="U49" s="864"/>
      <c r="V49" s="864"/>
      <c r="W49" s="864"/>
    </row>
    <row r="50" spans="2:23" x14ac:dyDescent="0.45">
      <c r="B50" s="862"/>
      <c r="C50" s="865" t="s">
        <v>1378</v>
      </c>
      <c r="D50" s="864"/>
      <c r="E50" s="864"/>
      <c r="F50" s="864"/>
      <c r="G50" s="864"/>
      <c r="H50" s="864"/>
      <c r="I50" s="864"/>
      <c r="J50" s="864"/>
      <c r="K50" s="864"/>
      <c r="L50" s="864"/>
      <c r="M50" s="864"/>
      <c r="N50" s="864"/>
      <c r="O50" s="864"/>
      <c r="P50" s="864"/>
      <c r="Q50" s="864"/>
      <c r="R50" s="864"/>
      <c r="S50" s="864"/>
      <c r="T50" s="864"/>
      <c r="U50" s="864"/>
      <c r="V50" s="864"/>
      <c r="W50" s="864"/>
    </row>
    <row r="51" spans="2:23" x14ac:dyDescent="0.45">
      <c r="B51" s="862"/>
      <c r="C51" s="865" t="s">
        <v>1455</v>
      </c>
      <c r="D51" s="864"/>
      <c r="E51" s="864"/>
      <c r="F51" s="864"/>
      <c r="G51" s="864"/>
      <c r="H51" s="864"/>
      <c r="I51" s="864"/>
      <c r="J51" s="864"/>
      <c r="K51" s="864"/>
      <c r="L51" s="864"/>
      <c r="M51" s="864"/>
      <c r="N51" s="864"/>
      <c r="O51" s="864"/>
      <c r="P51" s="864"/>
      <c r="Q51" s="864"/>
      <c r="R51" s="864"/>
      <c r="S51" s="864"/>
      <c r="T51" s="864"/>
      <c r="U51" s="864"/>
      <c r="V51" s="864"/>
      <c r="W51" s="864"/>
    </row>
    <row r="52" spans="2:23" outlineLevel="1" x14ac:dyDescent="0.45">
      <c r="B52" s="862"/>
      <c r="C52" s="865" t="s">
        <v>1403</v>
      </c>
      <c r="D52" s="864"/>
      <c r="E52" s="864"/>
      <c r="F52" s="864"/>
      <c r="G52" s="864"/>
      <c r="H52" s="864"/>
      <c r="I52" s="864"/>
      <c r="J52" s="864"/>
      <c r="K52" s="864"/>
      <c r="L52" s="864"/>
      <c r="M52" s="1081"/>
      <c r="N52" s="1081"/>
      <c r="O52" s="1081"/>
      <c r="P52" s="1081"/>
      <c r="Q52" s="1081"/>
      <c r="R52" s="1081"/>
      <c r="S52" s="1081"/>
      <c r="T52" s="1081"/>
      <c r="U52" s="1081"/>
      <c r="V52" s="1081"/>
      <c r="W52" s="1081"/>
    </row>
    <row r="53" spans="2:23" outlineLevel="1" x14ac:dyDescent="0.45">
      <c r="B53" s="862"/>
      <c r="C53" s="865" t="s">
        <v>1379</v>
      </c>
      <c r="D53" s="864"/>
      <c r="E53" s="864"/>
      <c r="F53" s="864"/>
      <c r="G53" s="864"/>
      <c r="H53" s="864"/>
      <c r="I53" s="864"/>
      <c r="J53" s="864"/>
      <c r="K53" s="864"/>
      <c r="L53" s="864"/>
      <c r="M53" s="1081"/>
      <c r="N53" s="1081"/>
      <c r="O53" s="1081"/>
      <c r="P53" s="1081"/>
      <c r="Q53" s="1081"/>
      <c r="R53" s="1081"/>
      <c r="S53" s="1081"/>
      <c r="T53" s="1081"/>
      <c r="U53" s="1081"/>
      <c r="V53" s="1081"/>
      <c r="W53" s="1081"/>
    </row>
    <row r="54" spans="2:23" outlineLevel="1" x14ac:dyDescent="0.45">
      <c r="B54" s="862"/>
      <c r="C54" s="865" t="s">
        <v>1380</v>
      </c>
      <c r="D54" s="864"/>
      <c r="E54" s="864"/>
      <c r="F54" s="864"/>
      <c r="G54" s="864"/>
      <c r="H54" s="864"/>
      <c r="I54" s="864"/>
      <c r="J54" s="864"/>
      <c r="K54" s="864"/>
      <c r="L54" s="864"/>
      <c r="M54" s="1081"/>
      <c r="N54" s="1081"/>
      <c r="O54" s="1081"/>
      <c r="P54" s="1081"/>
      <c r="Q54" s="1081"/>
      <c r="R54" s="1081"/>
      <c r="S54" s="1081"/>
      <c r="T54" s="1081"/>
      <c r="U54" s="1081"/>
      <c r="V54" s="1081"/>
      <c r="W54" s="1081"/>
    </row>
    <row r="55" spans="2:23" outlineLevel="1" x14ac:dyDescent="0.45">
      <c r="B55" s="862"/>
      <c r="C55" s="865" t="s">
        <v>1381</v>
      </c>
      <c r="D55" s="864"/>
      <c r="E55" s="864"/>
      <c r="F55" s="864"/>
      <c r="G55" s="864"/>
      <c r="H55" s="864"/>
      <c r="I55" s="864"/>
      <c r="J55" s="864"/>
      <c r="K55" s="864"/>
      <c r="L55" s="864"/>
      <c r="M55" s="1081"/>
      <c r="N55" s="1081"/>
      <c r="O55" s="1081"/>
      <c r="P55" s="1081"/>
      <c r="Q55" s="1081"/>
      <c r="R55" s="1081"/>
      <c r="S55" s="1081"/>
      <c r="T55" s="1081"/>
      <c r="U55" s="1081"/>
      <c r="V55" s="1081"/>
      <c r="W55" s="1081"/>
    </row>
    <row r="56" spans="2:23" outlineLevel="1" x14ac:dyDescent="0.45">
      <c r="B56" s="862"/>
      <c r="C56" s="865" t="s">
        <v>1382</v>
      </c>
      <c r="D56" s="864"/>
      <c r="E56" s="864"/>
      <c r="F56" s="864"/>
      <c r="G56" s="864"/>
      <c r="H56" s="864"/>
      <c r="I56" s="864"/>
      <c r="J56" s="864"/>
      <c r="K56" s="864"/>
      <c r="L56" s="864"/>
      <c r="M56" s="1081"/>
      <c r="N56" s="1081"/>
      <c r="O56" s="1081"/>
      <c r="P56" s="1081"/>
      <c r="Q56" s="1081"/>
      <c r="R56" s="1081"/>
      <c r="S56" s="1081"/>
      <c r="T56" s="1081"/>
      <c r="U56" s="1081"/>
      <c r="V56" s="1081"/>
      <c r="W56" s="1081"/>
    </row>
    <row r="57" spans="2:23" outlineLevel="1" x14ac:dyDescent="0.45">
      <c r="B57" s="862"/>
      <c r="C57" s="865" t="s">
        <v>1404</v>
      </c>
      <c r="D57" s="864"/>
      <c r="E57" s="864"/>
      <c r="F57" s="864"/>
      <c r="G57" s="864"/>
      <c r="H57" s="864"/>
      <c r="I57" s="864"/>
      <c r="J57" s="864"/>
      <c r="K57" s="864"/>
      <c r="L57" s="864"/>
      <c r="M57" s="1081"/>
      <c r="N57" s="1081"/>
      <c r="O57" s="1081"/>
      <c r="P57" s="1081"/>
      <c r="Q57" s="1081"/>
      <c r="R57" s="1081"/>
      <c r="S57" s="1081"/>
      <c r="T57" s="1081"/>
      <c r="U57" s="1081"/>
      <c r="V57" s="1081"/>
      <c r="W57" s="1081"/>
    </row>
    <row r="58" spans="2:23" outlineLevel="1" x14ac:dyDescent="0.45">
      <c r="B58" s="862"/>
      <c r="C58" s="865"/>
      <c r="D58" s="864"/>
      <c r="E58" s="864"/>
      <c r="F58" s="864"/>
      <c r="G58" s="864"/>
      <c r="H58" s="864"/>
      <c r="I58" s="864"/>
      <c r="J58" s="864"/>
      <c r="K58" s="864"/>
      <c r="L58" s="864"/>
      <c r="M58" s="1081"/>
      <c r="N58" s="1081"/>
      <c r="O58" s="1081"/>
      <c r="P58" s="1081"/>
      <c r="Q58" s="1081"/>
      <c r="R58" s="1081"/>
      <c r="S58" s="1081"/>
      <c r="T58" s="1081"/>
      <c r="U58" s="1081"/>
      <c r="V58" s="1081"/>
      <c r="W58" s="1081"/>
    </row>
    <row r="59" spans="2:23" outlineLevel="1" x14ac:dyDescent="0.45">
      <c r="B59" s="451"/>
      <c r="C59" s="825"/>
    </row>
    <row r="60" spans="2:23" outlineLevel="1" x14ac:dyDescent="0.45">
      <c r="B60" s="858" t="s">
        <v>242</v>
      </c>
      <c r="C60" s="859" t="s">
        <v>1383</v>
      </c>
      <c r="D60" s="860"/>
      <c r="E60" s="860"/>
      <c r="F60" s="860"/>
      <c r="G60" s="860"/>
      <c r="H60" s="860"/>
      <c r="I60" s="860"/>
      <c r="J60" s="860"/>
      <c r="K60" s="860"/>
      <c r="L60" s="1082" t="s">
        <v>1601</v>
      </c>
      <c r="M60" s="860"/>
      <c r="N60" s="860"/>
      <c r="O60" s="860"/>
      <c r="P60" s="860"/>
      <c r="Q60" s="860"/>
      <c r="R60" s="860"/>
      <c r="S60" s="860"/>
      <c r="T60" s="860"/>
      <c r="U60" s="860"/>
      <c r="V60" s="860"/>
      <c r="W60" s="860"/>
    </row>
    <row r="61" spans="2:23" outlineLevel="1" x14ac:dyDescent="0.45">
      <c r="B61" s="858"/>
      <c r="C61" s="861" t="s">
        <v>1384</v>
      </c>
      <c r="D61" s="860"/>
      <c r="E61" s="860"/>
      <c r="F61" s="860"/>
      <c r="G61" s="860"/>
      <c r="H61" s="860"/>
      <c r="I61" s="860"/>
      <c r="J61" s="860"/>
      <c r="K61" s="860"/>
      <c r="L61" s="860"/>
      <c r="M61" s="860"/>
      <c r="N61" s="860"/>
      <c r="O61" s="860"/>
      <c r="P61" s="860"/>
      <c r="Q61" s="860"/>
      <c r="R61" s="860"/>
      <c r="S61" s="860"/>
      <c r="T61" s="860"/>
      <c r="U61" s="860"/>
      <c r="V61" s="860"/>
      <c r="W61" s="860"/>
    </row>
    <row r="62" spans="2:23" outlineLevel="1" x14ac:dyDescent="0.45">
      <c r="B62" s="858"/>
      <c r="C62" s="861" t="s">
        <v>1381</v>
      </c>
      <c r="D62" s="860"/>
      <c r="E62" s="860"/>
      <c r="F62" s="860"/>
      <c r="G62" s="860"/>
      <c r="H62" s="860"/>
      <c r="I62" s="860"/>
      <c r="J62" s="860"/>
      <c r="K62" s="860"/>
      <c r="L62" s="860"/>
      <c r="M62" s="860"/>
      <c r="N62" s="860"/>
      <c r="O62" s="860"/>
      <c r="P62" s="860"/>
      <c r="Q62" s="860"/>
      <c r="R62" s="860"/>
      <c r="S62" s="860"/>
      <c r="T62" s="860"/>
      <c r="U62" s="860"/>
      <c r="V62" s="860"/>
      <c r="W62" s="860"/>
    </row>
    <row r="63" spans="2:23" outlineLevel="1" x14ac:dyDescent="0.45">
      <c r="B63" s="858"/>
      <c r="C63" s="861" t="s">
        <v>1404</v>
      </c>
      <c r="D63" s="860"/>
      <c r="E63" s="860"/>
      <c r="F63" s="860"/>
      <c r="G63" s="860"/>
      <c r="H63" s="860"/>
      <c r="I63" s="860"/>
      <c r="J63" s="860"/>
      <c r="K63" s="860"/>
      <c r="L63" s="860"/>
      <c r="M63" s="860"/>
      <c r="N63" s="860"/>
      <c r="O63" s="860"/>
      <c r="P63" s="860"/>
      <c r="Q63" s="860"/>
      <c r="R63" s="860"/>
      <c r="S63" s="860"/>
      <c r="T63" s="860"/>
      <c r="U63" s="860"/>
      <c r="V63" s="860"/>
      <c r="W63" s="860"/>
    </row>
    <row r="64" spans="2:23" outlineLevel="1" x14ac:dyDescent="0.45">
      <c r="B64" s="858"/>
      <c r="C64" s="861" t="s">
        <v>1454</v>
      </c>
      <c r="D64" s="860"/>
      <c r="E64" s="860"/>
      <c r="F64" s="860"/>
      <c r="G64" s="860"/>
      <c r="H64" s="860"/>
      <c r="I64" s="860"/>
      <c r="J64" s="860"/>
      <c r="K64" s="860"/>
      <c r="L64" s="860"/>
      <c r="M64" s="860"/>
      <c r="N64" s="860"/>
      <c r="O64" s="860"/>
      <c r="P64" s="860"/>
      <c r="Q64" s="860"/>
      <c r="R64" s="860"/>
      <c r="S64" s="860"/>
      <c r="T64" s="860"/>
      <c r="U64" s="860"/>
      <c r="V64" s="860"/>
      <c r="W64" s="860"/>
    </row>
    <row r="65" spans="2:23" outlineLevel="1" x14ac:dyDescent="0.45">
      <c r="B65" s="858"/>
      <c r="C65" s="861"/>
      <c r="D65" s="860"/>
      <c r="E65" s="860"/>
      <c r="F65" s="860"/>
      <c r="G65" s="860"/>
      <c r="H65" s="860"/>
      <c r="I65" s="860"/>
      <c r="J65" s="860"/>
      <c r="K65" s="860"/>
      <c r="L65" s="860"/>
      <c r="M65" s="860"/>
      <c r="N65" s="860"/>
      <c r="O65" s="860"/>
      <c r="P65" s="860"/>
      <c r="Q65" s="860"/>
      <c r="R65" s="860"/>
      <c r="S65" s="860"/>
      <c r="T65" s="860"/>
      <c r="U65" s="860"/>
      <c r="V65" s="860"/>
      <c r="W65" s="860"/>
    </row>
    <row r="66" spans="2:23" x14ac:dyDescent="0.45">
      <c r="B66" s="451"/>
      <c r="C66" s="825"/>
    </row>
    <row r="67" spans="2:23" x14ac:dyDescent="0.45">
      <c r="B67" s="451"/>
      <c r="C67" s="825"/>
    </row>
    <row r="68" spans="2:23" x14ac:dyDescent="0.45">
      <c r="B68" s="877" t="s">
        <v>18</v>
      </c>
      <c r="C68" s="878" t="s">
        <v>1385</v>
      </c>
      <c r="D68" s="879"/>
      <c r="E68" s="879"/>
      <c r="F68" s="879"/>
      <c r="G68" s="879"/>
      <c r="H68" s="879"/>
      <c r="I68" s="879"/>
      <c r="J68" s="879"/>
      <c r="K68" s="879"/>
      <c r="L68" s="1077" t="s">
        <v>1602</v>
      </c>
      <c r="M68" s="879"/>
      <c r="N68" s="879"/>
      <c r="O68" s="879"/>
      <c r="P68" s="879"/>
      <c r="Q68" s="879"/>
      <c r="R68" s="879"/>
      <c r="S68" s="879"/>
      <c r="T68" s="879"/>
      <c r="U68" s="879"/>
      <c r="V68" s="879"/>
      <c r="W68" s="879"/>
    </row>
    <row r="69" spans="2:23" x14ac:dyDescent="0.45">
      <c r="B69" s="877"/>
      <c r="C69" s="880" t="s">
        <v>1472</v>
      </c>
      <c r="D69" s="879"/>
      <c r="E69" s="879"/>
      <c r="F69" s="879"/>
      <c r="G69" s="879"/>
      <c r="H69" s="879"/>
      <c r="I69" s="879"/>
      <c r="J69" s="879"/>
      <c r="K69" s="879"/>
      <c r="L69" s="879"/>
      <c r="M69" s="879"/>
      <c r="N69" s="879"/>
      <c r="O69" s="879"/>
      <c r="P69" s="879"/>
      <c r="Q69" s="879"/>
      <c r="R69" s="879"/>
      <c r="S69" s="879"/>
      <c r="T69" s="879"/>
      <c r="U69" s="879"/>
      <c r="V69" s="879"/>
      <c r="W69" s="879"/>
    </row>
    <row r="70" spans="2:23" x14ac:dyDescent="0.45">
      <c r="B70" s="877"/>
      <c r="C70" s="880" t="s">
        <v>1386</v>
      </c>
      <c r="D70" s="879"/>
      <c r="E70" s="879"/>
      <c r="F70" s="879"/>
      <c r="G70" s="879"/>
      <c r="H70" s="879"/>
      <c r="I70" s="879"/>
      <c r="J70" s="879"/>
      <c r="K70" s="879"/>
      <c r="L70" s="879"/>
      <c r="M70" s="879"/>
      <c r="N70" s="879"/>
      <c r="O70" s="879"/>
      <c r="P70" s="879"/>
      <c r="Q70" s="879"/>
      <c r="R70" s="879"/>
      <c r="S70" s="879"/>
      <c r="T70" s="879"/>
      <c r="U70" s="879"/>
      <c r="V70" s="879"/>
      <c r="W70" s="879"/>
    </row>
    <row r="71" spans="2:23" x14ac:dyDescent="0.45">
      <c r="B71" s="877"/>
      <c r="C71" s="880" t="s">
        <v>1404</v>
      </c>
      <c r="D71" s="879"/>
      <c r="E71" s="879"/>
      <c r="F71" s="879"/>
      <c r="G71" s="879"/>
      <c r="H71" s="879"/>
      <c r="I71" s="879"/>
      <c r="J71" s="879"/>
      <c r="K71" s="879"/>
      <c r="L71" s="879"/>
      <c r="M71" s="879"/>
      <c r="N71" s="879"/>
      <c r="O71" s="879"/>
      <c r="P71" s="879"/>
      <c r="Q71" s="879"/>
      <c r="R71" s="879"/>
      <c r="S71" s="879"/>
      <c r="T71" s="879"/>
      <c r="U71" s="879"/>
      <c r="V71" s="879"/>
      <c r="W71" s="879"/>
    </row>
    <row r="72" spans="2:23" x14ac:dyDescent="0.45">
      <c r="B72" s="877"/>
      <c r="C72" s="880"/>
      <c r="D72" s="879"/>
      <c r="E72" s="879"/>
      <c r="F72" s="879"/>
      <c r="G72" s="879"/>
      <c r="H72" s="879"/>
      <c r="I72" s="879"/>
      <c r="J72" s="879"/>
      <c r="K72" s="879"/>
      <c r="L72" s="879"/>
      <c r="M72" s="879"/>
      <c r="N72" s="879"/>
      <c r="O72" s="879"/>
      <c r="P72" s="879"/>
      <c r="Q72" s="879"/>
      <c r="R72" s="879"/>
      <c r="S72" s="879"/>
      <c r="T72" s="879"/>
      <c r="U72" s="879"/>
      <c r="V72" s="879"/>
      <c r="W72" s="879"/>
    </row>
    <row r="73" spans="2:23" x14ac:dyDescent="0.45">
      <c r="B73" s="874"/>
      <c r="C73" s="875"/>
      <c r="D73" s="876"/>
      <c r="E73" s="876"/>
      <c r="F73" s="876"/>
      <c r="G73" s="876"/>
      <c r="H73" s="876"/>
      <c r="I73" s="876"/>
      <c r="J73" s="876"/>
      <c r="K73" s="876"/>
      <c r="L73" s="876"/>
    </row>
    <row r="74" spans="2:23" x14ac:dyDescent="0.45">
      <c r="B74" s="451"/>
      <c r="C74" s="825"/>
    </row>
    <row r="75" spans="2:23" x14ac:dyDescent="0.45">
      <c r="B75" s="866" t="s">
        <v>310</v>
      </c>
      <c r="C75" s="867" t="s">
        <v>1402</v>
      </c>
      <c r="D75" s="868"/>
      <c r="E75" s="868"/>
      <c r="F75" s="868"/>
      <c r="G75" s="868"/>
      <c r="H75" s="868"/>
      <c r="I75" s="868"/>
      <c r="J75" s="868"/>
      <c r="K75" s="868"/>
      <c r="L75" s="1078" t="s">
        <v>1603</v>
      </c>
      <c r="M75" s="868"/>
      <c r="N75" s="868"/>
      <c r="O75" s="868"/>
      <c r="P75" s="868"/>
      <c r="Q75" s="868"/>
      <c r="R75" s="868"/>
      <c r="S75" s="868"/>
      <c r="T75" s="868"/>
      <c r="U75" s="868"/>
      <c r="V75" s="868"/>
      <c r="W75" s="868"/>
    </row>
    <row r="76" spans="2:23" x14ac:dyDescent="0.45">
      <c r="B76" s="866"/>
      <c r="C76" s="869" t="s">
        <v>1398</v>
      </c>
      <c r="D76" s="868"/>
      <c r="E76" s="868"/>
      <c r="F76" s="868"/>
      <c r="G76" s="868"/>
      <c r="H76" s="868"/>
      <c r="I76" s="868"/>
      <c r="J76" s="868"/>
      <c r="K76" s="868"/>
      <c r="L76" s="868"/>
      <c r="M76" s="868"/>
      <c r="N76" s="868"/>
      <c r="O76" s="868"/>
      <c r="P76" s="868"/>
      <c r="Q76" s="868"/>
      <c r="R76" s="868"/>
      <c r="S76" s="868"/>
      <c r="T76" s="868"/>
      <c r="U76" s="868"/>
      <c r="V76" s="868"/>
      <c r="W76" s="868"/>
    </row>
  </sheetData>
  <sheetProtection formatCells="0" formatColumns="0" formatRows="0"/>
  <hyperlinks>
    <hyperlink ref="K32" location="'5a. Dashboard Total BC'!A1" display="'5a. Dashboard Total BC'!A1" xr:uid="{C068EF74-AC7C-4F22-97E2-3AAB34199ECA}"/>
    <hyperlink ref="L49" location="'5b. Dashboard Total Sc 1'!A1" display="'5b. Dashboard Total Sc 1'!A1" xr:uid="{47FF7EB7-3510-4F60-8C57-0C7F2CDECE29}"/>
    <hyperlink ref="L60" location="'5c. Dashboard Total Sc 2'!A1" display="'5c. Dashboard Total Sc 2'!A1" xr:uid="{E3D985C0-7B8E-4C7F-8817-5AFAE4EF3280}"/>
    <hyperlink ref="L68" location="'5d. Dashboard Total Sc 3'!A1" display="'5d. Dashboard Total Sc 3'!A1" xr:uid="{1434B511-327D-40EE-9CF1-41CD3D35F17D}"/>
    <hyperlink ref="L75" location="'5. Dashboard Live'!A1" display="'5. Dashboard Live'!A1" xr:uid="{0882375C-AC13-4EBA-B293-5180A5E525B9}"/>
  </hyperlinks>
  <pageMargins left="0.19" right="0.31" top="0.52" bottom="0.42" header="0.31496062992125984" footer="0.12"/>
  <pageSetup paperSize="9" scale="47" orientation="landscape" horizontalDpi="4294967295" verticalDpi="4294967295" r:id="rId1"/>
  <headerFooter>
    <oddFooter>&amp;R&amp;F &amp;A &amp;D 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0ADC-D6DD-4D34-91E3-172118C959C5}">
  <sheetPr codeName="Sheet5">
    <tabColor rgb="FF00FFFF"/>
  </sheetPr>
  <dimension ref="A1:CE241"/>
  <sheetViews>
    <sheetView showGridLines="0" zoomScale="65" zoomScaleNormal="65" zoomScaleSheetLayoutView="40" workbookViewId="0">
      <selection activeCell="D14" sqref="D14"/>
    </sheetView>
  </sheetViews>
  <sheetFormatPr defaultRowHeight="14.25" outlineLevelRow="1" outlineLevelCol="1" x14ac:dyDescent="0.45"/>
  <cols>
    <col min="1" max="1" width="1" customWidth="1"/>
    <col min="2" max="2" width="60.796875" customWidth="1"/>
    <col min="3" max="3" width="23.3320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8.73046875" customWidth="1" outlineLevel="1"/>
    <col min="27" max="27" width="13.53125" customWidth="1" outlineLevel="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C2" s="929" t="s">
        <v>1798</v>
      </c>
      <c r="D2" s="553"/>
      <c r="E2" s="553"/>
      <c r="F2" s="553"/>
      <c r="G2" s="553"/>
      <c r="H2" s="796"/>
      <c r="I2" s="948"/>
      <c r="AB2" s="803">
        <f>'9. Forecast Results'!AO19</f>
        <v>0</v>
      </c>
      <c r="AC2" s="803" t="str">
        <f>'9. Forecast Results'!AP19</f>
        <v>2013/14</v>
      </c>
      <c r="AD2" s="803" t="str">
        <f>'9. Forecast Results'!AQ19</f>
        <v>2014/15</v>
      </c>
      <c r="AE2" s="803" t="str">
        <f>'9. Forecast Results'!AR19</f>
        <v>2015/16</v>
      </c>
      <c r="AF2" s="803" t="str">
        <f>'9. Forecast Results'!AS19</f>
        <v>2016/17</v>
      </c>
      <c r="AG2" s="803" t="str">
        <f>'9. Forecast Results'!AT19</f>
        <v>2017/18</v>
      </c>
      <c r="AH2" s="803" t="str">
        <f>'9. Forecast Results'!AU19</f>
        <v>2018/19</v>
      </c>
      <c r="AI2" s="803" t="str">
        <f>'9. Forecast Results'!AV19</f>
        <v>2019/20</v>
      </c>
      <c r="AJ2" s="803" t="str">
        <f>'9. Forecast Results'!AW19</f>
        <v>2020/21</v>
      </c>
      <c r="AK2" s="803" t="str">
        <f>'9. Forecast Results'!AX19</f>
        <v>2021/22</v>
      </c>
      <c r="AL2" s="803" t="str">
        <f>'9. Forecast Results'!AY19</f>
        <v>2022/23</v>
      </c>
      <c r="AM2" s="803" t="str">
        <f>'9. Forecast Results'!AZ19</f>
        <v>2023/24</v>
      </c>
      <c r="AN2" s="803" t="str">
        <f>'9. Forecast Results'!BA19</f>
        <v>2024/25</v>
      </c>
      <c r="AO2" s="803" t="str">
        <f>'9. Forecast Results'!BB19</f>
        <v>2025/26</v>
      </c>
      <c r="AP2" s="803" t="str">
        <f>'9. Forecast Results'!BC19</f>
        <v>2026/27</v>
      </c>
      <c r="AQ2" s="803" t="str">
        <f>'9. Forecast Results'!BD19</f>
        <v>2027/28</v>
      </c>
      <c r="AR2" s="803" t="str">
        <f>'9. Forecast Results'!BE19</f>
        <v>2028/29</v>
      </c>
      <c r="AS2" s="803" t="str">
        <f>'9. Forecast Results'!BF19</f>
        <v>2029/30</v>
      </c>
      <c r="AT2" s="803" t="str">
        <f>'9. Forecast Results'!BG19</f>
        <v>2030/31</v>
      </c>
      <c r="AU2" s="803" t="str">
        <f>'9. Forecast Results'!BH19</f>
        <v>2031/32</v>
      </c>
      <c r="AV2" s="803" t="str">
        <f>'9. Forecast Results'!BI19</f>
        <v>3032/33</v>
      </c>
      <c r="AW2" s="803" t="str">
        <f>'9. Forecast Results'!BJ19</f>
        <v>2033/34</v>
      </c>
      <c r="AX2" s="803" t="str">
        <f>'9. Forecast Results'!BK19</f>
        <v>2034/35</v>
      </c>
      <c r="AY2" s="803" t="str">
        <f>'9. Forecast Results'!BL19</f>
        <v>2035/36</v>
      </c>
      <c r="AZ2" s="803" t="str">
        <f>'9. Forecast Results'!BM19</f>
        <v>2036/37</v>
      </c>
    </row>
    <row r="3" spans="1:83" x14ac:dyDescent="0.45">
      <c r="C3" s="1170" t="s">
        <v>1799</v>
      </c>
      <c r="H3" s="932"/>
      <c r="AB3" s="803" t="str">
        <f>'9. Forecast Results'!AO20</f>
        <v>Net Deficit funded by HSDG Top Slice</v>
      </c>
      <c r="AC3" s="1105">
        <f>'9. Forecast Results'!AP20</f>
        <v>-9354796.4700000007</v>
      </c>
      <c r="AD3" s="1105">
        <f>'9. Forecast Results'!AQ20</f>
        <v>-10229237.26</v>
      </c>
      <c r="AE3" s="1105">
        <f>'9. Forecast Results'!AR20</f>
        <v>-10415188.16</v>
      </c>
      <c r="AF3" s="1105">
        <f>'9. Forecast Results'!AS20</f>
        <v>-9050671.484040793</v>
      </c>
      <c r="AG3" s="1105">
        <f>'9. Forecast Results'!AT20</f>
        <v>-7276268.3573198924</v>
      </c>
      <c r="AH3" s="1105">
        <f>'9. Forecast Results'!AU20</f>
        <v>-5272498.0344495559</v>
      </c>
      <c r="AI3" s="1105">
        <f>'9. Forecast Results'!AV20</f>
        <v>-5562124.3240768462</v>
      </c>
      <c r="AJ3" s="1105">
        <f>'9. Forecast Results'!AW20</f>
        <v>-5535382.1975866212</v>
      </c>
      <c r="AK3" s="1105">
        <f>'9. Forecast Results'!AX20</f>
        <v>-5487924.873524704</v>
      </c>
      <c r="AL3" s="1105">
        <f>'9. Forecast Results'!AY20</f>
        <v>-5417569.3500243956</v>
      </c>
      <c r="AM3" s="1105">
        <f>'9. Forecast Results'!AZ20</f>
        <v>-5321955.1584863178</v>
      </c>
      <c r="AN3" s="1105">
        <f>'9. Forecast Results'!BA20</f>
        <v>-5198531.4458184605</v>
      </c>
      <c r="AO3" s="1105">
        <f>'9. Forecast Results'!BB20</f>
        <v>-5044543.1725595053</v>
      </c>
      <c r="AP3" s="1105">
        <f>'9. Forecast Results'!BC20</f>
        <v>-4857016.3687088052</v>
      </c>
      <c r="AQ3" s="1105">
        <f>'9. Forecast Results'!BD20</f>
        <v>-4632742.3853614368</v>
      </c>
      <c r="AR3" s="1105">
        <f>'9. Forecast Results'!BE20</f>
        <v>-4368261.0762879653</v>
      </c>
      <c r="AS3" s="1105">
        <f>'9. Forecast Results'!BF20</f>
        <v>-4059842.8393917042</v>
      </c>
      <c r="AT3" s="1105">
        <f>'9. Forecast Results'!BG20</f>
        <v>-3703469.4435056476</v>
      </c>
      <c r="AU3" s="1105">
        <f>'9. Forecast Results'!BH20</f>
        <v>-3294813.561241088</v>
      </c>
      <c r="AV3" s="1105">
        <f>'9. Forecast Results'!BI20</f>
        <v>-2829216.9235524968</v>
      </c>
      <c r="AW3" s="1105">
        <f>'9. Forecast Results'!BJ20</f>
        <v>-2301667.0063206377</v>
      </c>
      <c r="AX3" s="1105">
        <f>'9. Forecast Results'!BK20</f>
        <v>-1706772.1535583164</v>
      </c>
      <c r="AY3" s="1105">
        <f>'9. Forecast Results'!BL20</f>
        <v>0</v>
      </c>
      <c r="AZ3" s="1105">
        <f>'9. Forecast Results'!BM20</f>
        <v>0</v>
      </c>
    </row>
    <row r="4" spans="1:83" x14ac:dyDescent="0.45">
      <c r="C4" s="1170" t="s">
        <v>1800</v>
      </c>
      <c r="D4" s="4"/>
      <c r="G4" s="4"/>
      <c r="H4" s="1171"/>
      <c r="AB4" s="803" t="str">
        <f>'9. Forecast Results'!AO21</f>
        <v>EEDBS utilised to settle Existing Sales Debtors Balances Owing</v>
      </c>
      <c r="AC4" s="1105">
        <f>'9. Forecast Results'!AP21</f>
        <v>-5576064</v>
      </c>
      <c r="AD4" s="1105">
        <f>'9. Forecast Results'!AQ21</f>
        <v>-1243913</v>
      </c>
      <c r="AE4" s="1105">
        <f>'9. Forecast Results'!AR21</f>
        <v>-313420</v>
      </c>
      <c r="AF4" s="1105">
        <f>'9. Forecast Results'!AS21</f>
        <v>-210409.8845669291</v>
      </c>
      <c r="AG4" s="1105">
        <f>'9. Forecast Results'!AT21</f>
        <v>-210409.8845669291</v>
      </c>
      <c r="AH4" s="1105">
        <f>'9. Forecast Results'!AU21</f>
        <v>-210409.8845669291</v>
      </c>
      <c r="AI4" s="1105">
        <f>'9. Forecast Results'!AV21</f>
        <v>-23378.876062992123</v>
      </c>
      <c r="AJ4" s="1105">
        <f>'9. Forecast Results'!AW21</f>
        <v>-23378.876062992123</v>
      </c>
      <c r="AK4" s="1105">
        <f>'9. Forecast Results'!AX21</f>
        <v>-23378.876062992123</v>
      </c>
      <c r="AL4" s="1105">
        <f>'9. Forecast Results'!AY21</f>
        <v>-23378.876062992123</v>
      </c>
      <c r="AM4" s="1105">
        <f>'9. Forecast Results'!AZ21</f>
        <v>-23378.876062992123</v>
      </c>
      <c r="AN4" s="1105">
        <f>'9. Forecast Results'!BA21</f>
        <v>-23378.876062992123</v>
      </c>
      <c r="AO4" s="1105">
        <f>'9. Forecast Results'!BB21</f>
        <v>-23378.876062992123</v>
      </c>
      <c r="AP4" s="1105">
        <f>'9. Forecast Results'!BC21</f>
        <v>-23378.876062992123</v>
      </c>
      <c r="AQ4" s="1105">
        <f>'9. Forecast Results'!BD21</f>
        <v>-23378.876062992123</v>
      </c>
      <c r="AR4" s="1105">
        <f>'9. Forecast Results'!BE21</f>
        <v>-23378.876062992123</v>
      </c>
      <c r="AS4" s="1105">
        <f>'9. Forecast Results'!BF21</f>
        <v>-23378.876062992123</v>
      </c>
      <c r="AT4" s="1105">
        <f>'9. Forecast Results'!BG21</f>
        <v>-23378.876062992123</v>
      </c>
      <c r="AU4" s="1105">
        <f>'9. Forecast Results'!BH21</f>
        <v>-23378.876062992123</v>
      </c>
      <c r="AV4" s="1105">
        <f>'9. Forecast Results'!BI21</f>
        <v>-23378.876062992123</v>
      </c>
      <c r="AW4" s="1105">
        <f>'9. Forecast Results'!BJ21</f>
        <v>-23378.876062992123</v>
      </c>
      <c r="AX4" s="1105">
        <f>'9. Forecast Results'!BK21</f>
        <v>-23378.876062992123</v>
      </c>
      <c r="AY4" s="1105">
        <f>'9. Forecast Results'!BL21</f>
        <v>-15759591.013178613</v>
      </c>
      <c r="AZ4" s="1105">
        <f>'9. Forecast Results'!BM21</f>
        <v>0</v>
      </c>
    </row>
    <row r="5" spans="1:83" x14ac:dyDescent="0.45">
      <c r="C5" s="1170" t="s">
        <v>1801</v>
      </c>
      <c r="D5" s="4"/>
      <c r="G5" s="4"/>
      <c r="H5" s="1172"/>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155" t="s">
        <v>1</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155"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155" t="s">
        <v>1318</v>
      </c>
    </row>
    <row r="14" spans="1:83" x14ac:dyDescent="0.45">
      <c r="B14" s="304"/>
      <c r="C14" s="1321"/>
      <c r="E14" s="1338" t="s">
        <v>1794</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322" t="str">
        <f>$C$12&amp;" "&amp;$C$13</f>
        <v>EC BC</v>
      </c>
      <c r="E15" s="1274" t="str">
        <f>$C$12&amp;" "&amp;'14. Permanent Info'!$D$7</f>
        <v>EC BC</v>
      </c>
      <c r="F15" s="1274" t="str">
        <f>$C$12&amp;" "&amp;'14. Permanent Info'!$D$8</f>
        <v>EC Sc1</v>
      </c>
      <c r="G15" s="1274" t="str">
        <f>$C$12&amp;" "&amp;'14. Permanent Info'!$D$9</f>
        <v>EC Sc2</v>
      </c>
      <c r="H15" s="1274" t="str">
        <f>$C$12&amp;" "&amp;'14. Permanent Info'!$D$10</f>
        <v>EC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156">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Live'!C16,0)))))</f>
        <v>17</v>
      </c>
      <c r="CB16" s="17">
        <v>17</v>
      </c>
      <c r="CC16" s="17">
        <v>5</v>
      </c>
      <c r="CD16" s="17">
        <v>2</v>
      </c>
      <c r="CE16" s="17">
        <v>1</v>
      </c>
    </row>
    <row r="17" spans="1:83" ht="15.75" x14ac:dyDescent="0.45">
      <c r="B17" s="964" t="s">
        <v>1774</v>
      </c>
      <c r="C17" s="1157"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Live'!C17,0)))))</f>
        <v>Existing</v>
      </c>
      <c r="CB17" s="1032" t="s">
        <v>1435</v>
      </c>
      <c r="CC17" s="1032" t="s">
        <v>1437</v>
      </c>
      <c r="CD17" s="1032" t="s">
        <v>1435</v>
      </c>
      <c r="CE17" s="1032" t="s">
        <v>1435</v>
      </c>
    </row>
    <row r="18" spans="1:83" ht="15.75" x14ac:dyDescent="0.45">
      <c r="B18" s="964" t="s">
        <v>1426</v>
      </c>
      <c r="C18" s="1157"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Live'!C18,0)))))</f>
        <v>None</v>
      </c>
      <c r="CB18" s="1032" t="s">
        <v>1436</v>
      </c>
      <c r="CC18" s="1032" t="s">
        <v>1436</v>
      </c>
      <c r="CD18" s="1032" t="s">
        <v>1436</v>
      </c>
      <c r="CE18" s="1032" t="s">
        <v>1436</v>
      </c>
    </row>
    <row r="19" spans="1:83" ht="15.75" x14ac:dyDescent="0.45">
      <c r="B19" s="964" t="s">
        <v>1446</v>
      </c>
      <c r="C19" s="1158"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Live'!C19,0)))))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EC BC</v>
      </c>
      <c r="D24" s="553"/>
      <c r="E24" s="1294" t="str">
        <f>E15</f>
        <v>EC BC</v>
      </c>
      <c r="F24" s="1294" t="str">
        <f>F15</f>
        <v>EC Sc1</v>
      </c>
      <c r="G24" s="1294" t="str">
        <f>G15</f>
        <v>EC Sc2</v>
      </c>
      <c r="H24" s="1294" t="str">
        <f>H15</f>
        <v>EC Sc3</v>
      </c>
      <c r="I24" s="4"/>
      <c r="J24" s="4"/>
      <c r="K24" s="4"/>
      <c r="L24" s="4"/>
      <c r="M24" s="4"/>
      <c r="N24" s="4"/>
      <c r="O24" s="4"/>
      <c r="P24" s="4"/>
      <c r="Q24" s="4"/>
      <c r="R24" s="4"/>
      <c r="S24" s="4"/>
      <c r="T24" s="4"/>
      <c r="U24" s="4"/>
      <c r="V24" s="4"/>
      <c r="W24" s="4"/>
    </row>
    <row r="25" spans="1:83" x14ac:dyDescent="0.45">
      <c r="B25" s="1260" t="str">
        <f>B136</f>
        <v>Income (=Rent &amp; Sales Income)</v>
      </c>
      <c r="C25" s="1296">
        <f>$F$136</f>
        <v>3513640.4406654779</v>
      </c>
      <c r="D25" s="558"/>
      <c r="E25" s="1296">
        <f>IF(E$15='5. Dashboard Total'!E$15,'5. Dashboard Total'!E25,IF(E$15='5. Dashboard EC'!E$15,'5. Dashboard EC'!E25,IF(E$15='5. Dashboard FS'!E15,'5. Dashboard FS'!E25,IF(E$15='5. Dashboard Gau'!E$15,'5. Dashboard Gau'!E25,IF(E$15='5. Dashboard WC'!E15,'5. Dashboard WC'!E25,0)))))</f>
        <v>3513640.4406654779</v>
      </c>
      <c r="F25" s="1296">
        <f>IF(F$15='5. Dashboard Total'!F$15,'5. Dashboard Total'!F25,IF(F$15='5. Dashboard EC'!F$15,'5. Dashboard EC'!F25,IF(F$15='5. Dashboard FS'!F15,'5. Dashboard FS'!F25,IF(F$15='5. Dashboard Gau'!F$15,'5. Dashboard Gau'!F25,IF(F$15='5. Dashboard WC'!F15,'5. Dashboard WC'!F25,0)))))</f>
        <v>2925520.4362210371</v>
      </c>
      <c r="G25" s="1296">
        <f>IF(G$15='5. Dashboard Total'!G$15,'5. Dashboard Total'!G25,IF(G$15='5. Dashboard EC'!G$15,'5. Dashboard EC'!G25,IF(G$15='5. Dashboard FS'!G15,'5. Dashboard FS'!G25,IF(G$15='5. Dashboard Gau'!G$15,'5. Dashboard Gau'!G25,IF(G$15='5. Dashboard WC'!G15,'5. Dashboard WC'!G25,0)))))</f>
        <v>2771230.5562210367</v>
      </c>
      <c r="H25" s="1297">
        <f>IF(H$15='5. Dashboard Total'!H$15,'5. Dashboard Total'!H25,IF(H$15='5. Dashboard EC'!H$15,'5. Dashboard EC'!H25,IF(H$15='5. Dashboard FS'!H15,'5. Dashboard FS'!H25,IF(H$15='5. Dashboard Gau'!H$15,'5. Dashboard Gau'!H25,IF(H$15='5. Dashboard WC'!H15,'5. Dashboard WC'!H25,0)))))</f>
        <v>2771230.5562210367</v>
      </c>
      <c r="I25" s="4"/>
      <c r="J25" s="4"/>
      <c r="K25" s="4"/>
      <c r="L25" s="4"/>
      <c r="M25" s="4"/>
      <c r="N25" s="4"/>
      <c r="O25" s="4"/>
      <c r="P25" s="4"/>
      <c r="Q25" s="4"/>
      <c r="R25" s="4"/>
      <c r="S25" s="4"/>
      <c r="T25" s="4"/>
      <c r="U25" s="4"/>
      <c r="V25" s="4"/>
      <c r="W25" s="4"/>
    </row>
    <row r="26" spans="1:83" x14ac:dyDescent="0.45">
      <c r="B26" s="1260" t="str">
        <f>B137</f>
        <v>Costs/Expenses</v>
      </c>
      <c r="C26" s="1296">
        <f>$F$137</f>
        <v>94406766.299476683</v>
      </c>
      <c r="D26" s="558"/>
      <c r="E26" s="1296">
        <f>IF(E$15='5. Dashboard Total'!E$15,'5. Dashboard Total'!E26,IF(E$15='5. Dashboard EC'!E$15,'5. Dashboard EC'!E26,IF(E$15='5. Dashboard FS'!E16,'5. Dashboard FS'!E26,IF(E$15='5. Dashboard Gau'!E$15,'5. Dashboard Gau'!E26,IF(E$15='5. Dashboard WC'!E16,'5. Dashboard WC'!E26,0)))))</f>
        <v>94406766.299476683</v>
      </c>
      <c r="F26" s="1296">
        <f>IF(F$15='5. Dashboard Total'!F$15,'5. Dashboard Total'!F26,IF(F$15='5. Dashboard EC'!F$15,'5. Dashboard EC'!F26,IF(F$15='5. Dashboard FS'!F16,'5. Dashboard FS'!F26,IF(F$15='5. Dashboard Gau'!F$15,'5. Dashboard Gau'!F26,IF(F$15='5. Dashboard WC'!F16,'5. Dashboard WC'!F26,0)))))</f>
        <v>33202836.090521365</v>
      </c>
      <c r="G26" s="1296">
        <f>IF(G$15='5. Dashboard Total'!G$15,'5. Dashboard Total'!G26,IF(G$15='5. Dashboard EC'!G$15,'5. Dashboard EC'!G26,IF(G$15='5. Dashboard FS'!G16,'5. Dashboard FS'!G26,IF(G$15='5. Dashboard Gau'!G$15,'5. Dashboard Gau'!G26,IF(G$15='5. Dashboard WC'!G16,'5. Dashboard WC'!G26,0)))))</f>
        <v>23757018.472657543</v>
      </c>
      <c r="H26" s="1298">
        <f>IF(H$15='5. Dashboard Total'!H$15,'5. Dashboard Total'!H26,IF(H$15='5. Dashboard EC'!H$15,'5. Dashboard EC'!H26,IF(H$15='5. Dashboard FS'!H16,'5. Dashboard FS'!H26,IF(H$15='5. Dashboard Gau'!H$15,'5. Dashboard Gau'!H26,IF(H$15='5. Dashboard WC'!H16,'5. Dashboard WC'!H26,0)))))</f>
        <v>23716335.564042866</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$F$146</f>
        <v>90893125.8588112</v>
      </c>
      <c r="D27" s="558"/>
      <c r="E27" s="1299">
        <f>IF(E$15='5. Dashboard Total'!E$15,'5. Dashboard Total'!E27,IF(E$15='5. Dashboard EC'!E$15,'5. Dashboard EC'!E27,IF(E$15='5. Dashboard FS'!E17,'5. Dashboard FS'!E27,IF(E$15='5. Dashboard Gau'!E$15,'5. Dashboard Gau'!E27,IF(E$15='5. Dashboard WC'!E17,'5. Dashboard WC'!E27,0)))))</f>
        <v>90893125.8588112</v>
      </c>
      <c r="F27" s="1299">
        <f>IF(F$15='5. Dashboard Total'!F$15,'5. Dashboard Total'!F27,IF(F$15='5. Dashboard EC'!F$15,'5. Dashboard EC'!F27,IF(F$15='5. Dashboard FS'!F17,'5. Dashboard FS'!F27,IF(F$15='5. Dashboard Gau'!F$15,'5. Dashboard Gau'!F27,IF(F$15='5. Dashboard WC'!F17,'5. Dashboard WC'!F27,0)))))</f>
        <v>30277315.654300328</v>
      </c>
      <c r="G27" s="1299">
        <f>IF(G$15='5. Dashboard Total'!G$15,'5. Dashboard Total'!G27,IF(G$15='5. Dashboard EC'!G$15,'5. Dashboard EC'!G27,IF(G$15='5. Dashboard FS'!G17,'5. Dashboard FS'!G27,IF(G$15='5. Dashboard Gau'!G$15,'5. Dashboard Gau'!G27,IF(G$15='5. Dashboard WC'!G17,'5. Dashboard WC'!G27,0)))))</f>
        <v>20985787.916436505</v>
      </c>
      <c r="H27" s="1297">
        <f>IF(H$15='5. Dashboard Total'!H$15,'5. Dashboard Total'!H27,IF(H$15='5. Dashboard EC'!H$15,'5. Dashboard EC'!H27,IF(H$15='5. Dashboard FS'!H17,'5. Dashboard FS'!H27,IF(H$15='5. Dashboard Gau'!H$15,'5. Dashboard Gau'!H27,IF(H$15='5. Dashboard WC'!H17,'5. Dashboard WC'!H27,0)))))</f>
        <v>20945105.007821828</v>
      </c>
      <c r="I27" s="4"/>
      <c r="J27" s="4"/>
      <c r="K27" s="4"/>
      <c r="L27" s="4"/>
      <c r="M27" s="4"/>
      <c r="N27" s="4"/>
      <c r="O27" s="4"/>
      <c r="P27" s="4"/>
      <c r="Q27" s="4"/>
      <c r="R27" s="4"/>
      <c r="S27" s="4"/>
      <c r="T27" s="4"/>
      <c r="U27" s="4"/>
      <c r="V27" s="4"/>
      <c r="W27" s="4"/>
    </row>
    <row r="28" spans="1:83" x14ac:dyDescent="0.45">
      <c r="B28" s="1260" t="str">
        <f>B150</f>
        <v>Total EEDBS utilised</v>
      </c>
      <c r="C28" s="1296">
        <f>$F$150</f>
        <v>16764882.683887275</v>
      </c>
      <c r="D28" s="558"/>
      <c r="E28" s="1296">
        <f>IF(E$15='5. Dashboard Total'!E$15,'5. Dashboard Total'!E28,IF(E$15='5. Dashboard EC'!E$15,'5. Dashboard EC'!E28,IF(E$15='5. Dashboard FS'!E18,'5. Dashboard FS'!E28,IF(E$15='5. Dashboard Gau'!E$15,'5. Dashboard Gau'!E28,IF(E$15='5. Dashboard WC'!E18,'5. Dashboard WC'!E28,0)))))</f>
        <v>16764882.683887275</v>
      </c>
      <c r="F28" s="1296">
        <f>IF(F$15='5. Dashboard Total'!F$15,'5. Dashboard Total'!F28,IF(F$15='5. Dashboard EC'!F$15,'5. Dashboard EC'!F28,IF(F$15='5. Dashboard FS'!F18,'5. Dashboard FS'!F28,IF(F$15='5. Dashboard Gau'!F$15,'5. Dashboard Gau'!F28,IF(F$15='5. Dashboard WC'!F18,'5. Dashboard WC'!F28,0)))))</f>
        <v>16764882.683887277</v>
      </c>
      <c r="G28" s="1296">
        <f>IF(G$15='5. Dashboard Total'!G$15,'5. Dashboard Total'!G28,IF(G$15='5. Dashboard EC'!G$15,'5. Dashboard EC'!G28,IF(G$15='5. Dashboard FS'!G18,'5. Dashboard FS'!G28,IF(G$15='5. Dashboard Gau'!G$15,'5. Dashboard Gau'!G28,IF(G$15='5. Dashboard WC'!G18,'5. Dashboard WC'!G28,0)))))</f>
        <v>16764882.683887275</v>
      </c>
      <c r="H28" s="1298">
        <f>IF(H$15='5. Dashboard Total'!H$15,'5. Dashboard Total'!H28,IF(H$15='5. Dashboard EC'!H$15,'5. Dashboard EC'!H28,IF(H$15='5. Dashboard FS'!H18,'5. Dashboard FS'!H28,IF(H$15='5. Dashboard Gau'!H$15,'5. Dashboard Gau'!H28,IF(H$15='5. Dashboard WC'!H18,'5. Dashboard WC'!H28,0)))))</f>
        <v>16764882.683887275</v>
      </c>
      <c r="I28" s="4"/>
      <c r="J28" s="4"/>
      <c r="K28" s="4"/>
      <c r="L28" s="4"/>
      <c r="M28" s="4"/>
      <c r="N28" s="4"/>
      <c r="O28" s="4"/>
      <c r="P28" s="4"/>
      <c r="Q28" s="4"/>
      <c r="R28" s="4"/>
      <c r="S28" s="4"/>
      <c r="T28" s="4"/>
      <c r="U28" s="4"/>
      <c r="V28" s="4"/>
      <c r="W28" s="4"/>
    </row>
    <row r="29" spans="1:83" x14ac:dyDescent="0.45">
      <c r="B29" s="1263" t="s">
        <v>1768</v>
      </c>
      <c r="C29" s="1300">
        <f>SUM(C27:C28)</f>
        <v>107658008.54269847</v>
      </c>
      <c r="D29" s="558"/>
      <c r="E29" s="1300">
        <f>IF(E$15='5. Dashboard Total'!E$15,'5. Dashboard Total'!E29,IF(E$15='5. Dashboard EC'!E$15,'5. Dashboard EC'!E29,IF(E$15='5. Dashboard FS'!E19,'5. Dashboard FS'!E29,IF(E$15='5. Dashboard Gau'!E$15,'5. Dashboard Gau'!E29,IF(E$15='5. Dashboard WC'!E19,'5. Dashboard WC'!E29,0)))))</f>
        <v>107658008.54269847</v>
      </c>
      <c r="F29" s="1300">
        <f>IF(F$15='5. Dashboard Total'!F$15,'5. Dashboard Total'!F29,IF(F$15='5. Dashboard EC'!F$15,'5. Dashboard EC'!F29,IF(F$15='5. Dashboard FS'!F19,'5. Dashboard FS'!F29,IF(F$15='5. Dashboard Gau'!F$15,'5. Dashboard Gau'!F29,IF(F$15='5. Dashboard WC'!F19,'5. Dashboard WC'!F29,0)))))</f>
        <v>47042198.338187605</v>
      </c>
      <c r="G29" s="1300">
        <f>IF(G$15='5. Dashboard Total'!G$15,'5. Dashboard Total'!G29,IF(G$15='5. Dashboard EC'!G$15,'5. Dashboard EC'!G29,IF(G$15='5. Dashboard FS'!G19,'5. Dashboard FS'!G29,IF(G$15='5. Dashboard Gau'!G$15,'5. Dashboard Gau'!G29,IF(G$15='5. Dashboard WC'!G19,'5. Dashboard WC'!G29,0)))))</f>
        <v>37750670.600323781</v>
      </c>
      <c r="H29" s="1301">
        <f>IF(H$15='5. Dashboard Total'!H$15,'5. Dashboard Total'!H29,IF(H$15='5. Dashboard EC'!H$15,'5. Dashboard EC'!H29,IF(H$15='5. Dashboard FS'!H19,'5. Dashboard FS'!H29,IF(H$15='5. Dashboard Gau'!H$15,'5. Dashboard Gau'!H29,IF(H$15='5. Dashboard WC'!H19,'5. Dashboard WC'!H29,0)))))</f>
        <v>37709987.691709101</v>
      </c>
      <c r="I29" s="4"/>
      <c r="J29" s="4"/>
      <c r="K29" s="4"/>
      <c r="L29" s="4"/>
      <c r="M29" s="4"/>
      <c r="N29" s="4"/>
      <c r="O29" s="4"/>
      <c r="P29" s="4"/>
      <c r="Q29" s="4"/>
      <c r="R29" s="4"/>
      <c r="S29" s="4"/>
      <c r="T29" s="4"/>
      <c r="U29" s="4"/>
      <c r="V29" s="4"/>
      <c r="W29" s="4"/>
    </row>
    <row r="30" spans="1:83" x14ac:dyDescent="0.45">
      <c r="B30" s="1276" t="str">
        <f>B157</f>
        <v>Total HSDG &amp; EEDBS per Base Case</v>
      </c>
      <c r="C30" s="1302">
        <f>$F$157</f>
        <v>107686152.83970247</v>
      </c>
      <c r="D30" s="558"/>
      <c r="E30" s="1302">
        <f>IF(E$15='5. Dashboard Total'!E$15,'5. Dashboard Total'!E30,IF(E$15='5. Dashboard EC'!E$15,'5. Dashboard EC'!E30,IF(E$15='5. Dashboard FS'!E20,'5. Dashboard FS'!E30,IF(E$15='5. Dashboard Gau'!E$15,'5. Dashboard Gau'!E30,IF(E$15='5. Dashboard WC'!E20,'5. Dashboard WC'!E30,0)))))</f>
        <v>107686152.83970247</v>
      </c>
      <c r="F30" s="1302">
        <f>IF(F$15='5. Dashboard Total'!F$15,'5. Dashboard Total'!F30,IF(F$15='5. Dashboard EC'!F$15,'5. Dashboard EC'!F30,IF(F$15='5. Dashboard FS'!F20,'5. Dashboard FS'!F30,IF(F$15='5. Dashboard Gau'!F$15,'5. Dashboard Gau'!F30,IF(F$15='5. Dashboard WC'!F20,'5. Dashboard WC'!F30,0)))))</f>
        <v>107686152.83970247</v>
      </c>
      <c r="G30" s="1302">
        <f>IF(G$15='5. Dashboard Total'!G$15,'5. Dashboard Total'!G30,IF(G$15='5. Dashboard EC'!G$15,'5. Dashboard EC'!G30,IF(G$15='5. Dashboard FS'!G20,'5. Dashboard FS'!G30,IF(G$15='5. Dashboard Gau'!G$15,'5. Dashboard Gau'!G30,IF(G$15='5. Dashboard WC'!G20,'5. Dashboard WC'!G30,0)))))</f>
        <v>107686152.83970247</v>
      </c>
      <c r="H30" s="1303">
        <f>IF(H$15='5. Dashboard Total'!H$15,'5. Dashboard Total'!H30,IF(H$15='5. Dashboard EC'!H$15,'5. Dashboard EC'!H30,IF(H$15='5. Dashboard FS'!H20,'5. Dashboard FS'!H30,IF(H$15='5. Dashboard Gau'!H$15,'5. Dashboard Gau'!H30,IF(H$15='5. Dashboard WC'!H20,'5. Dashboard WC'!H30,0)))))</f>
        <v>107686152.83970247</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C29-$E29</f>
        <v>0</v>
      </c>
      <c r="D31" s="1304"/>
      <c r="E31" s="1293">
        <f>IF(E$15='5. Dashboard Total'!E$15,'5. Dashboard Total'!E31,IF(E$15='5. Dashboard EC'!E$15,'5. Dashboard EC'!E31,IF(E$15='5. Dashboard FS'!E21,'5. Dashboard FS'!E31,IF(E$15='5. Dashboard Gau'!E$15,'5. Dashboard Gau'!E31,IF(E$15='5. Dashboard WC'!E21,'5. Dashboard WC'!E31,0)))))</f>
        <v>0</v>
      </c>
      <c r="F31" s="1293">
        <f>IF(F$15='5. Dashboard Total'!F$15,'5. Dashboard Total'!F31,IF(F$15='5. Dashboard EC'!F$15,'5. Dashboard EC'!F31,IF(F$15='5. Dashboard FS'!F21,'5. Dashboard FS'!F31,IF(F$15='5. Dashboard Gau'!F$15,'5. Dashboard Gau'!F31,IF(F$15='5. Dashboard WC'!F21,'5. Dashboard WC'!F31,0)))))</f>
        <v>-60615810.204510868</v>
      </c>
      <c r="G31" s="1293">
        <f>IF(G$15='5. Dashboard Total'!G$15,'5. Dashboard Total'!G31,IF(G$15='5. Dashboard EC'!G$15,'5. Dashboard EC'!G31,IF(G$15='5. Dashboard FS'!G21,'5. Dashboard FS'!G31,IF(G$15='5. Dashboard Gau'!G$15,'5. Dashboard Gau'!G31,IF(G$15='5. Dashboard WC'!G21,'5. Dashboard WC'!G31,0)))))</f>
        <v>-69907337.942374691</v>
      </c>
      <c r="H31" s="1295">
        <f>IF(H$15='5. Dashboard Total'!H$15,'5. Dashboard Total'!H31,IF(H$15='5. Dashboard EC'!H$15,'5. Dashboard EC'!H31,IF(H$15='5. Dashboard FS'!H21,'5. Dashboard FS'!H31,IF(H$15='5. Dashboard Gau'!H$15,'5. Dashboard Gau'!H31,IF(H$15='5. Dashboard WC'!H21,'5. Dashboard WC'!H31,0)))))</f>
        <v>-69948020.850989372</v>
      </c>
      <c r="I31" s="4"/>
      <c r="J31" s="4"/>
      <c r="K31" s="4"/>
      <c r="L31" s="4"/>
      <c r="M31" s="4"/>
      <c r="N31" s="4"/>
      <c r="O31" s="4"/>
      <c r="P31" s="4"/>
      <c r="Q31" s="4"/>
      <c r="R31" s="4"/>
      <c r="S31" s="4"/>
      <c r="T31" s="4"/>
      <c r="U31" s="4"/>
      <c r="V31" s="4"/>
      <c r="W31" s="4"/>
    </row>
    <row r="32" spans="1:83" x14ac:dyDescent="0.45">
      <c r="B32" s="1260" t="s">
        <v>155</v>
      </c>
      <c r="C32" s="1305">
        <f>$F$147</f>
        <v>90</v>
      </c>
      <c r="D32" s="558"/>
      <c r="E32" s="1305">
        <f>IF(E$15='5. Dashboard Total'!E$15,'5. Dashboard Total'!E32,IF(E$15='5. Dashboard EC'!E$15,'5. Dashboard EC'!E32,IF(E$15='5. Dashboard FS'!E22,'5. Dashboard FS'!E32,IF(E$15='5. Dashboard Gau'!E$15,'5. Dashboard Gau'!E32,IF(E$15='5. Dashboard WC'!E22,'5. Dashboard WC'!E32,0)))))</f>
        <v>90</v>
      </c>
      <c r="F32" s="1305">
        <f>IF(F$15='5. Dashboard Total'!F$15,'5. Dashboard Total'!F32,IF(F$15='5. Dashboard EC'!F$15,'5. Dashboard EC'!F32,IF(F$15='5. Dashboard FS'!F22,'5. Dashboard FS'!F32,IF(F$15='5. Dashboard Gau'!F$15,'5. Dashboard Gau'!F32,IF(F$15='5. Dashboard WC'!F22,'5. Dashboard WC'!F32,0)))))</f>
        <v>90</v>
      </c>
      <c r="G32" s="1305">
        <f>IF(G$15='5. Dashboard Total'!G$15,'5. Dashboard Total'!G32,IF(G$15='5. Dashboard EC'!G$15,'5. Dashboard EC'!G32,IF(G$15='5. Dashboard FS'!G22,'5. Dashboard FS'!G32,IF(G$15='5. Dashboard Gau'!G$15,'5. Dashboard Gau'!G32,IF(G$15='5. Dashboard WC'!G22,'5. Dashboard WC'!G32,0)))))</f>
        <v>90</v>
      </c>
      <c r="H32" s="1306">
        <f>IF(H$15='5. Dashboard Total'!H$15,'5. Dashboard Total'!H32,IF(H$15='5. Dashboard EC'!H$15,'5. Dashboard EC'!H32,IF(H$15='5. Dashboard FS'!H22,'5. Dashboard FS'!H32,IF(H$15='5. Dashboard Gau'!H$15,'5. Dashboard Gau'!H32,IF(H$15='5. Dashboard WC'!H22,'5. Dashboard WC'!H32,0)))))</f>
        <v>90</v>
      </c>
      <c r="I32" s="4"/>
      <c r="J32" s="4"/>
      <c r="K32" s="4"/>
      <c r="L32" s="4"/>
      <c r="M32" s="4"/>
      <c r="N32" s="4"/>
      <c r="O32" s="4"/>
      <c r="P32" s="4"/>
      <c r="Q32" s="4"/>
      <c r="R32" s="4"/>
      <c r="S32" s="4"/>
      <c r="T32" s="4"/>
      <c r="U32" s="4"/>
      <c r="V32" s="4"/>
      <c r="W32" s="4"/>
    </row>
    <row r="33" spans="1:83" x14ac:dyDescent="0.45">
      <c r="B33" s="1264" t="str">
        <f>B151</f>
        <v>EEDBS per Existing Rental Unit</v>
      </c>
      <c r="C33" s="1296">
        <f>$F$151</f>
        <v>186276.47426541417</v>
      </c>
      <c r="D33" s="558"/>
      <c r="E33" s="1296">
        <f>IF(E$15='5. Dashboard Total'!E$15,'5. Dashboard Total'!E33,IF(E$15='5. Dashboard EC'!E$15,'5. Dashboard EC'!E33,IF(E$15='5. Dashboard FS'!E23,'5. Dashboard FS'!E33,IF(E$15='5. Dashboard Gau'!E$15,'5. Dashboard Gau'!E33,IF(E$15='5. Dashboard WC'!E23,'5. Dashboard WC'!E33,0)))))</f>
        <v>186276.47426541417</v>
      </c>
      <c r="F33" s="1296">
        <f>IF(F$15='5. Dashboard Total'!F$15,'5. Dashboard Total'!F33,IF(F$15='5. Dashboard EC'!F$15,'5. Dashboard EC'!F33,IF(F$15='5. Dashboard FS'!F23,'5. Dashboard FS'!F33,IF(F$15='5. Dashboard Gau'!F$15,'5. Dashboard Gau'!F33,IF(F$15='5. Dashboard WC'!F23,'5. Dashboard WC'!F33,0)))))</f>
        <v>186276.47426541417</v>
      </c>
      <c r="G33" s="1296">
        <f>IF(G$15='5. Dashboard Total'!G$15,'5. Dashboard Total'!G33,IF(G$15='5. Dashboard EC'!G$15,'5. Dashboard EC'!G33,IF(G$15='5. Dashboard FS'!G23,'5. Dashboard FS'!G33,IF(G$15='5. Dashboard Gau'!G$15,'5. Dashboard Gau'!G33,IF(G$15='5. Dashboard WC'!G23,'5. Dashboard WC'!G33,0)))))</f>
        <v>186276.47426541417</v>
      </c>
      <c r="H33" s="1298">
        <f>IF(H$15='5. Dashboard Total'!H$15,'5. Dashboard Total'!H33,IF(H$15='5. Dashboard EC'!H$15,'5. Dashboard EC'!H33,IF(H$15='5. Dashboard FS'!H23,'5. Dashboard FS'!H33,IF(H$15='5. Dashboard Gau'!H$15,'5. Dashboard Gau'!H33,IF(H$15='5. Dashboard WC'!H23,'5. Dashboard WC'!H33,0)))))</f>
        <v>186276.47426541417</v>
      </c>
      <c r="I33" s="4"/>
      <c r="J33" s="4"/>
      <c r="K33" s="4"/>
      <c r="L33" s="4"/>
      <c r="M33" s="4"/>
      <c r="N33" s="4"/>
      <c r="O33" s="4"/>
      <c r="P33" s="4"/>
      <c r="Q33" s="4"/>
      <c r="R33" s="4"/>
      <c r="S33" s="4"/>
      <c r="T33" s="4"/>
      <c r="U33" s="4"/>
      <c r="V33" s="4"/>
      <c r="W33" s="4"/>
    </row>
    <row r="34" spans="1:83" x14ac:dyDescent="0.45">
      <c r="B34" s="1264" t="str">
        <f>B148</f>
        <v>HSDG Top Slice per Existing Rental Unit</v>
      </c>
      <c r="C34" s="1296">
        <f>$F$148</f>
        <v>1009923.6206534578</v>
      </c>
      <c r="D34" s="558"/>
      <c r="E34" s="1296">
        <f>IF(E$15='5. Dashboard Total'!E$15,'5. Dashboard Total'!E34,IF(E$15='5. Dashboard EC'!E$15,'5. Dashboard EC'!E34,IF(E$15='5. Dashboard FS'!E24,'5. Dashboard FS'!E34,IF(E$15='5. Dashboard Gau'!E$15,'5. Dashboard Gau'!E34,IF(E$15='5. Dashboard WC'!E24,'5. Dashboard WC'!E34,0)))))</f>
        <v>1009923.6206534578</v>
      </c>
      <c r="F34" s="1296">
        <f>IF(F$15='5. Dashboard Total'!F$15,'5. Dashboard Total'!F34,IF(F$15='5. Dashboard EC'!F$15,'5. Dashboard EC'!F34,IF(F$15='5. Dashboard FS'!F24,'5. Dashboard FS'!F34,IF(F$15='5. Dashboard Gau'!F$15,'5. Dashboard Gau'!F34,IF(F$15='5. Dashboard WC'!F24,'5. Dashboard WC'!F34,0)))))</f>
        <v>336414.61838111473</v>
      </c>
      <c r="G34" s="1296">
        <f>IF(G$15='5. Dashboard Total'!G$15,'5. Dashboard Total'!G34,IF(G$15='5. Dashboard EC'!G$15,'5. Dashboard EC'!G34,IF(G$15='5. Dashboard FS'!G24,'5. Dashboard FS'!G34,IF(G$15='5. Dashboard Gau'!G$15,'5. Dashboard Gau'!G34,IF(G$15='5. Dashboard WC'!G24,'5. Dashboard WC'!G34,0)))))</f>
        <v>233175.42129373894</v>
      </c>
      <c r="H34" s="1298">
        <f>IF(H$15='5. Dashboard Total'!H$15,'5. Dashboard Total'!H34,IF(H$15='5. Dashboard EC'!H$15,'5. Dashboard EC'!H34,IF(H$15='5. Dashboard FS'!H24,'5. Dashboard FS'!H34,IF(H$15='5. Dashboard Gau'!H$15,'5. Dashboard Gau'!H34,IF(H$15='5. Dashboard WC'!H24,'5. Dashboard WC'!H34,0)))))</f>
        <v>232723.38897579809</v>
      </c>
      <c r="I34" s="4"/>
      <c r="J34" s="4"/>
      <c r="K34" s="4"/>
      <c r="L34" s="4"/>
      <c r="M34" s="4"/>
      <c r="N34" s="4"/>
      <c r="O34" s="4"/>
      <c r="P34" s="4"/>
      <c r="Q34" s="4"/>
      <c r="R34" s="4"/>
      <c r="S34" s="4"/>
      <c r="T34" s="4"/>
      <c r="U34" s="4"/>
      <c r="V34" s="4"/>
      <c r="W34" s="4"/>
    </row>
    <row r="35" spans="1:83" x14ac:dyDescent="0.45">
      <c r="B35" s="1264" t="str">
        <f>B153</f>
        <v>Total Government Contribution p.u.</v>
      </c>
      <c r="C35" s="1299">
        <f>$F$153</f>
        <v>1196200.094918872</v>
      </c>
      <c r="D35" s="558"/>
      <c r="E35" s="1299">
        <f>IF(E$15='5. Dashboard Total'!E$15,'5. Dashboard Total'!E35,IF(E$15='5. Dashboard EC'!E$15,'5. Dashboard EC'!E35,IF(E$15='5. Dashboard FS'!E25,'5. Dashboard FS'!E35,IF(E$15='5. Dashboard Gau'!E$15,'5. Dashboard Gau'!E35,IF(E$15='5. Dashboard WC'!E25,'5. Dashboard WC'!E35,0)))))</f>
        <v>1196200.094918872</v>
      </c>
      <c r="F35" s="1299">
        <f>IF(F$15='5. Dashboard Total'!F$15,'5. Dashboard Total'!F35,IF(F$15='5. Dashboard EC'!F$15,'5. Dashboard EC'!F35,IF(F$15='5. Dashboard FS'!F25,'5. Dashboard FS'!F35,IF(F$15='5. Dashboard Gau'!F$15,'5. Dashboard Gau'!F35,IF(F$15='5. Dashboard WC'!F25,'5. Dashboard WC'!F35,0)))))</f>
        <v>522691.09264652897</v>
      </c>
      <c r="G35" s="1299">
        <f>IF(G$15='5. Dashboard Total'!G$15,'5. Dashboard Total'!G35,IF(G$15='5. Dashboard EC'!G$15,'5. Dashboard EC'!G35,IF(G$15='5. Dashboard FS'!G25,'5. Dashboard FS'!G35,IF(G$15='5. Dashboard Gau'!G$15,'5. Dashboard Gau'!G35,IF(G$15='5. Dashboard WC'!G25,'5. Dashboard WC'!G35,0)))))</f>
        <v>419451.89555915311</v>
      </c>
      <c r="H35" s="1297">
        <f>IF(H$15='5. Dashboard Total'!H$15,'5. Dashboard Total'!H35,IF(H$15='5. Dashboard EC'!H$15,'5. Dashboard EC'!H35,IF(H$15='5. Dashboard FS'!H25,'5. Dashboard FS'!H35,IF(H$15='5. Dashboard Gau'!H$15,'5. Dashboard Gau'!H35,IF(H$15='5. Dashboard WC'!H25,'5. Dashboard WC'!H35,0)))))</f>
        <v>418999.86324121221</v>
      </c>
      <c r="I35" s="4"/>
      <c r="J35" s="4"/>
      <c r="K35" s="4"/>
      <c r="L35" s="4"/>
      <c r="M35" s="4"/>
      <c r="N35" s="4"/>
      <c r="O35" s="4"/>
      <c r="P35" s="4"/>
      <c r="Q35" s="4"/>
      <c r="R35" s="4"/>
      <c r="S35" s="4"/>
      <c r="T35" s="4"/>
      <c r="U35" s="4"/>
      <c r="V35" s="4"/>
      <c r="W35" s="4"/>
    </row>
    <row r="36" spans="1:83" x14ac:dyDescent="0.45">
      <c r="B36" s="948" t="s">
        <v>1773</v>
      </c>
      <c r="C36" s="1296">
        <f>C35-$E35</f>
        <v>0</v>
      </c>
      <c r="D36" s="558"/>
      <c r="E36" s="1296">
        <f>IF(E$15='5. Dashboard Total'!E$15,'5. Dashboard Total'!E36,IF(E$15='5. Dashboard EC'!E$15,'5. Dashboard EC'!E36,IF(E$15='5. Dashboard FS'!E26,'5. Dashboard FS'!E36,IF(E$15='5. Dashboard Gau'!E$15,'5. Dashboard Gau'!E36,IF(E$15='5. Dashboard WC'!E26,'5. Dashboard WC'!E36,0)))))</f>
        <v>0</v>
      </c>
      <c r="F36" s="1296">
        <f>IF(F$15='5. Dashboard Total'!F$15,'5. Dashboard Total'!F36,IF(F$15='5. Dashboard EC'!F$15,'5. Dashboard EC'!F36,IF(F$15='5. Dashboard FS'!F26,'5. Dashboard FS'!F36,IF(F$15='5. Dashboard Gau'!F$15,'5. Dashboard Gau'!F36,IF(F$15='5. Dashboard WC'!F26,'5. Dashboard WC'!F36,0)))))</f>
        <v>-673509.00227234303</v>
      </c>
      <c r="G36" s="1296">
        <f>IF(G$15='5. Dashboard Total'!G$15,'5. Dashboard Total'!G36,IF(G$15='5. Dashboard EC'!G$15,'5. Dashboard EC'!G36,IF(G$15='5. Dashboard FS'!G26,'5. Dashboard FS'!G36,IF(G$15='5. Dashboard Gau'!G$15,'5. Dashboard Gau'!G36,IF(G$15='5. Dashboard WC'!G26,'5. Dashboard WC'!G36,0)))))</f>
        <v>-776748.19935971894</v>
      </c>
      <c r="H36" s="1298">
        <f>IF(H$15='5. Dashboard Total'!H$15,'5. Dashboard Total'!H36,IF(H$15='5. Dashboard EC'!H$15,'5. Dashboard EC'!H36,IF(H$15='5. Dashboard FS'!H26,'5. Dashboard FS'!H36,IF(H$15='5. Dashboard Gau'!H$15,'5. Dashboard Gau'!H36,IF(H$15='5. Dashboard WC'!H26,'5. Dashboard WC'!H36,0)))))</f>
        <v>-777200.23167765979</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$F$161</f>
        <v>856923.62065345782</v>
      </c>
      <c r="D39" s="558"/>
      <c r="E39" s="1307">
        <f>IF(E$15='5. Dashboard Total'!E$15,'5. Dashboard Total'!E39,IF(E$15='5. Dashboard EC'!E$15,'5. Dashboard EC'!E39,IF(E$15='5. Dashboard FS'!E29,'5. Dashboard FS'!E39,IF(E$15='5. Dashboard Gau'!E$15,'5. Dashboard Gau'!E39,IF(E$15='5. Dashboard WC'!E29,'5. Dashboard WC'!E39,0)))))</f>
        <v>856923.62065345782</v>
      </c>
      <c r="F39" s="1307">
        <f>IF(F$15='5. Dashboard Total'!F$15,'5. Dashboard Total'!F39,IF(F$15='5. Dashboard EC'!F$15,'5. Dashboard EC'!F39,IF(F$15='5. Dashboard FS'!F29,'5. Dashboard FS'!F39,IF(F$15='5. Dashboard Gau'!F$15,'5. Dashboard Gau'!F39,IF(F$15='5. Dashboard WC'!F29,'5. Dashboard WC'!F39,0)))))</f>
        <v>183414.61838111473</v>
      </c>
      <c r="G39" s="1307">
        <f>IF(G$15='5. Dashboard Total'!G$15,'5. Dashboard Total'!G39,IF(G$15='5. Dashboard EC'!G$15,'5. Dashboard EC'!G39,IF(G$15='5. Dashboard FS'!G29,'5. Dashboard FS'!G39,IF(G$15='5. Dashboard Gau'!G$15,'5. Dashboard Gau'!G39,IF(G$15='5. Dashboard WC'!G29,'5. Dashboard WC'!G39,0)))))</f>
        <v>80175.421293738938</v>
      </c>
      <c r="H39" s="1308">
        <f>IF(H$15='5. Dashboard Total'!H$15,'5. Dashboard Total'!H39,IF(H$15='5. Dashboard EC'!H$15,'5. Dashboard EC'!H39,IF(H$15='5. Dashboard FS'!H29,'5. Dashboard FS'!H39,IF(H$15='5. Dashboard Gau'!H$15,'5. Dashboard Gau'!H39,IF(H$15='5. Dashboard WC'!H29,'5. Dashboard WC'!H39,0)))))</f>
        <v>79723.388975798094</v>
      </c>
      <c r="I39" s="4"/>
      <c r="J39" s="4"/>
      <c r="K39" s="4"/>
      <c r="L39" s="4"/>
      <c r="M39" s="4"/>
      <c r="N39" s="4"/>
      <c r="O39" s="4"/>
      <c r="P39" s="4"/>
      <c r="Q39" s="4"/>
      <c r="R39" s="4"/>
      <c r="S39" s="4"/>
      <c r="T39" s="4"/>
      <c r="U39" s="4"/>
      <c r="V39" s="4"/>
      <c r="W39" s="4"/>
      <c r="AC39" s="1256" t="str">
        <f>B156</f>
        <v>Cost to the State (HSDG &amp; EEDBS) per Projected Scenario</v>
      </c>
      <c r="AD39" s="1257">
        <f>$F$156</f>
        <v>107686152.83970247</v>
      </c>
      <c r="AE39" s="1257"/>
      <c r="AF39" s="1257">
        <f>$F$156</f>
        <v>107686152.83970247</v>
      </c>
      <c r="AG39" s="1257">
        <f>$F$156</f>
        <v>107686152.83970247</v>
      </c>
      <c r="AH39" s="1257">
        <f>$F$156</f>
        <v>107686152.83970247</v>
      </c>
      <c r="AI39" s="1257">
        <f>$F$156</f>
        <v>107686152.83970247</v>
      </c>
      <c r="CB39" s="1204"/>
      <c r="CC39" s="1204"/>
      <c r="CD39" s="1204"/>
      <c r="CE39" s="1204"/>
    </row>
    <row r="40" spans="1:83" ht="15.75" x14ac:dyDescent="0.45">
      <c r="A40" s="1262"/>
      <c r="B40" s="1260" t="s">
        <v>1709</v>
      </c>
      <c r="C40" s="1220">
        <f>$F$162</f>
        <v>854923.62065345782</v>
      </c>
      <c r="D40" s="558"/>
      <c r="E40" s="1307">
        <f>IF(E$15='5. Dashboard Total'!E$15,'5. Dashboard Total'!E40,IF(E$15='5. Dashboard EC'!E$15,'5. Dashboard EC'!E40,IF(E$15='5. Dashboard FS'!E30,'5. Dashboard FS'!E40,IF(E$15='5. Dashboard Gau'!E$15,'5. Dashboard Gau'!E40,IF(E$15='5. Dashboard WC'!E30,'5. Dashboard WC'!E40,0)))))</f>
        <v>854923.62065345782</v>
      </c>
      <c r="F40" s="1307">
        <f>IF(F$15='5. Dashboard Total'!F$15,'5. Dashboard Total'!F40,IF(F$15='5. Dashboard EC'!F$15,'5. Dashboard EC'!F40,IF(F$15='5. Dashboard FS'!F30,'5. Dashboard FS'!F40,IF(F$15='5. Dashboard Gau'!F$15,'5. Dashboard Gau'!F40,IF(F$15='5. Dashboard WC'!F30,'5. Dashboard WC'!F40,0)))))</f>
        <v>181414.61838111473</v>
      </c>
      <c r="G40" s="1307">
        <f>IF(G$15='5. Dashboard Total'!G$15,'5. Dashboard Total'!G40,IF(G$15='5. Dashboard EC'!G$15,'5. Dashboard EC'!G40,IF(G$15='5. Dashboard FS'!G30,'5. Dashboard FS'!G40,IF(G$15='5. Dashboard Gau'!G$15,'5. Dashboard Gau'!G40,IF(G$15='5. Dashboard WC'!G30,'5. Dashboard WC'!G40,0)))))</f>
        <v>78175.421293738938</v>
      </c>
      <c r="H40" s="1308">
        <f>IF(H$15='5. Dashboard Total'!H$15,'5. Dashboard Total'!H40,IF(H$15='5. Dashboard EC'!H$15,'5. Dashboard EC'!H40,IF(H$15='5. Dashboard FS'!H30,'5. Dashboard FS'!H40,IF(H$15='5. Dashboard Gau'!H$15,'5. Dashboard Gau'!H40,IF(H$15='5. Dashboard WC'!H30,'5. Dashboard WC'!H40,0)))))</f>
        <v>77723.388975798094</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$F$163</f>
        <v>744923.62065345782</v>
      </c>
      <c r="D41" s="558"/>
      <c r="E41" s="1307">
        <f>IF(E$15='5. Dashboard Total'!E$15,'5. Dashboard Total'!E41,IF(E$15='5. Dashboard EC'!E$15,'5. Dashboard EC'!E41,IF(E$15='5. Dashboard FS'!E31,'5. Dashboard FS'!E41,IF(E$15='5. Dashboard Gau'!E$15,'5. Dashboard Gau'!E41,IF(E$15='5. Dashboard WC'!E31,'5. Dashboard WC'!E41,0)))))</f>
        <v>744923.62065345782</v>
      </c>
      <c r="F41" s="1307">
        <f>IF(F$15='5. Dashboard Total'!F$15,'5. Dashboard Total'!F41,IF(F$15='5. Dashboard EC'!F$15,'5. Dashboard EC'!F41,IF(F$15='5. Dashboard FS'!F31,'5. Dashboard FS'!F41,IF(F$15='5. Dashboard Gau'!F$15,'5. Dashboard Gau'!F41,IF(F$15='5. Dashboard WC'!F31,'5. Dashboard WC'!F41,0)))))</f>
        <v>71414.618381114735</v>
      </c>
      <c r="G41" s="1307">
        <f>IF(G$15='5. Dashboard Total'!G$15,'5. Dashboard Total'!G41,IF(G$15='5. Dashboard EC'!G$15,'5. Dashboard EC'!G41,IF(G$15='5. Dashboard FS'!G31,'5. Dashboard FS'!G41,IF(G$15='5. Dashboard Gau'!G$15,'5. Dashboard Gau'!G41,IF(G$15='5. Dashboard WC'!G31,'5. Dashboard WC'!G41,0)))))</f>
        <v>-31824.578706261062</v>
      </c>
      <c r="H41" s="1308">
        <f>IF(H$15='5. Dashboard Total'!H$15,'5. Dashboard Total'!H41,IF(H$15='5. Dashboard EC'!H$15,'5. Dashboard EC'!H41,IF(H$15='5. Dashboard FS'!H31,'5. Dashboard FS'!H41,IF(H$15='5. Dashboard Gau'!H$15,'5. Dashboard Gau'!H41,IF(H$15='5. Dashboard WC'!H31,'5. Dashboard WC'!H41,0)))))</f>
        <v>-32276.611024201906</v>
      </c>
      <c r="I41" s="4"/>
      <c r="J41" s="4"/>
      <c r="K41" s="4"/>
      <c r="L41" s="4"/>
      <c r="M41" s="4"/>
      <c r="N41" s="4"/>
      <c r="O41" s="4"/>
      <c r="P41" s="4"/>
      <c r="Q41" s="4"/>
      <c r="R41" s="4"/>
      <c r="S41" s="4"/>
      <c r="T41" s="4"/>
      <c r="U41" s="4"/>
      <c r="V41" s="4"/>
      <c r="W41" s="4"/>
      <c r="AC41" s="1258"/>
      <c r="AD41" s="1257">
        <f>AD39-AD40</f>
        <v>107686152.83970247</v>
      </c>
      <c r="AE41" s="1257"/>
      <c r="AF41" s="1257">
        <f>AF39-AF40</f>
        <v>107686152.83970247</v>
      </c>
      <c r="AG41" s="1258"/>
      <c r="AH41" s="1257">
        <f>AH39-AH40</f>
        <v>107686152.83970247</v>
      </c>
      <c r="AI41" s="1257">
        <f>AI39-AI40</f>
        <v>107686152.83970247</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 Forecast Results'!N5</f>
        <v>2013/14</v>
      </c>
      <c r="AD135" s="803" t="str">
        <f>'9. Forecast Results'!O5</f>
        <v>2014/15</v>
      </c>
      <c r="AE135" s="803" t="str">
        <f>'9. Forecast Results'!P5</f>
        <v>2015/16</v>
      </c>
      <c r="AF135" s="803" t="str">
        <f>'9. Forecast Results'!Q5</f>
        <v>2016/17</v>
      </c>
      <c r="AG135" s="803" t="str">
        <f>'9. Forecast Results'!R5</f>
        <v>2017/18</v>
      </c>
      <c r="AH135" s="803" t="str">
        <f>'9. Forecast Results'!S5</f>
        <v>2018/19</v>
      </c>
      <c r="AI135" s="803" t="str">
        <f>'9. Forecast Results'!T5</f>
        <v>2019/20</v>
      </c>
      <c r="AJ135" s="803" t="str">
        <f>'9. Forecast Results'!U5</f>
        <v>2020/21</v>
      </c>
      <c r="AK135" s="803" t="str">
        <f>'9. Forecast Results'!V5</f>
        <v>2021/22</v>
      </c>
      <c r="AL135" s="803" t="str">
        <f>'9. Forecast Results'!W5</f>
        <v>2022/23</v>
      </c>
      <c r="AM135" s="803" t="str">
        <f>'9. Forecast Results'!X5</f>
        <v>2023/24</v>
      </c>
      <c r="AN135" s="803" t="str">
        <f>'9. Forecast Results'!Y5</f>
        <v>2024/25</v>
      </c>
      <c r="AO135" s="803" t="str">
        <f>'9. Forecast Results'!Z5</f>
        <v>2025/26</v>
      </c>
      <c r="AP135" s="803" t="str">
        <f>'9. Forecast Results'!AA5</f>
        <v>2026/27</v>
      </c>
      <c r="AQ135" s="803" t="str">
        <f>'9. Forecast Results'!AB5</f>
        <v>2027/28</v>
      </c>
      <c r="AR135" s="803" t="str">
        <f>'9. Forecast Results'!AC5</f>
        <v>2028/29</v>
      </c>
      <c r="AS135" s="803" t="str">
        <f>'9. Forecast Results'!AD5</f>
        <v>2029/30</v>
      </c>
      <c r="AT135" s="803" t="str">
        <f>'9. Forecast Results'!AE5</f>
        <v>2030/31</v>
      </c>
      <c r="AU135" s="803" t="str">
        <f>'9. Forecast Results'!AF5</f>
        <v>2031/32</v>
      </c>
      <c r="AV135" s="803" t="str">
        <f>'9. Forecast Results'!AG5</f>
        <v>3032/33</v>
      </c>
      <c r="AW135" s="803" t="str">
        <f>'9. Forecast Results'!AH5</f>
        <v>2033/34</v>
      </c>
      <c r="AX135" s="803" t="str">
        <f>'9. Forecast Results'!AI5</f>
        <v>2034/35</v>
      </c>
      <c r="AY135" s="803" t="str">
        <f>'9. Forecast Results'!AJ5</f>
        <v>2035/36</v>
      </c>
      <c r="AZ135" s="803" t="str">
        <f>'9. Forecast Results'!AK5</f>
        <v>2036/37</v>
      </c>
    </row>
    <row r="136" spans="1:52" x14ac:dyDescent="0.45">
      <c r="B136" s="1263" t="s">
        <v>1551</v>
      </c>
      <c r="C136" s="558"/>
      <c r="D136" s="558"/>
      <c r="E136" s="971">
        <f>+SUM('9. Forecast Results'!S28:W28)</f>
        <v>1077027.7126860777</v>
      </c>
      <c r="F136" s="971">
        <f>+'9. Forecast Results'!AL28</f>
        <v>3513640.4406654779</v>
      </c>
      <c r="G136" s="971"/>
      <c r="H136" s="1283"/>
      <c r="J136" s="4"/>
      <c r="K136" s="4"/>
      <c r="L136" s="4"/>
      <c r="M136" s="4"/>
      <c r="N136" s="4"/>
      <c r="O136" s="4"/>
      <c r="P136" s="4"/>
      <c r="Q136" s="4"/>
      <c r="R136" s="4"/>
      <c r="S136" s="4"/>
      <c r="T136" s="4"/>
      <c r="U136" s="4"/>
      <c r="V136" s="4"/>
      <c r="W136" s="4"/>
      <c r="AB136" s="803" t="str">
        <f>'9. Forecast Results'!D28</f>
        <v>Total Income</v>
      </c>
      <c r="AC136" s="533">
        <f>'9. Forecast Results'!N28</f>
        <v>986752.92000000016</v>
      </c>
      <c r="AD136" s="533">
        <f>'9. Forecast Results'!O28</f>
        <v>897187.48</v>
      </c>
      <c r="AE136" s="533">
        <f>'9. Forecast Results'!P28</f>
        <v>774350.93</v>
      </c>
      <c r="AF136" s="533">
        <f>'9. Forecast Results'!Q28</f>
        <v>650954.76724420744</v>
      </c>
      <c r="AG136" s="533">
        <f>'9. Forecast Results'!R28</f>
        <v>606996.28724420746</v>
      </c>
      <c r="AH136" s="533">
        <f>'9. Forecast Results'!S28</f>
        <v>563037.80724420748</v>
      </c>
      <c r="AI136" s="533">
        <f>'9. Forecast Results'!T28</f>
        <v>135823.88969380083</v>
      </c>
      <c r="AJ136" s="533">
        <f>'9. Forecast Results'!U28</f>
        <v>130939.61413824529</v>
      </c>
      <c r="AK136" s="533">
        <f>'9. Forecast Results'!V28</f>
        <v>126055.33858268973</v>
      </c>
      <c r="AL136" s="533">
        <f>'9. Forecast Results'!W28</f>
        <v>121171.06302713418</v>
      </c>
      <c r="AM136" s="533">
        <f>'9. Forecast Results'!X28</f>
        <v>116286.78747157862</v>
      </c>
      <c r="AN136" s="533">
        <f>'9. Forecast Results'!Y28</f>
        <v>111402.51191602307</v>
      </c>
      <c r="AO136" s="533">
        <f>'9. Forecast Results'!Z28</f>
        <v>106518.2363604675</v>
      </c>
      <c r="AP136" s="533">
        <f>'9. Forecast Results'!AA28</f>
        <v>101633.96080491194</v>
      </c>
      <c r="AQ136" s="533">
        <f>'9. Forecast Results'!AB28</f>
        <v>96749.685249356393</v>
      </c>
      <c r="AR136" s="533">
        <f>'9. Forecast Results'!AC28</f>
        <v>91865.409693800844</v>
      </c>
      <c r="AS136" s="533">
        <f>'9. Forecast Results'!AD28</f>
        <v>86981.134138245281</v>
      </c>
      <c r="AT136" s="533">
        <f>'9. Forecast Results'!AE28</f>
        <v>82096.858582689732</v>
      </c>
      <c r="AU136" s="533">
        <f>'9. Forecast Results'!AF28</f>
        <v>77212.583027134169</v>
      </c>
      <c r="AV136" s="533">
        <f>'9. Forecast Results'!AG28</f>
        <v>72328.307471578621</v>
      </c>
      <c r="AW136" s="533">
        <f>'9. Forecast Results'!AH28</f>
        <v>67444.031916023057</v>
      </c>
      <c r="AX136" s="533">
        <f>'9. Forecast Results'!AI28</f>
        <v>62559.756360467509</v>
      </c>
      <c r="AY136" s="533">
        <f>'9. Forecast Results'!AJ28</f>
        <v>105582.41049871279</v>
      </c>
      <c r="AZ136" s="533">
        <f>'9. Forecast Results'!AK28</f>
        <v>0</v>
      </c>
    </row>
    <row r="137" spans="1:52" x14ac:dyDescent="0.45">
      <c r="B137" s="1263" t="s">
        <v>1510</v>
      </c>
      <c r="C137" s="558"/>
      <c r="D137" s="558"/>
      <c r="E137" s="971">
        <f>+SUM(E138:E143)</f>
        <v>28352526.492348202</v>
      </c>
      <c r="F137" s="971">
        <f>+SUM(F138:F143)</f>
        <v>94406766.299476683</v>
      </c>
      <c r="G137" s="971"/>
      <c r="H137" s="1283"/>
      <c r="J137" s="4"/>
      <c r="K137" s="4"/>
      <c r="L137" s="4"/>
      <c r="M137" s="4"/>
      <c r="N137" s="4"/>
      <c r="O137" s="4"/>
      <c r="P137" s="4"/>
      <c r="Q137" s="4"/>
      <c r="R137" s="4"/>
      <c r="S137" s="4"/>
      <c r="T137" s="4"/>
      <c r="U137" s="4"/>
      <c r="V137" s="4"/>
      <c r="W137" s="4"/>
      <c r="AB137" s="803" t="str">
        <f>'9. Forecast Results'!D47</f>
        <v>Total Expenditure</v>
      </c>
      <c r="AC137" s="533">
        <f>-'9. Forecast Results'!N47</f>
        <v>-10341549.390000001</v>
      </c>
      <c r="AD137" s="533">
        <f>-'9. Forecast Results'!O47</f>
        <v>-11126424.74</v>
      </c>
      <c r="AE137" s="533">
        <f>-'9. Forecast Results'!P47</f>
        <v>-11189539.09</v>
      </c>
      <c r="AF137" s="533">
        <f>-'9. Forecast Results'!Q47</f>
        <v>-9701626.2512849998</v>
      </c>
      <c r="AG137" s="533">
        <f>-'9. Forecast Results'!R47</f>
        <v>-7883264.6445640996</v>
      </c>
      <c r="AH137" s="533">
        <f>-'9. Forecast Results'!S47</f>
        <v>-5835535.8416937636</v>
      </c>
      <c r="AI137" s="533">
        <f>-'9. Forecast Results'!T47</f>
        <v>-5697948.2137706475</v>
      </c>
      <c r="AJ137" s="533">
        <f>-'9. Forecast Results'!U47</f>
        <v>-5666321.8117248667</v>
      </c>
      <c r="AK137" s="533">
        <f>-'9. Forecast Results'!V47</f>
        <v>-5613980.2121073939</v>
      </c>
      <c r="AL137" s="533">
        <f>-'9. Forecast Results'!W47</f>
        <v>-5538740.4130515298</v>
      </c>
      <c r="AM137" s="533">
        <f>-'9. Forecast Results'!X47</f>
        <v>-5438241.9459578963</v>
      </c>
      <c r="AN137" s="533">
        <f>-'9. Forecast Results'!Y47</f>
        <v>-5309933.9577344833</v>
      </c>
      <c r="AO137" s="533">
        <f>-'9. Forecast Results'!Z47</f>
        <v>-5151061.4089199724</v>
      </c>
      <c r="AP137" s="533">
        <f>-'9. Forecast Results'!AA47</f>
        <v>-4958650.3295137174</v>
      </c>
      <c r="AQ137" s="533">
        <f>-'9. Forecast Results'!AB47</f>
        <v>-4729492.0706107933</v>
      </c>
      <c r="AR137" s="533">
        <f>-'9. Forecast Results'!AC47</f>
        <v>-4460126.4859817661</v>
      </c>
      <c r="AS137" s="533">
        <f>-'9. Forecast Results'!AD47</f>
        <v>-4146823.9735299493</v>
      </c>
      <c r="AT137" s="533">
        <f>-'9. Forecast Results'!AE47</f>
        <v>-3785566.3020883375</v>
      </c>
      <c r="AU137" s="533">
        <f>-'9. Forecast Results'!AF47</f>
        <v>-3372026.1442682222</v>
      </c>
      <c r="AV137" s="533">
        <f>-'9. Forecast Results'!AG47</f>
        <v>-2901545.2310240753</v>
      </c>
      <c r="AW137" s="533">
        <f>-'9. Forecast Results'!AH47</f>
        <v>-2369111.0382366609</v>
      </c>
      <c r="AX137" s="533">
        <f>-'9. Forecast Results'!AI47</f>
        <v>-1769331.9099187839</v>
      </c>
      <c r="AY137" s="533">
        <f>-'9. Forecast Results'!AJ47</f>
        <v>-77438.113494705685</v>
      </c>
      <c r="AZ137" s="533">
        <f>-'9. Forecast Results'!AK47</f>
        <v>0</v>
      </c>
    </row>
    <row r="138" spans="1:52" x14ac:dyDescent="0.45">
      <c r="B138" s="1284" t="str">
        <f>'9. Forecast Results'!D31</f>
        <v>Rates &amp; Taxes</v>
      </c>
      <c r="C138" s="558"/>
      <c r="D138" s="558"/>
      <c r="E138" s="1215">
        <f>+SUM('9. Forecast Results'!S31:W31)</f>
        <v>252001.66593494211</v>
      </c>
      <c r="F138" s="1215">
        <f>+'9. Forecast Results'!AL31</f>
        <v>834362.49358135683</v>
      </c>
      <c r="G138" s="971"/>
      <c r="H138" s="1283"/>
      <c r="J138" s="4"/>
      <c r="K138" s="4"/>
      <c r="L138" s="4"/>
      <c r="M138" s="4"/>
      <c r="N138" s="4"/>
      <c r="O138" s="4"/>
      <c r="P138" s="4"/>
      <c r="Q138" s="4"/>
      <c r="R138" s="4"/>
      <c r="S138" s="4"/>
      <c r="T138" s="4"/>
      <c r="U138" s="4"/>
      <c r="V138" s="4"/>
      <c r="W138" s="4"/>
      <c r="AB138" s="803" t="str">
        <f>'9. Forecast Results'!D48</f>
        <v>Net Surplus / (Deficit)</v>
      </c>
      <c r="AC138" s="533">
        <f>'9. Forecast Results'!N48</f>
        <v>-9354796.4700000007</v>
      </c>
      <c r="AD138" s="533">
        <f>'9. Forecast Results'!O48</f>
        <v>-10229237.26</v>
      </c>
      <c r="AE138" s="533">
        <f>'9. Forecast Results'!P48</f>
        <v>-10415188.16</v>
      </c>
      <c r="AF138" s="533">
        <f>'9. Forecast Results'!Q48</f>
        <v>-9050671.484040793</v>
      </c>
      <c r="AG138" s="533">
        <f>'9. Forecast Results'!R48</f>
        <v>-7276268.3573198924</v>
      </c>
      <c r="AH138" s="533">
        <f>'9. Forecast Results'!S48</f>
        <v>-5272498.0344495559</v>
      </c>
      <c r="AI138" s="533">
        <f>'9. Forecast Results'!T48</f>
        <v>-5562124.3240768462</v>
      </c>
      <c r="AJ138" s="533">
        <f>'9. Forecast Results'!U48</f>
        <v>-5535382.1975866212</v>
      </c>
      <c r="AK138" s="533">
        <f>'9. Forecast Results'!V48</f>
        <v>-5487924.873524704</v>
      </c>
      <c r="AL138" s="533">
        <f>'9. Forecast Results'!W48</f>
        <v>-5417569.3500243956</v>
      </c>
      <c r="AM138" s="533">
        <f>'9. Forecast Results'!X48</f>
        <v>-5321955.1584863178</v>
      </c>
      <c r="AN138" s="533">
        <f>'9. Forecast Results'!Y48</f>
        <v>-5198531.4458184605</v>
      </c>
      <c r="AO138" s="533">
        <f>'9. Forecast Results'!Z48</f>
        <v>-5044543.1725595053</v>
      </c>
      <c r="AP138" s="533">
        <f>'9. Forecast Results'!AA48</f>
        <v>-4857016.3687088052</v>
      </c>
      <c r="AQ138" s="533">
        <f>'9. Forecast Results'!AB48</f>
        <v>-4632742.3853614368</v>
      </c>
      <c r="AR138" s="533">
        <f>'9. Forecast Results'!AC48</f>
        <v>-4368261.0762879653</v>
      </c>
      <c r="AS138" s="533">
        <f>'9. Forecast Results'!AD48</f>
        <v>-4059842.8393917042</v>
      </c>
      <c r="AT138" s="533">
        <f>'9. Forecast Results'!AE48</f>
        <v>-3703469.4435056476</v>
      </c>
      <c r="AU138" s="533">
        <f>'9. Forecast Results'!AF48</f>
        <v>-3294813.561241088</v>
      </c>
      <c r="AV138" s="533">
        <f>'9. Forecast Results'!AG48</f>
        <v>-2829216.9235524968</v>
      </c>
      <c r="AW138" s="533">
        <f>'9. Forecast Results'!AH48</f>
        <v>-2301667.0063206377</v>
      </c>
      <c r="AX138" s="533">
        <f>'9. Forecast Results'!AI48</f>
        <v>-1706772.1535583164</v>
      </c>
      <c r="AY138" s="533">
        <f>'9. Forecast Results'!AJ48</f>
        <v>28144.297004007109</v>
      </c>
      <c r="AZ138" s="533">
        <f>'9. Forecast Results'!AK48</f>
        <v>0</v>
      </c>
    </row>
    <row r="139" spans="1:52" x14ac:dyDescent="0.45">
      <c r="B139" s="1284" t="str">
        <f>'9. Forecast Results'!D32</f>
        <v>Municipal Charges</v>
      </c>
      <c r="C139" s="558"/>
      <c r="D139" s="558"/>
      <c r="E139" s="1216">
        <f>+SUM('9. Forecast Results'!S32:W32)</f>
        <v>2508823.1927166809</v>
      </c>
      <c r="F139" s="1216">
        <f>+'9. Forecast Results'!AL32</f>
        <v>8306564.0350577645</v>
      </c>
      <c r="G139" s="971"/>
      <c r="H139" s="1283"/>
      <c r="AB139" s="803" t="s">
        <v>1697</v>
      </c>
      <c r="AC139" s="533">
        <f>SUM($AC138:AC138)</f>
        <v>-9354796.4700000007</v>
      </c>
      <c r="AD139" s="533">
        <f>SUM($AC138:AD138)</f>
        <v>-19584033.73</v>
      </c>
      <c r="AE139" s="533">
        <f>SUM($AC138:AE138)</f>
        <v>-29999221.890000001</v>
      </c>
      <c r="AF139" s="533">
        <f>SUM($AC138:AF138)</f>
        <v>-39049893.374040797</v>
      </c>
      <c r="AG139" s="533">
        <f>SUM($AC138:AG138)</f>
        <v>-46326161.731360689</v>
      </c>
      <c r="AH139" s="533">
        <f>SUM($AC138:AH138)</f>
        <v>-51598659.765810244</v>
      </c>
      <c r="AI139" s="533">
        <f>SUM($AC138:AI138)</f>
        <v>-57160784.08988709</v>
      </c>
      <c r="AJ139" s="533">
        <f>SUM($AC138:AJ138)</f>
        <v>-62696166.287473708</v>
      </c>
      <c r="AK139" s="533">
        <f>SUM($AC138:AK138)</f>
        <v>-68184091.160998419</v>
      </c>
      <c r="AL139" s="533">
        <f>SUM($AC138:AL138)</f>
        <v>-73601660.511022821</v>
      </c>
      <c r="AM139" s="533">
        <f>SUM($AC138:AM138)</f>
        <v>-78923615.669509143</v>
      </c>
      <c r="AN139" s="533">
        <f>SUM($AC138:AN138)</f>
        <v>-84122147.115327597</v>
      </c>
      <c r="AO139" s="533">
        <f>SUM($AC138:AO138)</f>
        <v>-89166690.287887096</v>
      </c>
      <c r="AP139" s="533">
        <f>SUM($AC138:AP138)</f>
        <v>-94023706.656595901</v>
      </c>
      <c r="AQ139" s="533">
        <f>SUM($AC138:AQ138)</f>
        <v>-98656449.041957334</v>
      </c>
      <c r="AR139" s="533">
        <f>SUM($AC138:AR138)</f>
        <v>-103024710.1182453</v>
      </c>
      <c r="AS139" s="533">
        <f>SUM($AC138:AS138)</f>
        <v>-107084552.95763701</v>
      </c>
      <c r="AT139" s="533">
        <f>SUM($AC138:AT138)</f>
        <v>-110788022.40114266</v>
      </c>
      <c r="AU139" s="533">
        <f>SUM($AC138:AU138)</f>
        <v>-114082835.96238375</v>
      </c>
      <c r="AV139" s="533">
        <f>SUM($AC138:AV138)</f>
        <v>-116912052.88593625</v>
      </c>
      <c r="AW139" s="533">
        <f>SUM($AC138:AW138)</f>
        <v>-119213719.89225689</v>
      </c>
      <c r="AX139" s="533">
        <f>SUM($AC138:AX138)</f>
        <v>-120920492.0458152</v>
      </c>
      <c r="AY139" s="533">
        <f>SUM($AC138:AY138)</f>
        <v>-120892347.74881119</v>
      </c>
      <c r="AZ139" s="533">
        <f>SUM($AC138:AZ138)</f>
        <v>-120892347.74881119</v>
      </c>
    </row>
    <row r="140" spans="1:52" x14ac:dyDescent="0.45">
      <c r="B140" s="1284" t="str">
        <f>'9. Forecast Results'!D33</f>
        <v>Maintenance</v>
      </c>
      <c r="C140" s="558"/>
      <c r="D140" s="558"/>
      <c r="E140" s="1216">
        <f>+SUM('9. Forecast Results'!S33:W33)</f>
        <v>0</v>
      </c>
      <c r="F140" s="1216">
        <f>+'9. Forecast Results'!AL33</f>
        <v>0</v>
      </c>
      <c r="G140" s="971"/>
      <c r="H140" s="1283"/>
      <c r="AB140" s="451" t="s">
        <v>1699</v>
      </c>
    </row>
    <row r="141" spans="1:52" x14ac:dyDescent="0.45">
      <c r="B141" s="1284" t="str">
        <f>'9. Forecast Results'!D36</f>
        <v>Total Disposal Costs</v>
      </c>
      <c r="C141" s="558"/>
      <c r="D141" s="558"/>
      <c r="E141" s="1216">
        <f>+SUM('9. Forecast Results'!S36:W36)</f>
        <v>211625.31374314771</v>
      </c>
      <c r="F141" s="1216">
        <f>+'9. Forecast Results'!AL36</f>
        <v>881694.30890112126</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 Forecast Results'!D43</f>
        <v>Staff</v>
      </c>
      <c r="C142" s="558"/>
      <c r="D142" s="558"/>
      <c r="E142" s="1216">
        <f>+SUM('9. Forecast Results'!S43:W43)</f>
        <v>4066125.1737566851</v>
      </c>
      <c r="F142" s="1216">
        <f>+'9. Forecast Results'!AL43</f>
        <v>13814923.78463598</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 Forecast Results'!S47:W47)-SUM(E138:E142)</f>
        <v>21313951.146196745</v>
      </c>
      <c r="F143" s="1217">
        <f>+'9. Forecast Results'!AL47-SUM(F138:F142)</f>
        <v>70569221.677300453</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+E136-E137</f>
        <v>-27275498.779662125</v>
      </c>
      <c r="F145" s="1218">
        <f>+F136-F137</f>
        <v>-90893125.8588112</v>
      </c>
      <c r="G145" s="971"/>
      <c r="H145" s="1283"/>
    </row>
    <row r="146" spans="1:8" ht="14.65" thickTop="1" x14ac:dyDescent="0.45">
      <c r="B146" s="1320" t="s">
        <v>1552</v>
      </c>
      <c r="C146" s="558"/>
      <c r="D146" s="558"/>
      <c r="E146" s="1220">
        <f>-E145</f>
        <v>27275498.779662125</v>
      </c>
      <c r="F146" s="1220">
        <f>-F145</f>
        <v>90893125.8588112</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26</v>
      </c>
      <c r="F147" s="1219">
        <f>SUMIF('10. Inputs &amp; Calcs'!$D$51:$D$56,$C$12,'10. Inputs &amp; Calcs'!$AD$51:$AD$56)</f>
        <v>90</v>
      </c>
      <c r="G147" s="1219"/>
      <c r="H147" s="1283"/>
    </row>
    <row r="148" spans="1:8" x14ac:dyDescent="0.45">
      <c r="B148" s="1261" t="s">
        <v>1559</v>
      </c>
      <c r="C148" s="18"/>
      <c r="D148" s="18"/>
      <c r="E148" s="971">
        <f>-E145/E147</f>
        <v>1049057.6453716201</v>
      </c>
      <c r="F148" s="971">
        <f>-F145/F147</f>
        <v>1009923.6206534578</v>
      </c>
      <c r="G148" s="18"/>
      <c r="H148" s="1283"/>
    </row>
    <row r="149" spans="1:8" x14ac:dyDescent="0.45">
      <c r="B149" s="1260" t="s">
        <v>1503</v>
      </c>
      <c r="C149" s="558"/>
      <c r="D149" s="558"/>
      <c r="E149" s="971">
        <f>IF(E$147&lt;&gt;0,E141/E$147,0)</f>
        <v>8139.4351439672191</v>
      </c>
      <c r="F149" s="971">
        <f>IF(F$147&lt;&gt;0,F141/F$147,0)</f>
        <v>9796.6034322346804</v>
      </c>
      <c r="G149" s="971"/>
      <c r="H149" s="1283"/>
    </row>
    <row r="150" spans="1:8" x14ac:dyDescent="0.45">
      <c r="B150" s="1263" t="s">
        <v>1511</v>
      </c>
      <c r="C150" s="558"/>
      <c r="D150" s="558"/>
      <c r="E150" s="1220">
        <f>SUM('9. Forecast Results'!S67:W67)</f>
        <v>303925.3888188976</v>
      </c>
      <c r="F150" s="1220">
        <f>'9. Forecast Results'!AL67</f>
        <v>16764882.683887275</v>
      </c>
      <c r="G150" s="971"/>
      <c r="H150" s="1283"/>
    </row>
    <row r="151" spans="1:8" x14ac:dyDescent="0.45">
      <c r="B151" s="1260" t="s">
        <v>1558</v>
      </c>
      <c r="C151" s="18"/>
      <c r="D151" s="18"/>
      <c r="E151" s="971">
        <f>E150/E147</f>
        <v>11689.438031496062</v>
      </c>
      <c r="F151" s="971">
        <f>F150/F147</f>
        <v>186276.47426541417</v>
      </c>
      <c r="G151" s="971"/>
      <c r="H151" s="1283"/>
    </row>
    <row r="152" spans="1:8" x14ac:dyDescent="0.45">
      <c r="B152" s="1260" t="s">
        <v>1713</v>
      </c>
      <c r="C152" s="18"/>
      <c r="D152" s="18"/>
      <c r="E152" s="971">
        <f>E150+E146</f>
        <v>27579424.168481022</v>
      </c>
      <c r="F152" s="971">
        <f>F150+F146</f>
        <v>107658008.54269847</v>
      </c>
      <c r="G152" s="971"/>
      <c r="H152" s="1283"/>
    </row>
    <row r="153" spans="1:8" x14ac:dyDescent="0.45">
      <c r="B153" s="1260" t="s">
        <v>1712</v>
      </c>
      <c r="C153" s="18"/>
      <c r="D153" s="18"/>
      <c r="E153" s="971">
        <f>E152/E147</f>
        <v>1060747.0834031163</v>
      </c>
      <c r="F153" s="971">
        <f>F152/F147</f>
        <v>1196200.094918872</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-IF($C$12='14. Permanent Info'!$C$12,'9a. Forecast Results - Total'!$I$59,IF($C$12='14. Permanent Info'!$C$7,'9b. Forecast Results - EC'!$I$59,IF($C$12='14. Permanent Info'!$C$8,'9c. Forecast Results - FS'!$I$59,IF($C$12='14. Permanent Info'!$C$9,'9d. Forecast Results - Gau'!$I$59,IF($C$12='14. Permanent Info'!$C$10,'9e. Forecast Results - KZN'!$I$59,IF($C$12='14. Permanent Info'!$C$11,'9f. Forecast Results - WC'!$I$59))))))</f>
        <v>27579424.168481018</v>
      </c>
      <c r="F156" s="1220">
        <f>-IF($C$12='14. Permanent Info'!$C$12,'9a. Forecast Results - Total'!$I$54,IF($C$12='14. Permanent Info'!$C$7,'9b. Forecast Results - EC'!$I$54,IF($C$12='14. Permanent Info'!$C$8,'9c. Forecast Results - FS'!$I$54,IF($C$12='14. Permanent Info'!$C$9,'9d. Forecast Results - Gau'!$I$54,IF($C$12='14. Permanent Info'!$C$10,'9e. Forecast Results - KZN'!$I$54,IF($C$12='14. Permanent Info'!$C$11,'9f. Forecast Results - WC'!$I$54))))))</f>
        <v>107686152.83970247</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27579424.168481018</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107686152.83970247</v>
      </c>
      <c r="G157" s="558"/>
      <c r="H157" s="1283"/>
    </row>
    <row r="158" spans="1:8" x14ac:dyDescent="0.45">
      <c r="B158" s="1260" t="s">
        <v>1715</v>
      </c>
      <c r="C158" s="558"/>
      <c r="D158" s="558"/>
      <c r="E158" s="1221">
        <f>E156-E157</f>
        <v>0</v>
      </c>
      <c r="F158" s="1221">
        <f>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F$148-153000</f>
        <v>856923.62065345782</v>
      </c>
      <c r="G161" s="1286">
        <f>$F$148/153000</f>
        <v>6.6008079781271753</v>
      </c>
      <c r="H161" s="1283"/>
    </row>
    <row r="162" spans="1:8" x14ac:dyDescent="0.45">
      <c r="B162" s="1260" t="s">
        <v>1709</v>
      </c>
      <c r="C162" s="558"/>
      <c r="D162" s="558"/>
      <c r="E162" s="18"/>
      <c r="F162" s="1221">
        <f>F$148-155000</f>
        <v>854923.62065345782</v>
      </c>
      <c r="G162" s="1286">
        <f>$F$148/155000</f>
        <v>6.5156362622803732</v>
      </c>
      <c r="H162" s="1283"/>
    </row>
    <row r="163" spans="1:8" x14ac:dyDescent="0.45">
      <c r="B163" s="1260" t="s">
        <v>1708</v>
      </c>
      <c r="C163" s="558"/>
      <c r="D163" s="558"/>
      <c r="E163" s="18"/>
      <c r="F163" s="1221">
        <f>F$148-265000</f>
        <v>744923.62065345782</v>
      </c>
      <c r="G163" s="1286">
        <f>$F$148/265000</f>
        <v>3.8110325307677653</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 Forecast Results'!R$5</f>
        <v>2017/18</v>
      </c>
      <c r="C166" s="18"/>
      <c r="D166" s="18"/>
      <c r="E166" s="971">
        <f>-SUMIF('9. Forecast Results'!$R$5:$W$5,$B166,'9. Forecast Results'!$R$51:$W$51)</f>
        <v>7276268.3573198924</v>
      </c>
      <c r="F166" s="1136">
        <f>SUMIF('9. Forecast Results'!$R$5:$W$5,$B166,'9. Forecast Results'!$R$13:$W$13)</f>
        <v>54</v>
      </c>
      <c r="G166" s="971">
        <f t="shared" ref="G166:G173" si="0">IF(F166&lt;&gt;0,E166/F166,0)</f>
        <v>134745.71032073876</v>
      </c>
      <c r="H166" s="1283"/>
    </row>
    <row r="167" spans="1:8" x14ac:dyDescent="0.45">
      <c r="B167" s="1260" t="str">
        <f>'9. Forecast Results'!S$5</f>
        <v>2018/19</v>
      </c>
      <c r="C167" s="18"/>
      <c r="D167" s="18"/>
      <c r="E167" s="1215">
        <f>-SUMIF('9. Forecast Results'!$R$5:$W$5,$B167,'9. Forecast Results'!$R$51:$W$51)</f>
        <v>5272498.0344495559</v>
      </c>
      <c r="F167" s="1222">
        <f>SUMIF('9. Forecast Results'!$R$5:$W$5,$B167,'9. Forecast Results'!$R$13:$W$13)</f>
        <v>36</v>
      </c>
      <c r="G167" s="1215">
        <f t="shared" si="0"/>
        <v>146458.27873470989</v>
      </c>
      <c r="H167" s="1283"/>
    </row>
    <row r="168" spans="1:8" x14ac:dyDescent="0.45">
      <c r="B168" s="1260" t="str">
        <f>'9. Forecast Results'!T$5</f>
        <v>2019/20</v>
      </c>
      <c r="C168" s="18"/>
      <c r="D168" s="18"/>
      <c r="E168" s="1216">
        <f>-SUMIF('9. Forecast Results'!$R$5:$W$5,$B168,'9. Forecast Results'!$R$51:$W$51)</f>
        <v>5562124.3240768462</v>
      </c>
      <c r="F168" s="1223">
        <f>SUMIF('9. Forecast Results'!$R$5:$W$5,$B168,'9. Forecast Results'!$R$13:$W$13)</f>
        <v>34</v>
      </c>
      <c r="G168" s="1216">
        <f t="shared" si="0"/>
        <v>163591.89188461311</v>
      </c>
      <c r="H168" s="1283"/>
    </row>
    <row r="169" spans="1:8" x14ac:dyDescent="0.45">
      <c r="B169" s="1260" t="str">
        <f>'9. Forecast Results'!U$5</f>
        <v>2020/21</v>
      </c>
      <c r="C169" s="18"/>
      <c r="D169" s="18"/>
      <c r="E169" s="1216">
        <f>-SUMIF('9. Forecast Results'!$R$5:$W$5,$B169,'9. Forecast Results'!$R$51:$W$51)</f>
        <v>5535382.1975866212</v>
      </c>
      <c r="F169" s="1223">
        <f>SUMIF('9. Forecast Results'!$R$5:$W$5,$B169,'9. Forecast Results'!$R$13:$W$13)</f>
        <v>32</v>
      </c>
      <c r="G169" s="1216">
        <f t="shared" si="0"/>
        <v>172980.69367458191</v>
      </c>
      <c r="H169" s="1283"/>
    </row>
    <row r="170" spans="1:8" x14ac:dyDescent="0.45">
      <c r="B170" s="1260" t="str">
        <f>'9. Forecast Results'!V$5</f>
        <v>2021/22</v>
      </c>
      <c r="C170" s="18"/>
      <c r="D170" s="18"/>
      <c r="E170" s="1216">
        <f>-SUMIF('9. Forecast Results'!$R$5:$W$5,$B170,'9. Forecast Results'!$R$51:$W$51)</f>
        <v>5487924.873524704</v>
      </c>
      <c r="F170" s="1223">
        <f>SUMIF('9. Forecast Results'!$R$5:$W$5,$B170,'9. Forecast Results'!$R$13:$W$13)</f>
        <v>30</v>
      </c>
      <c r="G170" s="1216">
        <f t="shared" si="0"/>
        <v>182930.82911749012</v>
      </c>
      <c r="H170" s="1283"/>
    </row>
    <row r="171" spans="1:8" x14ac:dyDescent="0.45">
      <c r="B171" s="1260" t="str">
        <f>'9. Forecast Results'!W$5</f>
        <v>2022/23</v>
      </c>
      <c r="C171" s="18"/>
      <c r="D171" s="18"/>
      <c r="E171" s="1217">
        <f>-SUMIF('9. Forecast Results'!$R$5:$W$5,$B171,'9. Forecast Results'!$R$51:$W$51)</f>
        <v>5417569.3500243956</v>
      </c>
      <c r="F171" s="1224">
        <f>SUMIF('9. Forecast Results'!$R$5:$W$5,$B171,'9. Forecast Results'!$R$13:$W$13)</f>
        <v>28</v>
      </c>
      <c r="G171" s="1217">
        <f t="shared" si="0"/>
        <v>193484.61964372842</v>
      </c>
      <c r="H171" s="1283"/>
    </row>
    <row r="172" spans="1:8" x14ac:dyDescent="0.45">
      <c r="B172" s="1263" t="s">
        <v>1516</v>
      </c>
      <c r="C172" s="18"/>
      <c r="D172" s="18"/>
      <c r="E172" s="1220">
        <f>SUM(E167:E171)</f>
        <v>27275498.779662121</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26</v>
      </c>
      <c r="G172" s="1220">
        <f t="shared" si="0"/>
        <v>1049057.6453716201</v>
      </c>
      <c r="H172" s="1283"/>
    </row>
    <row r="173" spans="1:8" x14ac:dyDescent="0.45">
      <c r="A173" s="18"/>
      <c r="B173" s="1263" t="s">
        <v>1520</v>
      </c>
      <c r="C173" s="18"/>
      <c r="D173" s="18"/>
      <c r="E173" s="1220">
        <f>-'9. Forecast Results'!AL$51</f>
        <v>90921270.155815199</v>
      </c>
      <c r="F173" s="1290">
        <f>SUMIF('10. Inputs &amp; Calcs'!$D$520:$D$525,$C$12,'10. Inputs &amp; Calcs'!$H$520:$H$525)</f>
        <v>90</v>
      </c>
      <c r="G173" s="1220">
        <f t="shared" si="0"/>
        <v>1010236.3350646134</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 Forecast Results'!R$5</f>
        <v>2017/18</v>
      </c>
      <c r="C176" s="18"/>
      <c r="D176" s="18"/>
      <c r="E176" s="971">
        <f>-SUMIF('9. Forecast Results'!$R$5:$W$5,$B176,'9. Forecast Results'!$R$53:$W$53)</f>
        <v>210409.8845669291</v>
      </c>
      <c r="F176" s="1136">
        <f>SUMIF('10. Inputs &amp; Calcs'!$D$51:$D$56,$C$12,'10. Inputs &amp; Calcs'!$J$51:$J$56)</f>
        <v>18</v>
      </c>
      <c r="G176" s="971">
        <f t="shared" ref="G176:G183" si="1">IF(F176&lt;&gt;0,E176/F176,0)</f>
        <v>11689.438031496062</v>
      </c>
      <c r="H176" s="1283"/>
    </row>
    <row r="177" spans="1:8" x14ac:dyDescent="0.45">
      <c r="A177" s="18"/>
      <c r="B177" s="1260" t="str">
        <f>'9. Forecast Results'!S$5</f>
        <v>2018/19</v>
      </c>
      <c r="C177" s="18"/>
      <c r="D177" s="18"/>
      <c r="E177" s="1215">
        <f>-SUMIF('9. Forecast Results'!$R$5:$W$5,$B177,'9. Forecast Results'!$R$53:$W$53)</f>
        <v>210409.8845669291</v>
      </c>
      <c r="F177" s="1222">
        <f>IF($AA$19='14. Permanent Info'!$N$7,SUMIF('10. Inputs &amp; Calcs'!$D$51:$D$56,$C$12,'10. Inputs &amp; Calcs'!$K$51:$K$56)-SUMIF('10. Inputs &amp; Calcs'!$D$106:$D$111,$C$12,'10. Inputs &amp; Calcs'!$K$106:$K$111),SUMIF('10. Inputs &amp; Calcs'!$D$51:$D$56,$C$12,'10. Inputs &amp; Calcs'!$K$51:$K$56))</f>
        <v>18</v>
      </c>
      <c r="G177" s="1215">
        <f t="shared" si="1"/>
        <v>11689.438031496062</v>
      </c>
      <c r="H177" s="1283"/>
    </row>
    <row r="178" spans="1:8" x14ac:dyDescent="0.45">
      <c r="A178" s="18"/>
      <c r="B178" s="1260" t="str">
        <f>'9. Forecast Results'!T$5</f>
        <v>2019/20</v>
      </c>
      <c r="C178" s="18"/>
      <c r="D178" s="18"/>
      <c r="E178" s="1216">
        <f>-SUMIF('9. Forecast Results'!$R$5:$W$5,$B178,'9. Forecast Results'!$R$53:$W$53)</f>
        <v>23378.876062992123</v>
      </c>
      <c r="F178" s="1223">
        <f>IF($AA$19='14. Permanent Info'!$N$7,SUMIF('10. Inputs &amp; Calcs'!$D$51:$D$56,$C$12,'10. Inputs &amp; Calcs'!$L$51:$L$56)-SUMIF('10. Inputs &amp; Calcs'!$D$106:$D$111,$C$12,'10. Inputs &amp; Calcs'!$L$106:$L$111),SUMIF('10. Inputs &amp; Calcs'!$D$51:$D$56,$C$12,'10. Inputs &amp; Calcs'!$L$51:$L$56))</f>
        <v>2</v>
      </c>
      <c r="G178" s="1216">
        <f t="shared" si="1"/>
        <v>11689.438031496062</v>
      </c>
      <c r="H178" s="1283"/>
    </row>
    <row r="179" spans="1:8" x14ac:dyDescent="0.45">
      <c r="A179" s="18"/>
      <c r="B179" s="1260" t="str">
        <f>'9. Forecast Results'!U$5</f>
        <v>2020/21</v>
      </c>
      <c r="C179" s="18"/>
      <c r="D179" s="18"/>
      <c r="E179" s="1216">
        <f>-SUMIF('9. Forecast Results'!$R$5:$W$5,$B179,'9. Forecast Results'!$R$53:$W$53)</f>
        <v>23378.876062992123</v>
      </c>
      <c r="F179" s="1223">
        <f>IF($AA$19='14. Permanent Info'!$N$7,SUMIF('10. Inputs &amp; Calcs'!$D$51:$D$56,$C$12,'10. Inputs &amp; Calcs'!$M$51:$M$56)-SUMIF('10. Inputs &amp; Calcs'!$D$106:$D$111,$C$12,'10. Inputs &amp; Calcs'!$M$106:$M$111),SUMIF('10. Inputs &amp; Calcs'!$D$51:$D$56,$C$12,'10. Inputs &amp; Calcs'!$M$51:$M$56))</f>
        <v>2</v>
      </c>
      <c r="G179" s="1216">
        <f t="shared" si="1"/>
        <v>11689.438031496062</v>
      </c>
      <c r="H179" s="1283"/>
    </row>
    <row r="180" spans="1:8" x14ac:dyDescent="0.45">
      <c r="A180" s="18"/>
      <c r="B180" s="1260" t="str">
        <f>'9. Forecast Results'!V$5</f>
        <v>2021/22</v>
      </c>
      <c r="C180" s="18"/>
      <c r="D180" s="18"/>
      <c r="E180" s="1216">
        <f>-SUMIF('9. Forecast Results'!$R$5:$W$5,$B180,'9. Forecast Results'!$R$53:$W$53)</f>
        <v>23378.876062992123</v>
      </c>
      <c r="F180" s="1223">
        <f>IF($AA$19='14. Permanent Info'!$N$7,SUMIF('10. Inputs &amp; Calcs'!$D$51:$D$56,$C$12,'10. Inputs &amp; Calcs'!$N$51:$N$56)-SUMIF('10. Inputs &amp; Calcs'!$D$106:$D$111,$C$12,'10. Inputs &amp; Calcs'!$N$106:$N$111),SUMIF('10. Inputs &amp; Calcs'!$D$51:$D$56,$C$12,'10. Inputs &amp; Calcs'!$N$51:$N$56))</f>
        <v>2</v>
      </c>
      <c r="G180" s="1216">
        <f t="shared" si="1"/>
        <v>11689.438031496062</v>
      </c>
      <c r="H180" s="1283"/>
    </row>
    <row r="181" spans="1:8" x14ac:dyDescent="0.45">
      <c r="A181" s="18"/>
      <c r="B181" s="1260" t="str">
        <f>'9. Forecast Results'!W$5</f>
        <v>2022/23</v>
      </c>
      <c r="C181" s="18"/>
      <c r="D181" s="18"/>
      <c r="E181" s="1217">
        <f>-SUMIF('9. Forecast Results'!$R$5:$W$5,$B181,'9. Forecast Results'!$R$53:$W$53)</f>
        <v>23378.876062992123</v>
      </c>
      <c r="F181" s="1224">
        <f>IF($AA$19='14. Permanent Info'!$N$7,SUMIF('10. Inputs &amp; Calcs'!$D$51:$D$56,$C$12,'10. Inputs &amp; Calcs'!$O$51:$O$56)-SUMIF('10. Inputs &amp; Calcs'!$D$106:$D$111,$C$12,'10. Inputs &amp; Calcs'!$O$106:$O$111),SUMIF('10. Inputs &amp; Calcs'!$D$51:$D$56,$C$12,'10. Inputs &amp; Calcs'!$O$51:$O$56))</f>
        <v>2</v>
      </c>
      <c r="G181" s="1217">
        <f t="shared" si="1"/>
        <v>11689.438031496062</v>
      </c>
      <c r="H181" s="1283"/>
    </row>
    <row r="182" spans="1:8" x14ac:dyDescent="0.45">
      <c r="B182" s="1263" t="s">
        <v>1516</v>
      </c>
      <c r="C182" s="18"/>
      <c r="D182" s="18"/>
      <c r="E182" s="1220">
        <f>SUM(E177:E181)</f>
        <v>303925.3888188976</v>
      </c>
      <c r="F182" s="1291">
        <f>SUM(F177:F181)</f>
        <v>26</v>
      </c>
      <c r="G182" s="1220">
        <f t="shared" si="1"/>
        <v>11689.438031496062</v>
      </c>
      <c r="H182" s="1283"/>
    </row>
    <row r="183" spans="1:8" x14ac:dyDescent="0.45">
      <c r="B183" s="1263" t="s">
        <v>1521</v>
      </c>
      <c r="C183" s="18"/>
      <c r="D183" s="18"/>
      <c r="E183" s="1220">
        <f>-'9. Forecast Results'!AL$53</f>
        <v>16764882.683887275</v>
      </c>
      <c r="F183" s="1290">
        <f>-SUMIF('10. Inputs &amp; Calcs'!$D$106:$D$111,$C$12,'10. Inputs &amp; Calcs'!$AD$106:$AD$111)+-SUMIF('10. Inputs &amp; Calcs'!$D$60:$D$65,$C$12,'10. Inputs &amp; Calcs'!$AD$60:$AD$65)</f>
        <v>204</v>
      </c>
      <c r="G183" s="1220">
        <f t="shared" si="1"/>
        <v>82180.797470035657</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E136</f>
        <v>1077027.7126860777</v>
      </c>
      <c r="H204" s="1235">
        <f>F136</f>
        <v>3513640.4406654779</v>
      </c>
    </row>
    <row r="205" spans="1:8" hidden="1" outlineLevel="1" x14ac:dyDescent="0.45">
      <c r="E205" s="1245" t="str">
        <f>B137</f>
        <v>Costs/Expenses</v>
      </c>
      <c r="F205" s="4"/>
      <c r="G205" s="1234">
        <f t="shared" si="2"/>
        <v>28352526.492348202</v>
      </c>
      <c r="H205" s="1236">
        <f t="shared" si="2"/>
        <v>94406766.299476683</v>
      </c>
    </row>
    <row r="206" spans="1:8" hidden="1" outlineLevel="1" x14ac:dyDescent="0.45">
      <c r="E206" s="1245" t="str">
        <f>B145</f>
        <v>Net Surplus / (deficit)</v>
      </c>
      <c r="F206" s="4"/>
      <c r="G206" s="1237">
        <f>E145</f>
        <v>-27275498.779662125</v>
      </c>
      <c r="H206" s="1235">
        <f>F145</f>
        <v>-90893125.8588112</v>
      </c>
    </row>
    <row r="207" spans="1:8" hidden="1" outlineLevel="1" x14ac:dyDescent="0.45">
      <c r="E207" s="1245" t="str">
        <f>B146</f>
        <v>Net Surplus / (deficit) funded by HSDG Top Slice</v>
      </c>
      <c r="F207" s="4"/>
      <c r="G207" s="1237">
        <f>E146</f>
        <v>27275498.779662125</v>
      </c>
      <c r="H207" s="1235">
        <f>F146</f>
        <v>90893125.8588112</v>
      </c>
    </row>
    <row r="208" spans="1:8" hidden="1" outlineLevel="1" x14ac:dyDescent="0.45">
      <c r="E208" s="1245" t="str">
        <f>B150</f>
        <v>Total EEDBS utilised</v>
      </c>
      <c r="F208" s="4"/>
      <c r="G208" s="1234">
        <f t="shared" ref="G208:H211" si="3">E150</f>
        <v>303925.3888188976</v>
      </c>
      <c r="H208" s="1236">
        <f t="shared" si="3"/>
        <v>16764882.683887275</v>
      </c>
    </row>
    <row r="209" spans="2:8" hidden="1" outlineLevel="1" x14ac:dyDescent="0.45">
      <c r="E209" s="1245" t="str">
        <f>B151</f>
        <v>EEDBS per Existing Rental Unit</v>
      </c>
      <c r="F209" s="4"/>
      <c r="G209" s="1234">
        <f t="shared" si="3"/>
        <v>11689.438031496062</v>
      </c>
      <c r="H209" s="1236">
        <f t="shared" si="3"/>
        <v>186276.47426541417</v>
      </c>
    </row>
    <row r="210" spans="2:8" hidden="1" outlineLevel="1" x14ac:dyDescent="0.45">
      <c r="E210" s="1245" t="str">
        <f>B152</f>
        <v>Total Government Contribution over 20 years</v>
      </c>
      <c r="F210" s="4"/>
      <c r="G210" s="1234">
        <f t="shared" si="3"/>
        <v>27579424.168481022</v>
      </c>
      <c r="H210" s="1236">
        <f t="shared" si="3"/>
        <v>107658008.54269847</v>
      </c>
    </row>
    <row r="211" spans="2:8" hidden="1" outlineLevel="1" x14ac:dyDescent="0.45">
      <c r="E211" s="1246" t="str">
        <f>B153</f>
        <v>Total Government Contribution p.u.</v>
      </c>
      <c r="F211" s="931"/>
      <c r="G211" s="1247">
        <f t="shared" si="3"/>
        <v>1060747.0834031163</v>
      </c>
      <c r="H211" s="1248">
        <f t="shared" si="3"/>
        <v>1196200.094918872</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 Forecast Results'!AL89</f>
        <v>-15399413.261052625</v>
      </c>
    </row>
    <row r="216" spans="2:8" hidden="1" outlineLevel="1" x14ac:dyDescent="0.45">
      <c r="B216" s="1057" t="s">
        <v>1560</v>
      </c>
      <c r="C216" s="1060"/>
      <c r="D216" s="1060"/>
      <c r="E216" s="1070">
        <f>SUM('9. Forecast Results'!P12:P13)</f>
        <v>204</v>
      </c>
    </row>
    <row r="217" spans="2:8" hidden="1" outlineLevel="1" x14ac:dyDescent="0.45">
      <c r="B217" s="1071" t="s">
        <v>1509</v>
      </c>
      <c r="C217" s="1072"/>
      <c r="D217" s="1072"/>
      <c r="E217" s="1073">
        <f>E215/E216</f>
        <v>-75487.319907120705</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 Forecast Results'!R$5</f>
        <v>2017/18</v>
      </c>
      <c r="E221" s="552">
        <f>SUMIF('9. Forecast Results'!$R$5:$W$5,$B221,'9. Forecast Results'!$R$52:$W$52)</f>
        <v>0</v>
      </c>
      <c r="F221" s="785">
        <f>SUMIF('10. Inputs &amp; Calcs'!$D$106:$D$111,$C$12,'10. Inputs &amp; Calcs'!$J$106:$J$111)</f>
        <v>0</v>
      </c>
      <c r="G221" s="552">
        <f>IF(F221&lt;&gt;0,E221/F221,0)</f>
        <v>0</v>
      </c>
    </row>
    <row r="222" spans="2:8" hidden="1" outlineLevel="1" x14ac:dyDescent="0.45">
      <c r="B222" s="948" t="str">
        <f>'9. Forecast Results'!S$5</f>
        <v>2018/19</v>
      </c>
      <c r="E222" s="973">
        <f>SUMIF('9. Forecast Results'!$R$5:$W$5,$B222,'9. Forecast Results'!$R$52:$W$52)</f>
        <v>0</v>
      </c>
      <c r="F222" s="974">
        <f>SUMIF('10. Inputs &amp; Calcs'!$D$106:$D$111,$C$12,'10. Inputs &amp; Calcs'!$K$106:$K$111)</f>
        <v>0</v>
      </c>
      <c r="G222" s="753">
        <f t="shared" ref="G222:G227" si="4">IF(F222&lt;&gt;0,E222/F222,0)</f>
        <v>0</v>
      </c>
    </row>
    <row r="223" spans="2:8" hidden="1" outlineLevel="1" x14ac:dyDescent="0.45">
      <c r="B223" s="948" t="str">
        <f>'9. Forecast Results'!T$5</f>
        <v>2019/20</v>
      </c>
      <c r="E223" s="975">
        <f>SUMIF('9. Forecast Results'!$R$5:$W$5,$B223,'9. Forecast Results'!$R$52:$W$52)</f>
        <v>0</v>
      </c>
      <c r="F223" s="976">
        <f>SUMIF('10. Inputs &amp; Calcs'!$D$106:$D$111,$C$12,'10. Inputs &amp; Calcs'!$L$106:$L$111)</f>
        <v>0</v>
      </c>
      <c r="G223" s="888">
        <f t="shared" si="4"/>
        <v>0</v>
      </c>
    </row>
    <row r="224" spans="2:8" hidden="1" outlineLevel="1" x14ac:dyDescent="0.45">
      <c r="B224" s="948" t="str">
        <f>'9. Forecast Results'!U$5</f>
        <v>2020/21</v>
      </c>
      <c r="E224" s="975">
        <f>SUMIF('9. Forecast Results'!$R$5:$W$5,$B224,'9. Forecast Results'!$R$52:$W$52)</f>
        <v>0</v>
      </c>
      <c r="F224" s="976">
        <f>SUMIF('10. Inputs &amp; Calcs'!$D$106:$D$111,$C$12,'10. Inputs &amp; Calcs'!$M$106:$M$111)</f>
        <v>0</v>
      </c>
      <c r="G224" s="888">
        <f t="shared" si="4"/>
        <v>0</v>
      </c>
    </row>
    <row r="225" spans="2:8" hidden="1" outlineLevel="1" x14ac:dyDescent="0.45">
      <c r="B225" s="948" t="str">
        <f>'9. Forecast Results'!V$5</f>
        <v>2021/22</v>
      </c>
      <c r="E225" s="975">
        <f>SUMIF('9. Forecast Results'!$R$5:$W$5,$B225,'9. Forecast Results'!$R$52:$W$52)</f>
        <v>0</v>
      </c>
      <c r="F225" s="976">
        <f>SUMIF('10. Inputs &amp; Calcs'!$D$106:$D$111,$C$12,'10. Inputs &amp; Calcs'!$N$106:$N$111)</f>
        <v>0</v>
      </c>
      <c r="G225" s="888">
        <f t="shared" si="4"/>
        <v>0</v>
      </c>
    </row>
    <row r="226" spans="2:8" hidden="1" outlineLevel="1" x14ac:dyDescent="0.45">
      <c r="B226" s="948" t="str">
        <f>'9. Forecast Results'!W$5</f>
        <v>2022/23</v>
      </c>
      <c r="E226" s="977">
        <f>SUMIF('9. Forecast Results'!$R$5:$W$5,$B226,'9. Forecast Results'!$R$52:$W$52)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 Forecast Results'!AL$52</f>
        <v>0</v>
      </c>
      <c r="F228" s="785">
        <f>SUMIF('10. Inputs &amp; Calcs'!$D$106:$D$111,$C$12,'10. Inputs &amp; Calcs'!$AD$106:$AD$111)</f>
        <v>-204</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 Forecast Results'!R$5</f>
        <v>2017/18</v>
      </c>
      <c r="E232" s="552">
        <f>SUMIF('10. Inputs &amp; Calcs'!$D$619:$D$624,$C$12,'10. Inputs &amp; Calcs'!$J$619:$J$629)-E176</f>
        <v>-463269.95656692912</v>
      </c>
      <c r="F232" s="785">
        <f>SUMIF('10. Inputs &amp; Calcs'!$D$51:$D$56,$C$12,'10. Inputs &amp; Calcs'!$J$51:$J$56)</f>
        <v>18</v>
      </c>
      <c r="G232" s="552">
        <f>IF(F232&lt;&gt;0,E232/F232,0)</f>
        <v>-25737.21980927384</v>
      </c>
      <c r="H232" s="930"/>
    </row>
    <row r="233" spans="2:8" hidden="1" outlineLevel="1" x14ac:dyDescent="0.45">
      <c r="B233" s="948" t="str">
        <f>'9. Forecast Results'!S$5</f>
        <v>2018/19</v>
      </c>
      <c r="E233" s="973">
        <f>SUMIF('10. Inputs &amp; Calcs'!$D$619:$D$624,$C$12,'10. Inputs &amp; Calcs'!$K$619:$K$629)</f>
        <v>-277474.87200000003</v>
      </c>
      <c r="F233" s="974">
        <f>SUMIF('10. Inputs &amp; Calcs'!$D$51:$D$56,$C$12,'10. Inputs &amp; Calcs'!$K$51:$K$56)</f>
        <v>18</v>
      </c>
      <c r="G233" s="753">
        <f t="shared" ref="G233:G239" si="5">IF(F233&lt;&gt;0,E233/F233,0)</f>
        <v>-15415.270666666669</v>
      </c>
      <c r="H233" s="930"/>
    </row>
    <row r="234" spans="2:8" hidden="1" outlineLevel="1" x14ac:dyDescent="0.45">
      <c r="B234" s="948" t="str">
        <f>'9. Forecast Results'!T$5</f>
        <v>2019/20</v>
      </c>
      <c r="E234" s="975">
        <f>SUMIF('10. Inputs &amp; Calcs'!$D$619:$D$624,$C$12,'10. Inputs &amp; Calcs'!$L$619:$L$629)</f>
        <v>-33565.519111111113</v>
      </c>
      <c r="F234" s="976">
        <f>SUMIF('10. Inputs &amp; Calcs'!$D$51:$D$56,$C$12,'10. Inputs &amp; Calcs'!$L$51:$L$56)</f>
        <v>2</v>
      </c>
      <c r="G234" s="888">
        <f t="shared" si="5"/>
        <v>-16782.759555555556</v>
      </c>
      <c r="H234" s="930"/>
    </row>
    <row r="235" spans="2:8" hidden="1" outlineLevel="1" x14ac:dyDescent="0.45">
      <c r="B235" s="948" t="str">
        <f>'9. Forecast Results'!U$5</f>
        <v>2020/21</v>
      </c>
      <c r="E235" s="975">
        <f>SUMIF('10. Inputs &amp; Calcs'!$D$619:$D$624,$C$12,'10. Inputs &amp; Calcs'!$M$619:$M$629)</f>
        <v>-36300.496888888891</v>
      </c>
      <c r="F235" s="976">
        <f>SUMIF('10. Inputs &amp; Calcs'!$D$51:$D$56,$C$12,'10. Inputs &amp; Calcs'!$M$51:$M$56)</f>
        <v>2</v>
      </c>
      <c r="G235" s="888">
        <f t="shared" si="5"/>
        <v>-18150.248444444445</v>
      </c>
      <c r="H235" s="930"/>
    </row>
    <row r="236" spans="2:8" hidden="1" outlineLevel="1" x14ac:dyDescent="0.45">
      <c r="B236" s="948" t="str">
        <f>'9. Forecast Results'!V$5</f>
        <v>2021/22</v>
      </c>
      <c r="E236" s="975">
        <f>SUMIF('10. Inputs &amp; Calcs'!$D$619:$D$624,$C$12,'10. Inputs &amp; Calcs'!$N$619:$N$629)</f>
        <v>-39035.474666666669</v>
      </c>
      <c r="F236" s="976">
        <f>SUMIF('10. Inputs &amp; Calcs'!$D$51:$D$56,$C$12,'10. Inputs &amp; Calcs'!$N$51:$N$56)</f>
        <v>2</v>
      </c>
      <c r="G236" s="888">
        <f t="shared" si="5"/>
        <v>-19517.737333333334</v>
      </c>
      <c r="H236" s="930"/>
    </row>
    <row r="237" spans="2:8" hidden="1" outlineLevel="1" x14ac:dyDescent="0.45">
      <c r="B237" s="948" t="str">
        <f>'9. Forecast Results'!W$5</f>
        <v>2022/23</v>
      </c>
      <c r="E237" s="977">
        <f>SUMIF('10. Inputs &amp; Calcs'!$D$619:$D$624,$C$12,'10. Inputs &amp; Calcs'!$O$619:$O$629)</f>
        <v>-41770.452444444447</v>
      </c>
      <c r="F237" s="978">
        <f>SUMIF('10. Inputs &amp; Calcs'!$D$51:$D$56,$C$12,'10. Inputs &amp; Calcs'!$O$51:$O$56)</f>
        <v>2</v>
      </c>
      <c r="G237" s="754">
        <f t="shared" si="5"/>
        <v>-20885.226222222223</v>
      </c>
      <c r="H237" s="930"/>
    </row>
    <row r="238" spans="2:8" hidden="1" outlineLevel="1" x14ac:dyDescent="0.45">
      <c r="B238" s="948" t="s">
        <v>1516</v>
      </c>
      <c r="E238" s="970">
        <f>SUM(E233:E237)</f>
        <v>-428146.81511111115</v>
      </c>
      <c r="F238" s="972">
        <f>SUM(F233:F237)</f>
        <v>26</v>
      </c>
      <c r="G238" s="552">
        <f t="shared" si="5"/>
        <v>-16467.185196581198</v>
      </c>
      <c r="H238" s="930"/>
    </row>
    <row r="239" spans="2:8" hidden="1" outlineLevel="1" x14ac:dyDescent="0.45">
      <c r="B239" s="948" t="s">
        <v>1519</v>
      </c>
      <c r="E239" s="971">
        <f>SUMIF('10. Inputs &amp; Calcs'!$D$619:$D$624,$C$12, '10. Inputs &amp; Calcs'!$AD$619:$AD$624)</f>
        <v>-1764801.2933333335</v>
      </c>
      <c r="F239" s="785">
        <f>SUMIF('10. Inputs &amp; Calcs'!$D$520:$D$525,$C$12,'10. Inputs &amp; Calcs'!$H$520:$H$525)</f>
        <v>90</v>
      </c>
      <c r="G239" s="552">
        <f t="shared" si="5"/>
        <v>-19608.903259259259</v>
      </c>
      <c r="H239" s="930"/>
    </row>
    <row r="240" spans="2:8" hidden="1" outlineLevel="1" x14ac:dyDescent="0.45"/>
    <row r="241" collapsed="1" x14ac:dyDescent="0.45"/>
  </sheetData>
  <sheetProtection formatCells="0" formatColumns="0" formatRows="0"/>
  <mergeCells count="3">
    <mergeCell ref="B6:H9"/>
    <mergeCell ref="E14:H14"/>
    <mergeCell ref="D13:H13"/>
  </mergeCells>
  <dataValidations xWindow="643" yWindow="366" count="4">
    <dataValidation type="list" allowBlank="1" showInputMessage="1" showErrorMessage="1" promptTitle="Select Option" prompt="Select an Option from the List Provided in the Drop-Down Box. This selection drives the model to produce results for the province or national for the Base Case or Scenario selected." sqref="H4" xr:uid="{057B4C75-B35F-4616-B4D2-8AF655A4F979}">
      <formula1>" ,  "</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6BA55D2D-3341-40E7-B140-623427BDAA0F}">
      <formula1>$D$22:$E$22</formula1>
    </dataValidation>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3552021A-8882-46BF-AD38-CF93281502D8}">
      <formula1>$F$22:$G$22</formula1>
    </dataValidation>
    <dataValidation type="list" allowBlank="1" showInputMessage="1" showErrorMessage="1" promptTitle="Scenario Selector" prompt="The user can select the Base Case (BC) or Scenario 4 (Sc4) to test the effect of changes in assumptions in the turquoise cells between C16 and C28 below._x000a_Scenarios 1 to 3 have been set and cannot be amended. All testing should be done under Scenario 4." sqref="C13" xr:uid="{D5929CAB-CBF6-4827-B552-69D2F5657A28}">
      <formula1>"BC,Sc4"</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ignoredErrors>
    <ignoredError sqref="AF39" unlockedFormula="1"/>
  </ignoredErrors>
  <drawing r:id="rId2"/>
  <legacyDrawing r:id="rId3"/>
  <extLst>
    <ext xmlns:x14="http://schemas.microsoft.com/office/spreadsheetml/2009/9/main" uri="{CCE6A557-97BC-4b89-ADB6-D9C93CAAB3DF}">
      <x14:dataValidations xmlns:xm="http://schemas.microsoft.com/office/excel/2006/main" xWindow="643" yWindow="366" count="6">
        <x14:dataValidation type="list" allowBlank="1" showInputMessage="1" showErrorMessage="1" promptTitle="Scenario Selector" prompt="Select the Scenario to be projected AFTER Defining the Scenario using the Input Areas and Selection Boxes in the turquoise area between cell F13 and i17. " xr:uid="{147D61C2-44AE-4D9A-8744-E1130C6F1AF0}">
          <x14:formula1>
            <xm:f>'14. Permanent Info'!$D$7:$D$11</xm:f>
          </x14:formula1>
          <xm:sqref>AA13</xm:sqref>
        </x14:dataValidation>
        <x14:dataValidation type="list" allowBlank="1" showInputMessage="1" showErrorMessage="1" promptTitle="Select Province" prompt="Select province from the list, or select Total to see the national view. " xr:uid="{5175D2ED-5867-4222-A312-0C58E2F3891B}">
          <x14:formula1>
            <xm:f>'14. Permanent Info'!$C$7:$C$12</xm:f>
          </x14:formula1>
          <xm:sqref>C12</xm:sqref>
        </x14:dataValidation>
        <x14:dataValidation type="list" allowBlank="1" showInputMessage="1" showErrorMessage="1" promptTitle="Years" prompt="Select the number of years required to close this programme from 2018/19._x000a_" xr:uid="{6741D8C8-4F39-49AF-9817-0D737FD5740F}">
          <x14:formula1>
            <xm:f>'14. Permanent Info'!$J$7:$J$23</xm:f>
          </x14:formula1>
          <xm:sqref>C16 AA16</xm:sqref>
        </x14:dataValidation>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CF254CC6-3A3D-40D4-9050-DCECF15F3EAB}">
          <x14:formula1>
            <xm:f>'14. Permanent Info'!$M$7:$N$7</xm:f>
          </x14:formula1>
          <xm:sqref>C19 AA19</xm:sqref>
        </x14:dataValidation>
        <x14: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xr:uid="{0C9AD7D5-74D4-4F78-BC27-68A50B330EFC}">
          <x14:formula1>
            <xm:f>'5a. Dashboard 2'!$D$8:$E$8</xm:f>
          </x14:formula1>
          <xm:sqref>C17</xm:sqref>
        </x14:dataValidation>
        <x14: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xr:uid="{9FBAC740-FECA-4F47-88CF-CADD43C34CDF}">
          <x14:formula1>
            <xm:f>'5a. Dashboard 2'!$F$8:$G$8</xm:f>
          </x14:formula1>
          <xm:sqref>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04A3-42DD-4DD8-9886-A44DEA1A962E}">
  <sheetPr>
    <tabColor theme="5" tint="0.79998168889431442"/>
  </sheetPr>
  <dimension ref="A1:CE241"/>
  <sheetViews>
    <sheetView showGridLines="0" zoomScale="65" zoomScaleNormal="65" zoomScaleSheetLayoutView="40" workbookViewId="0">
      <selection activeCell="C11" sqref="C1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I2" s="4"/>
      <c r="J2" s="4"/>
      <c r="AB2" s="803">
        <f>'9a. Forecast Results - Total'!AO19</f>
        <v>0</v>
      </c>
      <c r="AC2" s="803" t="str">
        <f>'9a. Forecast Results - Total'!AP19</f>
        <v>2013/14</v>
      </c>
      <c r="AD2" s="803" t="str">
        <f>'9a. Forecast Results - Total'!AQ19</f>
        <v>2014/15</v>
      </c>
      <c r="AE2" s="803" t="str">
        <f>'9a. Forecast Results - Total'!AR19</f>
        <v>2015/16</v>
      </c>
      <c r="AF2" s="803" t="str">
        <f>'9a. Forecast Results - Total'!AS19</f>
        <v>2016/17</v>
      </c>
      <c r="AG2" s="803" t="str">
        <f>'9a. Forecast Results - Total'!AT19</f>
        <v>2017/18</v>
      </c>
      <c r="AH2" s="803" t="str">
        <f>'9a. Forecast Results - Total'!AU19</f>
        <v>2018/19</v>
      </c>
      <c r="AI2" s="803" t="str">
        <f>'9a. Forecast Results - Total'!AV19</f>
        <v>2019/20</v>
      </c>
      <c r="AJ2" s="803" t="str">
        <f>'9a. Forecast Results - Total'!AW19</f>
        <v>2020/21</v>
      </c>
      <c r="AK2" s="803" t="str">
        <f>'9a. Forecast Results - Total'!AX19</f>
        <v>2021/22</v>
      </c>
      <c r="AL2" s="803" t="str">
        <f>'9a. Forecast Results - Total'!AY19</f>
        <v>2022/23</v>
      </c>
      <c r="AM2" s="803" t="str">
        <f>'9a. Forecast Results - Total'!AZ19</f>
        <v>2023/24</v>
      </c>
      <c r="AN2" s="803" t="str">
        <f>'9a. Forecast Results - Total'!BA19</f>
        <v>2024/25</v>
      </c>
      <c r="AO2" s="803" t="str">
        <f>'9a. Forecast Results - Total'!BB19</f>
        <v>2025/26</v>
      </c>
      <c r="AP2" s="803" t="str">
        <f>'9a. Forecast Results - Total'!BC19</f>
        <v>2026/27</v>
      </c>
      <c r="AQ2" s="803" t="str">
        <f>'9a. Forecast Results - Total'!BD19</f>
        <v>2027/28</v>
      </c>
      <c r="AR2" s="803" t="str">
        <f>'9a. Forecast Results - Total'!BE19</f>
        <v>2028/29</v>
      </c>
      <c r="AS2" s="803" t="str">
        <f>'9a. Forecast Results - Total'!BF19</f>
        <v>2029/30</v>
      </c>
      <c r="AT2" s="803" t="str">
        <f>'9a. Forecast Results - Total'!BG19</f>
        <v>2030/31</v>
      </c>
      <c r="AU2" s="803" t="str">
        <f>'9a. Forecast Results - Total'!BH19</f>
        <v>2031/32</v>
      </c>
      <c r="AV2" s="803" t="str">
        <f>'9a. Forecast Results - Total'!BI19</f>
        <v>3032/33</v>
      </c>
      <c r="AW2" s="803" t="str">
        <f>'9a. Forecast Results - Total'!BJ19</f>
        <v>2033/34</v>
      </c>
      <c r="AX2" s="803" t="str">
        <f>'9a. Forecast Results - Total'!BK19</f>
        <v>2034/35</v>
      </c>
      <c r="AY2" s="803" t="str">
        <f>'9a. Forecast Results - Total'!BL19</f>
        <v>2035/36</v>
      </c>
      <c r="AZ2" s="803" t="str">
        <f>'9a. Forecast Results - Total'!BM19</f>
        <v>2036/37</v>
      </c>
    </row>
    <row r="3" spans="1:83" x14ac:dyDescent="0.45">
      <c r="C3" s="929" t="s">
        <v>1796</v>
      </c>
      <c r="D3" s="553"/>
      <c r="E3" s="553"/>
      <c r="F3" s="553"/>
      <c r="G3" s="553"/>
      <c r="H3" s="796"/>
      <c r="I3" s="4"/>
      <c r="J3" s="4"/>
      <c r="AB3" s="803" t="str">
        <f>'9a. Forecast Results - Total'!AO20</f>
        <v>Net Deficit funded by HSDG Top Slice</v>
      </c>
      <c r="AC3" s="1105">
        <f>'9a. Forecast Results - Total'!AP20</f>
        <v>-112639142.49333334</v>
      </c>
      <c r="AD3" s="1105">
        <f>'9a. Forecast Results - Total'!AQ20</f>
        <v>-120020127.89333332</v>
      </c>
      <c r="AE3" s="1105">
        <f>'9a. Forecast Results - Total'!AR20</f>
        <v>-128289183.36000001</v>
      </c>
      <c r="AF3" s="1105">
        <f ca="1">'9a. Forecast Results - Total'!AS20</f>
        <v>-131948176.67010787</v>
      </c>
      <c r="AG3" s="1105">
        <f ca="1">'9a. Forecast Results - Total'!AT20</f>
        <v>-128772071.22519906</v>
      </c>
      <c r="AH3" s="1105">
        <f ca="1">'9a. Forecast Results - Total'!AU20</f>
        <v>-125352126.05131693</v>
      </c>
      <c r="AI3" s="1105">
        <f ca="1">'9a. Forecast Results - Total'!AV20</f>
        <v>-126956932.24841155</v>
      </c>
      <c r="AJ3" s="1105">
        <f ca="1">'9a. Forecast Results - Total'!AW20</f>
        <v>-126155549.41692396</v>
      </c>
      <c r="AK3" s="1105">
        <f ca="1">'9a. Forecast Results - Total'!AX20</f>
        <v>-124849979.70312493</v>
      </c>
      <c r="AL3" s="1105">
        <f ca="1">'9a. Forecast Results - Total'!AY20</f>
        <v>-122987708.90222576</v>
      </c>
      <c r="AM3" s="1105">
        <f ca="1">'9a. Forecast Results - Total'!AZ20</f>
        <v>-120511971.41223007</v>
      </c>
      <c r="AN3" s="1105">
        <f ca="1">'9a. Forecast Results - Total'!BA20</f>
        <v>-117361441.43571034</v>
      </c>
      <c r="AO3" s="1105">
        <f ca="1">'9a. Forecast Results - Total'!BB20</f>
        <v>-113469903.07425649</v>
      </c>
      <c r="AP3" s="1105">
        <f ca="1">'9a. Forecast Results - Total'!BC20</f>
        <v>-108765897.92790511</v>
      </c>
      <c r="AQ3" s="1105">
        <f ca="1">'9a. Forecast Results - Total'!BD20</f>
        <v>-103172348.7230612</v>
      </c>
      <c r="AR3" s="1105">
        <f ca="1">'9a. Forecast Results - Total'!BE20</f>
        <v>-96606157.398058683</v>
      </c>
      <c r="AS3" s="1105">
        <f ca="1">'9a. Forecast Results - Total'!BF20</f>
        <v>-88977775.975225061</v>
      </c>
      <c r="AT3" s="1105">
        <f ca="1">'9a. Forecast Results - Total'!BG20</f>
        <v>-80190748.441757485</v>
      </c>
      <c r="AU3" s="1105">
        <f ca="1">'9a. Forecast Results - Total'!BH20</f>
        <v>-70141221.748490617</v>
      </c>
      <c r="AV3" s="1105">
        <f ca="1">'9a. Forecast Results - Total'!BI20</f>
        <v>-58717423.915335566</v>
      </c>
      <c r="AW3" s="1105">
        <f ca="1">'9a. Forecast Results - Total'!BJ20</f>
        <v>-45799107.104352199</v>
      </c>
      <c r="AX3" s="1105">
        <f ca="1">'9a. Forecast Results - Total'!BK20</f>
        <v>-31256953.38562502</v>
      </c>
      <c r="AY3" s="1105">
        <f ca="1">'9a. Forecast Results - Total'!BL20</f>
        <v>-292672.82400684012</v>
      </c>
      <c r="AZ3" s="1105">
        <f ca="1">'9a. Forecast Results - Total'!BM20</f>
        <v>0</v>
      </c>
    </row>
    <row r="4" spans="1:83" x14ac:dyDescent="0.45">
      <c r="C4" s="1170" t="s">
        <v>1797</v>
      </c>
      <c r="D4" s="4"/>
      <c r="F4" s="4"/>
      <c r="G4" s="4"/>
      <c r="H4" s="930"/>
      <c r="I4" s="4"/>
      <c r="J4" s="4"/>
      <c r="AB4" s="803" t="str">
        <f>'9a. Forecast Results - Total'!AO21</f>
        <v>EEDBS utilised to settle Existing Sales Debtors Balances Owing</v>
      </c>
      <c r="AC4" s="1105">
        <f>'9a. Forecast Results - Total'!AP21</f>
        <v>-17923184</v>
      </c>
      <c r="AD4" s="1105">
        <f>'9a. Forecast Results - Total'!AQ21</f>
        <v>-17604545</v>
      </c>
      <c r="AE4" s="1105">
        <f>'9a. Forecast Results - Total'!AR21</f>
        <v>-10717984</v>
      </c>
      <c r="AF4" s="1105">
        <f ca="1">'9a. Forecast Results - Total'!AS21</f>
        <v>-9628697.8662323505</v>
      </c>
      <c r="AG4" s="1105">
        <f ca="1">'9a. Forecast Results - Total'!AT21</f>
        <v>-9628697.8662323505</v>
      </c>
      <c r="AH4" s="1105">
        <f ca="1">'9a. Forecast Results - Total'!AU21</f>
        <v>-8930433.3100576513</v>
      </c>
      <c r="AI4" s="1105">
        <f ca="1">'9a. Forecast Results - Total'!AV21</f>
        <v>-4248781.8647111077</v>
      </c>
      <c r="AJ4" s="1105">
        <f ca="1">'9a. Forecast Results - Total'!AW21</f>
        <v>-4248781.8647111077</v>
      </c>
      <c r="AK4" s="1105">
        <f ca="1">'9a. Forecast Results - Total'!AX21</f>
        <v>-4248781.8647111077</v>
      </c>
      <c r="AL4" s="1105">
        <f ca="1">'9a. Forecast Results - Total'!AY21</f>
        <v>-4248781.8647111077</v>
      </c>
      <c r="AM4" s="1105">
        <f ca="1">'9a. Forecast Results - Total'!AZ21</f>
        <v>-4248781.8647111077</v>
      </c>
      <c r="AN4" s="1105">
        <f ca="1">'9a. Forecast Results - Total'!BA21</f>
        <v>-4248781.8647111077</v>
      </c>
      <c r="AO4" s="1105">
        <f ca="1">'9a. Forecast Results - Total'!BB21</f>
        <v>-4248781.8647111077</v>
      </c>
      <c r="AP4" s="1105">
        <f ca="1">'9a. Forecast Results - Total'!BC21</f>
        <v>-4248781.8647111077</v>
      </c>
      <c r="AQ4" s="1105">
        <f ca="1">'9a. Forecast Results - Total'!BD21</f>
        <v>-4248781.8647111077</v>
      </c>
      <c r="AR4" s="1105">
        <f ca="1">'9a. Forecast Results - Total'!BE21</f>
        <v>-4248781.8647111077</v>
      </c>
      <c r="AS4" s="1105">
        <f ca="1">'9a. Forecast Results - Total'!BF21</f>
        <v>-4248781.8647111077</v>
      </c>
      <c r="AT4" s="1105">
        <f ca="1">'9a. Forecast Results - Total'!BG21</f>
        <v>-4248781.8647111077</v>
      </c>
      <c r="AU4" s="1105">
        <f ca="1">'9a. Forecast Results - Total'!BH21</f>
        <v>-4248781.8647111077</v>
      </c>
      <c r="AV4" s="1105">
        <f ca="1">'9a. Forecast Results - Total'!BI21</f>
        <v>-4248781.8647111077</v>
      </c>
      <c r="AW4" s="1105">
        <f ca="1">'9a. Forecast Results - Total'!BJ21</f>
        <v>-4248781.8647111077</v>
      </c>
      <c r="AX4" s="1105">
        <f ca="1">'9a. Forecast Results - Total'!BK21</f>
        <v>-4248781.8647111077</v>
      </c>
      <c r="AY4" s="1105">
        <f ca="1">'9a. Forecast Results - Total'!BL21</f>
        <v>-737660016.55326807</v>
      </c>
      <c r="AZ4" s="1105">
        <f ca="1">'9a. Forecast Results - Total'!BM21</f>
        <v>0</v>
      </c>
    </row>
    <row r="5" spans="1:83" x14ac:dyDescent="0.45">
      <c r="C5" s="949"/>
      <c r="D5" s="931"/>
      <c r="E5" s="931"/>
      <c r="F5" s="931"/>
      <c r="G5" s="931"/>
      <c r="H5" s="932"/>
      <c r="I5" s="4"/>
      <c r="J5" s="4"/>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11</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Total BC</v>
      </c>
      <c r="E15" s="1274" t="str">
        <f>$C$12&amp;" "&amp;'14. Permanent Info'!$D$7</f>
        <v>Total BC</v>
      </c>
      <c r="F15" s="1274" t="str">
        <f>$C$12&amp;" "&amp;'14. Permanent Info'!$D$8</f>
        <v>Total Sc1</v>
      </c>
      <c r="G15" s="1274" t="str">
        <f>$C$12&amp;" "&amp;'14. Permanent Info'!$D$9</f>
        <v>Total Sc2</v>
      </c>
      <c r="H15" s="1274" t="str">
        <f>$C$12&amp;" "&amp;'14. Permanent Info'!$D$10</f>
        <v>Total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Total'!C16,0)))))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Total'!C17,0)))))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Total'!C18,0)))))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Total'!C19,0)))))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Total BC</v>
      </c>
      <c r="D24" s="553"/>
      <c r="E24" s="1294" t="str">
        <f>E15</f>
        <v>Total BC</v>
      </c>
      <c r="F24" s="1294" t="str">
        <f>F15</f>
        <v>Total Sc1</v>
      </c>
      <c r="G24" s="1294" t="str">
        <f>G15</f>
        <v>Total Sc2</v>
      </c>
      <c r="H24" s="1294" t="str">
        <f>H15</f>
        <v>Total Sc3</v>
      </c>
      <c r="I24" s="4"/>
      <c r="J24" s="4"/>
      <c r="K24" s="4"/>
      <c r="L24" s="4"/>
      <c r="M24" s="4"/>
      <c r="N24" s="4"/>
      <c r="O24" s="4"/>
      <c r="P24" s="4"/>
      <c r="Q24" s="4"/>
      <c r="R24" s="4"/>
      <c r="S24" s="4"/>
      <c r="T24" s="4"/>
      <c r="U24" s="4"/>
      <c r="V24" s="4"/>
      <c r="W24" s="4"/>
    </row>
    <row r="25" spans="1:83" x14ac:dyDescent="0.45">
      <c r="B25" s="1260" t="str">
        <f>B136</f>
        <v>Income (=Rent &amp; Sales Income)</v>
      </c>
      <c r="C25" s="1296">
        <f ca="1">$F$136</f>
        <v>78509405.775295377</v>
      </c>
      <c r="D25" s="558"/>
      <c r="E25" s="1296">
        <v>78509405.775295377</v>
      </c>
      <c r="F25" s="1296">
        <v>62486352.897243433</v>
      </c>
      <c r="G25" s="1296">
        <v>56893307.700266004</v>
      </c>
      <c r="H25" s="1297">
        <v>56893307.700265884</v>
      </c>
      <c r="I25" s="4"/>
      <c r="J25" s="4"/>
      <c r="K25" s="4"/>
      <c r="L25" s="4"/>
      <c r="M25" s="4"/>
      <c r="N25" s="4"/>
      <c r="O25" s="4"/>
      <c r="P25" s="4"/>
      <c r="Q25" s="4"/>
      <c r="R25" s="4"/>
      <c r="S25" s="4"/>
      <c r="T25" s="4"/>
      <c r="U25" s="4"/>
      <c r="V25" s="4"/>
      <c r="W25" s="4"/>
    </row>
    <row r="26" spans="1:83" x14ac:dyDescent="0.45">
      <c r="B26" s="1260" t="str">
        <f>B137</f>
        <v>Costs/Expenses</v>
      </c>
      <c r="C26" s="1296">
        <f>$F$137</f>
        <v>2000795573.3586197</v>
      </c>
      <c r="D26" s="558"/>
      <c r="E26" s="1296">
        <v>2000795573.3586197</v>
      </c>
      <c r="F26" s="1296">
        <v>669096480.70130014</v>
      </c>
      <c r="G26" s="1296">
        <v>448464102.22253901</v>
      </c>
      <c r="H26" s="1298">
        <v>446094075.20983911</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 ca="1">$F$146</f>
        <v>1922286167.5833244</v>
      </c>
      <c r="D27" s="558"/>
      <c r="E27" s="1299">
        <v>1922286167.5833244</v>
      </c>
      <c r="F27" s="1299">
        <v>606610127.80405676</v>
      </c>
      <c r="G27" s="1299">
        <v>391570794.522273</v>
      </c>
      <c r="H27" s="1297">
        <v>389200767.50957322</v>
      </c>
      <c r="I27" s="4"/>
      <c r="J27" s="4"/>
      <c r="K27" s="4"/>
      <c r="L27" s="4"/>
      <c r="M27" s="4"/>
      <c r="N27" s="4"/>
      <c r="O27" s="4"/>
      <c r="P27" s="4"/>
      <c r="Q27" s="4"/>
      <c r="R27" s="4"/>
      <c r="S27" s="4"/>
      <c r="T27" s="4"/>
      <c r="U27" s="4"/>
      <c r="V27" s="4"/>
      <c r="W27" s="4"/>
    </row>
    <row r="28" spans="1:83" x14ac:dyDescent="0.45">
      <c r="B28" s="1260" t="str">
        <f>B150</f>
        <v>Total EEDBS utilised</v>
      </c>
      <c r="C28" s="1296">
        <f ca="1">$F$150</f>
        <v>833828355.43116808</v>
      </c>
      <c r="D28" s="558"/>
      <c r="E28" s="1296">
        <v>833828355.43116808</v>
      </c>
      <c r="F28" s="1296">
        <v>833828355.43116832</v>
      </c>
      <c r="G28" s="1296">
        <v>833828355.43116832</v>
      </c>
      <c r="H28" s="1298">
        <v>833828355.4311682</v>
      </c>
      <c r="I28" s="4"/>
      <c r="J28" s="4"/>
      <c r="K28" s="4"/>
      <c r="L28" s="4"/>
      <c r="M28" s="4"/>
      <c r="N28" s="4"/>
      <c r="O28" s="4"/>
      <c r="P28" s="4"/>
      <c r="Q28" s="4"/>
      <c r="R28" s="4"/>
      <c r="S28" s="4"/>
      <c r="T28" s="4"/>
      <c r="U28" s="4"/>
      <c r="V28" s="4"/>
      <c r="W28" s="4"/>
    </row>
    <row r="29" spans="1:83" x14ac:dyDescent="0.45">
      <c r="B29" s="1263" t="s">
        <v>1768</v>
      </c>
      <c r="C29" s="1300">
        <f ca="1">SUM(C27:C28)</f>
        <v>2756114523.0144925</v>
      </c>
      <c r="D29" s="558"/>
      <c r="E29" s="1300">
        <v>2756114523.0144925</v>
      </c>
      <c r="F29" s="1300">
        <v>1440438483.2352252</v>
      </c>
      <c r="G29" s="1300">
        <v>1225399149.9534414</v>
      </c>
      <c r="H29" s="1301">
        <v>1223029122.9407415</v>
      </c>
      <c r="I29" s="4"/>
      <c r="J29" s="4"/>
      <c r="K29" s="4"/>
      <c r="L29" s="4"/>
      <c r="M29" s="4"/>
      <c r="N29" s="4"/>
      <c r="O29" s="4"/>
      <c r="P29" s="4"/>
      <c r="Q29" s="4"/>
      <c r="R29" s="4"/>
      <c r="S29" s="4"/>
      <c r="T29" s="4"/>
      <c r="U29" s="4"/>
      <c r="V29" s="4"/>
      <c r="W29" s="4"/>
    </row>
    <row r="30" spans="1:83" x14ac:dyDescent="0.45">
      <c r="B30" s="1276" t="str">
        <f>B157</f>
        <v>Total HSDG &amp; EEDBS per Base Case</v>
      </c>
      <c r="C30" s="1302">
        <f>$F$157</f>
        <v>2756114523.0144925</v>
      </c>
      <c r="D30" s="558"/>
      <c r="E30" s="1302">
        <v>2756114523.0144925</v>
      </c>
      <c r="F30" s="1302">
        <v>2756114523.0144901</v>
      </c>
      <c r="G30" s="1302">
        <v>2756114523.0144925</v>
      </c>
      <c r="H30" s="1303">
        <v>2756114523.0144925</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 ca="1">C29-$E29</f>
        <v>0</v>
      </c>
      <c r="D31" s="1304"/>
      <c r="E31" s="1293">
        <v>0</v>
      </c>
      <c r="F31" s="1293">
        <v>-1315676039.7792673</v>
      </c>
      <c r="G31" s="1293">
        <v>-1530715373.0610511</v>
      </c>
      <c r="H31" s="1295">
        <v>-1533085400.073751</v>
      </c>
      <c r="I31" s="4"/>
      <c r="J31" s="4"/>
      <c r="K31" s="4"/>
      <c r="L31" s="4"/>
      <c r="M31" s="4"/>
      <c r="N31" s="4"/>
      <c r="O31" s="4"/>
      <c r="P31" s="4"/>
      <c r="Q31" s="4"/>
      <c r="R31" s="4"/>
      <c r="S31" s="4"/>
      <c r="T31" s="4"/>
      <c r="U31" s="4"/>
      <c r="V31" s="4"/>
      <c r="W31" s="4"/>
    </row>
    <row r="32" spans="1:83" x14ac:dyDescent="0.45">
      <c r="B32" s="1260" t="s">
        <v>155</v>
      </c>
      <c r="C32" s="1305">
        <f>$F$147</f>
        <v>5160</v>
      </c>
      <c r="D32" s="558"/>
      <c r="E32" s="1305">
        <v>5160</v>
      </c>
      <c r="F32" s="1305">
        <v>5160</v>
      </c>
      <c r="G32" s="1305">
        <v>5160</v>
      </c>
      <c r="H32" s="1306">
        <v>5160</v>
      </c>
      <c r="I32" s="4"/>
      <c r="J32" s="4"/>
      <c r="K32" s="4"/>
      <c r="L32" s="4"/>
      <c r="M32" s="4"/>
      <c r="N32" s="4"/>
      <c r="O32" s="4"/>
      <c r="P32" s="4"/>
      <c r="Q32" s="4"/>
      <c r="R32" s="4"/>
      <c r="S32" s="4"/>
      <c r="T32" s="4"/>
      <c r="U32" s="4"/>
      <c r="V32" s="4"/>
      <c r="W32" s="4"/>
    </row>
    <row r="33" spans="1:83" x14ac:dyDescent="0.45">
      <c r="B33" s="1264" t="str">
        <f>B151</f>
        <v>EEDBS per Existing Rental Unit</v>
      </c>
      <c r="C33" s="1296">
        <f ca="1">$F$151</f>
        <v>161594.64252542017</v>
      </c>
      <c r="D33" s="558"/>
      <c r="E33" s="1296">
        <v>161594.64252542017</v>
      </c>
      <c r="F33" s="1296">
        <v>161594.6425254202</v>
      </c>
      <c r="G33" s="1296">
        <v>161594.6425254202</v>
      </c>
      <c r="H33" s="1298">
        <v>161594.6425254202</v>
      </c>
      <c r="I33" s="4"/>
      <c r="J33" s="4"/>
      <c r="K33" s="4"/>
      <c r="L33" s="4"/>
      <c r="M33" s="4"/>
      <c r="N33" s="4"/>
      <c r="O33" s="4"/>
      <c r="P33" s="4"/>
      <c r="Q33" s="4"/>
      <c r="R33" s="4"/>
      <c r="S33" s="4"/>
      <c r="T33" s="4"/>
      <c r="U33" s="4"/>
      <c r="V33" s="4"/>
      <c r="W33" s="4"/>
    </row>
    <row r="34" spans="1:83" x14ac:dyDescent="0.45">
      <c r="B34" s="1264" t="str">
        <f>B148</f>
        <v>HSDG Top Slice per Existing Rental Unit</v>
      </c>
      <c r="C34" s="1296">
        <f ca="1">$F$148</f>
        <v>372536.07898901636</v>
      </c>
      <c r="D34" s="558"/>
      <c r="E34" s="1296">
        <v>372536.07898901636</v>
      </c>
      <c r="F34" s="1296">
        <v>117560.10228760789</v>
      </c>
      <c r="G34" s="1296">
        <v>75885.812891913374</v>
      </c>
      <c r="H34" s="1298">
        <v>75426.505331312641</v>
      </c>
      <c r="I34" s="4"/>
      <c r="J34" s="4"/>
      <c r="K34" s="4"/>
      <c r="L34" s="4"/>
      <c r="M34" s="4"/>
      <c r="N34" s="4"/>
      <c r="O34" s="4"/>
      <c r="P34" s="4"/>
      <c r="Q34" s="4"/>
      <c r="R34" s="4"/>
      <c r="S34" s="4"/>
      <c r="T34" s="4"/>
      <c r="U34" s="4"/>
      <c r="V34" s="4"/>
      <c r="W34" s="4"/>
    </row>
    <row r="35" spans="1:83" x14ac:dyDescent="0.45">
      <c r="B35" s="1264" t="str">
        <f>B153</f>
        <v>Total Government Contribution p.u.</v>
      </c>
      <c r="C35" s="1299">
        <f ca="1">$F$153</f>
        <v>534130.72151443653</v>
      </c>
      <c r="D35" s="558"/>
      <c r="E35" s="1299">
        <v>534130.72151443653</v>
      </c>
      <c r="F35" s="1299">
        <v>279154.74481302814</v>
      </c>
      <c r="G35" s="1299">
        <v>237480.45541733361</v>
      </c>
      <c r="H35" s="1297">
        <v>237021.14785673286</v>
      </c>
      <c r="I35" s="4"/>
      <c r="J35" s="4"/>
      <c r="K35" s="4"/>
      <c r="L35" s="4"/>
      <c r="M35" s="4"/>
      <c r="N35" s="4"/>
      <c r="O35" s="4"/>
      <c r="P35" s="4"/>
      <c r="Q35" s="4"/>
      <c r="R35" s="4"/>
      <c r="S35" s="4"/>
      <c r="T35" s="4"/>
      <c r="U35" s="4"/>
      <c r="V35" s="4"/>
      <c r="W35" s="4"/>
    </row>
    <row r="36" spans="1:83" x14ac:dyDescent="0.45">
      <c r="B36" s="948" t="s">
        <v>1773</v>
      </c>
      <c r="C36" s="1296">
        <f ca="1">C35-$E35</f>
        <v>0</v>
      </c>
      <c r="D36" s="558"/>
      <c r="E36" s="1296">
        <v>0</v>
      </c>
      <c r="F36" s="1296">
        <v>-254975.97670140839</v>
      </c>
      <c r="G36" s="1296">
        <v>-296650.2660971029</v>
      </c>
      <c r="H36" s="1298">
        <v>-297109.5736577037</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 ca="1">$F$161</f>
        <v>219536.07898901636</v>
      </c>
      <c r="D39" s="558"/>
      <c r="E39" s="1307">
        <v>219536.07898901636</v>
      </c>
      <c r="F39" s="1307">
        <v>-35439.897712392107</v>
      </c>
      <c r="G39" s="1307">
        <v>-77114.187108086626</v>
      </c>
      <c r="H39" s="1308">
        <v>-77573.494668687359</v>
      </c>
      <c r="I39" s="4"/>
      <c r="J39" s="4"/>
      <c r="K39" s="4"/>
      <c r="L39" s="4"/>
      <c r="M39" s="4"/>
      <c r="N39" s="4"/>
      <c r="O39" s="4"/>
      <c r="P39" s="4"/>
      <c r="Q39" s="4"/>
      <c r="R39" s="4"/>
      <c r="S39" s="4"/>
      <c r="T39" s="4"/>
      <c r="U39" s="4"/>
      <c r="V39" s="4"/>
      <c r="W39" s="4"/>
      <c r="AC39" s="1256" t="str">
        <f>B156</f>
        <v>Cost to the State (HSDG &amp; EEDBS) per Projected Scenario</v>
      </c>
      <c r="AD39" s="1257">
        <f ca="1">$F$156</f>
        <v>2756114523.0144925</v>
      </c>
      <c r="AE39" s="1257"/>
      <c r="AF39" s="1257">
        <f ca="1">$F$156</f>
        <v>2756114523.0144925</v>
      </c>
      <c r="AG39" s="1257">
        <f ca="1">$F$156</f>
        <v>2756114523.0144925</v>
      </c>
      <c r="AH39" s="1257">
        <f ca="1">$F$156</f>
        <v>2756114523.0144925</v>
      </c>
      <c r="AI39" s="1257">
        <f ca="1">$F$156</f>
        <v>2756114523.0144925</v>
      </c>
      <c r="CB39" s="1204"/>
      <c r="CC39" s="1204"/>
      <c r="CD39" s="1204"/>
      <c r="CE39" s="1204"/>
    </row>
    <row r="40" spans="1:83" ht="15.75" x14ac:dyDescent="0.45">
      <c r="A40" s="1262"/>
      <c r="B40" s="1260" t="s">
        <v>1709</v>
      </c>
      <c r="C40" s="1220">
        <f ca="1">$F$162</f>
        <v>217536.07898901636</v>
      </c>
      <c r="D40" s="558"/>
      <c r="E40" s="1307">
        <v>217536.07898901636</v>
      </c>
      <c r="F40" s="1307">
        <v>-37439.897712392107</v>
      </c>
      <c r="G40" s="1307">
        <v>-79114.187108086626</v>
      </c>
      <c r="H40" s="1308">
        <v>-79573.494668687359</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 ca="1">$F$163</f>
        <v>107536.07898901636</v>
      </c>
      <c r="D41" s="558"/>
      <c r="E41" s="1307">
        <v>107536.07898901636</v>
      </c>
      <c r="F41" s="1307">
        <v>-147439.89771239209</v>
      </c>
      <c r="G41" s="1307">
        <v>-189114.18710808663</v>
      </c>
      <c r="H41" s="1308">
        <v>-189573.49466868734</v>
      </c>
      <c r="I41" s="4"/>
      <c r="J41" s="4"/>
      <c r="K41" s="4"/>
      <c r="L41" s="4"/>
      <c r="M41" s="4"/>
      <c r="N41" s="4"/>
      <c r="O41" s="4"/>
      <c r="P41" s="4"/>
      <c r="Q41" s="4"/>
      <c r="R41" s="4"/>
      <c r="S41" s="4"/>
      <c r="T41" s="4"/>
      <c r="U41" s="4"/>
      <c r="V41" s="4"/>
      <c r="W41" s="4"/>
      <c r="AC41" s="1258"/>
      <c r="AD41" s="1257">
        <f ca="1">AD39-AD40</f>
        <v>2756114523.0144925</v>
      </c>
      <c r="AE41" s="1257"/>
      <c r="AF41" s="1257">
        <f ca="1">AF39-AF40</f>
        <v>2756114523.0144925</v>
      </c>
      <c r="AG41" s="1258"/>
      <c r="AH41" s="1257">
        <f ca="1">AH39-AH40</f>
        <v>2756114523.0144925</v>
      </c>
      <c r="AI41" s="1257">
        <f ca="1">AI39-AI40</f>
        <v>2756114523.0144925</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'9a. Forecast Results - Total'!N5</f>
        <v>2013/14</v>
      </c>
      <c r="AD135" s="803" t="str">
        <f>'9a. Forecast Results - Total'!O5</f>
        <v>2014/15</v>
      </c>
      <c r="AE135" s="803" t="str">
        <f>'9a. Forecast Results - Total'!P5</f>
        <v>2015/16</v>
      </c>
      <c r="AF135" s="803" t="str">
        <f>'9a. Forecast Results - Total'!Q5</f>
        <v>2016/17</v>
      </c>
      <c r="AG135" s="803" t="str">
        <f>'9a. Forecast Results - Total'!R5</f>
        <v>2017/18</v>
      </c>
      <c r="AH135" s="803" t="str">
        <f>'9a. Forecast Results - Total'!S5</f>
        <v>2018/19</v>
      </c>
      <c r="AI135" s="803" t="str">
        <f>'9a. Forecast Results - Total'!T5</f>
        <v>2019/20</v>
      </c>
      <c r="AJ135" s="803" t="str">
        <f>'9a. Forecast Results - Total'!U5</f>
        <v>2020/21</v>
      </c>
      <c r="AK135" s="803" t="str">
        <f>'9a. Forecast Results - Total'!V5</f>
        <v>2021/22</v>
      </c>
      <c r="AL135" s="803" t="str">
        <f>'9a. Forecast Results - Total'!W5</f>
        <v>2022/23</v>
      </c>
      <c r="AM135" s="803" t="str">
        <f>'9a. Forecast Results - Total'!X5</f>
        <v>2023/24</v>
      </c>
      <c r="AN135" s="803" t="str">
        <f>'9a. Forecast Results - Total'!Y5</f>
        <v>2024/25</v>
      </c>
      <c r="AO135" s="803" t="str">
        <f>'9a. Forecast Results - Total'!Z5</f>
        <v>2025/26</v>
      </c>
      <c r="AP135" s="803" t="str">
        <f>'9a. Forecast Results - Total'!AA5</f>
        <v>2026/27</v>
      </c>
      <c r="AQ135" s="803" t="str">
        <f>'9a. Forecast Results - Total'!AB5</f>
        <v>2027/28</v>
      </c>
      <c r="AR135" s="803" t="str">
        <f>'9a. Forecast Results - Total'!AC5</f>
        <v>2028/29</v>
      </c>
      <c r="AS135" s="803" t="str">
        <f>'9a. Forecast Results - Total'!AD5</f>
        <v>2029/30</v>
      </c>
      <c r="AT135" s="803" t="str">
        <f>'9a. Forecast Results - Total'!AE5</f>
        <v>2030/31</v>
      </c>
      <c r="AU135" s="803" t="str">
        <f>'9a. Forecast Results - Total'!AF5</f>
        <v>2031/32</v>
      </c>
      <c r="AV135" s="803" t="str">
        <f>'9a. Forecast Results - Total'!AG5</f>
        <v>3032/33</v>
      </c>
      <c r="AW135" s="803" t="str">
        <f>'9a. Forecast Results - Total'!AH5</f>
        <v>2033/34</v>
      </c>
      <c r="AX135" s="803" t="str">
        <f>'9a. Forecast Results - Total'!AI5</f>
        <v>2034/35</v>
      </c>
      <c r="AY135" s="803" t="str">
        <f>'9a. Forecast Results - Total'!AJ5</f>
        <v>2035/36</v>
      </c>
      <c r="AZ135" s="803" t="str">
        <f>'9a. Forecast Results - Total'!AK5</f>
        <v>2036/37</v>
      </c>
    </row>
    <row r="136" spans="1:52" x14ac:dyDescent="0.45">
      <c r="B136" s="1263" t="s">
        <v>1551</v>
      </c>
      <c r="C136" s="558"/>
      <c r="D136" s="558"/>
      <c r="E136" s="971">
        <f ca="1">+SUM('9a. Forecast Results - Total'!S28:W28)</f>
        <v>24526299.226172131</v>
      </c>
      <c r="F136" s="971">
        <f ca="1">+'9a. Forecast Results - Total'!AL28</f>
        <v>78509405.775295377</v>
      </c>
      <c r="G136" s="971"/>
      <c r="H136" s="1283"/>
      <c r="J136" s="4"/>
      <c r="K136" s="4"/>
      <c r="L136" s="4"/>
      <c r="M136" s="4"/>
      <c r="N136" s="4"/>
      <c r="O136" s="4"/>
      <c r="P136" s="4"/>
      <c r="Q136" s="4"/>
      <c r="R136" s="4"/>
      <c r="S136" s="4"/>
      <c r="T136" s="4"/>
      <c r="U136" s="4"/>
      <c r="V136" s="4"/>
      <c r="W136" s="4"/>
      <c r="AB136" s="803" t="str">
        <f>'9a. Forecast Results - Total'!D28</f>
        <v>Total Income</v>
      </c>
      <c r="AC136" s="533">
        <f>'9a. Forecast Results - Total'!N28</f>
        <v>13847741.82</v>
      </c>
      <c r="AD136" s="533">
        <f>'9a. Forecast Results - Total'!O28</f>
        <v>16595915.43</v>
      </c>
      <c r="AE136" s="533">
        <f>'9a. Forecast Results - Total'!P28</f>
        <v>14925625.75</v>
      </c>
      <c r="AF136" s="533">
        <f ca="1">'9a. Forecast Results - Total'!Q28</f>
        <v>11305567.046898484</v>
      </c>
      <c r="AG136" s="533">
        <f ca="1">'9a. Forecast Results - Total'!R28</f>
        <v>10295775.108026672</v>
      </c>
      <c r="AH136" s="533">
        <f ca="1">'9a. Forecast Results - Total'!S28</f>
        <v>8369173.8392901234</v>
      </c>
      <c r="AI136" s="533">
        <f ca="1">'9a. Forecast Results - Total'!T28</f>
        <v>4298208.2229296956</v>
      </c>
      <c r="AJ136" s="533">
        <f ca="1">'9a. Forecast Results - Total'!U28</f>
        <v>4125590.3054568996</v>
      </c>
      <c r="AK136" s="533">
        <f ca="1">'9a. Forecast Results - Total'!V28</f>
        <v>3952972.3879841031</v>
      </c>
      <c r="AL136" s="533">
        <f ca="1">'9a. Forecast Results - Total'!W28</f>
        <v>3780354.470511307</v>
      </c>
      <c r="AM136" s="533">
        <f ca="1">'9a. Forecast Results - Total'!X28</f>
        <v>3607736.5530385105</v>
      </c>
      <c r="AN136" s="533">
        <f ca="1">'9a. Forecast Results - Total'!Y28</f>
        <v>3435118.6355657149</v>
      </c>
      <c r="AO136" s="533">
        <f ca="1">'9a. Forecast Results - Total'!Z28</f>
        <v>3262500.7180929184</v>
      </c>
      <c r="AP136" s="533">
        <f ca="1">'9a. Forecast Results - Total'!AA28</f>
        <v>3089882.8006201228</v>
      </c>
      <c r="AQ136" s="533">
        <f ca="1">'9a. Forecast Results - Total'!AB28</f>
        <v>2917264.8831473263</v>
      </c>
      <c r="AR136" s="533">
        <f ca="1">'9a. Forecast Results - Total'!AC28</f>
        <v>2744646.9656745302</v>
      </c>
      <c r="AS136" s="533">
        <f ca="1">'9a. Forecast Results - Total'!AD28</f>
        <v>2572029.0482017342</v>
      </c>
      <c r="AT136" s="533">
        <f ca="1">'9a. Forecast Results - Total'!AE28</f>
        <v>2399411.1307289382</v>
      </c>
      <c r="AU136" s="533">
        <f ca="1">'9a. Forecast Results - Total'!AF28</f>
        <v>2226793.2132561421</v>
      </c>
      <c r="AV136" s="533">
        <f ca="1">'9a. Forecast Results - Total'!AG28</f>
        <v>2054175.2957833458</v>
      </c>
      <c r="AW136" s="533">
        <f ca="1">'9a. Forecast Results - Total'!AH28</f>
        <v>1881557.3783105498</v>
      </c>
      <c r="AX136" s="533">
        <f ca="1">'9a. Forecast Results - Total'!AI28</f>
        <v>1708939.4608377537</v>
      </c>
      <c r="AY136" s="533">
        <f ca="1">'9a. Forecast Results - Total'!AJ28</f>
        <v>481708.31094021688</v>
      </c>
      <c r="AZ136" s="533">
        <f ca="1">'9a. Forecast Results - Total'!AK28</f>
        <v>0</v>
      </c>
    </row>
    <row r="137" spans="1:52" x14ac:dyDescent="0.45">
      <c r="B137" s="1263" t="s">
        <v>1510</v>
      </c>
      <c r="C137" s="558"/>
      <c r="D137" s="558"/>
      <c r="E137" s="971">
        <f>+SUM(E138:E143)</f>
        <v>650828595.54817533</v>
      </c>
      <c r="F137" s="971">
        <f>+SUM(F138:F143)</f>
        <v>2000795573.3586197</v>
      </c>
      <c r="G137" s="971"/>
      <c r="H137" s="1283"/>
      <c r="J137" s="4"/>
      <c r="K137" s="4"/>
      <c r="L137" s="4"/>
      <c r="M137" s="4"/>
      <c r="N137" s="4"/>
      <c r="O137" s="4"/>
      <c r="P137" s="4"/>
      <c r="Q137" s="4"/>
      <c r="R137" s="4"/>
      <c r="S137" s="4"/>
      <c r="T137" s="4"/>
      <c r="U137" s="4"/>
      <c r="V137" s="4"/>
      <c r="W137" s="4"/>
      <c r="AB137" s="803" t="str">
        <f>'9a. Forecast Results - Total'!D47</f>
        <v>Total Expenditure</v>
      </c>
      <c r="AC137" s="533">
        <f>-'9a. Forecast Results - Total'!N47</f>
        <v>-126486884.31333333</v>
      </c>
      <c r="AD137" s="533">
        <f>-'9a. Forecast Results - Total'!O47</f>
        <v>-136616043.32333332</v>
      </c>
      <c r="AE137" s="533">
        <f>-'9a. Forecast Results - Total'!P47</f>
        <v>-143214809.11000001</v>
      </c>
      <c r="AF137" s="533">
        <f>-'9a. Forecast Results - Total'!Q47</f>
        <v>-143253743.71700636</v>
      </c>
      <c r="AG137" s="533">
        <f>-'9a. Forecast Results - Total'!R47</f>
        <v>-139067846.33322573</v>
      </c>
      <c r="AH137" s="533">
        <f>-'9a. Forecast Results - Total'!S47</f>
        <v>-133721299.89060706</v>
      </c>
      <c r="AI137" s="533">
        <f>-'9a. Forecast Results - Total'!T47</f>
        <v>-131255140.47134125</v>
      </c>
      <c r="AJ137" s="533">
        <f>-'9a. Forecast Results - Total'!U47</f>
        <v>-130281139.72238086</v>
      </c>
      <c r="AK137" s="533">
        <f>-'9a. Forecast Results - Total'!V47</f>
        <v>-128802952.09110902</v>
      </c>
      <c r="AL137" s="533">
        <f>-'9a. Forecast Results - Total'!W47</f>
        <v>-126768063.37273706</v>
      </c>
      <c r="AM137" s="533">
        <f>-'9a. Forecast Results - Total'!X47</f>
        <v>-124119707.96526858</v>
      </c>
      <c r="AN137" s="533">
        <f>-'9a. Forecast Results - Total'!Y47</f>
        <v>-120796560.07127605</v>
      </c>
      <c r="AO137" s="533">
        <f>-'9a. Forecast Results - Total'!Z47</f>
        <v>-116732403.79234941</v>
      </c>
      <c r="AP137" s="533">
        <f>-'9a. Forecast Results - Total'!AA47</f>
        <v>-111855780.72852524</v>
      </c>
      <c r="AQ137" s="533">
        <f>-'9a. Forecast Results - Total'!AB47</f>
        <v>-106089613.60620853</v>
      </c>
      <c r="AR137" s="533">
        <f>-'9a. Forecast Results - Total'!AC47</f>
        <v>-99350804.363733217</v>
      </c>
      <c r="AS137" s="533">
        <f>-'9a. Forecast Results - Total'!AD47</f>
        <v>-91549805.023426801</v>
      </c>
      <c r="AT137" s="533">
        <f>-'9a. Forecast Results - Total'!AE47</f>
        <v>-82590159.57248643</v>
      </c>
      <c r="AU137" s="533">
        <f>-'9a. Forecast Results - Total'!AF47</f>
        <v>-72368014.961746752</v>
      </c>
      <c r="AV137" s="533">
        <f>-'9a. Forecast Results - Total'!AG47</f>
        <v>-60771599.211118914</v>
      </c>
      <c r="AW137" s="533">
        <f>-'9a. Forecast Results - Total'!AH47</f>
        <v>-47680664.482662745</v>
      </c>
      <c r="AX137" s="533">
        <f>-'9a. Forecast Results - Total'!AI47</f>
        <v>-32965892.846462775</v>
      </c>
      <c r="AY137" s="533">
        <f>-'9a. Forecast Results - Total'!AJ47</f>
        <v>-774381.134947057</v>
      </c>
      <c r="AZ137" s="533">
        <f>-'9a. Forecast Results - Total'!AK47</f>
        <v>0</v>
      </c>
    </row>
    <row r="138" spans="1:52" x14ac:dyDescent="0.45">
      <c r="B138" s="1284" t="str">
        <f>'9a. Forecast Results - Total'!D31</f>
        <v>Rates &amp; Taxes</v>
      </c>
      <c r="C138" s="558"/>
      <c r="D138" s="558"/>
      <c r="E138" s="1215">
        <f>+SUM('9a. Forecast Results - Total'!S31:W31)</f>
        <v>95921468.892369315</v>
      </c>
      <c r="F138" s="1215">
        <f>+'9a. Forecast Results - Total'!AL31</f>
        <v>268801320.53464037</v>
      </c>
      <c r="G138" s="971"/>
      <c r="H138" s="1283"/>
      <c r="J138" s="4"/>
      <c r="K138" s="4"/>
      <c r="L138" s="4"/>
      <c r="M138" s="4"/>
      <c r="N138" s="4"/>
      <c r="O138" s="4"/>
      <c r="P138" s="4"/>
      <c r="Q138" s="4"/>
      <c r="R138" s="4"/>
      <c r="S138" s="4"/>
      <c r="T138" s="4"/>
      <c r="U138" s="4"/>
      <c r="V138" s="4"/>
      <c r="W138" s="4"/>
      <c r="AB138" s="803" t="str">
        <f>'9a. Forecast Results - Total'!D48</f>
        <v>Net Surplus / (Deficit)</v>
      </c>
      <c r="AC138" s="533">
        <f>'9a. Forecast Results - Total'!N48</f>
        <v>-112639142.49333334</v>
      </c>
      <c r="AD138" s="533">
        <f>'9a. Forecast Results - Total'!O48</f>
        <v>-120020127.89333332</v>
      </c>
      <c r="AE138" s="533">
        <f>'9a. Forecast Results - Total'!P48</f>
        <v>-128289183.36000001</v>
      </c>
      <c r="AF138" s="533">
        <f ca="1">'9a. Forecast Results - Total'!Q48</f>
        <v>-131948176.67010787</v>
      </c>
      <c r="AG138" s="533">
        <f ca="1">'9a. Forecast Results - Total'!R48</f>
        <v>-128772071.22519906</v>
      </c>
      <c r="AH138" s="533">
        <f ca="1">'9a. Forecast Results - Total'!S48</f>
        <v>-125352126.05131693</v>
      </c>
      <c r="AI138" s="533">
        <f ca="1">'9a. Forecast Results - Total'!T48</f>
        <v>-126956932.24841155</v>
      </c>
      <c r="AJ138" s="533">
        <f ca="1">'9a. Forecast Results - Total'!U48</f>
        <v>-126155549.41692396</v>
      </c>
      <c r="AK138" s="533">
        <f ca="1">'9a. Forecast Results - Total'!V48</f>
        <v>-124849979.70312493</v>
      </c>
      <c r="AL138" s="533">
        <f ca="1">'9a. Forecast Results - Total'!W48</f>
        <v>-122987708.90222576</v>
      </c>
      <c r="AM138" s="533">
        <f ca="1">'9a. Forecast Results - Total'!X48</f>
        <v>-120511971.41223007</v>
      </c>
      <c r="AN138" s="533">
        <f ca="1">'9a. Forecast Results - Total'!Y48</f>
        <v>-117361441.43571034</v>
      </c>
      <c r="AO138" s="533">
        <f ca="1">'9a. Forecast Results - Total'!Z48</f>
        <v>-113469903.07425649</v>
      </c>
      <c r="AP138" s="533">
        <f ca="1">'9a. Forecast Results - Total'!AA48</f>
        <v>-108765897.92790511</v>
      </c>
      <c r="AQ138" s="533">
        <f ca="1">'9a. Forecast Results - Total'!AB48</f>
        <v>-103172348.7230612</v>
      </c>
      <c r="AR138" s="533">
        <f ca="1">'9a. Forecast Results - Total'!AC48</f>
        <v>-96606157.398058683</v>
      </c>
      <c r="AS138" s="533">
        <f ca="1">'9a. Forecast Results - Total'!AD48</f>
        <v>-88977775.975225061</v>
      </c>
      <c r="AT138" s="533">
        <f ca="1">'9a. Forecast Results - Total'!AE48</f>
        <v>-80190748.441757485</v>
      </c>
      <c r="AU138" s="533">
        <f ca="1">'9a. Forecast Results - Total'!AF48</f>
        <v>-70141221.748490617</v>
      </c>
      <c r="AV138" s="533">
        <f ca="1">'9a. Forecast Results - Total'!AG48</f>
        <v>-58717423.915335566</v>
      </c>
      <c r="AW138" s="533">
        <f ca="1">'9a. Forecast Results - Total'!AH48</f>
        <v>-45799107.104352199</v>
      </c>
      <c r="AX138" s="533">
        <f ca="1">'9a. Forecast Results - Total'!AI48</f>
        <v>-31256953.38562502</v>
      </c>
      <c r="AY138" s="533">
        <f ca="1">'9a. Forecast Results - Total'!AJ48</f>
        <v>-292672.82400684012</v>
      </c>
      <c r="AZ138" s="533">
        <f ca="1">'9a. Forecast Results - Total'!AK48</f>
        <v>0</v>
      </c>
    </row>
    <row r="139" spans="1:52" x14ac:dyDescent="0.45">
      <c r="B139" s="1284" t="str">
        <f>'9a. Forecast Results - Total'!D32</f>
        <v>Municipal Charges</v>
      </c>
      <c r="C139" s="558"/>
      <c r="D139" s="558"/>
      <c r="E139" s="1216">
        <f>+SUM('9a. Forecast Results - Total'!S32:W32)</f>
        <v>33446331.680249237</v>
      </c>
      <c r="F139" s="1216">
        <f>+'9a. Forecast Results - Total'!AL32</f>
        <v>95065328.031410933</v>
      </c>
      <c r="G139" s="971"/>
      <c r="H139" s="1283"/>
      <c r="AB139" s="803" t="s">
        <v>1697</v>
      </c>
      <c r="AC139" s="533">
        <f>SUM($AC138:AC138)</f>
        <v>-112639142.49333334</v>
      </c>
      <c r="AD139" s="533">
        <f>SUM($AC138:AD138)</f>
        <v>-232659270.38666666</v>
      </c>
      <c r="AE139" s="533">
        <f>SUM($AC138:AE138)</f>
        <v>-360948453.74666667</v>
      </c>
      <c r="AF139" s="533">
        <f ca="1">SUM($AC138:AF138)</f>
        <v>-492896630.41677451</v>
      </c>
      <c r="AG139" s="533">
        <f ca="1">SUM($AC138:AG138)</f>
        <v>-621668701.64197361</v>
      </c>
      <c r="AH139" s="533">
        <f ca="1">SUM($AC138:AH138)</f>
        <v>-747020827.69329059</v>
      </c>
      <c r="AI139" s="533">
        <f ca="1">SUM($AC138:AI138)</f>
        <v>-873977759.94170213</v>
      </c>
      <c r="AJ139" s="533">
        <f ca="1">SUM($AC138:AJ138)</f>
        <v>-1000133309.3586261</v>
      </c>
      <c r="AK139" s="533">
        <f ca="1">SUM($AC138:AK138)</f>
        <v>-1124983289.0617511</v>
      </c>
      <c r="AL139" s="533">
        <f ca="1">SUM($AC138:AL138)</f>
        <v>-1247970997.9639769</v>
      </c>
      <c r="AM139" s="533">
        <f ca="1">SUM($AC138:AM138)</f>
        <v>-1368482969.3762069</v>
      </c>
      <c r="AN139" s="533">
        <f ca="1">SUM($AC138:AN138)</f>
        <v>-1485844410.8119173</v>
      </c>
      <c r="AO139" s="533">
        <f ca="1">SUM($AC138:AO138)</f>
        <v>-1599314313.8861737</v>
      </c>
      <c r="AP139" s="533">
        <f ca="1">SUM($AC138:AP138)</f>
        <v>-1708080211.8140788</v>
      </c>
      <c r="AQ139" s="533">
        <f ca="1">SUM($AC138:AQ138)</f>
        <v>-1811252560.5371399</v>
      </c>
      <c r="AR139" s="533">
        <f ca="1">SUM($AC138:AR138)</f>
        <v>-1907858717.9351985</v>
      </c>
      <c r="AS139" s="533">
        <f ca="1">SUM($AC138:AS138)</f>
        <v>-1996836493.9104235</v>
      </c>
      <c r="AT139" s="533">
        <f ca="1">SUM($AC138:AT138)</f>
        <v>-2077027242.352181</v>
      </c>
      <c r="AU139" s="533">
        <f ca="1">SUM($AC138:AU138)</f>
        <v>-2147168464.1006715</v>
      </c>
      <c r="AV139" s="533">
        <f ca="1">SUM($AC138:AV138)</f>
        <v>-2205885888.0160069</v>
      </c>
      <c r="AW139" s="533">
        <f ca="1">SUM($AC138:AW138)</f>
        <v>-2251684995.1203589</v>
      </c>
      <c r="AX139" s="533">
        <f ca="1">SUM($AC138:AX138)</f>
        <v>-2282941948.5059838</v>
      </c>
      <c r="AY139" s="533">
        <f ca="1">SUM($AC138:AY138)</f>
        <v>-2283234621.3299909</v>
      </c>
      <c r="AZ139" s="533">
        <f ca="1">SUM($AC138:AZ138)</f>
        <v>-2283234621.3299909</v>
      </c>
    </row>
    <row r="140" spans="1:52" x14ac:dyDescent="0.45">
      <c r="B140" s="1284" t="str">
        <f>'9a. Forecast Results - Total'!D33</f>
        <v>Maintenance</v>
      </c>
      <c r="C140" s="558"/>
      <c r="D140" s="558"/>
      <c r="E140" s="1216">
        <f>+SUM('9a. Forecast Results - Total'!S33:W33)</f>
        <v>251630849.92652357</v>
      </c>
      <c r="F140" s="1216">
        <f>+'9a. Forecast Results - Total'!AL33</f>
        <v>704365386.98006427</v>
      </c>
      <c r="G140" s="971"/>
      <c r="H140" s="1283"/>
      <c r="AB140" s="451" t="s">
        <v>1699</v>
      </c>
    </row>
    <row r="141" spans="1:52" x14ac:dyDescent="0.45">
      <c r="B141" s="1284" t="str">
        <f>'9a. Forecast Results - Total'!D36</f>
        <v>Total Disposal Costs</v>
      </c>
      <c r="C141" s="558"/>
      <c r="D141" s="558"/>
      <c r="E141" s="1216">
        <f>+SUM('9a. Forecast Results - Total'!S36:W36)</f>
        <v>11775009.802975692</v>
      </c>
      <c r="F141" s="1216">
        <f>+'9a. Forecast Results - Total'!AL36</f>
        <v>57651480.565872036</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'9a. Forecast Results - Total'!D43</f>
        <v>Staff</v>
      </c>
      <c r="C142" s="558"/>
      <c r="D142" s="558"/>
      <c r="E142" s="1216">
        <f>+SUM('9a. Forecast Results - Total'!S43:W43)</f>
        <v>233124509.96204996</v>
      </c>
      <c r="F142" s="1216">
        <f>+'9a. Forecast Results - Total'!AL43</f>
        <v>792055630.31912971</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SUM('9a. Forecast Results - Total'!S47:W47)-SUM(E138:E142)</f>
        <v>24930425.284007549</v>
      </c>
      <c r="F143" s="1217">
        <f>+'9a. Forecast Results - Total'!AL47-SUM(F138:F142)</f>
        <v>82856426.927502394</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 ca="1">+E136-E137</f>
        <v>-626302296.32200325</v>
      </c>
      <c r="F145" s="1218">
        <f ca="1">+F136-F137</f>
        <v>-1922286167.5833244</v>
      </c>
      <c r="G145" s="971"/>
      <c r="H145" s="1283"/>
    </row>
    <row r="146" spans="1:8" ht="14.65" thickTop="1" x14ac:dyDescent="0.45">
      <c r="B146" s="1289" t="s">
        <v>1552</v>
      </c>
      <c r="C146" s="558"/>
      <c r="D146" s="558"/>
      <c r="E146" s="1220">
        <f ca="1">-E145</f>
        <v>626302296.32200325</v>
      </c>
      <c r="F146" s="1220">
        <f ca="1">-F145</f>
        <v>1922286167.5833244</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1380</v>
      </c>
      <c r="F147" s="1219">
        <f>SUMIF('10. Inputs &amp; Calcs'!$D$51:$D$56,$C$12,'10. Inputs &amp; Calcs'!$AD$51:$AD$56)</f>
        <v>5160</v>
      </c>
      <c r="G147" s="1219"/>
      <c r="H147" s="1283"/>
    </row>
    <row r="148" spans="1:8" x14ac:dyDescent="0.45">
      <c r="B148" s="1261" t="s">
        <v>1559</v>
      </c>
      <c r="C148" s="18"/>
      <c r="D148" s="18"/>
      <c r="E148" s="971">
        <f ca="1">-E145/E147</f>
        <v>453842.24371159653</v>
      </c>
      <c r="F148" s="971">
        <f ca="1">-F145/F147</f>
        <v>372536.07898901636</v>
      </c>
      <c r="G148" s="18"/>
      <c r="H148" s="1283"/>
    </row>
    <row r="149" spans="1:8" x14ac:dyDescent="0.45">
      <c r="B149" s="1260" t="s">
        <v>1503</v>
      </c>
      <c r="C149" s="558"/>
      <c r="D149" s="558"/>
      <c r="E149" s="971">
        <f>IF(E$147&lt;&gt;0,E141/E$147,0)</f>
        <v>8532.6157992577482</v>
      </c>
      <c r="F149" s="971">
        <f>IF(F$147&lt;&gt;0,F141/F$147,0)</f>
        <v>11172.767551525589</v>
      </c>
      <c r="G149" s="971"/>
      <c r="H149" s="1283"/>
    </row>
    <row r="150" spans="1:8" x14ac:dyDescent="0.45">
      <c r="B150" s="1263" t="s">
        <v>1511</v>
      </c>
      <c r="C150" s="558"/>
      <c r="D150" s="558"/>
      <c r="E150" s="1220">
        <f ca="1">SUM('9a. Forecast Results - Total'!S67:W67)</f>
        <v>25925560.768902078</v>
      </c>
      <c r="F150" s="1220">
        <f ca="1">'9a. Forecast Results - Total'!AL67</f>
        <v>833828355.43116808</v>
      </c>
      <c r="G150" s="971"/>
      <c r="H150" s="1283"/>
    </row>
    <row r="151" spans="1:8" x14ac:dyDescent="0.45">
      <c r="B151" s="1260" t="s">
        <v>1558</v>
      </c>
      <c r="C151" s="18"/>
      <c r="D151" s="18"/>
      <c r="E151" s="971">
        <f ca="1">E150/E147</f>
        <v>18786.638238334839</v>
      </c>
      <c r="F151" s="971">
        <f ca="1">F150/F147</f>
        <v>161594.64252542017</v>
      </c>
      <c r="G151" s="971"/>
      <c r="H151" s="1283"/>
    </row>
    <row r="152" spans="1:8" x14ac:dyDescent="0.45">
      <c r="B152" s="1260" t="s">
        <v>1713</v>
      </c>
      <c r="C152" s="18"/>
      <c r="D152" s="18"/>
      <c r="E152" s="971">
        <f ca="1">E150+E146</f>
        <v>652227857.09090531</v>
      </c>
      <c r="F152" s="971">
        <f ca="1">F150+F146</f>
        <v>2756114523.0144925</v>
      </c>
      <c r="G152" s="971"/>
      <c r="H152" s="1283"/>
    </row>
    <row r="153" spans="1:8" x14ac:dyDescent="0.45">
      <c r="B153" s="1260" t="s">
        <v>1712</v>
      </c>
      <c r="C153" s="18"/>
      <c r="D153" s="18"/>
      <c r="E153" s="971">
        <f ca="1">E152/E147</f>
        <v>472628.88194993138</v>
      </c>
      <c r="F153" s="971">
        <f ca="1">F152/F147</f>
        <v>534130.72151443653</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 ca="1">-SUM('9a. Forecast Results - Total'!S54:W54)</f>
        <v>652227857.09090519</v>
      </c>
      <c r="F156" s="1220">
        <f ca="1">-'9a. Forecast Results - Total'!AL54</f>
        <v>2756114523.0144925</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652227857.09090519</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2756114523.0144925</v>
      </c>
      <c r="G157" s="558"/>
      <c r="H157" s="1283"/>
    </row>
    <row r="158" spans="1:8" x14ac:dyDescent="0.45">
      <c r="B158" s="1260" t="s">
        <v>1715</v>
      </c>
      <c r="C158" s="558"/>
      <c r="D158" s="558"/>
      <c r="E158" s="1221">
        <f ca="1">E156-E157</f>
        <v>0</v>
      </c>
      <c r="F158" s="1221">
        <f ca="1">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 ca="1">F$148-153000</f>
        <v>219536.07898901636</v>
      </c>
      <c r="G161" s="1286">
        <f ca="1">$F$148/153000</f>
        <v>2.4348763332615446</v>
      </c>
      <c r="H161" s="1283"/>
    </row>
    <row r="162" spans="1:8" x14ac:dyDescent="0.45">
      <c r="B162" s="1260" t="s">
        <v>1709</v>
      </c>
      <c r="C162" s="558"/>
      <c r="D162" s="558"/>
      <c r="E162" s="18"/>
      <c r="F162" s="1221">
        <f ca="1">F$148-155000</f>
        <v>217536.07898901636</v>
      </c>
      <c r="G162" s="1286">
        <f ca="1">$F$148/155000</f>
        <v>2.4034585741226864</v>
      </c>
      <c r="H162" s="1283"/>
    </row>
    <row r="163" spans="1:8" x14ac:dyDescent="0.45">
      <c r="B163" s="1260" t="s">
        <v>1708</v>
      </c>
      <c r="C163" s="558"/>
      <c r="D163" s="558"/>
      <c r="E163" s="18"/>
      <c r="F163" s="1221">
        <f ca="1">F$148-265000</f>
        <v>107536.07898901636</v>
      </c>
      <c r="G163" s="1286">
        <f ca="1">$F$148/265000</f>
        <v>1.4057965244868542</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'9a. Forecast Results - Total'!R$5</f>
        <v>2017/18</v>
      </c>
      <c r="C166" s="18"/>
      <c r="D166" s="18"/>
      <c r="E166" s="971">
        <f ca="1">-SUMIF('9a. Forecast Results - Total'!$R$5:$W$5,$B166,'9a. Forecast Results - Total'!$R$51:$W$51)</f>
        <v>128772071.22519906</v>
      </c>
      <c r="F166" s="1136">
        <f>SUMIF('9a. Forecast Results - Total'!$R$5:$W$5,$B166,'9a. Forecast Results - Total'!$R$13:$W$13)</f>
        <v>4132</v>
      </c>
      <c r="G166" s="971">
        <f t="shared" ref="G166:G173" ca="1" si="0">IF(F166&lt;&gt;0,E166/F166,0)</f>
        <v>31164.586453339558</v>
      </c>
      <c r="H166" s="1283"/>
    </row>
    <row r="167" spans="1:8" x14ac:dyDescent="0.45">
      <c r="B167" s="1260" t="str">
        <f>'9a. Forecast Results - Total'!S$5</f>
        <v>2018/19</v>
      </c>
      <c r="C167" s="18"/>
      <c r="D167" s="18"/>
      <c r="E167" s="1215">
        <f ca="1">-SUMIF('9a. Forecast Results - Total'!$R$5:$W$5,$B167,'9a. Forecast Results - Total'!$R$51:$W$51)</f>
        <v>125352126.05131693</v>
      </c>
      <c r="F167" s="1222">
        <f>SUMIF('9a. Forecast Results - Total'!$R$5:$W$5,$B167,'9a. Forecast Results - Total'!$R$13:$W$13)</f>
        <v>3656</v>
      </c>
      <c r="G167" s="1215">
        <f t="shared" ca="1" si="0"/>
        <v>34286.686556705943</v>
      </c>
      <c r="H167" s="1283"/>
    </row>
    <row r="168" spans="1:8" x14ac:dyDescent="0.45">
      <c r="B168" s="1260" t="str">
        <f>'9a. Forecast Results - Total'!T$5</f>
        <v>2019/20</v>
      </c>
      <c r="C168" s="18"/>
      <c r="D168" s="18"/>
      <c r="E168" s="1216">
        <f ca="1">-SUMIF('9a. Forecast Results - Total'!$R$5:$W$5,$B168,'9a. Forecast Results - Total'!$R$51:$W$51)</f>
        <v>126956932.24841155</v>
      </c>
      <c r="F168" s="1223">
        <f>SUMIF('9a. Forecast Results - Total'!$R$5:$W$5,$B168,'9a. Forecast Results - Total'!$R$13:$W$13)</f>
        <v>3430</v>
      </c>
      <c r="G168" s="1216">
        <f t="shared" ca="1" si="0"/>
        <v>37013.682871257013</v>
      </c>
      <c r="H168" s="1283"/>
    </row>
    <row r="169" spans="1:8" x14ac:dyDescent="0.45">
      <c r="B169" s="1260" t="str">
        <f>'9a. Forecast Results - Total'!U$5</f>
        <v>2020/21</v>
      </c>
      <c r="C169" s="18"/>
      <c r="D169" s="18"/>
      <c r="E169" s="1216">
        <f ca="1">-SUMIF('9a. Forecast Results - Total'!$R$5:$W$5,$B169,'9a. Forecast Results - Total'!$R$51:$W$51)</f>
        <v>126155549.41692396</v>
      </c>
      <c r="F169" s="1223">
        <f>SUMIF('9a. Forecast Results - Total'!$R$5:$W$5,$B169,'9a. Forecast Results - Total'!$R$13:$W$13)</f>
        <v>3204</v>
      </c>
      <c r="G169" s="1216">
        <f t="shared" ca="1" si="0"/>
        <v>39374.391203784005</v>
      </c>
      <c r="H169" s="1283"/>
    </row>
    <row r="170" spans="1:8" x14ac:dyDescent="0.45">
      <c r="B170" s="1260" t="str">
        <f>'9a. Forecast Results - Total'!V$5</f>
        <v>2021/22</v>
      </c>
      <c r="C170" s="18"/>
      <c r="D170" s="18"/>
      <c r="E170" s="1216">
        <f ca="1">-SUMIF('9a. Forecast Results - Total'!$R$5:$W$5,$B170,'9a. Forecast Results - Total'!$R$51:$W$51)</f>
        <v>124849979.70312493</v>
      </c>
      <c r="F170" s="1223">
        <f>SUMIF('9a. Forecast Results - Total'!$R$5:$W$5,$B170,'9a. Forecast Results - Total'!$R$13:$W$13)</f>
        <v>2978</v>
      </c>
      <c r="G170" s="1216">
        <f t="shared" ca="1" si="0"/>
        <v>41924.103325428114</v>
      </c>
      <c r="H170" s="1283"/>
    </row>
    <row r="171" spans="1:8" x14ac:dyDescent="0.45">
      <c r="B171" s="1260" t="str">
        <f>'9a. Forecast Results - Total'!W$5</f>
        <v>2022/23</v>
      </c>
      <c r="C171" s="18"/>
      <c r="D171" s="18"/>
      <c r="E171" s="1217">
        <f ca="1">-SUMIF('9a. Forecast Results - Total'!$R$5:$W$5,$B171,'9a. Forecast Results - Total'!$R$51:$W$51)</f>
        <v>122987708.90222576</v>
      </c>
      <c r="F171" s="1224">
        <f>SUMIF('9a. Forecast Results - Total'!$R$5:$W$5,$B171,'9a. Forecast Results - Total'!$R$13:$W$13)</f>
        <v>2752</v>
      </c>
      <c r="G171" s="1217">
        <f t="shared" ca="1" si="0"/>
        <v>44690.301199936686</v>
      </c>
      <c r="H171" s="1283"/>
    </row>
    <row r="172" spans="1:8" x14ac:dyDescent="0.45">
      <c r="B172" s="1263" t="s">
        <v>1516</v>
      </c>
      <c r="C172" s="18"/>
      <c r="D172" s="18"/>
      <c r="E172" s="1220">
        <f ca="1">SUM(E167:E171)</f>
        <v>626302296.32200313</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1380</v>
      </c>
      <c r="G172" s="1220">
        <f t="shared" ca="1" si="0"/>
        <v>453842.24371159647</v>
      </c>
      <c r="H172" s="1283"/>
    </row>
    <row r="173" spans="1:8" x14ac:dyDescent="0.45">
      <c r="A173" s="18"/>
      <c r="B173" s="1263" t="s">
        <v>1520</v>
      </c>
      <c r="C173" s="18"/>
      <c r="D173" s="18"/>
      <c r="E173" s="1220">
        <f ca="1">-'9a. Forecast Results - Total'!AL$51</f>
        <v>1922286167.5833244</v>
      </c>
      <c r="F173" s="1290">
        <f>SUMIF('10. Inputs &amp; Calcs'!$D$520:$D$525,$C$12,'10. Inputs &amp; Calcs'!$H$520:$H$525)</f>
        <v>5160</v>
      </c>
      <c r="G173" s="1220">
        <f t="shared" ca="1" si="0"/>
        <v>372536.07898901636</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'9a. Forecast Results - Total'!R$5</f>
        <v>2017/18</v>
      </c>
      <c r="C176" s="18"/>
      <c r="D176" s="18"/>
      <c r="E176" s="971">
        <f ca="1">-SUMIF('9a. Forecast Results - Total'!$R$5:$W$5,$B176,'9a. Forecast Results - Total'!$R$53:$W$53)</f>
        <v>9628697.8662323505</v>
      </c>
      <c r="F176" s="1136">
        <f>SUMIF('10. Inputs &amp; Calcs'!$D$51:$D$56,$C$12,'10. Inputs &amp; Calcs'!$J$51:$J$56)</f>
        <v>514</v>
      </c>
      <c r="G176" s="971">
        <f t="shared" ref="G176:G183" ca="1" si="1">IF(F176&lt;&gt;0,E176/F176,0)</f>
        <v>18732.875226132979</v>
      </c>
      <c r="H176" s="1283"/>
    </row>
    <row r="177" spans="1:8" x14ac:dyDescent="0.45">
      <c r="A177" s="18"/>
      <c r="B177" s="1260" t="str">
        <f>'9a. Forecast Results - Total'!S$5</f>
        <v>2018/19</v>
      </c>
      <c r="C177" s="18"/>
      <c r="D177" s="18"/>
      <c r="E177" s="1215">
        <f ca="1">-SUMIF('9a. Forecast Results - Total'!$R$5:$W$5,$B177,'9a. Forecast Results - Total'!$R$53:$W$53)</f>
        <v>8930433.3100576513</v>
      </c>
      <c r="F177" s="1222">
        <f>IF($AA$19='14. Permanent Info'!$N$7,SUMIF('10. Inputs &amp; Calcs'!$D$51:$D$56,$C$12,'10. Inputs &amp; Calcs'!$K$51:$K$56)-SUMIF('10. Inputs &amp; Calcs'!$D$106:$D$111,$C$12,'10. Inputs &amp; Calcs'!$K$106:$K$111),SUMIF('10. Inputs &amp; Calcs'!$D$51:$D$56,$C$12,'10. Inputs &amp; Calcs'!$K$51:$K$56))</f>
        <v>476</v>
      </c>
      <c r="G177" s="1215">
        <f t="shared" ca="1" si="1"/>
        <v>18761.414516927838</v>
      </c>
      <c r="H177" s="1283"/>
    </row>
    <row r="178" spans="1:8" x14ac:dyDescent="0.45">
      <c r="A178" s="18"/>
      <c r="B178" s="1260" t="str">
        <f>'9a. Forecast Results - Total'!T$5</f>
        <v>2019/20</v>
      </c>
      <c r="C178" s="18"/>
      <c r="D178" s="18"/>
      <c r="E178" s="1216">
        <f ca="1">-SUMIF('9a. Forecast Results - Total'!$R$5:$W$5,$B178,'9a. Forecast Results - Total'!$R$53:$W$53)</f>
        <v>4248781.8647111077</v>
      </c>
      <c r="F178" s="1223">
        <f>IF($AA$19='14. Permanent Info'!$N$7,SUMIF('10. Inputs &amp; Calcs'!$D$51:$D$56,$C$12,'10. Inputs &amp; Calcs'!$L$51:$L$56)-SUMIF('10. Inputs &amp; Calcs'!$D$106:$D$111,$C$12,'10. Inputs &amp; Calcs'!$L$106:$L$111),SUMIF('10. Inputs &amp; Calcs'!$D$51:$D$56,$C$12,'10. Inputs &amp; Calcs'!$L$51:$L$56))</f>
        <v>226</v>
      </c>
      <c r="G178" s="1216">
        <f t="shared" ca="1" si="1"/>
        <v>18799.919755358882</v>
      </c>
      <c r="H178" s="1283"/>
    </row>
    <row r="179" spans="1:8" x14ac:dyDescent="0.45">
      <c r="A179" s="18"/>
      <c r="B179" s="1260" t="str">
        <f>'9a. Forecast Results - Total'!U$5</f>
        <v>2020/21</v>
      </c>
      <c r="C179" s="18"/>
      <c r="D179" s="18"/>
      <c r="E179" s="1216">
        <f ca="1">-SUMIF('9a. Forecast Results - Total'!$R$5:$W$5,$B179,'9a. Forecast Results - Total'!$R$53:$W$53)</f>
        <v>4248781.8647111077</v>
      </c>
      <c r="F179" s="1223">
        <f>IF($AA$19='14. Permanent Info'!$N$7,SUMIF('10. Inputs &amp; Calcs'!$D$51:$D$56,$C$12,'10. Inputs &amp; Calcs'!$M$51:$M$56)-SUMIF('10. Inputs &amp; Calcs'!$D$106:$D$111,$C$12,'10. Inputs &amp; Calcs'!$M$106:$M$111),SUMIF('10. Inputs &amp; Calcs'!$D$51:$D$56,$C$12,'10. Inputs &amp; Calcs'!$M$51:$M$56))</f>
        <v>226</v>
      </c>
      <c r="G179" s="1216">
        <f t="shared" ca="1" si="1"/>
        <v>18799.919755358882</v>
      </c>
      <c r="H179" s="1283"/>
    </row>
    <row r="180" spans="1:8" x14ac:dyDescent="0.45">
      <c r="A180" s="18"/>
      <c r="B180" s="1260" t="str">
        <f>'9a. Forecast Results - Total'!V$5</f>
        <v>2021/22</v>
      </c>
      <c r="C180" s="18"/>
      <c r="D180" s="18"/>
      <c r="E180" s="1216">
        <f ca="1">-SUMIF('9a. Forecast Results - Total'!$R$5:$W$5,$B180,'9a. Forecast Results - Total'!$R$53:$W$53)</f>
        <v>4248781.8647111077</v>
      </c>
      <c r="F180" s="1223">
        <f>IF($AA$19='14. Permanent Info'!$N$7,SUMIF('10. Inputs &amp; Calcs'!$D$51:$D$56,$C$12,'10. Inputs &amp; Calcs'!$N$51:$N$56)-SUMIF('10. Inputs &amp; Calcs'!$D$106:$D$111,$C$12,'10. Inputs &amp; Calcs'!$N$106:$N$111),SUMIF('10. Inputs &amp; Calcs'!$D$51:$D$56,$C$12,'10. Inputs &amp; Calcs'!$N$51:$N$56))</f>
        <v>226</v>
      </c>
      <c r="G180" s="1216">
        <f t="shared" ca="1" si="1"/>
        <v>18799.919755358882</v>
      </c>
      <c r="H180" s="1283"/>
    </row>
    <row r="181" spans="1:8" x14ac:dyDescent="0.45">
      <c r="A181" s="18"/>
      <c r="B181" s="1260" t="str">
        <f>'9a. Forecast Results - Total'!W$5</f>
        <v>2022/23</v>
      </c>
      <c r="C181" s="18"/>
      <c r="D181" s="18"/>
      <c r="E181" s="1217">
        <f ca="1">-SUMIF('9a. Forecast Results - Total'!$R$5:$W$5,$B181,'9a. Forecast Results - Total'!$R$53:$W$53)</f>
        <v>4248781.8647111077</v>
      </c>
      <c r="F181" s="1224">
        <f>IF($AA$19='14. Permanent Info'!$N$7,SUMIF('10. Inputs &amp; Calcs'!$D$51:$D$56,$C$12,'10. Inputs &amp; Calcs'!$O$51:$O$56)-SUMIF('10. Inputs &amp; Calcs'!$D$106:$D$111,$C$12,'10. Inputs &amp; Calcs'!$O$106:$O$111),SUMIF('10. Inputs &amp; Calcs'!$D$51:$D$56,$C$12,'10. Inputs &amp; Calcs'!$O$51:$O$56))</f>
        <v>226</v>
      </c>
      <c r="G181" s="1217">
        <f t="shared" ca="1" si="1"/>
        <v>18799.919755358882</v>
      </c>
      <c r="H181" s="1283"/>
    </row>
    <row r="182" spans="1:8" x14ac:dyDescent="0.45">
      <c r="B182" s="1263" t="s">
        <v>1516</v>
      </c>
      <c r="C182" s="18"/>
      <c r="D182" s="18"/>
      <c r="E182" s="1220">
        <f ca="1">SUM(E177:E181)</f>
        <v>25925560.768902078</v>
      </c>
      <c r="F182" s="1291">
        <f>SUM(F177:F181)</f>
        <v>1380</v>
      </c>
      <c r="G182" s="1220">
        <f t="shared" ca="1" si="1"/>
        <v>18786.638238334839</v>
      </c>
      <c r="H182" s="1283"/>
    </row>
    <row r="183" spans="1:8" x14ac:dyDescent="0.45">
      <c r="B183" s="1263" t="s">
        <v>1521</v>
      </c>
      <c r="C183" s="18"/>
      <c r="D183" s="18"/>
      <c r="E183" s="1220">
        <f ca="1">-'9a. Forecast Results - Total'!AL$53</f>
        <v>833828355.43116808</v>
      </c>
      <c r="F183" s="1290">
        <f>-SUMIF('10. Inputs &amp; Calcs'!$D$106:$D$111,$C$12,'10. Inputs &amp; Calcs'!$AD$106:$AD$111)+-SUMIF('10. Inputs &amp; Calcs'!$D$60:$D$65,$C$12,'10. Inputs &amp; Calcs'!$AD$60:$AD$65)</f>
        <v>7399</v>
      </c>
      <c r="G183" s="1220">
        <f t="shared" ca="1" si="1"/>
        <v>112694.73650914557</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 ca="1">E136</f>
        <v>24526299.226172131</v>
      </c>
      <c r="H204" s="1235">
        <f ca="1">F136</f>
        <v>78509405.775295377</v>
      </c>
    </row>
    <row r="205" spans="1:8" hidden="1" outlineLevel="1" x14ac:dyDescent="0.45">
      <c r="E205" s="1245" t="str">
        <f>B137</f>
        <v>Costs/Expenses</v>
      </c>
      <c r="F205" s="4"/>
      <c r="G205" s="1234">
        <f t="shared" si="2"/>
        <v>650828595.54817533</v>
      </c>
      <c r="H205" s="1236">
        <f t="shared" si="2"/>
        <v>2000795573.3586197</v>
      </c>
    </row>
    <row r="206" spans="1:8" hidden="1" outlineLevel="1" x14ac:dyDescent="0.45">
      <c r="E206" s="1245" t="str">
        <f>B145</f>
        <v>Net Surplus / (deficit)</v>
      </c>
      <c r="F206" s="4"/>
      <c r="G206" s="1237">
        <f ca="1">E145</f>
        <v>-626302296.32200325</v>
      </c>
      <c r="H206" s="1235">
        <f ca="1">F145</f>
        <v>-1922286167.5833244</v>
      </c>
    </row>
    <row r="207" spans="1:8" hidden="1" outlineLevel="1" x14ac:dyDescent="0.45">
      <c r="E207" s="1245" t="str">
        <f>B146</f>
        <v>Net Surplus / (deficit) funded by HSDG Top Slice</v>
      </c>
      <c r="F207" s="4"/>
      <c r="G207" s="1237">
        <f ca="1">E146</f>
        <v>626302296.32200325</v>
      </c>
      <c r="H207" s="1235">
        <f ca="1">F146</f>
        <v>1922286167.5833244</v>
      </c>
    </row>
    <row r="208" spans="1:8" hidden="1" outlineLevel="1" x14ac:dyDescent="0.45">
      <c r="E208" s="1245" t="str">
        <f>B150</f>
        <v>Total EEDBS utilised</v>
      </c>
      <c r="F208" s="4"/>
      <c r="G208" s="1234">
        <f t="shared" ref="G208:H211" ca="1" si="3">E150</f>
        <v>25925560.768902078</v>
      </c>
      <c r="H208" s="1236">
        <f t="shared" ca="1" si="3"/>
        <v>833828355.43116808</v>
      </c>
    </row>
    <row r="209" spans="2:8" hidden="1" outlineLevel="1" x14ac:dyDescent="0.45">
      <c r="E209" s="1245" t="str">
        <f>B151</f>
        <v>EEDBS per Existing Rental Unit</v>
      </c>
      <c r="F209" s="4"/>
      <c r="G209" s="1234">
        <f t="shared" ca="1" si="3"/>
        <v>18786.638238334839</v>
      </c>
      <c r="H209" s="1236">
        <f t="shared" ca="1" si="3"/>
        <v>161594.64252542017</v>
      </c>
    </row>
    <row r="210" spans="2:8" hidden="1" outlineLevel="1" x14ac:dyDescent="0.45">
      <c r="E210" s="1245" t="str">
        <f>B152</f>
        <v>Total Government Contribution over 20 years</v>
      </c>
      <c r="F210" s="4"/>
      <c r="G210" s="1234">
        <f t="shared" ca="1" si="3"/>
        <v>652227857.09090531</v>
      </c>
      <c r="H210" s="1236">
        <f t="shared" ca="1" si="3"/>
        <v>2756114523.0144925</v>
      </c>
    </row>
    <row r="211" spans="2:8" hidden="1" outlineLevel="1" x14ac:dyDescent="0.45">
      <c r="E211" s="1246" t="str">
        <f>B153</f>
        <v>Total Government Contribution p.u.</v>
      </c>
      <c r="F211" s="931"/>
      <c r="G211" s="1247">
        <f t="shared" ca="1" si="3"/>
        <v>472628.88194993138</v>
      </c>
      <c r="H211" s="1248">
        <f t="shared" ca="1" si="3"/>
        <v>534130.72151443653</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'9a. Forecast Results - Total'!AL89</f>
        <v>-4994849.2610526253</v>
      </c>
    </row>
    <row r="216" spans="2:8" hidden="1" outlineLevel="1" x14ac:dyDescent="0.45">
      <c r="B216" s="1057" t="s">
        <v>1560</v>
      </c>
      <c r="C216" s="1060"/>
      <c r="D216" s="1060"/>
      <c r="E216" s="1070">
        <f>SUM('9a. Forecast Results - Total'!P12:P13)</f>
        <v>7399</v>
      </c>
    </row>
    <row r="217" spans="2:8" hidden="1" outlineLevel="1" x14ac:dyDescent="0.45">
      <c r="B217" s="1071" t="s">
        <v>1509</v>
      </c>
      <c r="C217" s="1072"/>
      <c r="D217" s="1072"/>
      <c r="E217" s="1073">
        <f>E215/E216</f>
        <v>-675.07085566328226</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'9a. Forecast Results - Total'!R$5</f>
        <v>2017/18</v>
      </c>
      <c r="E221" s="552">
        <f>SUMIF('9a. Forecast Results - Total'!$R$5:$W$5,$B221,'9a. Forecast Results - Total'!$R$52:$W$52)</f>
        <v>0</v>
      </c>
      <c r="F221" s="785">
        <f>SUMIF('10. Inputs &amp; Calcs'!$D$106:$D$111,$C$12,'10. Inputs &amp; Calcs'!$J$106:$J$111)</f>
        <v>0</v>
      </c>
      <c r="G221" s="552">
        <f>IF(F221&lt;&gt;0,E221/F221,0)</f>
        <v>0</v>
      </c>
    </row>
    <row r="222" spans="2:8" hidden="1" outlineLevel="1" x14ac:dyDescent="0.45">
      <c r="B222" s="948" t="str">
        <f>'9a. Forecast Results - Total'!S$5</f>
        <v>2018/19</v>
      </c>
      <c r="E222" s="973">
        <f>SUMIF('9a. Forecast Results - Total'!$R$5:$W$5,$B222,'9a. Forecast Results - Total'!$R$52:$W$52)</f>
        <v>0</v>
      </c>
      <c r="F222" s="974">
        <f>SUMIF('10. Inputs &amp; Calcs'!$D$106:$D$111,$C$12,'10. Inputs &amp; Calcs'!$K$106:$K$111)</f>
        <v>0</v>
      </c>
      <c r="G222" s="753">
        <f t="shared" ref="G222:G227" si="4">IF(F222&lt;&gt;0,E222/F222,0)</f>
        <v>0</v>
      </c>
    </row>
    <row r="223" spans="2:8" hidden="1" outlineLevel="1" x14ac:dyDescent="0.45">
      <c r="B223" s="948" t="str">
        <f>'9a. Forecast Results - Total'!T$5</f>
        <v>2019/20</v>
      </c>
      <c r="E223" s="975">
        <f>SUMIF('9a. Forecast Results - Total'!$R$5:$W$5,$B223,'9a. Forecast Results - Total'!$R$52:$W$52)</f>
        <v>0</v>
      </c>
      <c r="F223" s="976">
        <f>SUMIF('10. Inputs &amp; Calcs'!$D$106:$D$111,$C$12,'10. Inputs &amp; Calcs'!$L$106:$L$111)</f>
        <v>0</v>
      </c>
      <c r="G223" s="888">
        <f t="shared" si="4"/>
        <v>0</v>
      </c>
    </row>
    <row r="224" spans="2:8" hidden="1" outlineLevel="1" x14ac:dyDescent="0.45">
      <c r="B224" s="948" t="str">
        <f>'9a. Forecast Results - Total'!U$5</f>
        <v>2020/21</v>
      </c>
      <c r="E224" s="975">
        <f>SUMIF('9a. Forecast Results - Total'!$R$5:$W$5,$B224,'9a. Forecast Results - Total'!$R$52:$W$52)</f>
        <v>0</v>
      </c>
      <c r="F224" s="976">
        <f>SUMIF('10. Inputs &amp; Calcs'!$D$106:$D$111,$C$12,'10. Inputs &amp; Calcs'!$M$106:$M$111)</f>
        <v>0</v>
      </c>
      <c r="G224" s="888">
        <f t="shared" si="4"/>
        <v>0</v>
      </c>
    </row>
    <row r="225" spans="2:8" hidden="1" outlineLevel="1" x14ac:dyDescent="0.45">
      <c r="B225" s="948" t="str">
        <f>'9a. Forecast Results - Total'!V$5</f>
        <v>2021/22</v>
      </c>
      <c r="E225" s="975">
        <f>SUMIF('9a. Forecast Results - Total'!$R$5:$W$5,$B225,'9a. Forecast Results - Total'!$R$52:$W$52)</f>
        <v>0</v>
      </c>
      <c r="F225" s="976">
        <f>SUMIF('10. Inputs &amp; Calcs'!$D$106:$D$111,$C$12,'10. Inputs &amp; Calcs'!$N$106:$N$111)</f>
        <v>0</v>
      </c>
      <c r="G225" s="888">
        <f t="shared" si="4"/>
        <v>0</v>
      </c>
    </row>
    <row r="226" spans="2:8" hidden="1" outlineLevel="1" x14ac:dyDescent="0.45">
      <c r="B226" s="948" t="str">
        <f>'9a. Forecast Results - Total'!W$5</f>
        <v>2022/23</v>
      </c>
      <c r="E226" s="977">
        <f>SUMIF('9a. Forecast Results - Total'!$R$5:$W$5,$B226,'9a. Forecast Results - Total'!$R$52:$W$52)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'9a. Forecast Results - Total'!AL$52</f>
        <v>0</v>
      </c>
      <c r="F228" s="785">
        <f>SUMIF('10. Inputs &amp; Calcs'!$D$106:$D$111,$C$12,'10. Inputs &amp; Calcs'!$AD$106:$AD$111)</f>
        <v>-7399</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'9a. Forecast Results - Total'!R$5</f>
        <v>2017/18</v>
      </c>
      <c r="E232" s="552">
        <f ca="1">SUMIF('10. Inputs &amp; Calcs'!$D$619:$D$624,$C$12,'10. Inputs &amp; Calcs'!$J$619:$J$629)-E176</f>
        <v>-20221534.925524727</v>
      </c>
      <c r="F232" s="785">
        <f>SUMIF('10. Inputs &amp; Calcs'!$D$51:$D$56,$C$12,'10. Inputs &amp; Calcs'!$J$51:$J$56)</f>
        <v>514</v>
      </c>
      <c r="G232" s="552">
        <f ca="1">IF(F232&lt;&gt;0,E232/F232,0)</f>
        <v>-39341.507637207636</v>
      </c>
      <c r="H232" s="930"/>
    </row>
    <row r="233" spans="2:8" hidden="1" outlineLevel="1" x14ac:dyDescent="0.45">
      <c r="B233" s="948" t="str">
        <f>'9a. Forecast Results - Total'!S$5</f>
        <v>2018/19</v>
      </c>
      <c r="E233" s="973">
        <f>SUMIF('10. Inputs &amp; Calcs'!$D$619:$D$624,$C$12,'10. Inputs &amp; Calcs'!$K$619:$K$629)</f>
        <v>-10450381.305273833</v>
      </c>
      <c r="F233" s="974">
        <f>SUMIF('10. Inputs &amp; Calcs'!$D$51:$D$56,$C$12,'10. Inputs &amp; Calcs'!$K$51:$K$56)</f>
        <v>476</v>
      </c>
      <c r="G233" s="753">
        <f t="shared" ref="G233:G239" si="5">IF(F233&lt;&gt;0,E233/F233,0)</f>
        <v>-21954.58257410469</v>
      </c>
      <c r="H233" s="930"/>
    </row>
    <row r="234" spans="2:8" hidden="1" outlineLevel="1" x14ac:dyDescent="0.45">
      <c r="B234" s="948" t="str">
        <f>'9a. Forecast Results - Total'!T$5</f>
        <v>2019/20</v>
      </c>
      <c r="E234" s="975">
        <f>SUMIF('10. Inputs &amp; Calcs'!$D$619:$D$624,$C$12,'10. Inputs &amp; Calcs'!$L$619:$L$629)</f>
        <v>-5304579.0622597346</v>
      </c>
      <c r="F234" s="976">
        <f>SUMIF('10. Inputs &amp; Calcs'!$D$51:$D$56,$C$12,'10. Inputs &amp; Calcs'!$L$51:$L$56)</f>
        <v>226</v>
      </c>
      <c r="G234" s="888">
        <f t="shared" si="5"/>
        <v>-23471.588771060771</v>
      </c>
      <c r="H234" s="930"/>
    </row>
    <row r="235" spans="2:8" hidden="1" outlineLevel="1" x14ac:dyDescent="0.45">
      <c r="B235" s="948" t="str">
        <f>'9a. Forecast Results - Total'!U$5</f>
        <v>2020/21</v>
      </c>
      <c r="E235" s="975">
        <f>SUMIF('10. Inputs &amp; Calcs'!$D$619:$D$624,$C$12,'10. Inputs &amp; Calcs'!$M$619:$M$629)</f>
        <v>-5562618.7138867881</v>
      </c>
      <c r="F235" s="976">
        <f>SUMIF('10. Inputs &amp; Calcs'!$D$51:$D$56,$C$12,'10. Inputs &amp; Calcs'!$M$51:$M$56)</f>
        <v>226</v>
      </c>
      <c r="G235" s="888">
        <f t="shared" si="5"/>
        <v>-24613.357141091983</v>
      </c>
      <c r="H235" s="930"/>
    </row>
    <row r="236" spans="2:8" hidden="1" outlineLevel="1" x14ac:dyDescent="0.45">
      <c r="B236" s="948" t="str">
        <f>'9a. Forecast Results - Total'!V$5</f>
        <v>2021/22</v>
      </c>
      <c r="E236" s="975">
        <f>SUMIF('10. Inputs &amp; Calcs'!$D$619:$D$624,$C$12,'10. Inputs &amp; Calcs'!$N$619:$N$629)</f>
        <v>-5820658.3655138416</v>
      </c>
      <c r="F236" s="976">
        <f>SUMIF('10. Inputs &amp; Calcs'!$D$51:$D$56,$C$12,'10. Inputs &amp; Calcs'!$N$51:$N$56)</f>
        <v>226</v>
      </c>
      <c r="G236" s="888">
        <f t="shared" si="5"/>
        <v>-25755.125511123191</v>
      </c>
      <c r="H236" s="930"/>
    </row>
    <row r="237" spans="2:8" hidden="1" outlineLevel="1" x14ac:dyDescent="0.45">
      <c r="B237" s="948" t="str">
        <f>'9a. Forecast Results - Total'!W$5</f>
        <v>2022/23</v>
      </c>
      <c r="E237" s="977">
        <f>SUMIF('10. Inputs &amp; Calcs'!$D$619:$D$624,$C$12,'10. Inputs &amp; Calcs'!$O$619:$O$629)</f>
        <v>-6078698.0171408951</v>
      </c>
      <c r="F237" s="978">
        <f>SUMIF('10. Inputs &amp; Calcs'!$D$51:$D$56,$C$12,'10. Inputs &amp; Calcs'!$O$51:$O$56)</f>
        <v>226</v>
      </c>
      <c r="G237" s="754">
        <f t="shared" si="5"/>
        <v>-26896.893881154403</v>
      </c>
      <c r="H237" s="930"/>
    </row>
    <row r="238" spans="2:8" hidden="1" outlineLevel="1" x14ac:dyDescent="0.45">
      <c r="B238" s="948" t="s">
        <v>1516</v>
      </c>
      <c r="E238" s="970">
        <f>SUM(E233:E237)</f>
        <v>-33216935.464075092</v>
      </c>
      <c r="F238" s="972">
        <f>SUM(F233:F237)</f>
        <v>1380</v>
      </c>
      <c r="G238" s="552">
        <f t="shared" si="5"/>
        <v>-24070.243089909487</v>
      </c>
      <c r="H238" s="930"/>
    </row>
    <row r="239" spans="2:8" hidden="1" outlineLevel="1" x14ac:dyDescent="0.45">
      <c r="B239" s="948" t="s">
        <v>1519</v>
      </c>
      <c r="E239" s="971">
        <f>SUMIF('10. Inputs &amp; Calcs'!$D$619:$D$624,$C$12, '10. Inputs &amp; Calcs'!$AD$619:$AD$624)</f>
        <v>-148103926.95799464</v>
      </c>
      <c r="F239" s="785">
        <f>SUMIF('10. Inputs &amp; Calcs'!$D$520:$D$525,$C$12,'10. Inputs &amp; Calcs'!$H$520:$H$525)</f>
        <v>5160</v>
      </c>
      <c r="G239" s="552">
        <f t="shared" si="5"/>
        <v>-28702.311425967953</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xWindow="579" yWindow="665" count="2">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9E0CADF3-EBB1-433A-901E-323425C4880D}">
      <formula1>$F$22:$G$22</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DA4CD170-B38A-427D-826D-A1E7B289B7AC}">
      <formula1>$D$22:$E$22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ignoredErrors>
    <ignoredError sqref="B34" formula="1"/>
  </ignoredErrors>
  <drawing r:id="rId2"/>
  <extLst>
    <ext xmlns:x14="http://schemas.microsoft.com/office/spreadsheetml/2009/9/main" uri="{CCE6A557-97BC-4b89-ADB6-D9C93CAAB3DF}">
      <x14:dataValidations xmlns:xm="http://schemas.microsoft.com/office/excel/2006/main" xWindow="579" yWindow="665" count="2">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50B9844A-0597-4E0B-B013-8A69DA687719}">
          <x14:formula1>
            <xm:f>'14. Permanent Info'!$M$7:$N$7</xm:f>
          </x14:formula1>
          <xm:sqref>AA19</xm:sqref>
        </x14:dataValidation>
        <x14:dataValidation type="list" allowBlank="1" showInputMessage="1" showErrorMessage="1" promptTitle="Years" prompt="Select the number of years required to close this programme from 2018/19._x000a_" xr:uid="{F2A45F1B-D83C-4455-88E3-15D90E70421A}">
          <x14:formula1>
            <xm:f>'14. Permanent Info'!$J$7:$J$23</xm:f>
          </x14:formula1>
          <xm:sqref>AA16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CCFC-32B0-49C0-8470-45C1664450D0}">
  <sheetPr>
    <tabColor theme="5" tint="0.79998168889431442"/>
  </sheetPr>
  <dimension ref="A1:CE241"/>
  <sheetViews>
    <sheetView showGridLines="0" topLeftCell="A13" zoomScale="65" zoomScaleNormal="65" zoomScaleSheetLayoutView="40" workbookViewId="0">
      <selection activeCell="M31" sqref="M3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0" max="10" width="14" bestFit="1" customWidth="1"/>
    <col min="11" max="11" width="15.19921875" customWidth="1"/>
    <col min="12" max="13" width="14" bestFit="1"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C2" s="929" t="s">
        <v>1604</v>
      </c>
      <c r="D2" s="1242"/>
      <c r="E2" s="553"/>
      <c r="F2" s="553"/>
      <c r="G2" s="553"/>
      <c r="H2" s="796"/>
      <c r="AB2" s="803">
        <f>'9. Forecast Results'!AO19</f>
        <v>0</v>
      </c>
      <c r="AC2" s="803" t="str">
        <f>'9. Forecast Results'!AP19</f>
        <v>2013/14</v>
      </c>
      <c r="AD2" s="803" t="str">
        <f>'9. Forecast Results'!AQ19</f>
        <v>2014/15</v>
      </c>
      <c r="AE2" s="803" t="str">
        <f>'9. Forecast Results'!AR19</f>
        <v>2015/16</v>
      </c>
      <c r="AF2" s="803" t="str">
        <f>'9. Forecast Results'!AS19</f>
        <v>2016/17</v>
      </c>
      <c r="AG2" s="803" t="str">
        <f>'9. Forecast Results'!AT19</f>
        <v>2017/18</v>
      </c>
      <c r="AH2" s="803" t="str">
        <f>'9. Forecast Results'!AU19</f>
        <v>2018/19</v>
      </c>
      <c r="AI2" s="803" t="str">
        <f>'9. Forecast Results'!AV19</f>
        <v>2019/20</v>
      </c>
      <c r="AJ2" s="803" t="str">
        <f>'9. Forecast Results'!AW19</f>
        <v>2020/21</v>
      </c>
      <c r="AK2" s="803" t="str">
        <f>'9. Forecast Results'!AX19</f>
        <v>2021/22</v>
      </c>
      <c r="AL2" s="803" t="str">
        <f>'9. Forecast Results'!AY19</f>
        <v>2022/23</v>
      </c>
      <c r="AM2" s="803" t="str">
        <f>'9. Forecast Results'!AZ19</f>
        <v>2023/24</v>
      </c>
      <c r="AN2" s="803" t="str">
        <f>'9. Forecast Results'!BA19</f>
        <v>2024/25</v>
      </c>
      <c r="AO2" s="803" t="str">
        <f>'9. Forecast Results'!BB19</f>
        <v>2025/26</v>
      </c>
      <c r="AP2" s="803" t="str">
        <f>'9. Forecast Results'!BC19</f>
        <v>2026/27</v>
      </c>
      <c r="AQ2" s="803" t="str">
        <f>'9. Forecast Results'!BD19</f>
        <v>2027/28</v>
      </c>
      <c r="AR2" s="803" t="str">
        <f>'9. Forecast Results'!BE19</f>
        <v>2028/29</v>
      </c>
      <c r="AS2" s="803" t="str">
        <f>'9. Forecast Results'!BF19</f>
        <v>2029/30</v>
      </c>
      <c r="AT2" s="803" t="str">
        <f>'9. Forecast Results'!BG19</f>
        <v>2030/31</v>
      </c>
      <c r="AU2" s="803" t="str">
        <f>'9. Forecast Results'!BH19</f>
        <v>2031/32</v>
      </c>
      <c r="AV2" s="803" t="str">
        <f>'9. Forecast Results'!BI19</f>
        <v>3032/33</v>
      </c>
      <c r="AW2" s="803" t="str">
        <f>'9. Forecast Results'!BJ19</f>
        <v>2033/34</v>
      </c>
      <c r="AX2" s="803" t="str">
        <f>'9. Forecast Results'!BK19</f>
        <v>2034/35</v>
      </c>
      <c r="AY2" s="803" t="str">
        <f>'9. Forecast Results'!BL19</f>
        <v>2035/36</v>
      </c>
      <c r="AZ2" s="803" t="str">
        <f>'9. Forecast Results'!BM19</f>
        <v>2036/37</v>
      </c>
    </row>
    <row r="3" spans="1:83" x14ac:dyDescent="0.45">
      <c r="C3" s="1170" t="s">
        <v>1684</v>
      </c>
      <c r="D3" s="926"/>
      <c r="E3" s="4"/>
      <c r="F3" s="4"/>
      <c r="G3" s="4"/>
      <c r="H3" s="1171"/>
      <c r="AB3" s="803" t="str">
        <f>'9. Forecast Results'!AO20</f>
        <v>Net Deficit funded by HSDG Top Slice</v>
      </c>
      <c r="AC3" s="1105">
        <f>'9. Forecast Results'!AP20</f>
        <v>-9354796.4700000007</v>
      </c>
      <c r="AD3" s="1105">
        <f>'9. Forecast Results'!AQ20</f>
        <v>-10229237.26</v>
      </c>
      <c r="AE3" s="1105">
        <f>'9. Forecast Results'!AR20</f>
        <v>-10415188.16</v>
      </c>
      <c r="AF3" s="1105">
        <f>'9. Forecast Results'!AS20</f>
        <v>-9050671.484040793</v>
      </c>
      <c r="AG3" s="1105">
        <f>'9. Forecast Results'!AT20</f>
        <v>-7276268.3573198924</v>
      </c>
      <c r="AH3" s="1105">
        <f>'9. Forecast Results'!AU20</f>
        <v>-5272498.0344495559</v>
      </c>
      <c r="AI3" s="1105">
        <f>'9. Forecast Results'!AV20</f>
        <v>-5562124.3240768462</v>
      </c>
      <c r="AJ3" s="1105">
        <f>'9. Forecast Results'!AW20</f>
        <v>-5535382.1975866212</v>
      </c>
      <c r="AK3" s="1105">
        <f>'9. Forecast Results'!AX20</f>
        <v>-5487924.873524704</v>
      </c>
      <c r="AL3" s="1105">
        <f>'9. Forecast Results'!AY20</f>
        <v>-5417569.3500243956</v>
      </c>
      <c r="AM3" s="1105">
        <f>'9. Forecast Results'!AZ20</f>
        <v>-5321955.1584863178</v>
      </c>
      <c r="AN3" s="1105">
        <f>'9. Forecast Results'!BA20</f>
        <v>-5198531.4458184605</v>
      </c>
      <c r="AO3" s="1105">
        <f>'9. Forecast Results'!BB20</f>
        <v>-5044543.1725595053</v>
      </c>
      <c r="AP3" s="1105">
        <f>'9. Forecast Results'!BC20</f>
        <v>-4857016.3687088052</v>
      </c>
      <c r="AQ3" s="1105">
        <f>'9. Forecast Results'!BD20</f>
        <v>-4632742.3853614368</v>
      </c>
      <c r="AR3" s="1105">
        <f>'9. Forecast Results'!BE20</f>
        <v>-4368261.0762879653</v>
      </c>
      <c r="AS3" s="1105">
        <f>'9. Forecast Results'!BF20</f>
        <v>-4059842.8393917042</v>
      </c>
      <c r="AT3" s="1105">
        <f>'9. Forecast Results'!BG20</f>
        <v>-3703469.4435056476</v>
      </c>
      <c r="AU3" s="1105">
        <f>'9. Forecast Results'!BH20</f>
        <v>-3294813.561241088</v>
      </c>
      <c r="AV3" s="1105">
        <f>'9. Forecast Results'!BI20</f>
        <v>-2829216.9235524968</v>
      </c>
      <c r="AW3" s="1105">
        <f>'9. Forecast Results'!BJ20</f>
        <v>-2301667.0063206377</v>
      </c>
      <c r="AX3" s="1105">
        <f>'9. Forecast Results'!BK20</f>
        <v>-1706772.1535583164</v>
      </c>
      <c r="AY3" s="1105">
        <f>'9. Forecast Results'!BL20</f>
        <v>0</v>
      </c>
      <c r="AZ3" s="1105">
        <f>'9. Forecast Results'!BM20</f>
        <v>0</v>
      </c>
    </row>
    <row r="4" spans="1:83" x14ac:dyDescent="0.45">
      <c r="C4" s="1170" t="s">
        <v>1780</v>
      </c>
      <c r="D4" s="926"/>
      <c r="E4" s="4"/>
      <c r="F4" s="4"/>
      <c r="G4" s="4"/>
      <c r="H4" s="1172"/>
      <c r="AB4" s="803" t="str">
        <f>'9. Forecast Results'!AO21</f>
        <v>EEDBS utilised to settle Existing Sales Debtors Balances Owing</v>
      </c>
      <c r="AC4" s="1105">
        <f>'9. Forecast Results'!AP21</f>
        <v>-5576064</v>
      </c>
      <c r="AD4" s="1105">
        <f>'9. Forecast Results'!AQ21</f>
        <v>-1243913</v>
      </c>
      <c r="AE4" s="1105">
        <f>'9. Forecast Results'!AR21</f>
        <v>-313420</v>
      </c>
      <c r="AF4" s="1105">
        <f>'9. Forecast Results'!AS21</f>
        <v>-210409.8845669291</v>
      </c>
      <c r="AG4" s="1105">
        <f>'9. Forecast Results'!AT21</f>
        <v>-210409.8845669291</v>
      </c>
      <c r="AH4" s="1105">
        <f>'9. Forecast Results'!AU21</f>
        <v>-210409.8845669291</v>
      </c>
      <c r="AI4" s="1105">
        <f>'9. Forecast Results'!AV21</f>
        <v>-23378.876062992123</v>
      </c>
      <c r="AJ4" s="1105">
        <f>'9. Forecast Results'!AW21</f>
        <v>-23378.876062992123</v>
      </c>
      <c r="AK4" s="1105">
        <f>'9. Forecast Results'!AX21</f>
        <v>-23378.876062992123</v>
      </c>
      <c r="AL4" s="1105">
        <f>'9. Forecast Results'!AY21</f>
        <v>-23378.876062992123</v>
      </c>
      <c r="AM4" s="1105">
        <f>'9. Forecast Results'!AZ21</f>
        <v>-23378.876062992123</v>
      </c>
      <c r="AN4" s="1105">
        <f>'9. Forecast Results'!BA21</f>
        <v>-23378.876062992123</v>
      </c>
      <c r="AO4" s="1105">
        <f>'9. Forecast Results'!BB21</f>
        <v>-23378.876062992123</v>
      </c>
      <c r="AP4" s="1105">
        <f>'9. Forecast Results'!BC21</f>
        <v>-23378.876062992123</v>
      </c>
      <c r="AQ4" s="1105">
        <f>'9. Forecast Results'!BD21</f>
        <v>-23378.876062992123</v>
      </c>
      <c r="AR4" s="1105">
        <f>'9. Forecast Results'!BE21</f>
        <v>-23378.876062992123</v>
      </c>
      <c r="AS4" s="1105">
        <f>'9. Forecast Results'!BF21</f>
        <v>-23378.876062992123</v>
      </c>
      <c r="AT4" s="1105">
        <f>'9. Forecast Results'!BG21</f>
        <v>-23378.876062992123</v>
      </c>
      <c r="AU4" s="1105">
        <f>'9. Forecast Results'!BH21</f>
        <v>-23378.876062992123</v>
      </c>
      <c r="AV4" s="1105">
        <f>'9. Forecast Results'!BI21</f>
        <v>-23378.876062992123</v>
      </c>
      <c r="AW4" s="1105">
        <f>'9. Forecast Results'!BJ21</f>
        <v>-23378.876062992123</v>
      </c>
      <c r="AX4" s="1105">
        <f>'9. Forecast Results'!BK21</f>
        <v>-23378.876062992123</v>
      </c>
      <c r="AY4" s="1105">
        <f>'9. Forecast Results'!BL21</f>
        <v>-15759591.013178613</v>
      </c>
      <c r="AZ4" s="1105">
        <f>'9. Forecast Results'!BM21</f>
        <v>0</v>
      </c>
    </row>
    <row r="5" spans="1:83" x14ac:dyDescent="0.45">
      <c r="C5" s="927" t="s">
        <v>1703</v>
      </c>
      <c r="D5" s="1243"/>
      <c r="E5" s="931"/>
      <c r="F5" s="931"/>
      <c r="G5" s="931"/>
      <c r="H5" s="1232"/>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11</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Total BC</v>
      </c>
      <c r="E15" s="1274" t="str">
        <f>$C$12&amp;" "&amp;'14. Permanent Info'!$D$7</f>
        <v>Total BC</v>
      </c>
      <c r="F15" s="1274" t="str">
        <f>$C$12&amp;" "&amp;'14. Permanent Info'!$D$8</f>
        <v>Total Sc1</v>
      </c>
      <c r="G15" s="1274" t="str">
        <f>$C$12&amp;" "&amp;'14. Permanent Info'!$D$9</f>
        <v>Total Sc2</v>
      </c>
      <c r="H15" s="1274" t="str">
        <f>$C$12&amp;" "&amp;'14. Permanent Info'!$D$10</f>
        <v>Total Sc3</v>
      </c>
      <c r="J15" s="1145" t="str">
        <f>E15</f>
        <v>Total BC</v>
      </c>
      <c r="K15" s="1145" t="str">
        <f t="shared" ref="K15:M15" si="0">F15</f>
        <v>Total Sc1</v>
      </c>
      <c r="L15" s="1145" t="str">
        <f t="shared" si="0"/>
        <v>Total Sc2</v>
      </c>
      <c r="M15" s="1145" t="str">
        <f t="shared" si="0"/>
        <v>Total Sc3</v>
      </c>
      <c r="N15" s="1145"/>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Total Check'!C16,0)))))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Total Check'!C17,0)))))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Total Check'!C18,0)))))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Total Check'!C19,0)))))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Total BC</v>
      </c>
      <c r="D24" s="553"/>
      <c r="E24" s="1294" t="str">
        <f>E15</f>
        <v>Total BC</v>
      </c>
      <c r="F24" s="1294" t="str">
        <f>F15</f>
        <v>Total Sc1</v>
      </c>
      <c r="G24" s="1294" t="str">
        <f>G15</f>
        <v>Total Sc2</v>
      </c>
      <c r="H24" s="1294" t="str">
        <f>H15</f>
        <v>Total Sc3</v>
      </c>
      <c r="I24" s="4"/>
      <c r="J24" s="4"/>
      <c r="K24" s="4"/>
      <c r="L24" s="4"/>
      <c r="M24" s="4"/>
      <c r="N24" s="4"/>
      <c r="O24" s="4"/>
      <c r="P24" s="4"/>
      <c r="Q24" s="4"/>
      <c r="R24" s="4"/>
      <c r="S24" s="4"/>
      <c r="T24" s="4"/>
      <c r="U24" s="4"/>
      <c r="V24" s="4"/>
      <c r="W24" s="4"/>
    </row>
    <row r="25" spans="1:83" x14ac:dyDescent="0.45">
      <c r="B25" s="1260" t="str">
        <f>B136</f>
        <v>Income (=Rent &amp; Sales Income)</v>
      </c>
      <c r="C25" s="1296">
        <f>$F$136</f>
        <v>3513640.4406654779</v>
      </c>
      <c r="D25" s="558"/>
      <c r="E25" s="1296">
        <f>SUM('5. Dashboard EC:5. Dashboard WC'!E25)</f>
        <v>78509405.775294989</v>
      </c>
      <c r="F25" s="1296">
        <f>SUM('5. Dashboard EC:5. Dashboard WC'!F25)</f>
        <v>62486352.897243351</v>
      </c>
      <c r="G25" s="1296">
        <f>SUM('5. Dashboard EC:5. Dashboard WC'!G25)</f>
        <v>56893307.700265869</v>
      </c>
      <c r="H25" s="1297">
        <f>SUM('5. Dashboard EC:5. Dashboard WC'!H25)</f>
        <v>56893307.700265899</v>
      </c>
      <c r="I25" s="4"/>
      <c r="J25" s="552">
        <f>'5. Dashboard Total'!E25-'5. Dashboard Total Check'!E25</f>
        <v>3.8743019104003906E-7</v>
      </c>
      <c r="K25" s="552">
        <f>'5. Dashboard Total'!F25-'5. Dashboard Total Check'!F25</f>
        <v>8.1956386566162109E-8</v>
      </c>
      <c r="L25" s="552">
        <f>'5. Dashboard Total'!G25-'5. Dashboard Total Check'!G25</f>
        <v>1.3411045074462891E-7</v>
      </c>
      <c r="M25" s="552">
        <f>'5. Dashboard Total'!H25-'5. Dashboard Total Check'!H25</f>
        <v>0</v>
      </c>
      <c r="N25" s="552"/>
      <c r="O25" s="4"/>
      <c r="P25" s="4"/>
      <c r="Q25" s="4"/>
      <c r="R25" s="4"/>
      <c r="S25" s="4"/>
      <c r="T25" s="4"/>
      <c r="U25" s="4"/>
      <c r="V25" s="4"/>
      <c r="W25" s="4"/>
    </row>
    <row r="26" spans="1:83" x14ac:dyDescent="0.45">
      <c r="B26" s="1260" t="str">
        <f>B137</f>
        <v>Costs/Expenses</v>
      </c>
      <c r="C26" s="1296">
        <f>$F$137</f>
        <v>94406766.299476683</v>
      </c>
      <c r="D26" s="558"/>
      <c r="E26" s="1296">
        <f>SUM('5. Dashboard EC:5. Dashboard WC'!E26)</f>
        <v>2000795573.3586199</v>
      </c>
      <c r="F26" s="1296">
        <f>SUM('5. Dashboard EC:5. Dashboard WC'!F26)</f>
        <v>669096480.70130014</v>
      </c>
      <c r="G26" s="1296">
        <f>SUM('5. Dashboard EC:5. Dashboard WC'!G26)</f>
        <v>448464102.22253907</v>
      </c>
      <c r="H26" s="1298">
        <f>SUM('5. Dashboard EC:5. Dashboard WC'!H26)</f>
        <v>446094075.20983911</v>
      </c>
      <c r="I26" s="4"/>
      <c r="J26" s="552">
        <f>'5. Dashboard Total'!E26-'5. Dashboard Total Check'!E26</f>
        <v>0</v>
      </c>
      <c r="K26" s="552">
        <f>'5. Dashboard Total'!F26-'5. Dashboard Total Check'!F26</f>
        <v>0</v>
      </c>
      <c r="L26" s="552">
        <f>'5. Dashboard Total'!G26-'5. Dashboard Total Check'!G26</f>
        <v>0</v>
      </c>
      <c r="M26" s="552">
        <f>'5. Dashboard Total'!H26-'5. Dashboard Total Check'!H26</f>
        <v>0</v>
      </c>
      <c r="N26" s="552"/>
      <c r="O26" s="4"/>
      <c r="P26" s="4"/>
      <c r="Q26" s="4"/>
      <c r="R26" s="4"/>
      <c r="S26" s="4"/>
      <c r="T26" s="4"/>
      <c r="U26" s="4"/>
      <c r="V26" s="4"/>
      <c r="W26" s="4"/>
    </row>
    <row r="27" spans="1:83" x14ac:dyDescent="0.45">
      <c r="B27" s="1260" t="str">
        <f>B146</f>
        <v>Net Surplus / (deficit) funded by HSDG Top Slice</v>
      </c>
      <c r="C27" s="1299">
        <f>$F$146</f>
        <v>90893125.8588112</v>
      </c>
      <c r="D27" s="558"/>
      <c r="E27" s="1299">
        <f>SUM('5. Dashboard EC:5. Dashboard WC'!E27)</f>
        <v>1922286167.5833249</v>
      </c>
      <c r="F27" s="1299">
        <f>SUM('5. Dashboard EC:5. Dashboard WC'!F27)</f>
        <v>606610127.80405676</v>
      </c>
      <c r="G27" s="1299">
        <f>SUM('5. Dashboard EC:5. Dashboard WC'!G27)</f>
        <v>391570794.52227324</v>
      </c>
      <c r="H27" s="1297">
        <f>SUM('5. Dashboard EC:5. Dashboard WC'!H27)</f>
        <v>389200767.50957328</v>
      </c>
      <c r="I27" s="4"/>
      <c r="J27" s="552">
        <f>'5. Dashboard Total'!E27-'5. Dashboard Total Check'!E27</f>
        <v>0</v>
      </c>
      <c r="K27" s="552">
        <f>'5. Dashboard Total'!F27-'5. Dashboard Total Check'!F27</f>
        <v>0</v>
      </c>
      <c r="L27" s="552">
        <f>'5. Dashboard Total'!G27-'5. Dashboard Total Check'!G27</f>
        <v>0</v>
      </c>
      <c r="M27" s="552">
        <f>'5. Dashboard Total'!H27-'5. Dashboard Total Check'!H27</f>
        <v>0</v>
      </c>
      <c r="N27" s="552"/>
      <c r="O27" s="4"/>
      <c r="P27" s="4"/>
      <c r="Q27" s="4"/>
      <c r="R27" s="4"/>
      <c r="S27" s="4"/>
      <c r="T27" s="4"/>
      <c r="U27" s="4"/>
      <c r="V27" s="4"/>
      <c r="W27" s="4"/>
    </row>
    <row r="28" spans="1:83" x14ac:dyDescent="0.45">
      <c r="B28" s="1260" t="str">
        <f>B150</f>
        <v>Total EEDBS utilised</v>
      </c>
      <c r="C28" s="1296">
        <f>$F$150</f>
        <v>16764882.683887275</v>
      </c>
      <c r="D28" s="558"/>
      <c r="E28" s="1296">
        <f>SUM('5. Dashboard EC:5. Dashboard WC'!E28)</f>
        <v>833828355.4311682</v>
      </c>
      <c r="F28" s="1296">
        <f>SUM('5. Dashboard EC:5. Dashboard WC'!F28)</f>
        <v>833828355.4311682</v>
      </c>
      <c r="G28" s="1296">
        <f>SUM('5. Dashboard EC:5. Dashboard WC'!G28)</f>
        <v>833828355.43116808</v>
      </c>
      <c r="H28" s="1298">
        <f>SUM('5. Dashboard EC:5. Dashboard WC'!H28)</f>
        <v>833828355.4311682</v>
      </c>
      <c r="I28" s="4"/>
      <c r="J28" s="552">
        <f>'5. Dashboard Total'!E28-'5. Dashboard Total Check'!E28</f>
        <v>0</v>
      </c>
      <c r="K28" s="552">
        <f>'5. Dashboard Total'!F28-'5. Dashboard Total Check'!F28</f>
        <v>0</v>
      </c>
      <c r="L28" s="552">
        <f>'5. Dashboard Total'!G28-'5. Dashboard Total Check'!G28</f>
        <v>0</v>
      </c>
      <c r="M28" s="552">
        <f>'5. Dashboard Total'!H28-'5. Dashboard Total Check'!H28</f>
        <v>0</v>
      </c>
      <c r="N28" s="552"/>
      <c r="O28" s="4"/>
      <c r="P28" s="4"/>
      <c r="Q28" s="4"/>
      <c r="R28" s="4"/>
      <c r="S28" s="4"/>
      <c r="T28" s="4"/>
      <c r="U28" s="4"/>
      <c r="V28" s="4"/>
      <c r="W28" s="4"/>
    </row>
    <row r="29" spans="1:83" x14ac:dyDescent="0.45">
      <c r="B29" s="1263" t="s">
        <v>1768</v>
      </c>
      <c r="C29" s="1300">
        <f>SUM(C27:C28)</f>
        <v>107658008.54269847</v>
      </c>
      <c r="D29" s="558"/>
      <c r="E29" s="1300">
        <f>SUM('5. Dashboard EC:5. Dashboard WC'!E29)</f>
        <v>2756114523.014493</v>
      </c>
      <c r="F29" s="1300">
        <f>SUM('5. Dashboard EC:5. Dashboard WC'!F29)</f>
        <v>1440438483.235225</v>
      </c>
      <c r="G29" s="1300">
        <f>SUM('5. Dashboard EC:5. Dashboard WC'!G29)</f>
        <v>1225399149.9534416</v>
      </c>
      <c r="H29" s="1301">
        <f>SUM('5. Dashboard EC:5. Dashboard WC'!H29)</f>
        <v>1223029122.9407413</v>
      </c>
      <c r="I29" s="4"/>
      <c r="J29" s="552">
        <f>'5. Dashboard Total'!E29-'5. Dashboard Total Check'!E29</f>
        <v>0</v>
      </c>
      <c r="K29" s="552">
        <f>'5. Dashboard Total'!F29-'5. Dashboard Total Check'!F29</f>
        <v>0</v>
      </c>
      <c r="L29" s="552">
        <f>'5. Dashboard Total'!G29-'5. Dashboard Total Check'!G29</f>
        <v>0</v>
      </c>
      <c r="M29" s="552">
        <f>'5. Dashboard Total'!H29-'5. Dashboard Total Check'!H29</f>
        <v>0</v>
      </c>
      <c r="N29" s="552"/>
      <c r="O29" s="4"/>
      <c r="P29" s="4"/>
      <c r="Q29" s="4"/>
      <c r="R29" s="4"/>
      <c r="S29" s="4"/>
      <c r="T29" s="4"/>
      <c r="U29" s="4"/>
      <c r="V29" s="4"/>
      <c r="W29" s="4"/>
    </row>
    <row r="30" spans="1:83" x14ac:dyDescent="0.45">
      <c r="B30" s="1276" t="str">
        <f>B157</f>
        <v>Total HSDG &amp; EEDBS per Base Case</v>
      </c>
      <c r="C30" s="1302">
        <f>$F$157</f>
        <v>2756114523.0144925</v>
      </c>
      <c r="D30" s="558"/>
      <c r="E30" s="1302">
        <f>SUM('5. Dashboard EC:5. Dashboard WC'!E30)</f>
        <v>2756225546.9886522</v>
      </c>
      <c r="F30" s="1302">
        <f>SUM('5. Dashboard EC:5. Dashboard WC'!F30)</f>
        <v>2756225546.9886522</v>
      </c>
      <c r="G30" s="1302">
        <f>SUM('5. Dashboard EC:5. Dashboard WC'!G30)</f>
        <v>2756225546.9886522</v>
      </c>
      <c r="H30" s="1303">
        <f>SUM('5. Dashboard EC:5. Dashboard WC'!H30)</f>
        <v>2756225546.9886522</v>
      </c>
      <c r="I30" s="4"/>
      <c r="J30" s="552">
        <f>'5. Dashboard Total'!E30-'5. Dashboard Total Check'!E30</f>
        <v>-111023.97415971756</v>
      </c>
      <c r="K30" s="552">
        <f>'5. Dashboard Total'!F30-'5. Dashboard Total Check'!F30</f>
        <v>-111023.97416210175</v>
      </c>
      <c r="L30" s="552">
        <f>'5. Dashboard Total'!G30-'5. Dashboard Total Check'!G30</f>
        <v>-111023.97415971756</v>
      </c>
      <c r="M30" s="552">
        <f>'5. Dashboard Total'!H30-'5. Dashboard Total Check'!H30</f>
        <v>-111023.97415971756</v>
      </c>
      <c r="N30" s="552"/>
      <c r="O30" s="4"/>
      <c r="P30" s="4"/>
      <c r="Q30" s="4"/>
      <c r="R30" s="4"/>
      <c r="S30" s="4"/>
      <c r="T30" s="4"/>
      <c r="U30" s="4"/>
      <c r="V30" s="4"/>
      <c r="W30" s="4"/>
    </row>
    <row r="31" spans="1:83" x14ac:dyDescent="0.45">
      <c r="B31" s="1261" t="str">
        <f>B158</f>
        <v>Increase/(Decrease) in HSDG &amp; EEDBS Compared to Base Case</v>
      </c>
      <c r="C31" s="1293">
        <f>C29-$E29</f>
        <v>-2648456514.4717946</v>
      </c>
      <c r="D31" s="1304"/>
      <c r="E31" s="1293">
        <f>SUM('5. Dashboard EC:5. Dashboard WC'!E31)</f>
        <v>0</v>
      </c>
      <c r="F31" s="1293">
        <f>SUM('5. Dashboard EC:5. Dashboard WC'!F31)</f>
        <v>-1315676039.7792683</v>
      </c>
      <c r="G31" s="1293">
        <f>SUM('5. Dashboard EC:5. Dashboard WC'!G31)</f>
        <v>-1530715373.0610518</v>
      </c>
      <c r="H31" s="1295">
        <f>SUM('5. Dashboard EC:5. Dashboard WC'!H31)</f>
        <v>-1533085400.0737517</v>
      </c>
      <c r="I31" s="4"/>
      <c r="J31" s="552">
        <f>'5. Dashboard Total'!E31-'5. Dashboard Total Check'!E31</f>
        <v>0</v>
      </c>
      <c r="K31" s="552">
        <f>'5. Dashboard Total'!F31-'5. Dashboard Total Check'!F31</f>
        <v>0</v>
      </c>
      <c r="L31" s="552">
        <f>'5. Dashboard Total'!G31-'5. Dashboard Total Check'!G31</f>
        <v>0</v>
      </c>
      <c r="M31" s="552">
        <f>'5. Dashboard Total'!H31-'5. Dashboard Total Check'!H31</f>
        <v>0</v>
      </c>
      <c r="N31" s="552"/>
      <c r="O31" s="4"/>
      <c r="P31" s="4"/>
      <c r="Q31" s="4"/>
      <c r="R31" s="4"/>
      <c r="S31" s="4"/>
      <c r="T31" s="4"/>
      <c r="U31" s="4"/>
      <c r="V31" s="4"/>
      <c r="W31" s="4"/>
    </row>
    <row r="32" spans="1:83" x14ac:dyDescent="0.45">
      <c r="B32" s="1260" t="s">
        <v>155</v>
      </c>
      <c r="C32" s="1305">
        <f>$F$147</f>
        <v>5160</v>
      </c>
      <c r="D32" s="558"/>
      <c r="E32" s="1305">
        <v>5160</v>
      </c>
      <c r="F32" s="1305">
        <v>5160</v>
      </c>
      <c r="G32" s="1305">
        <v>5160</v>
      </c>
      <c r="H32" s="1306">
        <v>5160</v>
      </c>
      <c r="I32" s="4"/>
      <c r="J32" s="4"/>
      <c r="K32" s="4"/>
      <c r="L32" s="4"/>
      <c r="M32" s="4"/>
      <c r="N32" s="4"/>
      <c r="O32" s="4"/>
      <c r="P32" s="4"/>
      <c r="Q32" s="4"/>
      <c r="R32" s="4"/>
      <c r="S32" s="4"/>
      <c r="T32" s="4"/>
      <c r="U32" s="4"/>
      <c r="V32" s="4"/>
      <c r="W32" s="4"/>
    </row>
    <row r="33" spans="1:83" x14ac:dyDescent="0.45">
      <c r="B33" s="1264" t="str">
        <f>B151</f>
        <v>EEDBS per Existing Rental Unit</v>
      </c>
      <c r="C33" s="1296">
        <f>$F$151</f>
        <v>3249.0082720711771</v>
      </c>
      <c r="D33" s="558"/>
      <c r="E33" s="1296">
        <v>161594.64252542017</v>
      </c>
      <c r="F33" s="1296">
        <v>161594.6425254202</v>
      </c>
      <c r="G33" s="1296">
        <v>161594.6425254202</v>
      </c>
      <c r="H33" s="1298">
        <v>161594.6425254202</v>
      </c>
      <c r="I33" s="4"/>
      <c r="J33" s="4"/>
      <c r="K33" s="4"/>
      <c r="L33" s="4"/>
      <c r="M33" s="4"/>
      <c r="N33" s="4"/>
      <c r="O33" s="4"/>
      <c r="P33" s="4"/>
      <c r="Q33" s="4"/>
      <c r="R33" s="4"/>
      <c r="S33" s="4"/>
      <c r="T33" s="4"/>
      <c r="U33" s="4"/>
      <c r="V33" s="4"/>
      <c r="W33" s="4"/>
    </row>
    <row r="34" spans="1:83" x14ac:dyDescent="0.45">
      <c r="B34" s="1264" t="str">
        <f>B148</f>
        <v>HSDG Top Slice per Existing Rental Unit</v>
      </c>
      <c r="C34" s="1296">
        <f>$F$148</f>
        <v>17614.946871862634</v>
      </c>
      <c r="D34" s="558"/>
      <c r="E34" s="1296">
        <v>372536.07898901636</v>
      </c>
      <c r="F34" s="1296">
        <v>117560.10228760789</v>
      </c>
      <c r="G34" s="1296">
        <v>75885.812891913374</v>
      </c>
      <c r="H34" s="1298">
        <v>75426.505331312641</v>
      </c>
      <c r="I34" s="4"/>
      <c r="J34" s="4"/>
      <c r="K34" s="4"/>
      <c r="L34" s="4"/>
      <c r="M34" s="4"/>
      <c r="N34" s="4"/>
      <c r="O34" s="4"/>
      <c r="P34" s="4"/>
      <c r="Q34" s="4"/>
      <c r="R34" s="4"/>
      <c r="S34" s="4"/>
      <c r="T34" s="4"/>
      <c r="U34" s="4"/>
      <c r="V34" s="4"/>
      <c r="W34" s="4"/>
    </row>
    <row r="35" spans="1:83" x14ac:dyDescent="0.45">
      <c r="B35" s="1264" t="str">
        <f>B153</f>
        <v>Total Government Contribution p.u.</v>
      </c>
      <c r="C35" s="1299">
        <f>$F$153</f>
        <v>20863.955143933814</v>
      </c>
      <c r="D35" s="558"/>
      <c r="E35" s="1299">
        <v>534130.72151443653</v>
      </c>
      <c r="F35" s="1299">
        <v>279154.74481302814</v>
      </c>
      <c r="G35" s="1299">
        <v>237480.45541733361</v>
      </c>
      <c r="H35" s="1297">
        <v>237021.14785673286</v>
      </c>
      <c r="I35" s="4"/>
      <c r="J35" s="4"/>
      <c r="K35" s="4"/>
      <c r="L35" s="4"/>
      <c r="M35" s="4"/>
      <c r="N35" s="4"/>
      <c r="O35" s="4"/>
      <c r="P35" s="4"/>
      <c r="Q35" s="4"/>
      <c r="R35" s="4"/>
      <c r="S35" s="4"/>
      <c r="T35" s="4"/>
      <c r="U35" s="4"/>
      <c r="V35" s="4"/>
      <c r="W35" s="4"/>
    </row>
    <row r="36" spans="1:83" x14ac:dyDescent="0.45">
      <c r="B36" s="948" t="s">
        <v>1773</v>
      </c>
      <c r="C36" s="1296">
        <f>C35-$E35</f>
        <v>-513266.76637050271</v>
      </c>
      <c r="D36" s="558"/>
      <c r="E36" s="1296">
        <v>0</v>
      </c>
      <c r="F36" s="1296">
        <v>-254975.97670140839</v>
      </c>
      <c r="G36" s="1296">
        <v>-296650.2660971029</v>
      </c>
      <c r="H36" s="1298">
        <v>-297109.5736577037</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$F$161</f>
        <v>-135385.05312813737</v>
      </c>
      <c r="D39" s="558"/>
      <c r="E39" s="1307">
        <v>219536.07898901636</v>
      </c>
      <c r="F39" s="1307">
        <v>-35439.897712392107</v>
      </c>
      <c r="G39" s="1307">
        <v>-77114.187108086626</v>
      </c>
      <c r="H39" s="1308">
        <v>-77573.494668687359</v>
      </c>
      <c r="I39" s="4"/>
      <c r="J39" s="4"/>
      <c r="K39" s="4"/>
      <c r="L39" s="4"/>
      <c r="M39" s="4"/>
      <c r="N39" s="4"/>
      <c r="O39" s="4"/>
      <c r="P39" s="4"/>
      <c r="Q39" s="4"/>
      <c r="R39" s="4"/>
      <c r="S39" s="4"/>
      <c r="T39" s="4"/>
      <c r="U39" s="4"/>
      <c r="V39" s="4"/>
      <c r="W39" s="4"/>
      <c r="AC39" s="1256" t="str">
        <f>B156</f>
        <v>Cost to the State (HSDG &amp; EEDBS) per Projected Scenario</v>
      </c>
      <c r="AD39" s="1257">
        <f>$F$156</f>
        <v>107686152.83970247</v>
      </c>
      <c r="AE39" s="1257"/>
      <c r="AF39" s="1257">
        <f>$F$156</f>
        <v>107686152.83970247</v>
      </c>
      <c r="AG39" s="1257">
        <f>$F$156</f>
        <v>107686152.83970247</v>
      </c>
      <c r="AH39" s="1257">
        <f>$F$156</f>
        <v>107686152.83970247</v>
      </c>
      <c r="AI39" s="1257">
        <f>$F$156</f>
        <v>107686152.83970247</v>
      </c>
      <c r="CB39" s="1204"/>
      <c r="CC39" s="1204"/>
      <c r="CD39" s="1204"/>
      <c r="CE39" s="1204"/>
    </row>
    <row r="40" spans="1:83" ht="15.75" x14ac:dyDescent="0.45">
      <c r="A40" s="1262"/>
      <c r="B40" s="1260" t="s">
        <v>1709</v>
      </c>
      <c r="C40" s="1220">
        <f>$F$162</f>
        <v>-137385.05312813737</v>
      </c>
      <c r="D40" s="558"/>
      <c r="E40" s="1307">
        <v>217536.07898901636</v>
      </c>
      <c r="F40" s="1307">
        <v>-37439.897712392107</v>
      </c>
      <c r="G40" s="1307">
        <v>-79114.187108086626</v>
      </c>
      <c r="H40" s="1308">
        <v>-79573.494668687359</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$F$163</f>
        <v>-247385.05312813737</v>
      </c>
      <c r="D41" s="558"/>
      <c r="E41" s="1307">
        <v>107536.07898901636</v>
      </c>
      <c r="F41" s="1307">
        <v>-147439.89771239209</v>
      </c>
      <c r="G41" s="1307">
        <v>-189114.18710808663</v>
      </c>
      <c r="H41" s="1308">
        <v>-189573.49466868734</v>
      </c>
      <c r="I41" s="4"/>
      <c r="J41" s="4"/>
      <c r="K41" s="4"/>
      <c r="L41" s="4"/>
      <c r="M41" s="4"/>
      <c r="N41" s="4"/>
      <c r="O41" s="4"/>
      <c r="P41" s="4"/>
      <c r="Q41" s="4"/>
      <c r="R41" s="4"/>
      <c r="S41" s="4"/>
      <c r="T41" s="4"/>
      <c r="U41" s="4"/>
      <c r="V41" s="4"/>
      <c r="W41" s="4"/>
      <c r="AC41" s="1258"/>
      <c r="AD41" s="1257">
        <f>AD39-AD40</f>
        <v>107686152.83970247</v>
      </c>
      <c r="AE41" s="1257"/>
      <c r="AF41" s="1257">
        <f>AF39-AF40</f>
        <v>107686152.83970247</v>
      </c>
      <c r="AG41" s="1258"/>
      <c r="AH41" s="1257">
        <f>AH39-AH40</f>
        <v>107686152.83970247</v>
      </c>
      <c r="AI41" s="1257">
        <f>AI39-AI40</f>
        <v>107686152.83970247</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 Forecast Results'!N5</f>
        <v>2013/14</v>
      </c>
      <c r="AD135" s="803" t="str">
        <f>'9. Forecast Results'!O5</f>
        <v>2014/15</v>
      </c>
      <c r="AE135" s="803" t="str">
        <f>'9. Forecast Results'!P5</f>
        <v>2015/16</v>
      </c>
      <c r="AF135" s="803" t="str">
        <f>'9. Forecast Results'!Q5</f>
        <v>2016/17</v>
      </c>
      <c r="AG135" s="803" t="str">
        <f>'9. Forecast Results'!R5</f>
        <v>2017/18</v>
      </c>
      <c r="AH135" s="803" t="str">
        <f>'9. Forecast Results'!S5</f>
        <v>2018/19</v>
      </c>
      <c r="AI135" s="803" t="str">
        <f>'9. Forecast Results'!T5</f>
        <v>2019/20</v>
      </c>
      <c r="AJ135" s="803" t="str">
        <f>'9. Forecast Results'!U5</f>
        <v>2020/21</v>
      </c>
      <c r="AK135" s="803" t="str">
        <f>'9. Forecast Results'!V5</f>
        <v>2021/22</v>
      </c>
      <c r="AL135" s="803" t="str">
        <f>'9. Forecast Results'!W5</f>
        <v>2022/23</v>
      </c>
      <c r="AM135" s="803" t="str">
        <f>'9. Forecast Results'!X5</f>
        <v>2023/24</v>
      </c>
      <c r="AN135" s="803" t="str">
        <f>'9. Forecast Results'!Y5</f>
        <v>2024/25</v>
      </c>
      <c r="AO135" s="803" t="str">
        <f>'9. Forecast Results'!Z5</f>
        <v>2025/26</v>
      </c>
      <c r="AP135" s="803" t="str">
        <f>'9. Forecast Results'!AA5</f>
        <v>2026/27</v>
      </c>
      <c r="AQ135" s="803" t="str">
        <f>'9. Forecast Results'!AB5</f>
        <v>2027/28</v>
      </c>
      <c r="AR135" s="803" t="str">
        <f>'9. Forecast Results'!AC5</f>
        <v>2028/29</v>
      </c>
      <c r="AS135" s="803" t="str">
        <f>'9. Forecast Results'!AD5</f>
        <v>2029/30</v>
      </c>
      <c r="AT135" s="803" t="str">
        <f>'9. Forecast Results'!AE5</f>
        <v>2030/31</v>
      </c>
      <c r="AU135" s="803" t="str">
        <f>'9. Forecast Results'!AF5</f>
        <v>2031/32</v>
      </c>
      <c r="AV135" s="803" t="str">
        <f>'9. Forecast Results'!AG5</f>
        <v>3032/33</v>
      </c>
      <c r="AW135" s="803" t="str">
        <f>'9. Forecast Results'!AH5</f>
        <v>2033/34</v>
      </c>
      <c r="AX135" s="803" t="str">
        <f>'9. Forecast Results'!AI5</f>
        <v>2034/35</v>
      </c>
      <c r="AY135" s="803" t="str">
        <f>'9. Forecast Results'!AJ5</f>
        <v>2035/36</v>
      </c>
      <c r="AZ135" s="803" t="str">
        <f>'9. Forecast Results'!AK5</f>
        <v>2036/37</v>
      </c>
    </row>
    <row r="136" spans="1:52" x14ac:dyDescent="0.45">
      <c r="B136" s="1263" t="s">
        <v>1551</v>
      </c>
      <c r="C136" s="558"/>
      <c r="D136" s="558"/>
      <c r="E136" s="971">
        <f>+SUM('9. Forecast Results'!S28:W28)</f>
        <v>1077027.7126860777</v>
      </c>
      <c r="F136" s="971">
        <f>+'9. Forecast Results'!AL28</f>
        <v>3513640.4406654779</v>
      </c>
      <c r="G136" s="971"/>
      <c r="H136" s="1283"/>
      <c r="J136" s="4"/>
      <c r="K136" s="4"/>
      <c r="L136" s="4"/>
      <c r="M136" s="4"/>
      <c r="N136" s="4"/>
      <c r="O136" s="4"/>
      <c r="P136" s="4"/>
      <c r="Q136" s="4"/>
      <c r="R136" s="4"/>
      <c r="S136" s="4"/>
      <c r="T136" s="4"/>
      <c r="U136" s="4"/>
      <c r="V136" s="4"/>
      <c r="W136" s="4"/>
      <c r="AB136" s="803" t="str">
        <f>'9. Forecast Results'!D28</f>
        <v>Total Income</v>
      </c>
      <c r="AC136" s="533">
        <f>'9. Forecast Results'!N28</f>
        <v>986752.92000000016</v>
      </c>
      <c r="AD136" s="533">
        <f>'9. Forecast Results'!O28</f>
        <v>897187.48</v>
      </c>
      <c r="AE136" s="533">
        <f>'9. Forecast Results'!P28</f>
        <v>774350.93</v>
      </c>
      <c r="AF136" s="533">
        <f>'9. Forecast Results'!Q28</f>
        <v>650954.76724420744</v>
      </c>
      <c r="AG136" s="533">
        <f>'9. Forecast Results'!R28</f>
        <v>606996.28724420746</v>
      </c>
      <c r="AH136" s="533">
        <f>'9. Forecast Results'!S28</f>
        <v>563037.80724420748</v>
      </c>
      <c r="AI136" s="533">
        <f>'9. Forecast Results'!T28</f>
        <v>135823.88969380083</v>
      </c>
      <c r="AJ136" s="533">
        <f>'9. Forecast Results'!U28</f>
        <v>130939.61413824529</v>
      </c>
      <c r="AK136" s="533">
        <f>'9. Forecast Results'!V28</f>
        <v>126055.33858268973</v>
      </c>
      <c r="AL136" s="533">
        <f>'9. Forecast Results'!W28</f>
        <v>121171.06302713418</v>
      </c>
      <c r="AM136" s="533">
        <f>'9. Forecast Results'!X28</f>
        <v>116286.78747157862</v>
      </c>
      <c r="AN136" s="533">
        <f>'9. Forecast Results'!Y28</f>
        <v>111402.51191602307</v>
      </c>
      <c r="AO136" s="533">
        <f>'9. Forecast Results'!Z28</f>
        <v>106518.2363604675</v>
      </c>
      <c r="AP136" s="533">
        <f>'9. Forecast Results'!AA28</f>
        <v>101633.96080491194</v>
      </c>
      <c r="AQ136" s="533">
        <f>'9. Forecast Results'!AB28</f>
        <v>96749.685249356393</v>
      </c>
      <c r="AR136" s="533">
        <f>'9. Forecast Results'!AC28</f>
        <v>91865.409693800844</v>
      </c>
      <c r="AS136" s="533">
        <f>'9. Forecast Results'!AD28</f>
        <v>86981.134138245281</v>
      </c>
      <c r="AT136" s="533">
        <f>'9. Forecast Results'!AE28</f>
        <v>82096.858582689732</v>
      </c>
      <c r="AU136" s="533">
        <f>'9. Forecast Results'!AF28</f>
        <v>77212.583027134169</v>
      </c>
      <c r="AV136" s="533">
        <f>'9. Forecast Results'!AG28</f>
        <v>72328.307471578621</v>
      </c>
      <c r="AW136" s="533">
        <f>'9. Forecast Results'!AH28</f>
        <v>67444.031916023057</v>
      </c>
      <c r="AX136" s="533">
        <f>'9. Forecast Results'!AI28</f>
        <v>62559.756360467509</v>
      </c>
      <c r="AY136" s="533">
        <f>'9. Forecast Results'!AJ28</f>
        <v>105582.41049871279</v>
      </c>
      <c r="AZ136" s="533">
        <f>'9. Forecast Results'!AK28</f>
        <v>0</v>
      </c>
    </row>
    <row r="137" spans="1:52" x14ac:dyDescent="0.45">
      <c r="B137" s="1263" t="s">
        <v>1510</v>
      </c>
      <c r="C137" s="558"/>
      <c r="D137" s="558"/>
      <c r="E137" s="971">
        <f>+SUM(E138:E143)</f>
        <v>28352526.492348202</v>
      </c>
      <c r="F137" s="971">
        <f>+SUM(F138:F143)</f>
        <v>94406766.299476683</v>
      </c>
      <c r="G137" s="971"/>
      <c r="H137" s="1283"/>
      <c r="J137" s="4"/>
      <c r="K137" s="4"/>
      <c r="L137" s="4"/>
      <c r="M137" s="4"/>
      <c r="N137" s="4"/>
      <c r="O137" s="4"/>
      <c r="P137" s="4"/>
      <c r="Q137" s="4"/>
      <c r="R137" s="4"/>
      <c r="S137" s="4"/>
      <c r="T137" s="4"/>
      <c r="U137" s="4"/>
      <c r="V137" s="4"/>
      <c r="W137" s="4"/>
      <c r="AB137" s="803" t="str">
        <f>'9. Forecast Results'!D47</f>
        <v>Total Expenditure</v>
      </c>
      <c r="AC137" s="533">
        <f>-'9. Forecast Results'!N47</f>
        <v>-10341549.390000001</v>
      </c>
      <c r="AD137" s="533">
        <f>-'9. Forecast Results'!O47</f>
        <v>-11126424.74</v>
      </c>
      <c r="AE137" s="533">
        <f>-'9. Forecast Results'!P47</f>
        <v>-11189539.09</v>
      </c>
      <c r="AF137" s="533">
        <f>-'9. Forecast Results'!Q47</f>
        <v>-9701626.2512849998</v>
      </c>
      <c r="AG137" s="533">
        <f>-'9. Forecast Results'!R47</f>
        <v>-7883264.6445640996</v>
      </c>
      <c r="AH137" s="533">
        <f>-'9. Forecast Results'!S47</f>
        <v>-5835535.8416937636</v>
      </c>
      <c r="AI137" s="533">
        <f>-'9. Forecast Results'!T47</f>
        <v>-5697948.2137706475</v>
      </c>
      <c r="AJ137" s="533">
        <f>-'9. Forecast Results'!U47</f>
        <v>-5666321.8117248667</v>
      </c>
      <c r="AK137" s="533">
        <f>-'9. Forecast Results'!V47</f>
        <v>-5613980.2121073939</v>
      </c>
      <c r="AL137" s="533">
        <f>-'9. Forecast Results'!W47</f>
        <v>-5538740.4130515298</v>
      </c>
      <c r="AM137" s="533">
        <f>-'9. Forecast Results'!X47</f>
        <v>-5438241.9459578963</v>
      </c>
      <c r="AN137" s="533">
        <f>-'9. Forecast Results'!Y47</f>
        <v>-5309933.9577344833</v>
      </c>
      <c r="AO137" s="533">
        <f>-'9. Forecast Results'!Z47</f>
        <v>-5151061.4089199724</v>
      </c>
      <c r="AP137" s="533">
        <f>-'9. Forecast Results'!AA47</f>
        <v>-4958650.3295137174</v>
      </c>
      <c r="AQ137" s="533">
        <f>-'9. Forecast Results'!AB47</f>
        <v>-4729492.0706107933</v>
      </c>
      <c r="AR137" s="533">
        <f>-'9. Forecast Results'!AC47</f>
        <v>-4460126.4859817661</v>
      </c>
      <c r="AS137" s="533">
        <f>-'9. Forecast Results'!AD47</f>
        <v>-4146823.9735299493</v>
      </c>
      <c r="AT137" s="533">
        <f>-'9. Forecast Results'!AE47</f>
        <v>-3785566.3020883375</v>
      </c>
      <c r="AU137" s="533">
        <f>-'9. Forecast Results'!AF47</f>
        <v>-3372026.1442682222</v>
      </c>
      <c r="AV137" s="533">
        <f>-'9. Forecast Results'!AG47</f>
        <v>-2901545.2310240753</v>
      </c>
      <c r="AW137" s="533">
        <f>-'9. Forecast Results'!AH47</f>
        <v>-2369111.0382366609</v>
      </c>
      <c r="AX137" s="533">
        <f>-'9. Forecast Results'!AI47</f>
        <v>-1769331.9099187839</v>
      </c>
      <c r="AY137" s="533">
        <f>-'9. Forecast Results'!AJ47</f>
        <v>-77438.113494705685</v>
      </c>
      <c r="AZ137" s="533">
        <f>-'9. Forecast Results'!AK47</f>
        <v>0</v>
      </c>
    </row>
    <row r="138" spans="1:52" x14ac:dyDescent="0.45">
      <c r="B138" s="1284" t="str">
        <f>'9. Forecast Results'!D31</f>
        <v>Rates &amp; Taxes</v>
      </c>
      <c r="C138" s="558"/>
      <c r="D138" s="558"/>
      <c r="E138" s="1215">
        <f>+SUM('9. Forecast Results'!S31:W31)</f>
        <v>252001.66593494211</v>
      </c>
      <c r="F138" s="1215">
        <f>+'9. Forecast Results'!AL31</f>
        <v>834362.49358135683</v>
      </c>
      <c r="G138" s="971"/>
      <c r="H138" s="1283"/>
      <c r="J138" s="4"/>
      <c r="K138" s="4"/>
      <c r="L138" s="4"/>
      <c r="M138" s="4"/>
      <c r="N138" s="4"/>
      <c r="O138" s="4"/>
      <c r="P138" s="4"/>
      <c r="Q138" s="4"/>
      <c r="R138" s="4"/>
      <c r="S138" s="4"/>
      <c r="T138" s="4"/>
      <c r="U138" s="4"/>
      <c r="V138" s="4"/>
      <c r="W138" s="4"/>
      <c r="AB138" s="803" t="str">
        <f>'9. Forecast Results'!D48</f>
        <v>Net Surplus / (Deficit)</v>
      </c>
      <c r="AC138" s="533">
        <f>'9. Forecast Results'!N48</f>
        <v>-9354796.4700000007</v>
      </c>
      <c r="AD138" s="533">
        <f>'9. Forecast Results'!O48</f>
        <v>-10229237.26</v>
      </c>
      <c r="AE138" s="533">
        <f>'9. Forecast Results'!P48</f>
        <v>-10415188.16</v>
      </c>
      <c r="AF138" s="533">
        <f>'9. Forecast Results'!Q48</f>
        <v>-9050671.484040793</v>
      </c>
      <c r="AG138" s="533">
        <f>'9. Forecast Results'!R48</f>
        <v>-7276268.3573198924</v>
      </c>
      <c r="AH138" s="533">
        <f>'9. Forecast Results'!S48</f>
        <v>-5272498.0344495559</v>
      </c>
      <c r="AI138" s="533">
        <f>'9. Forecast Results'!T48</f>
        <v>-5562124.3240768462</v>
      </c>
      <c r="AJ138" s="533">
        <f>'9. Forecast Results'!U48</f>
        <v>-5535382.1975866212</v>
      </c>
      <c r="AK138" s="533">
        <f>'9. Forecast Results'!V48</f>
        <v>-5487924.873524704</v>
      </c>
      <c r="AL138" s="533">
        <f>'9. Forecast Results'!W48</f>
        <v>-5417569.3500243956</v>
      </c>
      <c r="AM138" s="533">
        <f>'9. Forecast Results'!X48</f>
        <v>-5321955.1584863178</v>
      </c>
      <c r="AN138" s="533">
        <f>'9. Forecast Results'!Y48</f>
        <v>-5198531.4458184605</v>
      </c>
      <c r="AO138" s="533">
        <f>'9. Forecast Results'!Z48</f>
        <v>-5044543.1725595053</v>
      </c>
      <c r="AP138" s="533">
        <f>'9. Forecast Results'!AA48</f>
        <v>-4857016.3687088052</v>
      </c>
      <c r="AQ138" s="533">
        <f>'9. Forecast Results'!AB48</f>
        <v>-4632742.3853614368</v>
      </c>
      <c r="AR138" s="533">
        <f>'9. Forecast Results'!AC48</f>
        <v>-4368261.0762879653</v>
      </c>
      <c r="AS138" s="533">
        <f>'9. Forecast Results'!AD48</f>
        <v>-4059842.8393917042</v>
      </c>
      <c r="AT138" s="533">
        <f>'9. Forecast Results'!AE48</f>
        <v>-3703469.4435056476</v>
      </c>
      <c r="AU138" s="533">
        <f>'9. Forecast Results'!AF48</f>
        <v>-3294813.561241088</v>
      </c>
      <c r="AV138" s="533">
        <f>'9. Forecast Results'!AG48</f>
        <v>-2829216.9235524968</v>
      </c>
      <c r="AW138" s="533">
        <f>'9. Forecast Results'!AH48</f>
        <v>-2301667.0063206377</v>
      </c>
      <c r="AX138" s="533">
        <f>'9. Forecast Results'!AI48</f>
        <v>-1706772.1535583164</v>
      </c>
      <c r="AY138" s="533">
        <f>'9. Forecast Results'!AJ48</f>
        <v>28144.297004007109</v>
      </c>
      <c r="AZ138" s="533">
        <f>'9. Forecast Results'!AK48</f>
        <v>0</v>
      </c>
    </row>
    <row r="139" spans="1:52" x14ac:dyDescent="0.45">
      <c r="B139" s="1284" t="str">
        <f>'9. Forecast Results'!D32</f>
        <v>Municipal Charges</v>
      </c>
      <c r="C139" s="558"/>
      <c r="D139" s="558"/>
      <c r="E139" s="1216">
        <f>+SUM('9. Forecast Results'!S32:W32)</f>
        <v>2508823.1927166809</v>
      </c>
      <c r="F139" s="1216">
        <f>+'9. Forecast Results'!AL32</f>
        <v>8306564.0350577645</v>
      </c>
      <c r="G139" s="971"/>
      <c r="H139" s="1283"/>
      <c r="AB139" s="803" t="s">
        <v>1697</v>
      </c>
      <c r="AC139" s="533">
        <f>SUM($AC138:AC138)</f>
        <v>-9354796.4700000007</v>
      </c>
      <c r="AD139" s="533">
        <f>SUM($AC138:AD138)</f>
        <v>-19584033.73</v>
      </c>
      <c r="AE139" s="533">
        <f>SUM($AC138:AE138)</f>
        <v>-29999221.890000001</v>
      </c>
      <c r="AF139" s="533">
        <f>SUM($AC138:AF138)</f>
        <v>-39049893.374040797</v>
      </c>
      <c r="AG139" s="533">
        <f>SUM($AC138:AG138)</f>
        <v>-46326161.731360689</v>
      </c>
      <c r="AH139" s="533">
        <f>SUM($AC138:AH138)</f>
        <v>-51598659.765810244</v>
      </c>
      <c r="AI139" s="533">
        <f>SUM($AC138:AI138)</f>
        <v>-57160784.08988709</v>
      </c>
      <c r="AJ139" s="533">
        <f>SUM($AC138:AJ138)</f>
        <v>-62696166.287473708</v>
      </c>
      <c r="AK139" s="533">
        <f>SUM($AC138:AK138)</f>
        <v>-68184091.160998419</v>
      </c>
      <c r="AL139" s="533">
        <f>SUM($AC138:AL138)</f>
        <v>-73601660.511022821</v>
      </c>
      <c r="AM139" s="533">
        <f>SUM($AC138:AM138)</f>
        <v>-78923615.669509143</v>
      </c>
      <c r="AN139" s="533">
        <f>SUM($AC138:AN138)</f>
        <v>-84122147.115327597</v>
      </c>
      <c r="AO139" s="533">
        <f>SUM($AC138:AO138)</f>
        <v>-89166690.287887096</v>
      </c>
      <c r="AP139" s="533">
        <f>SUM($AC138:AP138)</f>
        <v>-94023706.656595901</v>
      </c>
      <c r="AQ139" s="533">
        <f>SUM($AC138:AQ138)</f>
        <v>-98656449.041957334</v>
      </c>
      <c r="AR139" s="533">
        <f>SUM($AC138:AR138)</f>
        <v>-103024710.1182453</v>
      </c>
      <c r="AS139" s="533">
        <f>SUM($AC138:AS138)</f>
        <v>-107084552.95763701</v>
      </c>
      <c r="AT139" s="533">
        <f>SUM($AC138:AT138)</f>
        <v>-110788022.40114266</v>
      </c>
      <c r="AU139" s="533">
        <f>SUM($AC138:AU138)</f>
        <v>-114082835.96238375</v>
      </c>
      <c r="AV139" s="533">
        <f>SUM($AC138:AV138)</f>
        <v>-116912052.88593625</v>
      </c>
      <c r="AW139" s="533">
        <f>SUM($AC138:AW138)</f>
        <v>-119213719.89225689</v>
      </c>
      <c r="AX139" s="533">
        <f>SUM($AC138:AX138)</f>
        <v>-120920492.0458152</v>
      </c>
      <c r="AY139" s="533">
        <f>SUM($AC138:AY138)</f>
        <v>-120892347.74881119</v>
      </c>
      <c r="AZ139" s="533">
        <f>SUM($AC138:AZ138)</f>
        <v>-120892347.74881119</v>
      </c>
    </row>
    <row r="140" spans="1:52" x14ac:dyDescent="0.45">
      <c r="B140" s="1284" t="str">
        <f>'9. Forecast Results'!D33</f>
        <v>Maintenance</v>
      </c>
      <c r="C140" s="558"/>
      <c r="D140" s="558"/>
      <c r="E140" s="1216">
        <f>+SUM('9. Forecast Results'!S33:W33)</f>
        <v>0</v>
      </c>
      <c r="F140" s="1216">
        <f>+'9. Forecast Results'!AL33</f>
        <v>0</v>
      </c>
      <c r="G140" s="971"/>
      <c r="H140" s="1283"/>
      <c r="AB140" s="451" t="s">
        <v>1699</v>
      </c>
    </row>
    <row r="141" spans="1:52" x14ac:dyDescent="0.45">
      <c r="B141" s="1284" t="str">
        <f>'9. Forecast Results'!D36</f>
        <v>Total Disposal Costs</v>
      </c>
      <c r="C141" s="558"/>
      <c r="D141" s="558"/>
      <c r="E141" s="1216">
        <f>+SUM('9. Forecast Results'!S36:W36)</f>
        <v>211625.31374314771</v>
      </c>
      <c r="F141" s="1216">
        <f>+'9. Forecast Results'!AL36</f>
        <v>881694.30890112126</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 Forecast Results'!D43</f>
        <v>Staff</v>
      </c>
      <c r="C142" s="558"/>
      <c r="D142" s="558"/>
      <c r="E142" s="1216">
        <f>+SUM('9. Forecast Results'!S43:W43)</f>
        <v>4066125.1737566851</v>
      </c>
      <c r="F142" s="1216">
        <f>+'9. Forecast Results'!AL43</f>
        <v>13814923.78463598</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 Forecast Results'!S47:W47)-SUM(E138:E142)</f>
        <v>21313951.146196745</v>
      </c>
      <c r="F143" s="1217">
        <f>+'9. Forecast Results'!AL47-SUM(F138:F142)</f>
        <v>70569221.677300453</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+E136-E137</f>
        <v>-27275498.779662125</v>
      </c>
      <c r="F145" s="1218">
        <f>+F136-F137</f>
        <v>-90893125.8588112</v>
      </c>
      <c r="G145" s="971"/>
      <c r="H145" s="1283"/>
    </row>
    <row r="146" spans="1:8" ht="14.65" thickTop="1" x14ac:dyDescent="0.45">
      <c r="B146" s="1289" t="s">
        <v>1552</v>
      </c>
      <c r="C146" s="558"/>
      <c r="D146" s="558"/>
      <c r="E146" s="1220">
        <f>-E145</f>
        <v>27275498.779662125</v>
      </c>
      <c r="F146" s="1220">
        <f>-F145</f>
        <v>90893125.8588112</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1380</v>
      </c>
      <c r="F147" s="1219">
        <f>SUMIF('10. Inputs &amp; Calcs'!$D$51:$D$56,$C$12,'10. Inputs &amp; Calcs'!$AD$51:$AD$56)</f>
        <v>5160</v>
      </c>
      <c r="G147" s="1219"/>
      <c r="H147" s="1283"/>
    </row>
    <row r="148" spans="1:8" x14ac:dyDescent="0.45">
      <c r="B148" s="1261" t="s">
        <v>1559</v>
      </c>
      <c r="C148" s="18"/>
      <c r="D148" s="18"/>
      <c r="E148" s="971">
        <f>-E145/E147</f>
        <v>19764.85418816096</v>
      </c>
      <c r="F148" s="971">
        <f>-F145/F147</f>
        <v>17614.946871862634</v>
      </c>
      <c r="G148" s="18"/>
      <c r="H148" s="1283"/>
    </row>
    <row r="149" spans="1:8" x14ac:dyDescent="0.45">
      <c r="B149" s="1260" t="s">
        <v>1503</v>
      </c>
      <c r="C149" s="558"/>
      <c r="D149" s="558"/>
      <c r="E149" s="971">
        <f>IF(E$147&lt;&gt;0,E141/E$147,0)</f>
        <v>153.35167662546937</v>
      </c>
      <c r="F149" s="971">
        <f>IF(F$147&lt;&gt;0,F141/F$147,0)</f>
        <v>170.87099009711653</v>
      </c>
      <c r="G149" s="971"/>
      <c r="H149" s="1283"/>
    </row>
    <row r="150" spans="1:8" x14ac:dyDescent="0.45">
      <c r="B150" s="1263" t="s">
        <v>1511</v>
      </c>
      <c r="C150" s="558"/>
      <c r="D150" s="558"/>
      <c r="E150" s="1220">
        <f>SUM('9. Forecast Results'!S67:W67)</f>
        <v>303925.3888188976</v>
      </c>
      <c r="F150" s="1220">
        <f>'9. Forecast Results'!AL67</f>
        <v>16764882.683887275</v>
      </c>
      <c r="G150" s="971"/>
      <c r="H150" s="1283"/>
    </row>
    <row r="151" spans="1:8" x14ac:dyDescent="0.45">
      <c r="B151" s="1260" t="s">
        <v>1558</v>
      </c>
      <c r="C151" s="18"/>
      <c r="D151" s="18"/>
      <c r="E151" s="971">
        <f>E150/E147</f>
        <v>220.23578899920116</v>
      </c>
      <c r="F151" s="971">
        <f>F150/F147</f>
        <v>3249.0082720711771</v>
      </c>
      <c r="G151" s="971"/>
      <c r="H151" s="1283"/>
    </row>
    <row r="152" spans="1:8" x14ac:dyDescent="0.45">
      <c r="B152" s="1260" t="s">
        <v>1713</v>
      </c>
      <c r="C152" s="18"/>
      <c r="D152" s="18"/>
      <c r="E152" s="971">
        <f>E150+E146</f>
        <v>27579424.168481022</v>
      </c>
      <c r="F152" s="971">
        <f>F150+F146</f>
        <v>107658008.54269847</v>
      </c>
      <c r="G152" s="971"/>
      <c r="H152" s="1283"/>
    </row>
    <row r="153" spans="1:8" x14ac:dyDescent="0.45">
      <c r="B153" s="1260" t="s">
        <v>1712</v>
      </c>
      <c r="C153" s="18"/>
      <c r="D153" s="18"/>
      <c r="E153" s="971">
        <f>E152/E147</f>
        <v>19985.089977160162</v>
      </c>
      <c r="F153" s="971">
        <f>F152/F147</f>
        <v>20863.955143933814</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-SUM('9. Forecast Results'!S54:W54)</f>
        <v>27579424.168481018</v>
      </c>
      <c r="F156" s="1220">
        <f>-'9. Forecast Results'!AL54</f>
        <v>107686152.83970247</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652227857.09090519</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2756114523.0144925</v>
      </c>
      <c r="G157" s="558"/>
      <c r="H157" s="1283"/>
    </row>
    <row r="158" spans="1:8" x14ac:dyDescent="0.45">
      <c r="B158" s="1260" t="s">
        <v>1715</v>
      </c>
      <c r="C158" s="558"/>
      <c r="D158" s="558"/>
      <c r="E158" s="1221">
        <f>E156-E157</f>
        <v>-624648432.9224242</v>
      </c>
      <c r="F158" s="1221">
        <f>F156-F157</f>
        <v>-2648428370.1747899</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F$148-153000</f>
        <v>-135385.05312813737</v>
      </c>
      <c r="G161" s="1286">
        <f>$F$148/153000</f>
        <v>0.11513037171152049</v>
      </c>
      <c r="H161" s="1283"/>
    </row>
    <row r="162" spans="1:8" x14ac:dyDescent="0.45">
      <c r="B162" s="1260" t="s">
        <v>1709</v>
      </c>
      <c r="C162" s="558"/>
      <c r="D162" s="558"/>
      <c r="E162" s="18"/>
      <c r="F162" s="1221">
        <f>F$148-155000</f>
        <v>-137385.05312813737</v>
      </c>
      <c r="G162" s="1286">
        <f>$F$148/155000</f>
        <v>0.11364481852814602</v>
      </c>
      <c r="H162" s="1283"/>
    </row>
    <row r="163" spans="1:8" x14ac:dyDescent="0.45">
      <c r="B163" s="1260" t="s">
        <v>1708</v>
      </c>
      <c r="C163" s="558"/>
      <c r="D163" s="558"/>
      <c r="E163" s="18"/>
      <c r="F163" s="1221">
        <f>F$148-265000</f>
        <v>-247385.05312813737</v>
      </c>
      <c r="G163" s="1286">
        <f>$F$148/265000</f>
        <v>6.647149762967032E-2</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 Forecast Results'!R$5</f>
        <v>2017/18</v>
      </c>
      <c r="C166" s="18"/>
      <c r="D166" s="18"/>
      <c r="E166" s="971">
        <f>-SUMIF('9. Forecast Results'!$R$5:$W$5,$B166,'9. Forecast Results'!$R$51:$W$51)</f>
        <v>7276268.3573198924</v>
      </c>
      <c r="F166" s="1136">
        <f>SUMIF('9. Forecast Results'!$R$5:$W$5,$B166,'9. Forecast Results'!$R$13:$W$13)</f>
        <v>54</v>
      </c>
      <c r="G166" s="971">
        <f t="shared" ref="G166:G173" si="1">IF(F166&lt;&gt;0,E166/F166,0)</f>
        <v>134745.71032073876</v>
      </c>
      <c r="H166" s="1283"/>
    </row>
    <row r="167" spans="1:8" x14ac:dyDescent="0.45">
      <c r="B167" s="1260" t="str">
        <f>'9. Forecast Results'!S$5</f>
        <v>2018/19</v>
      </c>
      <c r="C167" s="18"/>
      <c r="D167" s="18"/>
      <c r="E167" s="1215">
        <f>-SUMIF('9. Forecast Results'!$R$5:$W$5,$B167,'9. Forecast Results'!$R$51:$W$51)</f>
        <v>5272498.0344495559</v>
      </c>
      <c r="F167" s="1222">
        <f>SUMIF('9. Forecast Results'!$R$5:$W$5,$B167,'9. Forecast Results'!$R$13:$W$13)</f>
        <v>36</v>
      </c>
      <c r="G167" s="1215">
        <f t="shared" si="1"/>
        <v>146458.27873470989</v>
      </c>
      <c r="H167" s="1283"/>
    </row>
    <row r="168" spans="1:8" x14ac:dyDescent="0.45">
      <c r="B168" s="1260" t="str">
        <f>'9. Forecast Results'!T$5</f>
        <v>2019/20</v>
      </c>
      <c r="C168" s="18"/>
      <c r="D168" s="18"/>
      <c r="E168" s="1216">
        <f>-SUMIF('9. Forecast Results'!$R$5:$W$5,$B168,'9. Forecast Results'!$R$51:$W$51)</f>
        <v>5562124.3240768462</v>
      </c>
      <c r="F168" s="1223">
        <f>SUMIF('9. Forecast Results'!$R$5:$W$5,$B168,'9. Forecast Results'!$R$13:$W$13)</f>
        <v>34</v>
      </c>
      <c r="G168" s="1216">
        <f t="shared" si="1"/>
        <v>163591.89188461311</v>
      </c>
      <c r="H168" s="1283"/>
    </row>
    <row r="169" spans="1:8" x14ac:dyDescent="0.45">
      <c r="B169" s="1260" t="str">
        <f>'9. Forecast Results'!U$5</f>
        <v>2020/21</v>
      </c>
      <c r="C169" s="18"/>
      <c r="D169" s="18"/>
      <c r="E169" s="1216">
        <f>-SUMIF('9. Forecast Results'!$R$5:$W$5,$B169,'9. Forecast Results'!$R$51:$W$51)</f>
        <v>5535382.1975866212</v>
      </c>
      <c r="F169" s="1223">
        <f>SUMIF('9. Forecast Results'!$R$5:$W$5,$B169,'9. Forecast Results'!$R$13:$W$13)</f>
        <v>32</v>
      </c>
      <c r="G169" s="1216">
        <f t="shared" si="1"/>
        <v>172980.69367458191</v>
      </c>
      <c r="H169" s="1283"/>
    </row>
    <row r="170" spans="1:8" x14ac:dyDescent="0.45">
      <c r="B170" s="1260" t="str">
        <f>'9. Forecast Results'!V$5</f>
        <v>2021/22</v>
      </c>
      <c r="C170" s="18"/>
      <c r="D170" s="18"/>
      <c r="E170" s="1216">
        <f>-SUMIF('9. Forecast Results'!$R$5:$W$5,$B170,'9. Forecast Results'!$R$51:$W$51)</f>
        <v>5487924.873524704</v>
      </c>
      <c r="F170" s="1223">
        <f>SUMIF('9. Forecast Results'!$R$5:$W$5,$B170,'9. Forecast Results'!$R$13:$W$13)</f>
        <v>30</v>
      </c>
      <c r="G170" s="1216">
        <f t="shared" si="1"/>
        <v>182930.82911749012</v>
      </c>
      <c r="H170" s="1283"/>
    </row>
    <row r="171" spans="1:8" x14ac:dyDescent="0.45">
      <c r="B171" s="1260" t="str">
        <f>'9. Forecast Results'!W$5</f>
        <v>2022/23</v>
      </c>
      <c r="C171" s="18"/>
      <c r="D171" s="18"/>
      <c r="E171" s="1217">
        <f>-SUMIF('9. Forecast Results'!$R$5:$W$5,$B171,'9. Forecast Results'!$R$51:$W$51)</f>
        <v>5417569.3500243956</v>
      </c>
      <c r="F171" s="1224">
        <f>SUMIF('9. Forecast Results'!$R$5:$W$5,$B171,'9. Forecast Results'!$R$13:$W$13)</f>
        <v>28</v>
      </c>
      <c r="G171" s="1217">
        <f t="shared" si="1"/>
        <v>193484.61964372842</v>
      </c>
      <c r="H171" s="1283"/>
    </row>
    <row r="172" spans="1:8" x14ac:dyDescent="0.45">
      <c r="B172" s="1263" t="s">
        <v>1516</v>
      </c>
      <c r="C172" s="18"/>
      <c r="D172" s="18"/>
      <c r="E172" s="1220">
        <f>SUM(E167:E171)</f>
        <v>27275498.779662121</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1380</v>
      </c>
      <c r="G172" s="1220">
        <f t="shared" si="1"/>
        <v>19764.854188160956</v>
      </c>
      <c r="H172" s="1283"/>
    </row>
    <row r="173" spans="1:8" x14ac:dyDescent="0.45">
      <c r="A173" s="18"/>
      <c r="B173" s="1263" t="s">
        <v>1520</v>
      </c>
      <c r="C173" s="18"/>
      <c r="D173" s="18"/>
      <c r="E173" s="1220">
        <f>-'9. Forecast Results'!AL$51</f>
        <v>90921270.155815199</v>
      </c>
      <c r="F173" s="1290">
        <f>SUMIF('10. Inputs &amp; Calcs'!$D$520:$D$525,$C$12,'10. Inputs &amp; Calcs'!$H$520:$H$525)</f>
        <v>5160</v>
      </c>
      <c r="G173" s="1220">
        <f t="shared" si="1"/>
        <v>17620.401192987443</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 Forecast Results'!R$5</f>
        <v>2017/18</v>
      </c>
      <c r="C176" s="18"/>
      <c r="D176" s="18"/>
      <c r="E176" s="971">
        <f>-SUMIF('9. Forecast Results'!$R$5:$W$5,$B176,'9. Forecast Results'!$R$53:$W$53)</f>
        <v>210409.8845669291</v>
      </c>
      <c r="F176" s="1136">
        <f>SUMIF('10. Inputs &amp; Calcs'!$D$51:$D$56,$C$12,'10. Inputs &amp; Calcs'!$J$51:$J$56)</f>
        <v>514</v>
      </c>
      <c r="G176" s="971">
        <f t="shared" ref="G176:G183" si="2">IF(F176&lt;&gt;0,E176/F176,0)</f>
        <v>409.35775207573755</v>
      </c>
      <c r="H176" s="1283"/>
    </row>
    <row r="177" spans="1:8" x14ac:dyDescent="0.45">
      <c r="A177" s="18"/>
      <c r="B177" s="1260" t="str">
        <f>'9. Forecast Results'!S$5</f>
        <v>2018/19</v>
      </c>
      <c r="C177" s="18"/>
      <c r="D177" s="18"/>
      <c r="E177" s="1215">
        <f>-SUMIF('9. Forecast Results'!$R$5:$W$5,$B177,'9. Forecast Results'!$R$53:$W$53)</f>
        <v>210409.8845669291</v>
      </c>
      <c r="F177" s="1222">
        <f>IF($AA$19='14. Permanent Info'!$N$7,SUMIF('10. Inputs &amp; Calcs'!$D$51:$D$56,$C$12,'10. Inputs &amp; Calcs'!$K$51:$K$56)-SUMIF('10. Inputs &amp; Calcs'!$D$106:$D$111,$C$12,'10. Inputs &amp; Calcs'!$K$106:$K$111),SUMIF('10. Inputs &amp; Calcs'!$D$51:$D$56,$C$12,'10. Inputs &amp; Calcs'!$K$51:$K$56))</f>
        <v>476</v>
      </c>
      <c r="G177" s="1215">
        <f t="shared" si="2"/>
        <v>442.03757261959896</v>
      </c>
      <c r="H177" s="1283"/>
    </row>
    <row r="178" spans="1:8" x14ac:dyDescent="0.45">
      <c r="A178" s="18"/>
      <c r="B178" s="1260" t="str">
        <f>'9. Forecast Results'!T$5</f>
        <v>2019/20</v>
      </c>
      <c r="C178" s="18"/>
      <c r="D178" s="18"/>
      <c r="E178" s="1216">
        <f>-SUMIF('9. Forecast Results'!$R$5:$W$5,$B178,'9. Forecast Results'!$R$53:$W$53)</f>
        <v>23378.876062992123</v>
      </c>
      <c r="F178" s="1223">
        <f>IF($AA$19='14. Permanent Info'!$N$7,SUMIF('10. Inputs &amp; Calcs'!$D$51:$D$56,$C$12,'10. Inputs &amp; Calcs'!$L$51:$L$56)-SUMIF('10. Inputs &amp; Calcs'!$D$106:$D$111,$C$12,'10. Inputs &amp; Calcs'!$L$106:$L$111),SUMIF('10. Inputs &amp; Calcs'!$D$51:$D$56,$C$12,'10. Inputs &amp; Calcs'!$L$51:$L$56))</f>
        <v>226</v>
      </c>
      <c r="G178" s="1216">
        <f t="shared" si="2"/>
        <v>103.4463542610271</v>
      </c>
      <c r="H178" s="1283"/>
    </row>
    <row r="179" spans="1:8" x14ac:dyDescent="0.45">
      <c r="A179" s="18"/>
      <c r="B179" s="1260" t="str">
        <f>'9. Forecast Results'!U$5</f>
        <v>2020/21</v>
      </c>
      <c r="C179" s="18"/>
      <c r="D179" s="18"/>
      <c r="E179" s="1216">
        <f>-SUMIF('9. Forecast Results'!$R$5:$W$5,$B179,'9. Forecast Results'!$R$53:$W$53)</f>
        <v>23378.876062992123</v>
      </c>
      <c r="F179" s="1223">
        <f>IF($AA$19='14. Permanent Info'!$N$7,SUMIF('10. Inputs &amp; Calcs'!$D$51:$D$56,$C$12,'10. Inputs &amp; Calcs'!$M$51:$M$56)-SUMIF('10. Inputs &amp; Calcs'!$D$106:$D$111,$C$12,'10. Inputs &amp; Calcs'!$M$106:$M$111),SUMIF('10. Inputs &amp; Calcs'!$D$51:$D$56,$C$12,'10. Inputs &amp; Calcs'!$M$51:$M$56))</f>
        <v>226</v>
      </c>
      <c r="G179" s="1216">
        <f t="shared" si="2"/>
        <v>103.4463542610271</v>
      </c>
      <c r="H179" s="1283"/>
    </row>
    <row r="180" spans="1:8" x14ac:dyDescent="0.45">
      <c r="A180" s="18"/>
      <c r="B180" s="1260" t="str">
        <f>'9. Forecast Results'!V$5</f>
        <v>2021/22</v>
      </c>
      <c r="C180" s="18"/>
      <c r="D180" s="18"/>
      <c r="E180" s="1216">
        <f>-SUMIF('9. Forecast Results'!$R$5:$W$5,$B180,'9. Forecast Results'!$R$53:$W$53)</f>
        <v>23378.876062992123</v>
      </c>
      <c r="F180" s="1223">
        <f>IF($AA$19='14. Permanent Info'!$N$7,SUMIF('10. Inputs &amp; Calcs'!$D$51:$D$56,$C$12,'10. Inputs &amp; Calcs'!$N$51:$N$56)-SUMIF('10. Inputs &amp; Calcs'!$D$106:$D$111,$C$12,'10. Inputs &amp; Calcs'!$N$106:$N$111),SUMIF('10. Inputs &amp; Calcs'!$D$51:$D$56,$C$12,'10. Inputs &amp; Calcs'!$N$51:$N$56))</f>
        <v>226</v>
      </c>
      <c r="G180" s="1216">
        <f t="shared" si="2"/>
        <v>103.4463542610271</v>
      </c>
      <c r="H180" s="1283"/>
    </row>
    <row r="181" spans="1:8" x14ac:dyDescent="0.45">
      <c r="A181" s="18"/>
      <c r="B181" s="1260" t="str">
        <f>'9. Forecast Results'!W$5</f>
        <v>2022/23</v>
      </c>
      <c r="C181" s="18"/>
      <c r="D181" s="18"/>
      <c r="E181" s="1217">
        <f>-SUMIF('9. Forecast Results'!$R$5:$W$5,$B181,'9. Forecast Results'!$R$53:$W$53)</f>
        <v>23378.876062992123</v>
      </c>
      <c r="F181" s="1224">
        <f>IF($AA$19='14. Permanent Info'!$N$7,SUMIF('10. Inputs &amp; Calcs'!$D$51:$D$56,$C$12,'10. Inputs &amp; Calcs'!$O$51:$O$56)-SUMIF('10. Inputs &amp; Calcs'!$D$106:$D$111,$C$12,'10. Inputs &amp; Calcs'!$O$106:$O$111),SUMIF('10. Inputs &amp; Calcs'!$D$51:$D$56,$C$12,'10. Inputs &amp; Calcs'!$O$51:$O$56))</f>
        <v>226</v>
      </c>
      <c r="G181" s="1217">
        <f t="shared" si="2"/>
        <v>103.4463542610271</v>
      </c>
      <c r="H181" s="1283"/>
    </row>
    <row r="182" spans="1:8" x14ac:dyDescent="0.45">
      <c r="B182" s="1263" t="s">
        <v>1516</v>
      </c>
      <c r="C182" s="18"/>
      <c r="D182" s="18"/>
      <c r="E182" s="1220">
        <f>SUM(E177:E181)</f>
        <v>303925.3888188976</v>
      </c>
      <c r="F182" s="1291">
        <f>SUM(F177:F181)</f>
        <v>1380</v>
      </c>
      <c r="G182" s="1220">
        <f t="shared" si="2"/>
        <v>220.23578899920116</v>
      </c>
      <c r="H182" s="1283"/>
    </row>
    <row r="183" spans="1:8" x14ac:dyDescent="0.45">
      <c r="B183" s="1263" t="s">
        <v>1521</v>
      </c>
      <c r="C183" s="18"/>
      <c r="D183" s="18"/>
      <c r="E183" s="1220">
        <f>-'9. Forecast Results'!AL$53</f>
        <v>16764882.683887275</v>
      </c>
      <c r="F183" s="1290">
        <f>-SUMIF('10. Inputs &amp; Calcs'!$D$106:$D$111,$C$12,'10. Inputs &amp; Calcs'!$AD$106:$AD$111)+-SUMIF('10. Inputs &amp; Calcs'!$D$60:$D$65,$C$12,'10. Inputs &amp; Calcs'!$AD$60:$AD$65)</f>
        <v>7399</v>
      </c>
      <c r="G183" s="1220">
        <f t="shared" si="2"/>
        <v>2265.8308803740065</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3">E135</f>
        <v>MTEF Cycle 2018/19 to 2022/23</v>
      </c>
      <c r="H203" s="1233" t="str">
        <f t="shared" si="3"/>
        <v>20 year Total</v>
      </c>
    </row>
    <row r="204" spans="1:8" hidden="1" outlineLevel="1" x14ac:dyDescent="0.45">
      <c r="E204" s="1245" t="str">
        <f>B136</f>
        <v>Income (=Rent &amp; Sales Income)</v>
      </c>
      <c r="F204" s="4"/>
      <c r="G204" s="1234">
        <f>E136</f>
        <v>1077027.7126860777</v>
      </c>
      <c r="H204" s="1235">
        <f>F136</f>
        <v>3513640.4406654779</v>
      </c>
    </row>
    <row r="205" spans="1:8" hidden="1" outlineLevel="1" x14ac:dyDescent="0.45">
      <c r="E205" s="1245" t="str">
        <f>B137</f>
        <v>Costs/Expenses</v>
      </c>
      <c r="F205" s="4"/>
      <c r="G205" s="1234">
        <f t="shared" si="3"/>
        <v>28352526.492348202</v>
      </c>
      <c r="H205" s="1236">
        <f t="shared" si="3"/>
        <v>94406766.299476683</v>
      </c>
    </row>
    <row r="206" spans="1:8" hidden="1" outlineLevel="1" x14ac:dyDescent="0.45">
      <c r="E206" s="1245" t="str">
        <f>B145</f>
        <v>Net Surplus / (deficit)</v>
      </c>
      <c r="F206" s="4"/>
      <c r="G206" s="1237">
        <f>E145</f>
        <v>-27275498.779662125</v>
      </c>
      <c r="H206" s="1235">
        <f>F145</f>
        <v>-90893125.8588112</v>
      </c>
    </row>
    <row r="207" spans="1:8" hidden="1" outlineLevel="1" x14ac:dyDescent="0.45">
      <c r="E207" s="1245" t="str">
        <f>B146</f>
        <v>Net Surplus / (deficit) funded by HSDG Top Slice</v>
      </c>
      <c r="F207" s="4"/>
      <c r="G207" s="1237">
        <f>E146</f>
        <v>27275498.779662125</v>
      </c>
      <c r="H207" s="1235">
        <f>F146</f>
        <v>90893125.8588112</v>
      </c>
    </row>
    <row r="208" spans="1:8" hidden="1" outlineLevel="1" x14ac:dyDescent="0.45">
      <c r="E208" s="1245" t="str">
        <f>B150</f>
        <v>Total EEDBS utilised</v>
      </c>
      <c r="F208" s="4"/>
      <c r="G208" s="1234">
        <f t="shared" ref="G208:H211" si="4">E150</f>
        <v>303925.3888188976</v>
      </c>
      <c r="H208" s="1236">
        <f t="shared" si="4"/>
        <v>16764882.683887275</v>
      </c>
    </row>
    <row r="209" spans="2:8" hidden="1" outlineLevel="1" x14ac:dyDescent="0.45">
      <c r="E209" s="1245" t="str">
        <f>B151</f>
        <v>EEDBS per Existing Rental Unit</v>
      </c>
      <c r="F209" s="4"/>
      <c r="G209" s="1234">
        <f t="shared" si="4"/>
        <v>220.23578899920116</v>
      </c>
      <c r="H209" s="1236">
        <f t="shared" si="4"/>
        <v>3249.0082720711771</v>
      </c>
    </row>
    <row r="210" spans="2:8" hidden="1" outlineLevel="1" x14ac:dyDescent="0.45">
      <c r="E210" s="1245" t="str">
        <f>B152</f>
        <v>Total Government Contribution over 20 years</v>
      </c>
      <c r="F210" s="4"/>
      <c r="G210" s="1234">
        <f t="shared" si="4"/>
        <v>27579424.168481022</v>
      </c>
      <c r="H210" s="1236">
        <f t="shared" si="4"/>
        <v>107658008.54269847</v>
      </c>
    </row>
    <row r="211" spans="2:8" hidden="1" outlineLevel="1" x14ac:dyDescent="0.45">
      <c r="E211" s="1246" t="str">
        <f>B153</f>
        <v>Total Government Contribution p.u.</v>
      </c>
      <c r="F211" s="931"/>
      <c r="G211" s="1247">
        <f t="shared" si="4"/>
        <v>19985.089977160162</v>
      </c>
      <c r="H211" s="1248">
        <f t="shared" si="4"/>
        <v>20863.955143933814</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 Forecast Results'!AL89</f>
        <v>-15399413.261052625</v>
      </c>
    </row>
    <row r="216" spans="2:8" hidden="1" outlineLevel="1" x14ac:dyDescent="0.45">
      <c r="B216" s="1057" t="s">
        <v>1560</v>
      </c>
      <c r="C216" s="1060"/>
      <c r="D216" s="1060"/>
      <c r="E216" s="1070">
        <f>SUM('9. Forecast Results'!P12:P13)</f>
        <v>204</v>
      </c>
    </row>
    <row r="217" spans="2:8" hidden="1" outlineLevel="1" x14ac:dyDescent="0.45">
      <c r="B217" s="1071" t="s">
        <v>1509</v>
      </c>
      <c r="C217" s="1072"/>
      <c r="D217" s="1072"/>
      <c r="E217" s="1073">
        <f>E215/E216</f>
        <v>-75487.319907120705</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 Forecast Results'!R$5</f>
        <v>2017/18</v>
      </c>
      <c r="E221" s="552">
        <f>SUMIF('9. Forecast Results'!$R$5:$W$5,$B221,'9. Forecast Results'!$R$52:$W$52)</f>
        <v>0</v>
      </c>
      <c r="F221" s="785">
        <f>SUMIF('10. Inputs &amp; Calcs'!$D$106:$D$111,$C$12,'10. Inputs &amp; Calcs'!$J$106:$J$111)</f>
        <v>0</v>
      </c>
      <c r="G221" s="552">
        <f>IF(F221&lt;&gt;0,E221/F221,0)</f>
        <v>0</v>
      </c>
    </row>
    <row r="222" spans="2:8" hidden="1" outlineLevel="1" x14ac:dyDescent="0.45">
      <c r="B222" s="948" t="str">
        <f>'9. Forecast Results'!S$5</f>
        <v>2018/19</v>
      </c>
      <c r="E222" s="973">
        <f>SUMIF('9. Forecast Results'!$R$5:$W$5,$B222,'9. Forecast Results'!$R$52:$W$52)</f>
        <v>0</v>
      </c>
      <c r="F222" s="974">
        <f>SUMIF('10. Inputs &amp; Calcs'!$D$106:$D$111,$C$12,'10. Inputs &amp; Calcs'!$K$106:$K$111)</f>
        <v>0</v>
      </c>
      <c r="G222" s="753">
        <f t="shared" ref="G222:G227" si="5">IF(F222&lt;&gt;0,E222/F222,0)</f>
        <v>0</v>
      </c>
    </row>
    <row r="223" spans="2:8" hidden="1" outlineLevel="1" x14ac:dyDescent="0.45">
      <c r="B223" s="948" t="str">
        <f>'9. Forecast Results'!T$5</f>
        <v>2019/20</v>
      </c>
      <c r="E223" s="975">
        <f>SUMIF('9. Forecast Results'!$R$5:$W$5,$B223,'9. Forecast Results'!$R$52:$W$52)</f>
        <v>0</v>
      </c>
      <c r="F223" s="976">
        <f>SUMIF('10. Inputs &amp; Calcs'!$D$106:$D$111,$C$12,'10. Inputs &amp; Calcs'!$L$106:$L$111)</f>
        <v>0</v>
      </c>
      <c r="G223" s="888">
        <f t="shared" si="5"/>
        <v>0</v>
      </c>
    </row>
    <row r="224" spans="2:8" hidden="1" outlineLevel="1" x14ac:dyDescent="0.45">
      <c r="B224" s="948" t="str">
        <f>'9. Forecast Results'!U$5</f>
        <v>2020/21</v>
      </c>
      <c r="E224" s="975">
        <f>SUMIF('9. Forecast Results'!$R$5:$W$5,$B224,'9. Forecast Results'!$R$52:$W$52)</f>
        <v>0</v>
      </c>
      <c r="F224" s="976">
        <f>SUMIF('10. Inputs &amp; Calcs'!$D$106:$D$111,$C$12,'10. Inputs &amp; Calcs'!$M$106:$M$111)</f>
        <v>0</v>
      </c>
      <c r="G224" s="888">
        <f t="shared" si="5"/>
        <v>0</v>
      </c>
    </row>
    <row r="225" spans="2:8" hidden="1" outlineLevel="1" x14ac:dyDescent="0.45">
      <c r="B225" s="948" t="str">
        <f>'9. Forecast Results'!V$5</f>
        <v>2021/22</v>
      </c>
      <c r="E225" s="975">
        <f>SUMIF('9. Forecast Results'!$R$5:$W$5,$B225,'9. Forecast Results'!$R$52:$W$52)</f>
        <v>0</v>
      </c>
      <c r="F225" s="976">
        <f>SUMIF('10. Inputs &amp; Calcs'!$D$106:$D$111,$C$12,'10. Inputs &amp; Calcs'!$N$106:$N$111)</f>
        <v>0</v>
      </c>
      <c r="G225" s="888">
        <f t="shared" si="5"/>
        <v>0</v>
      </c>
    </row>
    <row r="226" spans="2:8" hidden="1" outlineLevel="1" x14ac:dyDescent="0.45">
      <c r="B226" s="948" t="str">
        <f>'9. Forecast Results'!W$5</f>
        <v>2022/23</v>
      </c>
      <c r="E226" s="977">
        <f>SUMIF('9. Forecast Results'!$R$5:$W$5,$B226,'9. Forecast Results'!$R$52:$W$52)</f>
        <v>0</v>
      </c>
      <c r="F226" s="978">
        <f>SUMIF('10. Inputs &amp; Calcs'!$D$106:$D$111,$C$12,'10. Inputs &amp; Calcs'!$O$106:$O$111)</f>
        <v>0</v>
      </c>
      <c r="G226" s="754">
        <f t="shared" si="5"/>
        <v>0</v>
      </c>
    </row>
    <row r="227" spans="2:8" hidden="1" outlineLevel="1" x14ac:dyDescent="0.45">
      <c r="B227" s="948" t="s">
        <v>1516</v>
      </c>
      <c r="E227" s="970">
        <f>SUM(E222:E226)</f>
        <v>0</v>
      </c>
      <c r="F227" s="972">
        <f>SUM(F222:F226)</f>
        <v>0</v>
      </c>
      <c r="G227" s="552">
        <f t="shared" si="5"/>
        <v>0</v>
      </c>
    </row>
    <row r="228" spans="2:8" hidden="1" outlineLevel="1" x14ac:dyDescent="0.45">
      <c r="B228" s="948" t="s">
        <v>1565</v>
      </c>
      <c r="E228" s="971">
        <f>'9. Forecast Results'!AL$52</f>
        <v>0</v>
      </c>
      <c r="F228" s="785">
        <f>SUMIF('10. Inputs &amp; Calcs'!$D$106:$D$111,$C$12,'10. Inputs &amp; Calcs'!$AD$106:$AD$111)</f>
        <v>-7399</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 Forecast Results'!R$5</f>
        <v>2017/18</v>
      </c>
      <c r="E232" s="552">
        <f>SUMIF('10. Inputs &amp; Calcs'!$D$619:$D$624,$C$12,'10. Inputs &amp; Calcs'!$J$619:$J$629)-E176</f>
        <v>-10803246.943859305</v>
      </c>
      <c r="F232" s="785">
        <f>SUMIF('10. Inputs &amp; Calcs'!$D$51:$D$56,$C$12,'10. Inputs &amp; Calcs'!$J$51:$J$56)</f>
        <v>514</v>
      </c>
      <c r="G232" s="552">
        <f>IF(F232&lt;&gt;0,E232/F232,0)</f>
        <v>-21017.9901631504</v>
      </c>
      <c r="H232" s="930"/>
    </row>
    <row r="233" spans="2:8" hidden="1" outlineLevel="1" x14ac:dyDescent="0.45">
      <c r="B233" s="948" t="str">
        <f>'9. Forecast Results'!S$5</f>
        <v>2018/19</v>
      </c>
      <c r="E233" s="973">
        <f>SUMIF('10. Inputs &amp; Calcs'!$D$619:$D$624,$C$12,'10. Inputs &amp; Calcs'!$K$619:$K$629)</f>
        <v>-10450381.305273833</v>
      </c>
      <c r="F233" s="974">
        <f>SUMIF('10. Inputs &amp; Calcs'!$D$51:$D$56,$C$12,'10. Inputs &amp; Calcs'!$K$51:$K$56)</f>
        <v>476</v>
      </c>
      <c r="G233" s="753">
        <f t="shared" ref="G233:G239" si="6">IF(F233&lt;&gt;0,E233/F233,0)</f>
        <v>-21954.58257410469</v>
      </c>
      <c r="H233" s="930"/>
    </row>
    <row r="234" spans="2:8" hidden="1" outlineLevel="1" x14ac:dyDescent="0.45">
      <c r="B234" s="948" t="str">
        <f>'9. Forecast Results'!T$5</f>
        <v>2019/20</v>
      </c>
      <c r="E234" s="975">
        <f>SUMIF('10. Inputs &amp; Calcs'!$D$619:$D$624,$C$12,'10. Inputs &amp; Calcs'!$L$619:$L$629)</f>
        <v>-5304579.0622597346</v>
      </c>
      <c r="F234" s="976">
        <f>SUMIF('10. Inputs &amp; Calcs'!$D$51:$D$56,$C$12,'10. Inputs &amp; Calcs'!$L$51:$L$56)</f>
        <v>226</v>
      </c>
      <c r="G234" s="888">
        <f t="shared" si="6"/>
        <v>-23471.588771060771</v>
      </c>
      <c r="H234" s="930"/>
    </row>
    <row r="235" spans="2:8" hidden="1" outlineLevel="1" x14ac:dyDescent="0.45">
      <c r="B235" s="948" t="str">
        <f>'9. Forecast Results'!U$5</f>
        <v>2020/21</v>
      </c>
      <c r="E235" s="975">
        <f>SUMIF('10. Inputs &amp; Calcs'!$D$619:$D$624,$C$12,'10. Inputs &amp; Calcs'!$M$619:$M$629)</f>
        <v>-5562618.7138867881</v>
      </c>
      <c r="F235" s="976">
        <f>SUMIF('10. Inputs &amp; Calcs'!$D$51:$D$56,$C$12,'10. Inputs &amp; Calcs'!$M$51:$M$56)</f>
        <v>226</v>
      </c>
      <c r="G235" s="888">
        <f t="shared" si="6"/>
        <v>-24613.357141091983</v>
      </c>
      <c r="H235" s="930"/>
    </row>
    <row r="236" spans="2:8" hidden="1" outlineLevel="1" x14ac:dyDescent="0.45">
      <c r="B236" s="948" t="str">
        <f>'9. Forecast Results'!V$5</f>
        <v>2021/22</v>
      </c>
      <c r="E236" s="975">
        <f>SUMIF('10. Inputs &amp; Calcs'!$D$619:$D$624,$C$12,'10. Inputs &amp; Calcs'!$N$619:$N$629)</f>
        <v>-5820658.3655138416</v>
      </c>
      <c r="F236" s="976">
        <f>SUMIF('10. Inputs &amp; Calcs'!$D$51:$D$56,$C$12,'10. Inputs &amp; Calcs'!$N$51:$N$56)</f>
        <v>226</v>
      </c>
      <c r="G236" s="888">
        <f t="shared" si="6"/>
        <v>-25755.125511123191</v>
      </c>
      <c r="H236" s="930"/>
    </row>
    <row r="237" spans="2:8" hidden="1" outlineLevel="1" x14ac:dyDescent="0.45">
      <c r="B237" s="948" t="str">
        <f>'9. Forecast Results'!W$5</f>
        <v>2022/23</v>
      </c>
      <c r="E237" s="977">
        <f>SUMIF('10. Inputs &amp; Calcs'!$D$619:$D$624,$C$12,'10. Inputs &amp; Calcs'!$O$619:$O$629)</f>
        <v>-6078698.0171408951</v>
      </c>
      <c r="F237" s="978">
        <f>SUMIF('10. Inputs &amp; Calcs'!$D$51:$D$56,$C$12,'10. Inputs &amp; Calcs'!$O$51:$O$56)</f>
        <v>226</v>
      </c>
      <c r="G237" s="754">
        <f t="shared" si="6"/>
        <v>-26896.893881154403</v>
      </c>
      <c r="H237" s="930"/>
    </row>
    <row r="238" spans="2:8" hidden="1" outlineLevel="1" x14ac:dyDescent="0.45">
      <c r="B238" s="948" t="s">
        <v>1516</v>
      </c>
      <c r="E238" s="970">
        <f>SUM(E233:E237)</f>
        <v>-33216935.464075092</v>
      </c>
      <c r="F238" s="972">
        <f>SUM(F233:F237)</f>
        <v>1380</v>
      </c>
      <c r="G238" s="552">
        <f t="shared" si="6"/>
        <v>-24070.243089909487</v>
      </c>
      <c r="H238" s="930"/>
    </row>
    <row r="239" spans="2:8" hidden="1" outlineLevel="1" x14ac:dyDescent="0.45">
      <c r="B239" s="948" t="s">
        <v>1519</v>
      </c>
      <c r="E239" s="971">
        <f>SUMIF('10. Inputs &amp; Calcs'!$D$619:$D$624,$C$12, '10. Inputs &amp; Calcs'!$AD$619:$AD$624)</f>
        <v>-148103926.95799464</v>
      </c>
      <c r="F239" s="785">
        <f>SUMIF('10. Inputs &amp; Calcs'!$D$520:$D$525,$C$12,'10. Inputs &amp; Calcs'!$H$520:$H$525)</f>
        <v>5160</v>
      </c>
      <c r="G239" s="552">
        <f t="shared" si="6"/>
        <v>-28702.311425967953</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count="3">
    <dataValidation type="list" allowBlank="1" showInputMessage="1" showErrorMessage="1" promptTitle="Select Option" prompt="Select an Option from the List Provided in the Drop-Down Box. This selection drives the model to produce results for the province or national for the Base Case or Scenario selected." sqref="H3" xr:uid="{9DCC426B-EA39-4934-963C-195DEB7485E5}">
      <formula1>" ,  "</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920B6506-2F2D-4B4E-8664-58327AF62841}">
      <formula1>$D$22:$E$22</formula1>
    </dataValidation>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08CC1AF0-A00B-4065-B73B-FFCE4DA6756A}">
      <formula1>$F$22:$G$22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promptTitle="Scenario Selector" prompt="Select the Scenario to be projected AFTER Defining the Scenario using the Input Areas and Selection Boxes in the turquoise area between cell F13 and i17. " xr:uid="{9F9E163A-0224-4C0F-BAF8-9BF510E13E98}">
          <x14:formula1>
            <xm:f>'14. Permanent Info'!$D$7:$D$11</xm:f>
          </x14:formula1>
          <xm:sqref>C13</xm:sqref>
        </x14:dataValidation>
        <x14:dataValidation type="list" allowBlank="1" showInputMessage="1" showErrorMessage="1" promptTitle="Select Province" prompt="Select province from the list, or select Total to see the national view. " xr:uid="{565FDB3A-ACC7-4AD5-96C3-A007E83F3E0F}">
          <x14:formula1>
            <xm:f>'14. Permanent Info'!$C$7:$C$12</xm:f>
          </x14:formula1>
          <xm:sqref>C12</xm:sqref>
        </x14:dataValidation>
        <x14:dataValidation type="list" allowBlank="1" showInputMessage="1" showErrorMessage="1" promptTitle="Years" prompt="Select the number of years required to close this programme from 2018/19._x000a_" xr:uid="{ED51A5E0-5B4F-4606-8B90-48836CC61EF3}">
          <x14:formula1>
            <xm:f>'14. Permanent Info'!$J$7:$J$23</xm:f>
          </x14:formula1>
          <xm:sqref>C16 AA16</xm:sqref>
        </x14:dataValidation>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F0709CE9-94AC-4150-8288-1E3846C8A959}">
          <x14:formula1>
            <xm:f>'14. Permanent Info'!$M$7:$N$7</xm:f>
          </x14:formula1>
          <xm:sqref>C19 AA19</xm:sqref>
        </x14:dataValidation>
        <x14: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xr:uid="{511ECB2F-70C2-4DE1-9380-A61505BF7CCF}">
          <x14:formula1>
            <xm:f>'5a. Dashboard 2'!$D$8:$E$8</xm:f>
          </x14:formula1>
          <xm:sqref>C17</xm:sqref>
        </x14:dataValidation>
        <x14: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xr:uid="{FD21748B-0555-44F7-98F9-1E7997C4E96D}">
          <x14:formula1>
            <xm:f>'5a. Dashboard 2'!$F$8:$G$8</xm:f>
          </x14:formula1>
          <xm:sqref>C18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48F2E-415B-4C61-BC7A-7BCBE22DD3DE}">
  <sheetPr>
    <tabColor theme="5" tint="0.79998168889431442"/>
  </sheetPr>
  <dimension ref="A1:CE241"/>
  <sheetViews>
    <sheetView showGridLines="0" zoomScale="65" zoomScaleNormal="65" zoomScaleSheetLayoutView="40" workbookViewId="0">
      <selection activeCell="C11" sqref="C1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I2" s="4"/>
      <c r="J2" s="4"/>
      <c r="AB2" s="803">
        <f>'9b. Forecast Results - EC'!AO19</f>
        <v>0</v>
      </c>
      <c r="AC2" s="803" t="str">
        <f>'9b. Forecast Results - EC'!AP19</f>
        <v>2013/14</v>
      </c>
      <c r="AD2" s="803" t="str">
        <f>'9b. Forecast Results - EC'!AQ19</f>
        <v>2014/15</v>
      </c>
      <c r="AE2" s="803" t="str">
        <f>'9b. Forecast Results - EC'!AR19</f>
        <v>2015/16</v>
      </c>
      <c r="AF2" s="803" t="str">
        <f>'9b. Forecast Results - EC'!AS19</f>
        <v>2016/17</v>
      </c>
      <c r="AG2" s="803" t="str">
        <f>'9b. Forecast Results - EC'!AT19</f>
        <v>2017/18</v>
      </c>
      <c r="AH2" s="803" t="str">
        <f>'9b. Forecast Results - EC'!AU19</f>
        <v>2018/19</v>
      </c>
      <c r="AI2" s="803" t="str">
        <f>'9b. Forecast Results - EC'!AV19</f>
        <v>2019/20</v>
      </c>
      <c r="AJ2" s="803" t="str">
        <f>'9b. Forecast Results - EC'!AW19</f>
        <v>2020/21</v>
      </c>
      <c r="AK2" s="803" t="str">
        <f>'9b. Forecast Results - EC'!AX19</f>
        <v>2021/22</v>
      </c>
      <c r="AL2" s="803" t="str">
        <f>'9b. Forecast Results - EC'!AY19</f>
        <v>2022/23</v>
      </c>
      <c r="AM2" s="803" t="str">
        <f>'9b. Forecast Results - EC'!AZ19</f>
        <v>2023/24</v>
      </c>
      <c r="AN2" s="803" t="str">
        <f>'9b. Forecast Results - EC'!BA19</f>
        <v>2024/25</v>
      </c>
      <c r="AO2" s="803" t="str">
        <f>'9b. Forecast Results - EC'!BB19</f>
        <v>2025/26</v>
      </c>
      <c r="AP2" s="803" t="str">
        <f>'9b. Forecast Results - EC'!BC19</f>
        <v>2026/27</v>
      </c>
      <c r="AQ2" s="803" t="str">
        <f>'9b. Forecast Results - EC'!BD19</f>
        <v>2027/28</v>
      </c>
      <c r="AR2" s="803" t="str">
        <f>'9b. Forecast Results - EC'!BE19</f>
        <v>2028/29</v>
      </c>
      <c r="AS2" s="803" t="str">
        <f>'9b. Forecast Results - EC'!BF19</f>
        <v>2029/30</v>
      </c>
      <c r="AT2" s="803" t="str">
        <f>'9b. Forecast Results - EC'!BG19</f>
        <v>2030/31</v>
      </c>
      <c r="AU2" s="803" t="str">
        <f>'9b. Forecast Results - EC'!BH19</f>
        <v>2031/32</v>
      </c>
      <c r="AV2" s="803" t="str">
        <f>'9b. Forecast Results - EC'!BI19</f>
        <v>3032/33</v>
      </c>
      <c r="AW2" s="803" t="str">
        <f>'9b. Forecast Results - EC'!BJ19</f>
        <v>2033/34</v>
      </c>
      <c r="AX2" s="803" t="str">
        <f>'9b. Forecast Results - EC'!BK19</f>
        <v>2034/35</v>
      </c>
      <c r="AY2" s="803" t="str">
        <f>'9b. Forecast Results - EC'!BL19</f>
        <v>2035/36</v>
      </c>
      <c r="AZ2" s="803" t="str">
        <f>'9b. Forecast Results - EC'!BM19</f>
        <v>2036/37</v>
      </c>
    </row>
    <row r="3" spans="1:83" x14ac:dyDescent="0.45">
      <c r="C3" s="929" t="s">
        <v>1796</v>
      </c>
      <c r="D3" s="553"/>
      <c r="E3" s="553"/>
      <c r="F3" s="553"/>
      <c r="G3" s="553"/>
      <c r="H3" s="796"/>
      <c r="I3" s="4"/>
      <c r="J3" s="4"/>
      <c r="AB3" s="803" t="str">
        <f>'9b. Forecast Results - EC'!AO20</f>
        <v>Net Deficit funded by HSDG Top Slice</v>
      </c>
      <c r="AC3" s="1105">
        <f>'9b. Forecast Results - EC'!AP20</f>
        <v>-9354796.4700000007</v>
      </c>
      <c r="AD3" s="1105">
        <f>'9b. Forecast Results - EC'!AQ20</f>
        <v>-10229237.26</v>
      </c>
      <c r="AE3" s="1105">
        <f>'9b. Forecast Results - EC'!AR20</f>
        <v>-10415188.16</v>
      </c>
      <c r="AF3" s="1105">
        <f>'9b. Forecast Results - EC'!AS20</f>
        <v>-9050671.484040793</v>
      </c>
      <c r="AG3" s="1105">
        <f>'9b. Forecast Results - EC'!AT20</f>
        <v>-7276268.3573198924</v>
      </c>
      <c r="AH3" s="1105">
        <f>'9b. Forecast Results - EC'!AU20</f>
        <v>-5272498.0344495559</v>
      </c>
      <c r="AI3" s="1105">
        <f>'9b. Forecast Results - EC'!AV20</f>
        <v>-5562124.3240768462</v>
      </c>
      <c r="AJ3" s="1105">
        <f>'9b. Forecast Results - EC'!AW20</f>
        <v>-5535382.1975866212</v>
      </c>
      <c r="AK3" s="1105">
        <f>'9b. Forecast Results - EC'!AX20</f>
        <v>-5487924.873524704</v>
      </c>
      <c r="AL3" s="1105">
        <f>'9b. Forecast Results - EC'!AY20</f>
        <v>-5417569.3500243956</v>
      </c>
      <c r="AM3" s="1105">
        <f>'9b. Forecast Results - EC'!AZ20</f>
        <v>-5321955.1584863178</v>
      </c>
      <c r="AN3" s="1105">
        <f>'9b. Forecast Results - EC'!BA20</f>
        <v>-5198531.4458184605</v>
      </c>
      <c r="AO3" s="1105">
        <f>'9b. Forecast Results - EC'!BB20</f>
        <v>-5044543.1725595053</v>
      </c>
      <c r="AP3" s="1105">
        <f>'9b. Forecast Results - EC'!BC20</f>
        <v>-4857016.3687088052</v>
      </c>
      <c r="AQ3" s="1105">
        <f>'9b. Forecast Results - EC'!BD20</f>
        <v>-4632742.3853614368</v>
      </c>
      <c r="AR3" s="1105">
        <f>'9b. Forecast Results - EC'!BE20</f>
        <v>-4368261.0762879653</v>
      </c>
      <c r="AS3" s="1105">
        <f>'9b. Forecast Results - EC'!BF20</f>
        <v>-4059842.8393917042</v>
      </c>
      <c r="AT3" s="1105">
        <f>'9b. Forecast Results - EC'!BG20</f>
        <v>-3703469.4435056476</v>
      </c>
      <c r="AU3" s="1105">
        <f>'9b. Forecast Results - EC'!BH20</f>
        <v>-3294813.561241088</v>
      </c>
      <c r="AV3" s="1105">
        <f>'9b. Forecast Results - EC'!BI20</f>
        <v>-2829216.9235524968</v>
      </c>
      <c r="AW3" s="1105">
        <f>'9b. Forecast Results - EC'!BJ20</f>
        <v>-2301667.0063206377</v>
      </c>
      <c r="AX3" s="1105">
        <f>'9b. Forecast Results - EC'!BK20</f>
        <v>-1706772.1535583164</v>
      </c>
      <c r="AY3" s="1105">
        <f>'9b. Forecast Results - EC'!BL20</f>
        <v>0</v>
      </c>
      <c r="AZ3" s="1105">
        <f>'9b. Forecast Results - EC'!BM20</f>
        <v>0</v>
      </c>
    </row>
    <row r="4" spans="1:83" x14ac:dyDescent="0.45">
      <c r="C4" s="1170" t="s">
        <v>1797</v>
      </c>
      <c r="D4" s="4"/>
      <c r="F4" s="4"/>
      <c r="G4" s="4"/>
      <c r="H4" s="930"/>
      <c r="I4" s="4"/>
      <c r="J4" s="4"/>
      <c r="AB4" s="803" t="str">
        <f>'9b. Forecast Results - EC'!AO21</f>
        <v>EEDBS utilised to settle Existing Sales Debtors Balances Owing</v>
      </c>
      <c r="AC4" s="1105">
        <f>'9b. Forecast Results - EC'!AP21</f>
        <v>-5576064</v>
      </c>
      <c r="AD4" s="1105">
        <f>'9b. Forecast Results - EC'!AQ21</f>
        <v>-1243913</v>
      </c>
      <c r="AE4" s="1105">
        <f>'9b. Forecast Results - EC'!AR21</f>
        <v>-313420</v>
      </c>
      <c r="AF4" s="1105">
        <f>'9b. Forecast Results - EC'!AS21</f>
        <v>-210409.8845669291</v>
      </c>
      <c r="AG4" s="1105">
        <f>'9b. Forecast Results - EC'!AT21</f>
        <v>-210409.8845669291</v>
      </c>
      <c r="AH4" s="1105">
        <f>'9b. Forecast Results - EC'!AU21</f>
        <v>-210409.8845669291</v>
      </c>
      <c r="AI4" s="1105">
        <f>'9b. Forecast Results - EC'!AV21</f>
        <v>-23378.876062992123</v>
      </c>
      <c r="AJ4" s="1105">
        <f>'9b. Forecast Results - EC'!AW21</f>
        <v>-23378.876062992123</v>
      </c>
      <c r="AK4" s="1105">
        <f>'9b. Forecast Results - EC'!AX21</f>
        <v>-23378.876062992123</v>
      </c>
      <c r="AL4" s="1105">
        <f>'9b. Forecast Results - EC'!AY21</f>
        <v>-23378.876062992123</v>
      </c>
      <c r="AM4" s="1105">
        <f>'9b. Forecast Results - EC'!AZ21</f>
        <v>-23378.876062992123</v>
      </c>
      <c r="AN4" s="1105">
        <f>'9b. Forecast Results - EC'!BA21</f>
        <v>-23378.876062992123</v>
      </c>
      <c r="AO4" s="1105">
        <f>'9b. Forecast Results - EC'!BB21</f>
        <v>-23378.876062992123</v>
      </c>
      <c r="AP4" s="1105">
        <f>'9b. Forecast Results - EC'!BC21</f>
        <v>-23378.876062992123</v>
      </c>
      <c r="AQ4" s="1105">
        <f>'9b. Forecast Results - EC'!BD21</f>
        <v>-23378.876062992123</v>
      </c>
      <c r="AR4" s="1105">
        <f>'9b. Forecast Results - EC'!BE21</f>
        <v>-23378.876062992123</v>
      </c>
      <c r="AS4" s="1105">
        <f>'9b. Forecast Results - EC'!BF21</f>
        <v>-23378.876062992123</v>
      </c>
      <c r="AT4" s="1105">
        <f>'9b. Forecast Results - EC'!BG21</f>
        <v>-23378.876062992123</v>
      </c>
      <c r="AU4" s="1105">
        <f>'9b. Forecast Results - EC'!BH21</f>
        <v>-23378.876062992123</v>
      </c>
      <c r="AV4" s="1105">
        <f>'9b. Forecast Results - EC'!BI21</f>
        <v>-23378.876062992123</v>
      </c>
      <c r="AW4" s="1105">
        <f>'9b. Forecast Results - EC'!BJ21</f>
        <v>-23378.876062992123</v>
      </c>
      <c r="AX4" s="1105">
        <f>'9b. Forecast Results - EC'!BK21</f>
        <v>-23378.876062992123</v>
      </c>
      <c r="AY4" s="1105">
        <f>'9b. Forecast Results - EC'!BL21</f>
        <v>-15759591.013178613</v>
      </c>
      <c r="AZ4" s="1105">
        <f>'9b. Forecast Results - EC'!BM21</f>
        <v>0</v>
      </c>
    </row>
    <row r="5" spans="1:83" x14ac:dyDescent="0.45">
      <c r="C5" s="949"/>
      <c r="D5" s="931"/>
      <c r="E5" s="931"/>
      <c r="F5" s="931"/>
      <c r="G5" s="931"/>
      <c r="H5" s="932"/>
      <c r="I5" s="4"/>
      <c r="J5" s="4"/>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1</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EC BC</v>
      </c>
      <c r="E15" s="1274" t="str">
        <f>$C$12&amp;" "&amp;'14. Permanent Info'!$D$7</f>
        <v>EC BC</v>
      </c>
      <c r="F15" s="1274" t="str">
        <f>$C$12&amp;" "&amp;'14. Permanent Info'!$D$8</f>
        <v>EC Sc1</v>
      </c>
      <c r="G15" s="1274" t="str">
        <f>$C$12&amp;" "&amp;'14. Permanent Info'!$D$9</f>
        <v>EC Sc2</v>
      </c>
      <c r="H15" s="1274" t="str">
        <f>$C$12&amp;" "&amp;'14. Permanent Info'!$D$10</f>
        <v>EC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EC'!C16,0)))))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EC'!C17,0)))))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EC'!C18,0)))))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EC'!C19,0)))))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EC BC</v>
      </c>
      <c r="D24" s="553"/>
      <c r="E24" s="1294" t="str">
        <f>E15</f>
        <v>EC BC</v>
      </c>
      <c r="F24" s="1294" t="str">
        <f>F15</f>
        <v>EC Sc1</v>
      </c>
      <c r="G24" s="1294" t="str">
        <f>G15</f>
        <v>EC Sc2</v>
      </c>
      <c r="H24" s="1294" t="str">
        <f>H15</f>
        <v>EC Sc3</v>
      </c>
      <c r="I24" s="4"/>
      <c r="J24" s="4"/>
      <c r="K24" s="4"/>
      <c r="L24" s="4"/>
      <c r="M24" s="4"/>
      <c r="N24" s="4"/>
      <c r="O24" s="4"/>
      <c r="P24" s="4"/>
      <c r="Q24" s="4"/>
      <c r="R24" s="4"/>
      <c r="S24" s="4"/>
      <c r="T24" s="4"/>
      <c r="U24" s="4"/>
      <c r="V24" s="4"/>
      <c r="W24" s="4"/>
    </row>
    <row r="25" spans="1:83" x14ac:dyDescent="0.45">
      <c r="B25" s="1260" t="str">
        <f>B136</f>
        <v>Income (=Rent &amp; Sales Income)</v>
      </c>
      <c r="C25" s="1296">
        <f>$F$136</f>
        <v>3513640.4406654779</v>
      </c>
      <c r="D25" s="558"/>
      <c r="E25" s="1296">
        <v>3513640.4406654779</v>
      </c>
      <c r="F25" s="1296">
        <v>2925520.4362210371</v>
      </c>
      <c r="G25" s="1296">
        <v>2771230.5562210367</v>
      </c>
      <c r="H25" s="1297">
        <v>2771230.5562210367</v>
      </c>
      <c r="I25" s="4"/>
      <c r="J25" s="4"/>
      <c r="K25" s="4"/>
      <c r="L25" s="4"/>
      <c r="M25" s="4"/>
      <c r="N25" s="4"/>
      <c r="O25" s="4"/>
      <c r="P25" s="4"/>
      <c r="Q25" s="4"/>
      <c r="R25" s="4"/>
      <c r="S25" s="4"/>
      <c r="T25" s="4"/>
      <c r="U25" s="4"/>
      <c r="V25" s="4"/>
      <c r="W25" s="4"/>
    </row>
    <row r="26" spans="1:83" x14ac:dyDescent="0.45">
      <c r="B26" s="1260" t="str">
        <f>B137</f>
        <v>Costs/Expenses</v>
      </c>
      <c r="C26" s="1296">
        <f>$F$137</f>
        <v>94406766.299476683</v>
      </c>
      <c r="D26" s="558"/>
      <c r="E26" s="1296">
        <v>94406766.299476683</v>
      </c>
      <c r="F26" s="1296">
        <v>33202836.090521365</v>
      </c>
      <c r="G26" s="1296">
        <v>23757018.472657543</v>
      </c>
      <c r="H26" s="1298">
        <v>23716335.564042866</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$F$146</f>
        <v>90893125.8588112</v>
      </c>
      <c r="D27" s="558"/>
      <c r="E27" s="1299">
        <v>90893125.8588112</v>
      </c>
      <c r="F27" s="1299">
        <v>30277315.654300328</v>
      </c>
      <c r="G27" s="1299">
        <v>20985787.916436505</v>
      </c>
      <c r="H27" s="1297">
        <v>20945105.007821828</v>
      </c>
      <c r="I27" s="4"/>
      <c r="J27" s="4"/>
      <c r="K27" s="4"/>
      <c r="L27" s="4"/>
      <c r="M27" s="4"/>
      <c r="N27" s="4"/>
      <c r="O27" s="4"/>
      <c r="P27" s="4"/>
      <c r="Q27" s="4"/>
      <c r="R27" s="4"/>
      <c r="S27" s="4"/>
      <c r="T27" s="4"/>
      <c r="U27" s="4"/>
      <c r="V27" s="4"/>
      <c r="W27" s="4"/>
    </row>
    <row r="28" spans="1:83" x14ac:dyDescent="0.45">
      <c r="B28" s="1260" t="str">
        <f>B150</f>
        <v>Total EEDBS utilised</v>
      </c>
      <c r="C28" s="1296">
        <f>$F$150</f>
        <v>16764882.683887275</v>
      </c>
      <c r="D28" s="558"/>
      <c r="E28" s="1296">
        <v>16764882.683887275</v>
      </c>
      <c r="F28" s="1296">
        <v>16764882.683887277</v>
      </c>
      <c r="G28" s="1296">
        <v>16764882.683887275</v>
      </c>
      <c r="H28" s="1298">
        <v>16764882.683887275</v>
      </c>
      <c r="I28" s="4"/>
      <c r="J28" s="4"/>
      <c r="K28" s="4"/>
      <c r="L28" s="4"/>
      <c r="M28" s="4"/>
      <c r="N28" s="4"/>
      <c r="O28" s="4"/>
      <c r="P28" s="4"/>
      <c r="Q28" s="4"/>
      <c r="R28" s="4"/>
      <c r="S28" s="4"/>
      <c r="T28" s="4"/>
      <c r="U28" s="4"/>
      <c r="V28" s="4"/>
      <c r="W28" s="4"/>
    </row>
    <row r="29" spans="1:83" x14ac:dyDescent="0.45">
      <c r="B29" s="1263" t="s">
        <v>1768</v>
      </c>
      <c r="C29" s="1300">
        <f>SUM(C27:C28)</f>
        <v>107658008.54269847</v>
      </c>
      <c r="D29" s="558"/>
      <c r="E29" s="1300">
        <v>107658008.54269847</v>
      </c>
      <c r="F29" s="1300">
        <v>47042198.338187605</v>
      </c>
      <c r="G29" s="1300">
        <v>37750670.600323781</v>
      </c>
      <c r="H29" s="1301">
        <v>37709987.691709101</v>
      </c>
      <c r="I29" s="4"/>
      <c r="J29" s="4"/>
      <c r="K29" s="4"/>
      <c r="L29" s="4"/>
      <c r="M29" s="4"/>
      <c r="N29" s="4"/>
      <c r="O29" s="4"/>
      <c r="P29" s="4"/>
      <c r="Q29" s="4"/>
      <c r="R29" s="4"/>
      <c r="S29" s="4"/>
      <c r="T29" s="4"/>
      <c r="U29" s="4"/>
      <c r="V29" s="4"/>
      <c r="W29" s="4"/>
    </row>
    <row r="30" spans="1:83" x14ac:dyDescent="0.45">
      <c r="B30" s="1276" t="str">
        <f>B157</f>
        <v>Total HSDG &amp; EEDBS per Base Case</v>
      </c>
      <c r="C30" s="1302">
        <f>$F$157</f>
        <v>107686152.83970247</v>
      </c>
      <c r="D30" s="558"/>
      <c r="E30" s="1302">
        <v>107686152.83970247</v>
      </c>
      <c r="F30" s="1302">
        <v>107686152.83970247</v>
      </c>
      <c r="G30" s="1302">
        <v>107686152.83970247</v>
      </c>
      <c r="H30" s="1303">
        <v>107686152.83970247</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C29-$E29</f>
        <v>0</v>
      </c>
      <c r="D31" s="1304"/>
      <c r="E31" s="1293">
        <v>0</v>
      </c>
      <c r="F31" s="1293">
        <v>-60615810.204510868</v>
      </c>
      <c r="G31" s="1293">
        <v>-69907337.942374691</v>
      </c>
      <c r="H31" s="1295">
        <v>-69948020.850989372</v>
      </c>
      <c r="I31" s="4"/>
      <c r="J31" s="4"/>
      <c r="K31" s="4"/>
      <c r="L31" s="4"/>
      <c r="M31" s="4"/>
      <c r="N31" s="4"/>
      <c r="O31" s="4"/>
      <c r="P31" s="4"/>
      <c r="Q31" s="4"/>
      <c r="R31" s="4"/>
      <c r="S31" s="4"/>
      <c r="T31" s="4"/>
      <c r="U31" s="4"/>
      <c r="V31" s="4"/>
      <c r="W31" s="4"/>
    </row>
    <row r="32" spans="1:83" x14ac:dyDescent="0.45">
      <c r="B32" s="1260" t="s">
        <v>155</v>
      </c>
      <c r="C32" s="1305">
        <f>$F$147</f>
        <v>90</v>
      </c>
      <c r="D32" s="558"/>
      <c r="E32" s="1305">
        <v>90</v>
      </c>
      <c r="F32" s="1305">
        <v>90</v>
      </c>
      <c r="G32" s="1305">
        <v>90</v>
      </c>
      <c r="H32" s="1306">
        <v>90</v>
      </c>
      <c r="I32" s="4"/>
      <c r="J32" s="4"/>
      <c r="K32" s="4"/>
      <c r="L32" s="4"/>
      <c r="M32" s="4"/>
      <c r="N32" s="4"/>
      <c r="O32" s="4"/>
      <c r="P32" s="4"/>
      <c r="Q32" s="4"/>
      <c r="R32" s="4"/>
      <c r="S32" s="4"/>
      <c r="T32" s="4"/>
      <c r="U32" s="4"/>
      <c r="V32" s="4"/>
      <c r="W32" s="4"/>
    </row>
    <row r="33" spans="1:83" x14ac:dyDescent="0.45">
      <c r="B33" s="1264" t="str">
        <f>B151</f>
        <v>EEDBS per Existing Rental Unit</v>
      </c>
      <c r="C33" s="1296">
        <f>$F$151</f>
        <v>186276.47426541417</v>
      </c>
      <c r="D33" s="558"/>
      <c r="E33" s="1296">
        <v>186276.47426541417</v>
      </c>
      <c r="F33" s="1296">
        <v>186276.47426541417</v>
      </c>
      <c r="G33" s="1296">
        <v>186276.47426541417</v>
      </c>
      <c r="H33" s="1298">
        <v>186276.47426541417</v>
      </c>
      <c r="I33" s="4"/>
      <c r="J33" s="4"/>
      <c r="K33" s="4"/>
      <c r="L33" s="4"/>
      <c r="M33" s="4"/>
      <c r="N33" s="4"/>
      <c r="O33" s="4"/>
      <c r="P33" s="4"/>
      <c r="Q33" s="4"/>
      <c r="R33" s="4"/>
      <c r="S33" s="4"/>
      <c r="T33" s="4"/>
      <c r="U33" s="4"/>
      <c r="V33" s="4"/>
      <c r="W33" s="4"/>
    </row>
    <row r="34" spans="1:83" x14ac:dyDescent="0.45">
      <c r="B34" s="1264" t="str">
        <f>B148</f>
        <v>HSDG Top Slice per Existing Rental Unit</v>
      </c>
      <c r="C34" s="1296">
        <f>$F$148</f>
        <v>1009923.6206534578</v>
      </c>
      <c r="D34" s="558"/>
      <c r="E34" s="1296">
        <v>1009923.6206534578</v>
      </c>
      <c r="F34" s="1296">
        <v>336414.61838111473</v>
      </c>
      <c r="G34" s="1296">
        <v>233175.42129373894</v>
      </c>
      <c r="H34" s="1298">
        <v>232723.38897579809</v>
      </c>
      <c r="I34" s="4"/>
      <c r="J34" s="4"/>
      <c r="K34" s="4"/>
      <c r="L34" s="4"/>
      <c r="M34" s="4"/>
      <c r="N34" s="4"/>
      <c r="O34" s="4"/>
      <c r="P34" s="4"/>
      <c r="Q34" s="4"/>
      <c r="R34" s="4"/>
      <c r="S34" s="4"/>
      <c r="T34" s="4"/>
      <c r="U34" s="4"/>
      <c r="V34" s="4"/>
      <c r="W34" s="4"/>
    </row>
    <row r="35" spans="1:83" x14ac:dyDescent="0.45">
      <c r="B35" s="1264" t="str">
        <f>B153</f>
        <v>Total Government Contribution p.u.</v>
      </c>
      <c r="C35" s="1299">
        <f>$F$153</f>
        <v>1196200.094918872</v>
      </c>
      <c r="D35" s="558"/>
      <c r="E35" s="1299">
        <v>1196200.094918872</v>
      </c>
      <c r="F35" s="1299">
        <v>522691.09264652897</v>
      </c>
      <c r="G35" s="1299">
        <v>419451.89555915311</v>
      </c>
      <c r="H35" s="1297">
        <v>418999.86324121221</v>
      </c>
      <c r="I35" s="4"/>
      <c r="J35" s="4"/>
      <c r="K35" s="4"/>
      <c r="L35" s="4"/>
      <c r="M35" s="4"/>
      <c r="N35" s="4"/>
      <c r="O35" s="4"/>
      <c r="P35" s="4"/>
      <c r="Q35" s="4"/>
      <c r="R35" s="4"/>
      <c r="S35" s="4"/>
      <c r="T35" s="4"/>
      <c r="U35" s="4"/>
      <c r="V35" s="4"/>
      <c r="W35" s="4"/>
    </row>
    <row r="36" spans="1:83" x14ac:dyDescent="0.45">
      <c r="B36" s="948" t="s">
        <v>1773</v>
      </c>
      <c r="C36" s="1296">
        <f>C35-$E35</f>
        <v>0</v>
      </c>
      <c r="D36" s="558"/>
      <c r="E36" s="1296">
        <v>0</v>
      </c>
      <c r="F36" s="1296">
        <v>-673509.00227234303</v>
      </c>
      <c r="G36" s="1296">
        <v>-776748.19935971894</v>
      </c>
      <c r="H36" s="1298">
        <v>-777200.23167765979</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$F$161</f>
        <v>856923.62065345782</v>
      </c>
      <c r="D39" s="558"/>
      <c r="E39" s="1307">
        <v>856923.62065345782</v>
      </c>
      <c r="F39" s="1307">
        <v>183414.61838111473</v>
      </c>
      <c r="G39" s="1307">
        <v>80175.421293738938</v>
      </c>
      <c r="H39" s="1308">
        <v>79723.388975798094</v>
      </c>
      <c r="I39" s="4"/>
      <c r="J39" s="4"/>
      <c r="K39" s="4"/>
      <c r="L39" s="4"/>
      <c r="M39" s="4"/>
      <c r="N39" s="4"/>
      <c r="O39" s="4"/>
      <c r="P39" s="4"/>
      <c r="Q39" s="4"/>
      <c r="R39" s="4"/>
      <c r="S39" s="4"/>
      <c r="T39" s="4"/>
      <c r="U39" s="4"/>
      <c r="V39" s="4"/>
      <c r="W39" s="4"/>
      <c r="AC39" s="1256" t="str">
        <f>B156</f>
        <v>Cost to the State (HSDG &amp; EEDBS) per Projected Scenario</v>
      </c>
      <c r="AD39" s="1257">
        <f>$F$156</f>
        <v>107686152.83970247</v>
      </c>
      <c r="AE39" s="1257"/>
      <c r="AF39" s="1257">
        <f>$F$156</f>
        <v>107686152.83970247</v>
      </c>
      <c r="AG39" s="1257">
        <f>$F$156</f>
        <v>107686152.83970247</v>
      </c>
      <c r="AH39" s="1257">
        <f>$F$156</f>
        <v>107686152.83970247</v>
      </c>
      <c r="AI39" s="1257">
        <f>$F$156</f>
        <v>107686152.83970247</v>
      </c>
      <c r="CB39" s="1204"/>
      <c r="CC39" s="1204"/>
      <c r="CD39" s="1204"/>
      <c r="CE39" s="1204"/>
    </row>
    <row r="40" spans="1:83" ht="15.75" x14ac:dyDescent="0.45">
      <c r="A40" s="1262"/>
      <c r="B40" s="1260" t="s">
        <v>1709</v>
      </c>
      <c r="C40" s="1220">
        <f>$F$162</f>
        <v>854923.62065345782</v>
      </c>
      <c r="D40" s="558"/>
      <c r="E40" s="1307">
        <v>854923.62065345782</v>
      </c>
      <c r="F40" s="1307">
        <v>181414.61838111473</v>
      </c>
      <c r="G40" s="1307">
        <v>78175.421293738938</v>
      </c>
      <c r="H40" s="1308">
        <v>77723.388975798094</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$F$163</f>
        <v>744923.62065345782</v>
      </c>
      <c r="D41" s="558"/>
      <c r="E41" s="1307">
        <v>744923.62065345782</v>
      </c>
      <c r="F41" s="1307">
        <v>71414.618381114735</v>
      </c>
      <c r="G41" s="1307">
        <v>-31824.578706261062</v>
      </c>
      <c r="H41" s="1308">
        <v>-32276.611024201906</v>
      </c>
      <c r="I41" s="4"/>
      <c r="J41" s="4"/>
      <c r="K41" s="4"/>
      <c r="L41" s="4"/>
      <c r="M41" s="4"/>
      <c r="N41" s="4"/>
      <c r="O41" s="4"/>
      <c r="P41" s="4"/>
      <c r="Q41" s="4"/>
      <c r="R41" s="4"/>
      <c r="S41" s="4"/>
      <c r="T41" s="4"/>
      <c r="U41" s="4"/>
      <c r="V41" s="4"/>
      <c r="W41" s="4"/>
      <c r="AC41" s="1258"/>
      <c r="AD41" s="1257">
        <f>AD39-AD40</f>
        <v>107686152.83970247</v>
      </c>
      <c r="AE41" s="1257"/>
      <c r="AF41" s="1257">
        <f>AF39-AF40</f>
        <v>107686152.83970247</v>
      </c>
      <c r="AG41" s="1258"/>
      <c r="AH41" s="1257">
        <f>AH39-AH40</f>
        <v>107686152.83970247</v>
      </c>
      <c r="AI41" s="1257">
        <f>AI39-AI40</f>
        <v>107686152.83970247</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'9b. Forecast Results - EC'!N5</f>
        <v>2013/14</v>
      </c>
      <c r="AD135" s="803" t="str">
        <f>'9b. Forecast Results - EC'!O5</f>
        <v>2014/15</v>
      </c>
      <c r="AE135" s="803" t="str">
        <f>'9b. Forecast Results - EC'!P5</f>
        <v>2015/16</v>
      </c>
      <c r="AF135" s="803" t="str">
        <f>'9b. Forecast Results - EC'!Q5</f>
        <v>2016/17</v>
      </c>
      <c r="AG135" s="803" t="str">
        <f>'9b. Forecast Results - EC'!R5</f>
        <v>2017/18</v>
      </c>
      <c r="AH135" s="803" t="str">
        <f>'9b. Forecast Results - EC'!S5</f>
        <v>2018/19</v>
      </c>
      <c r="AI135" s="803" t="str">
        <f>'9b. Forecast Results - EC'!T5</f>
        <v>2019/20</v>
      </c>
      <c r="AJ135" s="803" t="str">
        <f>'9b. Forecast Results - EC'!U5</f>
        <v>2020/21</v>
      </c>
      <c r="AK135" s="803" t="str">
        <f>'9b. Forecast Results - EC'!V5</f>
        <v>2021/22</v>
      </c>
      <c r="AL135" s="803" t="str">
        <f>'9b. Forecast Results - EC'!W5</f>
        <v>2022/23</v>
      </c>
      <c r="AM135" s="803" t="str">
        <f>'9b. Forecast Results - EC'!X5</f>
        <v>2023/24</v>
      </c>
      <c r="AN135" s="803" t="str">
        <f>'9b. Forecast Results - EC'!Y5</f>
        <v>2024/25</v>
      </c>
      <c r="AO135" s="803" t="str">
        <f>'9b. Forecast Results - EC'!Z5</f>
        <v>2025/26</v>
      </c>
      <c r="AP135" s="803" t="str">
        <f>'9b. Forecast Results - EC'!AA5</f>
        <v>2026/27</v>
      </c>
      <c r="AQ135" s="803" t="str">
        <f>'9b. Forecast Results - EC'!AB5</f>
        <v>2027/28</v>
      </c>
      <c r="AR135" s="803" t="str">
        <f>'9b. Forecast Results - EC'!AC5</f>
        <v>2028/29</v>
      </c>
      <c r="AS135" s="803" t="str">
        <f>'9b. Forecast Results - EC'!AD5</f>
        <v>2029/30</v>
      </c>
      <c r="AT135" s="803" t="str">
        <f>'9b. Forecast Results - EC'!AE5</f>
        <v>2030/31</v>
      </c>
      <c r="AU135" s="803" t="str">
        <f>'9b. Forecast Results - EC'!AF5</f>
        <v>2031/32</v>
      </c>
      <c r="AV135" s="803" t="str">
        <f>'9b. Forecast Results - EC'!AG5</f>
        <v>3032/33</v>
      </c>
      <c r="AW135" s="803" t="str">
        <f>'9b. Forecast Results - EC'!AH5</f>
        <v>2033/34</v>
      </c>
      <c r="AX135" s="803" t="str">
        <f>'9b. Forecast Results - EC'!AI5</f>
        <v>2034/35</v>
      </c>
      <c r="AY135" s="803" t="str">
        <f>'9b. Forecast Results - EC'!AJ5</f>
        <v>2035/36</v>
      </c>
      <c r="AZ135" s="803" t="str">
        <f>'9b. Forecast Results - EC'!AK5</f>
        <v>2036/37</v>
      </c>
    </row>
    <row r="136" spans="1:52" x14ac:dyDescent="0.45">
      <c r="B136" s="1263" t="s">
        <v>1551</v>
      </c>
      <c r="C136" s="558"/>
      <c r="D136" s="558"/>
      <c r="E136" s="971">
        <f>+SUM('9b. Forecast Results - EC'!S28:W28)</f>
        <v>1077027.7126860777</v>
      </c>
      <c r="F136" s="971">
        <f>+'9b. Forecast Results - EC'!AL28</f>
        <v>3513640.4406654779</v>
      </c>
      <c r="G136" s="971"/>
      <c r="H136" s="1283"/>
      <c r="J136" s="4"/>
      <c r="K136" s="4"/>
      <c r="L136" s="4"/>
      <c r="M136" s="4"/>
      <c r="N136" s="4"/>
      <c r="O136" s="4"/>
      <c r="P136" s="4"/>
      <c r="Q136" s="4"/>
      <c r="R136" s="4"/>
      <c r="S136" s="4"/>
      <c r="T136" s="4"/>
      <c r="U136" s="4"/>
      <c r="V136" s="4"/>
      <c r="W136" s="4"/>
      <c r="AB136" s="803" t="str">
        <f>'9b. Forecast Results - EC'!D28</f>
        <v>Total Income</v>
      </c>
      <c r="AC136" s="533">
        <f>'9b. Forecast Results - EC'!N28</f>
        <v>986752.92000000016</v>
      </c>
      <c r="AD136" s="533">
        <f>'9b. Forecast Results - EC'!O28</f>
        <v>897187.48</v>
      </c>
      <c r="AE136" s="533">
        <f>'9b. Forecast Results - EC'!P28</f>
        <v>774350.93</v>
      </c>
      <c r="AF136" s="533">
        <f>'9b. Forecast Results - EC'!Q28</f>
        <v>650954.76724420744</v>
      </c>
      <c r="AG136" s="533">
        <f>'9b. Forecast Results - EC'!R28</f>
        <v>606996.28724420746</v>
      </c>
      <c r="AH136" s="533">
        <f>'9b. Forecast Results - EC'!S28</f>
        <v>563037.80724420748</v>
      </c>
      <c r="AI136" s="533">
        <f>'9b. Forecast Results - EC'!T28</f>
        <v>135823.88969380083</v>
      </c>
      <c r="AJ136" s="533">
        <f>'9b. Forecast Results - EC'!U28</f>
        <v>130939.61413824529</v>
      </c>
      <c r="AK136" s="533">
        <f>'9b. Forecast Results - EC'!V28</f>
        <v>126055.33858268973</v>
      </c>
      <c r="AL136" s="533">
        <f>'9b. Forecast Results - EC'!W28</f>
        <v>121171.06302713418</v>
      </c>
      <c r="AM136" s="533">
        <f>'9b. Forecast Results - EC'!X28</f>
        <v>116286.78747157862</v>
      </c>
      <c r="AN136" s="533">
        <f>'9b. Forecast Results - EC'!Y28</f>
        <v>111402.51191602307</v>
      </c>
      <c r="AO136" s="533">
        <f>'9b. Forecast Results - EC'!Z28</f>
        <v>106518.2363604675</v>
      </c>
      <c r="AP136" s="533">
        <f>'9b. Forecast Results - EC'!AA28</f>
        <v>101633.96080491194</v>
      </c>
      <c r="AQ136" s="533">
        <f>'9b. Forecast Results - EC'!AB28</f>
        <v>96749.685249356393</v>
      </c>
      <c r="AR136" s="533">
        <f>'9b. Forecast Results - EC'!AC28</f>
        <v>91865.409693800844</v>
      </c>
      <c r="AS136" s="533">
        <f>'9b. Forecast Results - EC'!AD28</f>
        <v>86981.134138245281</v>
      </c>
      <c r="AT136" s="533">
        <f>'9b. Forecast Results - EC'!AE28</f>
        <v>82096.858582689732</v>
      </c>
      <c r="AU136" s="533">
        <f>'9b. Forecast Results - EC'!AF28</f>
        <v>77212.583027134169</v>
      </c>
      <c r="AV136" s="533">
        <f>'9b. Forecast Results - EC'!AG28</f>
        <v>72328.307471578621</v>
      </c>
      <c r="AW136" s="533">
        <f>'9b. Forecast Results - EC'!AH28</f>
        <v>67444.031916023057</v>
      </c>
      <c r="AX136" s="533">
        <f>'9b. Forecast Results - EC'!AI28</f>
        <v>62559.756360467509</v>
      </c>
      <c r="AY136" s="533">
        <f>'9b. Forecast Results - EC'!AJ28</f>
        <v>105582.41049871279</v>
      </c>
      <c r="AZ136" s="533">
        <f>'9b. Forecast Results - EC'!AK28</f>
        <v>0</v>
      </c>
    </row>
    <row r="137" spans="1:52" x14ac:dyDescent="0.45">
      <c r="B137" s="1263" t="s">
        <v>1510</v>
      </c>
      <c r="C137" s="558"/>
      <c r="D137" s="558"/>
      <c r="E137" s="971">
        <f>+SUM(E138:E143)</f>
        <v>28352526.492348202</v>
      </c>
      <c r="F137" s="971">
        <f>+SUM(F138:F143)</f>
        <v>94406766.299476683</v>
      </c>
      <c r="G137" s="971"/>
      <c r="H137" s="1283"/>
      <c r="J137" s="4"/>
      <c r="K137" s="4"/>
      <c r="L137" s="4"/>
      <c r="M137" s="4"/>
      <c r="N137" s="4"/>
      <c r="O137" s="4"/>
      <c r="P137" s="4"/>
      <c r="Q137" s="4"/>
      <c r="R137" s="4"/>
      <c r="S137" s="4"/>
      <c r="T137" s="4"/>
      <c r="U137" s="4"/>
      <c r="V137" s="4"/>
      <c r="W137" s="4"/>
      <c r="AB137" s="803" t="str">
        <f>'9b. Forecast Results - EC'!D47</f>
        <v>Total Expenditure</v>
      </c>
      <c r="AC137" s="533">
        <f>-'9b. Forecast Results - EC'!N47</f>
        <v>-10341549.390000001</v>
      </c>
      <c r="AD137" s="533">
        <f>-'9b. Forecast Results - EC'!O47</f>
        <v>-11126424.74</v>
      </c>
      <c r="AE137" s="533">
        <f>-'9b. Forecast Results - EC'!P47</f>
        <v>-11189539.09</v>
      </c>
      <c r="AF137" s="533">
        <f>-'9b. Forecast Results - EC'!Q47</f>
        <v>-9701626.2512849998</v>
      </c>
      <c r="AG137" s="533">
        <f>-'9b. Forecast Results - EC'!R47</f>
        <v>-7883264.6445640996</v>
      </c>
      <c r="AH137" s="533">
        <f>-'9b. Forecast Results - EC'!S47</f>
        <v>-5835535.8416937636</v>
      </c>
      <c r="AI137" s="533">
        <f>-'9b. Forecast Results - EC'!T47</f>
        <v>-5697948.2137706475</v>
      </c>
      <c r="AJ137" s="533">
        <f>-'9b. Forecast Results - EC'!U47</f>
        <v>-5666321.8117248667</v>
      </c>
      <c r="AK137" s="533">
        <f>-'9b. Forecast Results - EC'!V47</f>
        <v>-5613980.2121073939</v>
      </c>
      <c r="AL137" s="533">
        <f>-'9b. Forecast Results - EC'!W47</f>
        <v>-5538740.4130515298</v>
      </c>
      <c r="AM137" s="533">
        <f>-'9b. Forecast Results - EC'!X47</f>
        <v>-5438241.9459578963</v>
      </c>
      <c r="AN137" s="533">
        <f>-'9b. Forecast Results - EC'!Y47</f>
        <v>-5309933.9577344833</v>
      </c>
      <c r="AO137" s="533">
        <f>-'9b. Forecast Results - EC'!Z47</f>
        <v>-5151061.4089199724</v>
      </c>
      <c r="AP137" s="533">
        <f>-'9b. Forecast Results - EC'!AA47</f>
        <v>-4958650.3295137174</v>
      </c>
      <c r="AQ137" s="533">
        <f>-'9b. Forecast Results - EC'!AB47</f>
        <v>-4729492.0706107933</v>
      </c>
      <c r="AR137" s="533">
        <f>-'9b. Forecast Results - EC'!AC47</f>
        <v>-4460126.4859817661</v>
      </c>
      <c r="AS137" s="533">
        <f>-'9b. Forecast Results - EC'!AD47</f>
        <v>-4146823.9735299493</v>
      </c>
      <c r="AT137" s="533">
        <f>-'9b. Forecast Results - EC'!AE47</f>
        <v>-3785566.3020883375</v>
      </c>
      <c r="AU137" s="533">
        <f>-'9b. Forecast Results - EC'!AF47</f>
        <v>-3372026.1442682222</v>
      </c>
      <c r="AV137" s="533">
        <f>-'9b. Forecast Results - EC'!AG47</f>
        <v>-2901545.2310240753</v>
      </c>
      <c r="AW137" s="533">
        <f>-'9b. Forecast Results - EC'!AH47</f>
        <v>-2369111.0382366609</v>
      </c>
      <c r="AX137" s="533">
        <f>-'9b. Forecast Results - EC'!AI47</f>
        <v>-1769331.9099187839</v>
      </c>
      <c r="AY137" s="533">
        <f>-'9b. Forecast Results - EC'!AJ47</f>
        <v>-77438.113494705685</v>
      </c>
      <c r="AZ137" s="533">
        <f>-'9b. Forecast Results - EC'!AK47</f>
        <v>0</v>
      </c>
    </row>
    <row r="138" spans="1:52" x14ac:dyDescent="0.45">
      <c r="B138" s="1284" t="str">
        <f>'9b. Forecast Results - EC'!D31</f>
        <v>Rates &amp; Taxes</v>
      </c>
      <c r="C138" s="558"/>
      <c r="D138" s="558"/>
      <c r="E138" s="1215">
        <f>+SUM('9b. Forecast Results - EC'!S31:W31)</f>
        <v>252001.66593494211</v>
      </c>
      <c r="F138" s="1215">
        <f>+'9b. Forecast Results - EC'!AL31</f>
        <v>834362.49358135683</v>
      </c>
      <c r="G138" s="971"/>
      <c r="H138" s="1283"/>
      <c r="J138" s="4"/>
      <c r="K138" s="4"/>
      <c r="L138" s="4"/>
      <c r="M138" s="4"/>
      <c r="N138" s="4"/>
      <c r="O138" s="4"/>
      <c r="P138" s="4"/>
      <c r="Q138" s="4"/>
      <c r="R138" s="4"/>
      <c r="S138" s="4"/>
      <c r="T138" s="4"/>
      <c r="U138" s="4"/>
      <c r="V138" s="4"/>
      <c r="W138" s="4"/>
      <c r="AB138" s="803" t="str">
        <f>'9b. Forecast Results - EC'!D48</f>
        <v>Net Surplus / (Deficit)</v>
      </c>
      <c r="AC138" s="533">
        <f>'9b. Forecast Results - EC'!N48</f>
        <v>-9354796.4700000007</v>
      </c>
      <c r="AD138" s="533">
        <f>'9b. Forecast Results - EC'!O48</f>
        <v>-10229237.26</v>
      </c>
      <c r="AE138" s="533">
        <f>'9b. Forecast Results - EC'!P48</f>
        <v>-10415188.16</v>
      </c>
      <c r="AF138" s="533">
        <f>'9b. Forecast Results - EC'!Q48</f>
        <v>-9050671.484040793</v>
      </c>
      <c r="AG138" s="533">
        <f>'9b. Forecast Results - EC'!R48</f>
        <v>-7276268.3573198924</v>
      </c>
      <c r="AH138" s="533">
        <f>'9b. Forecast Results - EC'!S48</f>
        <v>-5272498.0344495559</v>
      </c>
      <c r="AI138" s="533">
        <f>'9b. Forecast Results - EC'!T48</f>
        <v>-5562124.3240768462</v>
      </c>
      <c r="AJ138" s="533">
        <f>'9b. Forecast Results - EC'!U48</f>
        <v>-5535382.1975866212</v>
      </c>
      <c r="AK138" s="533">
        <f>'9b. Forecast Results - EC'!V48</f>
        <v>-5487924.873524704</v>
      </c>
      <c r="AL138" s="533">
        <f>'9b. Forecast Results - EC'!W48</f>
        <v>-5417569.3500243956</v>
      </c>
      <c r="AM138" s="533">
        <f>'9b. Forecast Results - EC'!X48</f>
        <v>-5321955.1584863178</v>
      </c>
      <c r="AN138" s="533">
        <f>'9b. Forecast Results - EC'!Y48</f>
        <v>-5198531.4458184605</v>
      </c>
      <c r="AO138" s="533">
        <f>'9b. Forecast Results - EC'!Z48</f>
        <v>-5044543.1725595053</v>
      </c>
      <c r="AP138" s="533">
        <f>'9b. Forecast Results - EC'!AA48</f>
        <v>-4857016.3687088052</v>
      </c>
      <c r="AQ138" s="533">
        <f>'9b. Forecast Results - EC'!AB48</f>
        <v>-4632742.3853614368</v>
      </c>
      <c r="AR138" s="533">
        <f>'9b. Forecast Results - EC'!AC48</f>
        <v>-4368261.0762879653</v>
      </c>
      <c r="AS138" s="533">
        <f>'9b. Forecast Results - EC'!AD48</f>
        <v>-4059842.8393917042</v>
      </c>
      <c r="AT138" s="533">
        <f>'9b. Forecast Results - EC'!AE48</f>
        <v>-3703469.4435056476</v>
      </c>
      <c r="AU138" s="533">
        <f>'9b. Forecast Results - EC'!AF48</f>
        <v>-3294813.561241088</v>
      </c>
      <c r="AV138" s="533">
        <f>'9b. Forecast Results - EC'!AG48</f>
        <v>-2829216.9235524968</v>
      </c>
      <c r="AW138" s="533">
        <f>'9b. Forecast Results - EC'!AH48</f>
        <v>-2301667.0063206377</v>
      </c>
      <c r="AX138" s="533">
        <f>'9b. Forecast Results - EC'!AI48</f>
        <v>-1706772.1535583164</v>
      </c>
      <c r="AY138" s="533">
        <f>'9b. Forecast Results - EC'!AJ48</f>
        <v>28144.297004007109</v>
      </c>
      <c r="AZ138" s="533">
        <f>'9b. Forecast Results - EC'!AK48</f>
        <v>0</v>
      </c>
    </row>
    <row r="139" spans="1:52" x14ac:dyDescent="0.45">
      <c r="B139" s="1284" t="str">
        <f>'9b. Forecast Results - EC'!D32</f>
        <v>Municipal Charges</v>
      </c>
      <c r="C139" s="558"/>
      <c r="D139" s="558"/>
      <c r="E139" s="1216">
        <f>+SUM('9b. Forecast Results - EC'!S32:W32)</f>
        <v>2508823.1927166809</v>
      </c>
      <c r="F139" s="1216">
        <f>+'9b. Forecast Results - EC'!AL32</f>
        <v>8306564.0350577645</v>
      </c>
      <c r="G139" s="971"/>
      <c r="H139" s="1283"/>
      <c r="AB139" s="803" t="s">
        <v>1697</v>
      </c>
      <c r="AC139" s="533">
        <f>SUM($AC138:AC138)</f>
        <v>-9354796.4700000007</v>
      </c>
      <c r="AD139" s="533">
        <f>SUM($AC138:AD138)</f>
        <v>-19584033.73</v>
      </c>
      <c r="AE139" s="533">
        <f>SUM($AC138:AE138)</f>
        <v>-29999221.890000001</v>
      </c>
      <c r="AF139" s="533">
        <f>SUM($AC138:AF138)</f>
        <v>-39049893.374040797</v>
      </c>
      <c r="AG139" s="533">
        <f>SUM($AC138:AG138)</f>
        <v>-46326161.731360689</v>
      </c>
      <c r="AH139" s="533">
        <f>SUM($AC138:AH138)</f>
        <v>-51598659.765810244</v>
      </c>
      <c r="AI139" s="533">
        <f>SUM($AC138:AI138)</f>
        <v>-57160784.08988709</v>
      </c>
      <c r="AJ139" s="533">
        <f>SUM($AC138:AJ138)</f>
        <v>-62696166.287473708</v>
      </c>
      <c r="AK139" s="533">
        <f>SUM($AC138:AK138)</f>
        <v>-68184091.160998419</v>
      </c>
      <c r="AL139" s="533">
        <f>SUM($AC138:AL138)</f>
        <v>-73601660.511022821</v>
      </c>
      <c r="AM139" s="533">
        <f>SUM($AC138:AM138)</f>
        <v>-78923615.669509143</v>
      </c>
      <c r="AN139" s="533">
        <f>SUM($AC138:AN138)</f>
        <v>-84122147.115327597</v>
      </c>
      <c r="AO139" s="533">
        <f>SUM($AC138:AO138)</f>
        <v>-89166690.287887096</v>
      </c>
      <c r="AP139" s="533">
        <f>SUM($AC138:AP138)</f>
        <v>-94023706.656595901</v>
      </c>
      <c r="AQ139" s="533">
        <f>SUM($AC138:AQ138)</f>
        <v>-98656449.041957334</v>
      </c>
      <c r="AR139" s="533">
        <f>SUM($AC138:AR138)</f>
        <v>-103024710.1182453</v>
      </c>
      <c r="AS139" s="533">
        <f>SUM($AC138:AS138)</f>
        <v>-107084552.95763701</v>
      </c>
      <c r="AT139" s="533">
        <f>SUM($AC138:AT138)</f>
        <v>-110788022.40114266</v>
      </c>
      <c r="AU139" s="533">
        <f>SUM($AC138:AU138)</f>
        <v>-114082835.96238375</v>
      </c>
      <c r="AV139" s="533">
        <f>SUM($AC138:AV138)</f>
        <v>-116912052.88593625</v>
      </c>
      <c r="AW139" s="533">
        <f>SUM($AC138:AW138)</f>
        <v>-119213719.89225689</v>
      </c>
      <c r="AX139" s="533">
        <f>SUM($AC138:AX138)</f>
        <v>-120920492.0458152</v>
      </c>
      <c r="AY139" s="533">
        <f>SUM($AC138:AY138)</f>
        <v>-120892347.74881119</v>
      </c>
      <c r="AZ139" s="533">
        <f>SUM($AC138:AZ138)</f>
        <v>-120892347.74881119</v>
      </c>
    </row>
    <row r="140" spans="1:52" x14ac:dyDescent="0.45">
      <c r="B140" s="1284" t="str">
        <f>'9b. Forecast Results - EC'!D33</f>
        <v>Maintenance</v>
      </c>
      <c r="C140" s="558"/>
      <c r="D140" s="558"/>
      <c r="E140" s="1216">
        <f>+SUM('9b. Forecast Results - EC'!S33:W33)</f>
        <v>0</v>
      </c>
      <c r="F140" s="1216">
        <f>+'9b. Forecast Results - EC'!AL33</f>
        <v>0</v>
      </c>
      <c r="G140" s="971"/>
      <c r="H140" s="1283"/>
      <c r="AB140" s="451" t="s">
        <v>1699</v>
      </c>
    </row>
    <row r="141" spans="1:52" x14ac:dyDescent="0.45">
      <c r="B141" s="1284" t="str">
        <f>'9b. Forecast Results - EC'!D36</f>
        <v>Total Disposal Costs</v>
      </c>
      <c r="C141" s="558"/>
      <c r="D141" s="558"/>
      <c r="E141" s="1216">
        <f>+SUM('9b. Forecast Results - EC'!S36:W36)</f>
        <v>211625.31374314771</v>
      </c>
      <c r="F141" s="1216">
        <f>+'9b. Forecast Results - EC'!AL36</f>
        <v>881694.30890112126</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'9b. Forecast Results - EC'!D43</f>
        <v>Staff</v>
      </c>
      <c r="C142" s="558"/>
      <c r="D142" s="558"/>
      <c r="E142" s="1216">
        <f>+SUM('9b. Forecast Results - EC'!S43:W43)</f>
        <v>4066125.1737566851</v>
      </c>
      <c r="F142" s="1216">
        <f>+'9b. Forecast Results - EC'!AL43</f>
        <v>13814923.78463598</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SUM('9b. Forecast Results - EC'!S47:W47)-SUM(E138:E142)</f>
        <v>21313951.146196745</v>
      </c>
      <c r="F143" s="1217">
        <f>+'9b. Forecast Results - EC'!AL47-SUM(F138:F142)</f>
        <v>70569221.677300453</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+E136-E137</f>
        <v>-27275498.779662125</v>
      </c>
      <c r="F145" s="1218">
        <f>+F136-F137</f>
        <v>-90893125.8588112</v>
      </c>
      <c r="G145" s="971"/>
      <c r="H145" s="1283"/>
    </row>
    <row r="146" spans="1:8" ht="14.65" thickTop="1" x14ac:dyDescent="0.45">
      <c r="B146" s="1289" t="s">
        <v>1552</v>
      </c>
      <c r="C146" s="558"/>
      <c r="D146" s="558"/>
      <c r="E146" s="1220">
        <f>-E145</f>
        <v>27275498.779662125</v>
      </c>
      <c r="F146" s="1220">
        <f>-F145</f>
        <v>90893125.8588112</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26</v>
      </c>
      <c r="F147" s="1219">
        <f>SUMIF('10. Inputs &amp; Calcs'!$D$51:$D$56,$C$12,'10. Inputs &amp; Calcs'!$AD$51:$AD$56)</f>
        <v>90</v>
      </c>
      <c r="G147" s="1219"/>
      <c r="H147" s="1283"/>
    </row>
    <row r="148" spans="1:8" x14ac:dyDescent="0.45">
      <c r="B148" s="1261" t="s">
        <v>1559</v>
      </c>
      <c r="C148" s="18"/>
      <c r="D148" s="18"/>
      <c r="E148" s="971">
        <f>-E145/E147</f>
        <v>1049057.6453716201</v>
      </c>
      <c r="F148" s="971">
        <f>-F145/F147</f>
        <v>1009923.6206534578</v>
      </c>
      <c r="G148" s="18"/>
      <c r="H148" s="1283"/>
    </row>
    <row r="149" spans="1:8" x14ac:dyDescent="0.45">
      <c r="B149" s="1260" t="s">
        <v>1503</v>
      </c>
      <c r="C149" s="558"/>
      <c r="D149" s="558"/>
      <c r="E149" s="971">
        <f>IF(E$147&lt;&gt;0,E141/E$147,0)</f>
        <v>8139.4351439672191</v>
      </c>
      <c r="F149" s="971">
        <f>IF(F$147&lt;&gt;0,F141/F$147,0)</f>
        <v>9796.6034322346804</v>
      </c>
      <c r="G149" s="971"/>
      <c r="H149" s="1283"/>
    </row>
    <row r="150" spans="1:8" x14ac:dyDescent="0.45">
      <c r="B150" s="1263" t="s">
        <v>1511</v>
      </c>
      <c r="C150" s="558"/>
      <c r="D150" s="558"/>
      <c r="E150" s="1220">
        <f>SUM('9b. Forecast Results - EC'!S67:W67)</f>
        <v>303925.3888188976</v>
      </c>
      <c r="F150" s="1220">
        <f>'9b. Forecast Results - EC'!AL67</f>
        <v>16764882.683887275</v>
      </c>
      <c r="G150" s="971"/>
      <c r="H150" s="1283"/>
    </row>
    <row r="151" spans="1:8" x14ac:dyDescent="0.45">
      <c r="B151" s="1260" t="s">
        <v>1558</v>
      </c>
      <c r="C151" s="18"/>
      <c r="D151" s="18"/>
      <c r="E151" s="971">
        <f>E150/E147</f>
        <v>11689.438031496062</v>
      </c>
      <c r="F151" s="971">
        <f>F150/F147</f>
        <v>186276.47426541417</v>
      </c>
      <c r="G151" s="971"/>
      <c r="H151" s="1283"/>
    </row>
    <row r="152" spans="1:8" x14ac:dyDescent="0.45">
      <c r="B152" s="1260" t="s">
        <v>1713</v>
      </c>
      <c r="C152" s="18"/>
      <c r="D152" s="18"/>
      <c r="E152" s="971">
        <f>E150+E146</f>
        <v>27579424.168481022</v>
      </c>
      <c r="F152" s="971">
        <f>F150+F146</f>
        <v>107658008.54269847</v>
      </c>
      <c r="G152" s="971"/>
      <c r="H152" s="1283"/>
    </row>
    <row r="153" spans="1:8" x14ac:dyDescent="0.45">
      <c r="B153" s="1260" t="s">
        <v>1712</v>
      </c>
      <c r="C153" s="18"/>
      <c r="D153" s="18"/>
      <c r="E153" s="971">
        <f>E152/E147</f>
        <v>1060747.0834031163</v>
      </c>
      <c r="F153" s="971">
        <f>F152/F147</f>
        <v>1196200.094918872</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-SUM('9b. Forecast Results - EC'!S54:W54)</f>
        <v>27579424.168481018</v>
      </c>
      <c r="F156" s="1220">
        <f>-'9b. Forecast Results - EC'!AL54</f>
        <v>107686152.83970247</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27579424.168481018</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107686152.83970247</v>
      </c>
      <c r="G157" s="558"/>
      <c r="H157" s="1283"/>
    </row>
    <row r="158" spans="1:8" x14ac:dyDescent="0.45">
      <c r="B158" s="1260" t="s">
        <v>1715</v>
      </c>
      <c r="C158" s="558"/>
      <c r="D158" s="558"/>
      <c r="E158" s="1221">
        <f>E156-E157</f>
        <v>0</v>
      </c>
      <c r="F158" s="1221">
        <f>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F$148-153000</f>
        <v>856923.62065345782</v>
      </c>
      <c r="G161" s="1286">
        <f>$F$148/153000</f>
        <v>6.6008079781271753</v>
      </c>
      <c r="H161" s="1283"/>
    </row>
    <row r="162" spans="1:8" x14ac:dyDescent="0.45">
      <c r="B162" s="1260" t="s">
        <v>1709</v>
      </c>
      <c r="C162" s="558"/>
      <c r="D162" s="558"/>
      <c r="E162" s="18"/>
      <c r="F162" s="1221">
        <f>F$148-155000</f>
        <v>854923.62065345782</v>
      </c>
      <c r="G162" s="1286">
        <f>$F$148/155000</f>
        <v>6.5156362622803732</v>
      </c>
      <c r="H162" s="1283"/>
    </row>
    <row r="163" spans="1:8" x14ac:dyDescent="0.45">
      <c r="B163" s="1260" t="s">
        <v>1708</v>
      </c>
      <c r="C163" s="558"/>
      <c r="D163" s="558"/>
      <c r="E163" s="18"/>
      <c r="F163" s="1221">
        <f>F$148-265000</f>
        <v>744923.62065345782</v>
      </c>
      <c r="G163" s="1286">
        <f>$F$148/265000</f>
        <v>3.8110325307677653</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'9b. Forecast Results - EC'!R$5</f>
        <v>2017/18</v>
      </c>
      <c r="C166" s="18"/>
      <c r="D166" s="18"/>
      <c r="E166" s="971">
        <f>-SUMIF('9b. Forecast Results - EC'!$R$5:$W$5,$B166,'9b. Forecast Results - EC'!$R$51:$W$51)</f>
        <v>7276268.3573198924</v>
      </c>
      <c r="F166" s="1136">
        <f>SUMIF('9b. Forecast Results - EC'!$R$5:$W$5,$B166,'9b. Forecast Results - EC'!$R$13:$W$13)</f>
        <v>54</v>
      </c>
      <c r="G166" s="971">
        <f t="shared" ref="G166:G173" si="0">IF(F166&lt;&gt;0,E166/F166,0)</f>
        <v>134745.71032073876</v>
      </c>
      <c r="H166" s="1283"/>
    </row>
    <row r="167" spans="1:8" x14ac:dyDescent="0.45">
      <c r="B167" s="1260" t="str">
        <f>'9b. Forecast Results - EC'!S$5</f>
        <v>2018/19</v>
      </c>
      <c r="C167" s="18"/>
      <c r="D167" s="18"/>
      <c r="E167" s="1215">
        <f>-SUMIF('9b. Forecast Results - EC'!$R$5:$W$5,$B167,'9b. Forecast Results - EC'!$R$51:$W$51)</f>
        <v>5272498.0344495559</v>
      </c>
      <c r="F167" s="1222">
        <f>SUMIF('9b. Forecast Results - EC'!$R$5:$W$5,$B167,'9b. Forecast Results - EC'!$R$13:$W$13)</f>
        <v>36</v>
      </c>
      <c r="G167" s="1215">
        <f t="shared" si="0"/>
        <v>146458.27873470989</v>
      </c>
      <c r="H167" s="1283"/>
    </row>
    <row r="168" spans="1:8" x14ac:dyDescent="0.45">
      <c r="B168" s="1260" t="str">
        <f>'9b. Forecast Results - EC'!T$5</f>
        <v>2019/20</v>
      </c>
      <c r="C168" s="18"/>
      <c r="D168" s="18"/>
      <c r="E168" s="1216">
        <f>-SUMIF('9b. Forecast Results - EC'!$R$5:$W$5,$B168,'9b. Forecast Results - EC'!$R$51:$W$51)</f>
        <v>5562124.3240768462</v>
      </c>
      <c r="F168" s="1223">
        <f>SUMIF('9b. Forecast Results - EC'!$R$5:$W$5,$B168,'9b. Forecast Results - EC'!$R$13:$W$13)</f>
        <v>34</v>
      </c>
      <c r="G168" s="1216">
        <f t="shared" si="0"/>
        <v>163591.89188461311</v>
      </c>
      <c r="H168" s="1283"/>
    </row>
    <row r="169" spans="1:8" x14ac:dyDescent="0.45">
      <c r="B169" s="1260" t="str">
        <f>'9b. Forecast Results - EC'!U$5</f>
        <v>2020/21</v>
      </c>
      <c r="C169" s="18"/>
      <c r="D169" s="18"/>
      <c r="E169" s="1216">
        <f>-SUMIF('9b. Forecast Results - EC'!$R$5:$W$5,$B169,'9b. Forecast Results - EC'!$R$51:$W$51)</f>
        <v>5535382.1975866212</v>
      </c>
      <c r="F169" s="1223">
        <f>SUMIF('9b. Forecast Results - EC'!$R$5:$W$5,$B169,'9b. Forecast Results - EC'!$R$13:$W$13)</f>
        <v>32</v>
      </c>
      <c r="G169" s="1216">
        <f t="shared" si="0"/>
        <v>172980.69367458191</v>
      </c>
      <c r="H169" s="1283"/>
    </row>
    <row r="170" spans="1:8" x14ac:dyDescent="0.45">
      <c r="B170" s="1260" t="str">
        <f>'9b. Forecast Results - EC'!V$5</f>
        <v>2021/22</v>
      </c>
      <c r="C170" s="18"/>
      <c r="D170" s="18"/>
      <c r="E170" s="1216">
        <f>-SUMIF('9b. Forecast Results - EC'!$R$5:$W$5,$B170,'9b. Forecast Results - EC'!$R$51:$W$51)</f>
        <v>5487924.873524704</v>
      </c>
      <c r="F170" s="1223">
        <f>SUMIF('9b. Forecast Results - EC'!$R$5:$W$5,$B170,'9b. Forecast Results - EC'!$R$13:$W$13)</f>
        <v>30</v>
      </c>
      <c r="G170" s="1216">
        <f t="shared" si="0"/>
        <v>182930.82911749012</v>
      </c>
      <c r="H170" s="1283"/>
    </row>
    <row r="171" spans="1:8" x14ac:dyDescent="0.45">
      <c r="B171" s="1260" t="str">
        <f>'9b. Forecast Results - EC'!W$5</f>
        <v>2022/23</v>
      </c>
      <c r="C171" s="18"/>
      <c r="D171" s="18"/>
      <c r="E171" s="1217">
        <f>-SUMIF('9b. Forecast Results - EC'!$R$5:$W$5,$B171,'9b. Forecast Results - EC'!$R$51:$W$51)</f>
        <v>5417569.3500243956</v>
      </c>
      <c r="F171" s="1224">
        <f>SUMIF('9b. Forecast Results - EC'!$R$5:$W$5,$B171,'9b. Forecast Results - EC'!$R$13:$W$13)</f>
        <v>28</v>
      </c>
      <c r="G171" s="1217">
        <f t="shared" si="0"/>
        <v>193484.61964372842</v>
      </c>
      <c r="H171" s="1283"/>
    </row>
    <row r="172" spans="1:8" x14ac:dyDescent="0.45">
      <c r="B172" s="1263" t="s">
        <v>1516</v>
      </c>
      <c r="C172" s="18"/>
      <c r="D172" s="18"/>
      <c r="E172" s="1220">
        <f>SUM(E167:E171)</f>
        <v>27275498.779662121</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26</v>
      </c>
      <c r="G172" s="1220">
        <f t="shared" si="0"/>
        <v>1049057.6453716201</v>
      </c>
      <c r="H172" s="1283"/>
    </row>
    <row r="173" spans="1:8" x14ac:dyDescent="0.45">
      <c r="A173" s="18"/>
      <c r="B173" s="1263" t="s">
        <v>1520</v>
      </c>
      <c r="C173" s="18"/>
      <c r="D173" s="18"/>
      <c r="E173" s="1220">
        <f>-'9b. Forecast Results - EC'!AL$51</f>
        <v>90921270.155815199</v>
      </c>
      <c r="F173" s="1290">
        <f>SUMIF('10. Inputs &amp; Calcs'!$D$520:$D$525,$C$12,'10. Inputs &amp; Calcs'!$H$520:$H$525)</f>
        <v>90</v>
      </c>
      <c r="G173" s="1220">
        <f t="shared" si="0"/>
        <v>1010236.3350646134</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'9b. Forecast Results - EC'!R$5</f>
        <v>2017/18</v>
      </c>
      <c r="C176" s="18"/>
      <c r="D176" s="18"/>
      <c r="E176" s="971">
        <f>-SUMIF('9b. Forecast Results - EC'!$R$5:$W$5,$B176,'9b. Forecast Results - EC'!$R$53:$W$53)</f>
        <v>210409.8845669291</v>
      </c>
      <c r="F176" s="1136">
        <f>SUMIF('10. Inputs &amp; Calcs'!$D$51:$D$56,$C$12,'10. Inputs &amp; Calcs'!$J$51:$J$56)</f>
        <v>18</v>
      </c>
      <c r="G176" s="971">
        <f t="shared" ref="G176:G183" si="1">IF(F176&lt;&gt;0,E176/F176,0)</f>
        <v>11689.438031496062</v>
      </c>
      <c r="H176" s="1283"/>
    </row>
    <row r="177" spans="1:8" x14ac:dyDescent="0.45">
      <c r="A177" s="18"/>
      <c r="B177" s="1260" t="str">
        <f>'9b. Forecast Results - EC'!S$5</f>
        <v>2018/19</v>
      </c>
      <c r="C177" s="18"/>
      <c r="D177" s="18"/>
      <c r="E177" s="1215">
        <f>-SUMIF('9b. Forecast Results - EC'!$R$5:$W$5,$B177,'9b. Forecast Results - EC'!$R$53:$W$53)</f>
        <v>210409.8845669291</v>
      </c>
      <c r="F177" s="1222">
        <f>IF($AA$19='14. Permanent Info'!$N$7,SUMIF('10. Inputs &amp; Calcs'!$D$51:$D$56,$C$12,'10. Inputs &amp; Calcs'!$K$51:$K$56)-SUMIF('10. Inputs &amp; Calcs'!$D$106:$D$111,$C$12,'10. Inputs &amp; Calcs'!$K$106:$K$111),SUMIF('10. Inputs &amp; Calcs'!$D$51:$D$56,$C$12,'10. Inputs &amp; Calcs'!$K$51:$K$56))</f>
        <v>18</v>
      </c>
      <c r="G177" s="1215">
        <f t="shared" si="1"/>
        <v>11689.438031496062</v>
      </c>
      <c r="H177" s="1283"/>
    </row>
    <row r="178" spans="1:8" x14ac:dyDescent="0.45">
      <c r="A178" s="18"/>
      <c r="B178" s="1260" t="str">
        <f>'9b. Forecast Results - EC'!T$5</f>
        <v>2019/20</v>
      </c>
      <c r="C178" s="18"/>
      <c r="D178" s="18"/>
      <c r="E178" s="1216">
        <f>-SUMIF('9b. Forecast Results - EC'!$R$5:$W$5,$B178,'9b. Forecast Results - EC'!$R$53:$W$53)</f>
        <v>23378.876062992123</v>
      </c>
      <c r="F178" s="1223">
        <f>IF($AA$19='14. Permanent Info'!$N$7,SUMIF('10. Inputs &amp; Calcs'!$D$51:$D$56,$C$12,'10. Inputs &amp; Calcs'!$L$51:$L$56)-SUMIF('10. Inputs &amp; Calcs'!$D$106:$D$111,$C$12,'10. Inputs &amp; Calcs'!$L$106:$L$111),SUMIF('10. Inputs &amp; Calcs'!$D$51:$D$56,$C$12,'10. Inputs &amp; Calcs'!$L$51:$L$56))</f>
        <v>2</v>
      </c>
      <c r="G178" s="1216">
        <f t="shared" si="1"/>
        <v>11689.438031496062</v>
      </c>
      <c r="H178" s="1283"/>
    </row>
    <row r="179" spans="1:8" x14ac:dyDescent="0.45">
      <c r="A179" s="18"/>
      <c r="B179" s="1260" t="str">
        <f>'9b. Forecast Results - EC'!U$5</f>
        <v>2020/21</v>
      </c>
      <c r="C179" s="18"/>
      <c r="D179" s="18"/>
      <c r="E179" s="1216">
        <f>-SUMIF('9b. Forecast Results - EC'!$R$5:$W$5,$B179,'9b. Forecast Results - EC'!$R$53:$W$53)</f>
        <v>23378.876062992123</v>
      </c>
      <c r="F179" s="1223">
        <f>IF($AA$19='14. Permanent Info'!$N$7,SUMIF('10. Inputs &amp; Calcs'!$D$51:$D$56,$C$12,'10. Inputs &amp; Calcs'!$M$51:$M$56)-SUMIF('10. Inputs &amp; Calcs'!$D$106:$D$111,$C$12,'10. Inputs &amp; Calcs'!$M$106:$M$111),SUMIF('10. Inputs &amp; Calcs'!$D$51:$D$56,$C$12,'10. Inputs &amp; Calcs'!$M$51:$M$56))</f>
        <v>2</v>
      </c>
      <c r="G179" s="1216">
        <f t="shared" si="1"/>
        <v>11689.438031496062</v>
      </c>
      <c r="H179" s="1283"/>
    </row>
    <row r="180" spans="1:8" x14ac:dyDescent="0.45">
      <c r="A180" s="18"/>
      <c r="B180" s="1260" t="str">
        <f>'9b. Forecast Results - EC'!V$5</f>
        <v>2021/22</v>
      </c>
      <c r="C180" s="18"/>
      <c r="D180" s="18"/>
      <c r="E180" s="1216">
        <f>-SUMIF('9b. Forecast Results - EC'!$R$5:$W$5,$B180,'9b. Forecast Results - EC'!$R$53:$W$53)</f>
        <v>23378.876062992123</v>
      </c>
      <c r="F180" s="1223">
        <f>IF($AA$19='14. Permanent Info'!$N$7,SUMIF('10. Inputs &amp; Calcs'!$D$51:$D$56,$C$12,'10. Inputs &amp; Calcs'!$N$51:$N$56)-SUMIF('10. Inputs &amp; Calcs'!$D$106:$D$111,$C$12,'10. Inputs &amp; Calcs'!$N$106:$N$111),SUMIF('10. Inputs &amp; Calcs'!$D$51:$D$56,$C$12,'10. Inputs &amp; Calcs'!$N$51:$N$56))</f>
        <v>2</v>
      </c>
      <c r="G180" s="1216">
        <f t="shared" si="1"/>
        <v>11689.438031496062</v>
      </c>
      <c r="H180" s="1283"/>
    </row>
    <row r="181" spans="1:8" x14ac:dyDescent="0.45">
      <c r="A181" s="18"/>
      <c r="B181" s="1260" t="str">
        <f>'9b. Forecast Results - EC'!W$5</f>
        <v>2022/23</v>
      </c>
      <c r="C181" s="18"/>
      <c r="D181" s="18"/>
      <c r="E181" s="1217">
        <f>-SUMIF('9b. Forecast Results - EC'!$R$5:$W$5,$B181,'9b. Forecast Results - EC'!$R$53:$W$53)</f>
        <v>23378.876062992123</v>
      </c>
      <c r="F181" s="1224">
        <f>IF($AA$19='14. Permanent Info'!$N$7,SUMIF('10. Inputs &amp; Calcs'!$D$51:$D$56,$C$12,'10. Inputs &amp; Calcs'!$O$51:$O$56)-SUMIF('10. Inputs &amp; Calcs'!$D$106:$D$111,$C$12,'10. Inputs &amp; Calcs'!$O$106:$O$111),SUMIF('10. Inputs &amp; Calcs'!$D$51:$D$56,$C$12,'10. Inputs &amp; Calcs'!$O$51:$O$56))</f>
        <v>2</v>
      </c>
      <c r="G181" s="1217">
        <f t="shared" si="1"/>
        <v>11689.438031496062</v>
      </c>
      <c r="H181" s="1283"/>
    </row>
    <row r="182" spans="1:8" x14ac:dyDescent="0.45">
      <c r="B182" s="1263" t="s">
        <v>1516</v>
      </c>
      <c r="C182" s="18"/>
      <c r="D182" s="18"/>
      <c r="E182" s="1220">
        <f>SUM(E177:E181)</f>
        <v>303925.3888188976</v>
      </c>
      <c r="F182" s="1291">
        <f>SUM(F177:F181)</f>
        <v>26</v>
      </c>
      <c r="G182" s="1220">
        <f t="shared" si="1"/>
        <v>11689.438031496062</v>
      </c>
      <c r="H182" s="1283"/>
    </row>
    <row r="183" spans="1:8" x14ac:dyDescent="0.45">
      <c r="B183" s="1263" t="s">
        <v>1521</v>
      </c>
      <c r="C183" s="18"/>
      <c r="D183" s="18"/>
      <c r="E183" s="1220">
        <f>-'9b. Forecast Results - EC'!AL$53</f>
        <v>16764882.683887275</v>
      </c>
      <c r="F183" s="1290">
        <f>-SUMIF('10. Inputs &amp; Calcs'!$D$106:$D$111,$C$12,'10. Inputs &amp; Calcs'!$AD$106:$AD$111)+-SUMIF('10. Inputs &amp; Calcs'!$D$60:$D$65,$C$12,'10. Inputs &amp; Calcs'!$AD$60:$AD$65)</f>
        <v>204</v>
      </c>
      <c r="G183" s="1220">
        <f t="shared" si="1"/>
        <v>82180.797470035657</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E136</f>
        <v>1077027.7126860777</v>
      </c>
      <c r="H204" s="1235">
        <f>F136</f>
        <v>3513640.4406654779</v>
      </c>
    </row>
    <row r="205" spans="1:8" hidden="1" outlineLevel="1" x14ac:dyDescent="0.45">
      <c r="E205" s="1245" t="str">
        <f>B137</f>
        <v>Costs/Expenses</v>
      </c>
      <c r="F205" s="4"/>
      <c r="G205" s="1234">
        <f t="shared" si="2"/>
        <v>28352526.492348202</v>
      </c>
      <c r="H205" s="1236">
        <f t="shared" si="2"/>
        <v>94406766.299476683</v>
      </c>
    </row>
    <row r="206" spans="1:8" hidden="1" outlineLevel="1" x14ac:dyDescent="0.45">
      <c r="E206" s="1245" t="str">
        <f>B145</f>
        <v>Net Surplus / (deficit)</v>
      </c>
      <c r="F206" s="4"/>
      <c r="G206" s="1237">
        <f>E145</f>
        <v>-27275498.779662125</v>
      </c>
      <c r="H206" s="1235">
        <f>F145</f>
        <v>-90893125.8588112</v>
      </c>
    </row>
    <row r="207" spans="1:8" hidden="1" outlineLevel="1" x14ac:dyDescent="0.45">
      <c r="E207" s="1245" t="str">
        <f>B146</f>
        <v>Net Surplus / (deficit) funded by HSDG Top Slice</v>
      </c>
      <c r="F207" s="4"/>
      <c r="G207" s="1237">
        <f>E146</f>
        <v>27275498.779662125</v>
      </c>
      <c r="H207" s="1235">
        <f>F146</f>
        <v>90893125.8588112</v>
      </c>
    </row>
    <row r="208" spans="1:8" hidden="1" outlineLevel="1" x14ac:dyDescent="0.45">
      <c r="E208" s="1245" t="str">
        <f>B150</f>
        <v>Total EEDBS utilised</v>
      </c>
      <c r="F208" s="4"/>
      <c r="G208" s="1234">
        <f t="shared" ref="G208:H211" si="3">E150</f>
        <v>303925.3888188976</v>
      </c>
      <c r="H208" s="1236">
        <f t="shared" si="3"/>
        <v>16764882.683887275</v>
      </c>
    </row>
    <row r="209" spans="2:8" hidden="1" outlineLevel="1" x14ac:dyDescent="0.45">
      <c r="E209" s="1245" t="str">
        <f>B151</f>
        <v>EEDBS per Existing Rental Unit</v>
      </c>
      <c r="F209" s="4"/>
      <c r="G209" s="1234">
        <f t="shared" si="3"/>
        <v>11689.438031496062</v>
      </c>
      <c r="H209" s="1236">
        <f t="shared" si="3"/>
        <v>186276.47426541417</v>
      </c>
    </row>
    <row r="210" spans="2:8" hidden="1" outlineLevel="1" x14ac:dyDescent="0.45">
      <c r="E210" s="1245" t="str">
        <f>B152</f>
        <v>Total Government Contribution over 20 years</v>
      </c>
      <c r="F210" s="4"/>
      <c r="G210" s="1234">
        <f t="shared" si="3"/>
        <v>27579424.168481022</v>
      </c>
      <c r="H210" s="1236">
        <f t="shared" si="3"/>
        <v>107658008.54269847</v>
      </c>
    </row>
    <row r="211" spans="2:8" hidden="1" outlineLevel="1" x14ac:dyDescent="0.45">
      <c r="E211" s="1246" t="str">
        <f>B153</f>
        <v>Total Government Contribution p.u.</v>
      </c>
      <c r="F211" s="931"/>
      <c r="G211" s="1247">
        <f t="shared" si="3"/>
        <v>1060747.0834031163</v>
      </c>
      <c r="H211" s="1248">
        <f t="shared" si="3"/>
        <v>1196200.094918872</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'9b. Forecast Results - EC'!AL89</f>
        <v>-15399413.261052625</v>
      </c>
    </row>
    <row r="216" spans="2:8" hidden="1" outlineLevel="1" x14ac:dyDescent="0.45">
      <c r="B216" s="1057" t="s">
        <v>1560</v>
      </c>
      <c r="C216" s="1060"/>
      <c r="D216" s="1060"/>
      <c r="E216" s="1070">
        <f>SUM('9b. Forecast Results - EC'!P12:P13)</f>
        <v>204</v>
      </c>
    </row>
    <row r="217" spans="2:8" hidden="1" outlineLevel="1" x14ac:dyDescent="0.45">
      <c r="B217" s="1071" t="s">
        <v>1509</v>
      </c>
      <c r="C217" s="1072"/>
      <c r="D217" s="1072"/>
      <c r="E217" s="1073">
        <f>E215/E216</f>
        <v>-75487.319907120705</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'9b. Forecast Results - EC'!R$5</f>
        <v>2017/18</v>
      </c>
      <c r="E221" s="552">
        <f>SUMIF('9b. Forecast Results - EC'!$R$5:$W$5,$B221,'9b. Forecast Results - EC'!$R$52:$W$52)</f>
        <v>0</v>
      </c>
      <c r="F221" s="785">
        <f>SUMIF('10. Inputs &amp; Calcs'!$D$106:$D$111,$C$12,'10. Inputs &amp; Calcs'!$J$106:$J$111)</f>
        <v>0</v>
      </c>
      <c r="G221" s="552">
        <f>IF(F221&lt;&gt;0,E221/F221,0)</f>
        <v>0</v>
      </c>
    </row>
    <row r="222" spans="2:8" hidden="1" outlineLevel="1" x14ac:dyDescent="0.45">
      <c r="B222" s="948" t="str">
        <f>'9b. Forecast Results - EC'!S$5</f>
        <v>2018/19</v>
      </c>
      <c r="E222" s="973">
        <f>SUMIF('9b. Forecast Results - EC'!$R$5:$W$5,$B222,'9b. Forecast Results - EC'!$R$52:$W$52)</f>
        <v>0</v>
      </c>
      <c r="F222" s="974">
        <f>SUMIF('10. Inputs &amp; Calcs'!$D$106:$D$111,$C$12,'10. Inputs &amp; Calcs'!$K$106:$K$111)</f>
        <v>0</v>
      </c>
      <c r="G222" s="753">
        <f t="shared" ref="G222:G227" si="4">IF(F222&lt;&gt;0,E222/F222,0)</f>
        <v>0</v>
      </c>
    </row>
    <row r="223" spans="2:8" hidden="1" outlineLevel="1" x14ac:dyDescent="0.45">
      <c r="B223" s="948" t="str">
        <f>'9b. Forecast Results - EC'!T$5</f>
        <v>2019/20</v>
      </c>
      <c r="E223" s="975">
        <f>SUMIF('9b. Forecast Results - EC'!$R$5:$W$5,$B223,'9b. Forecast Results - EC'!$R$52:$W$52)</f>
        <v>0</v>
      </c>
      <c r="F223" s="976">
        <f>SUMIF('10. Inputs &amp; Calcs'!$D$106:$D$111,$C$12,'10. Inputs &amp; Calcs'!$L$106:$L$111)</f>
        <v>0</v>
      </c>
      <c r="G223" s="888">
        <f t="shared" si="4"/>
        <v>0</v>
      </c>
    </row>
    <row r="224" spans="2:8" hidden="1" outlineLevel="1" x14ac:dyDescent="0.45">
      <c r="B224" s="948" t="str">
        <f>'9b. Forecast Results - EC'!U$5</f>
        <v>2020/21</v>
      </c>
      <c r="E224" s="975">
        <f>SUMIF('9b. Forecast Results - EC'!$R$5:$W$5,$B224,'9b. Forecast Results - EC'!$R$52:$W$52)</f>
        <v>0</v>
      </c>
      <c r="F224" s="976">
        <f>SUMIF('10. Inputs &amp; Calcs'!$D$106:$D$111,$C$12,'10. Inputs &amp; Calcs'!$M$106:$M$111)</f>
        <v>0</v>
      </c>
      <c r="G224" s="888">
        <f t="shared" si="4"/>
        <v>0</v>
      </c>
    </row>
    <row r="225" spans="2:8" hidden="1" outlineLevel="1" x14ac:dyDescent="0.45">
      <c r="B225" s="948" t="str">
        <f>'9b. Forecast Results - EC'!V$5</f>
        <v>2021/22</v>
      </c>
      <c r="E225" s="975">
        <f>SUMIF('9b. Forecast Results - EC'!$R$5:$W$5,$B225,'9b. Forecast Results - EC'!$R$52:$W$52)</f>
        <v>0</v>
      </c>
      <c r="F225" s="976">
        <f>SUMIF('10. Inputs &amp; Calcs'!$D$106:$D$111,$C$12,'10. Inputs &amp; Calcs'!$N$106:$N$111)</f>
        <v>0</v>
      </c>
      <c r="G225" s="888">
        <f t="shared" si="4"/>
        <v>0</v>
      </c>
    </row>
    <row r="226" spans="2:8" hidden="1" outlineLevel="1" x14ac:dyDescent="0.45">
      <c r="B226" s="948" t="str">
        <f>'9b. Forecast Results - EC'!W$5</f>
        <v>2022/23</v>
      </c>
      <c r="E226" s="977">
        <f>SUMIF('9b. Forecast Results - EC'!$R$5:$W$5,$B226,'9b. Forecast Results - EC'!$R$52:$W$52)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'9b. Forecast Results - EC'!AL$52</f>
        <v>0</v>
      </c>
      <c r="F228" s="785">
        <f>SUMIF('10. Inputs &amp; Calcs'!$D$106:$D$111,$C$12,'10. Inputs &amp; Calcs'!$AD$106:$AD$111)</f>
        <v>-204</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'9b. Forecast Results - EC'!R$5</f>
        <v>2017/18</v>
      </c>
      <c r="E232" s="552">
        <f>SUMIF('10. Inputs &amp; Calcs'!$D$619:$D$624,$C$12,'10. Inputs &amp; Calcs'!$J$619:$J$629)-E176</f>
        <v>-463269.95656692912</v>
      </c>
      <c r="F232" s="785">
        <f>SUMIF('10. Inputs &amp; Calcs'!$D$51:$D$56,$C$12,'10. Inputs &amp; Calcs'!$J$51:$J$56)</f>
        <v>18</v>
      </c>
      <c r="G232" s="552">
        <f>IF(F232&lt;&gt;0,E232/F232,0)</f>
        <v>-25737.21980927384</v>
      </c>
      <c r="H232" s="930"/>
    </row>
    <row r="233" spans="2:8" hidden="1" outlineLevel="1" x14ac:dyDescent="0.45">
      <c r="B233" s="948" t="str">
        <f>'9b. Forecast Results - EC'!S$5</f>
        <v>2018/19</v>
      </c>
      <c r="E233" s="973">
        <f>SUMIF('10. Inputs &amp; Calcs'!$D$619:$D$624,$C$12,'10. Inputs &amp; Calcs'!$K$619:$K$629)</f>
        <v>-277474.87200000003</v>
      </c>
      <c r="F233" s="974">
        <f>SUMIF('10. Inputs &amp; Calcs'!$D$51:$D$56,$C$12,'10. Inputs &amp; Calcs'!$K$51:$K$56)</f>
        <v>18</v>
      </c>
      <c r="G233" s="753">
        <f t="shared" ref="G233:G239" si="5">IF(F233&lt;&gt;0,E233/F233,0)</f>
        <v>-15415.270666666669</v>
      </c>
      <c r="H233" s="930"/>
    </row>
    <row r="234" spans="2:8" hidden="1" outlineLevel="1" x14ac:dyDescent="0.45">
      <c r="B234" s="948" t="str">
        <f>'9b. Forecast Results - EC'!T$5</f>
        <v>2019/20</v>
      </c>
      <c r="E234" s="975">
        <f>SUMIF('10. Inputs &amp; Calcs'!$D$619:$D$624,$C$12,'10. Inputs &amp; Calcs'!$L$619:$L$629)</f>
        <v>-33565.519111111113</v>
      </c>
      <c r="F234" s="976">
        <f>SUMIF('10. Inputs &amp; Calcs'!$D$51:$D$56,$C$12,'10. Inputs &amp; Calcs'!$L$51:$L$56)</f>
        <v>2</v>
      </c>
      <c r="G234" s="888">
        <f t="shared" si="5"/>
        <v>-16782.759555555556</v>
      </c>
      <c r="H234" s="930"/>
    </row>
    <row r="235" spans="2:8" hidden="1" outlineLevel="1" x14ac:dyDescent="0.45">
      <c r="B235" s="948" t="str">
        <f>'9b. Forecast Results - EC'!U$5</f>
        <v>2020/21</v>
      </c>
      <c r="E235" s="975">
        <f>SUMIF('10. Inputs &amp; Calcs'!$D$619:$D$624,$C$12,'10. Inputs &amp; Calcs'!$M$619:$M$629)</f>
        <v>-36300.496888888891</v>
      </c>
      <c r="F235" s="976">
        <f>SUMIF('10. Inputs &amp; Calcs'!$D$51:$D$56,$C$12,'10. Inputs &amp; Calcs'!$M$51:$M$56)</f>
        <v>2</v>
      </c>
      <c r="G235" s="888">
        <f t="shared" si="5"/>
        <v>-18150.248444444445</v>
      </c>
      <c r="H235" s="930"/>
    </row>
    <row r="236" spans="2:8" hidden="1" outlineLevel="1" x14ac:dyDescent="0.45">
      <c r="B236" s="948" t="str">
        <f>'9b. Forecast Results - EC'!V$5</f>
        <v>2021/22</v>
      </c>
      <c r="E236" s="975">
        <f>SUMIF('10. Inputs &amp; Calcs'!$D$619:$D$624,$C$12,'10. Inputs &amp; Calcs'!$N$619:$N$629)</f>
        <v>-39035.474666666669</v>
      </c>
      <c r="F236" s="976">
        <f>SUMIF('10. Inputs &amp; Calcs'!$D$51:$D$56,$C$12,'10. Inputs &amp; Calcs'!$N$51:$N$56)</f>
        <v>2</v>
      </c>
      <c r="G236" s="888">
        <f t="shared" si="5"/>
        <v>-19517.737333333334</v>
      </c>
      <c r="H236" s="930"/>
    </row>
    <row r="237" spans="2:8" hidden="1" outlineLevel="1" x14ac:dyDescent="0.45">
      <c r="B237" s="948" t="str">
        <f>'9b. Forecast Results - EC'!W$5</f>
        <v>2022/23</v>
      </c>
      <c r="E237" s="977">
        <f>SUMIF('10. Inputs &amp; Calcs'!$D$619:$D$624,$C$12,'10. Inputs &amp; Calcs'!$O$619:$O$629)</f>
        <v>-41770.452444444447</v>
      </c>
      <c r="F237" s="978">
        <f>SUMIF('10. Inputs &amp; Calcs'!$D$51:$D$56,$C$12,'10. Inputs &amp; Calcs'!$O$51:$O$56)</f>
        <v>2</v>
      </c>
      <c r="G237" s="754">
        <f t="shared" si="5"/>
        <v>-20885.226222222223</v>
      </c>
      <c r="H237" s="930"/>
    </row>
    <row r="238" spans="2:8" hidden="1" outlineLevel="1" x14ac:dyDescent="0.45">
      <c r="B238" s="948" t="s">
        <v>1516</v>
      </c>
      <c r="E238" s="970">
        <f>SUM(E233:E237)</f>
        <v>-428146.81511111115</v>
      </c>
      <c r="F238" s="972">
        <f>SUM(F233:F237)</f>
        <v>26</v>
      </c>
      <c r="G238" s="552">
        <f t="shared" si="5"/>
        <v>-16467.185196581198</v>
      </c>
      <c r="H238" s="930"/>
    </row>
    <row r="239" spans="2:8" hidden="1" outlineLevel="1" x14ac:dyDescent="0.45">
      <c r="B239" s="948" t="s">
        <v>1519</v>
      </c>
      <c r="E239" s="971">
        <f>SUMIF('10. Inputs &amp; Calcs'!$D$619:$D$624,$C$12, '10. Inputs &amp; Calcs'!$AD$619:$AD$624)</f>
        <v>-1764801.2933333335</v>
      </c>
      <c r="F239" s="785">
        <f>SUMIF('10. Inputs &amp; Calcs'!$D$520:$D$525,$C$12,'10. Inputs &amp; Calcs'!$H$520:$H$525)</f>
        <v>90</v>
      </c>
      <c r="G239" s="552">
        <f t="shared" si="5"/>
        <v>-19608.903259259259</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count="2">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CF6F6F7F-9439-48D6-B3D0-B355CE280F22}">
      <formula1>$F$22:$G$22</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152DD39B-E71B-4AE4-AC95-23885FF4CC6D}">
      <formula1>$D$22:$E$22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0CC8417B-3AFF-42B8-9A65-7093A8888184}">
          <x14:formula1>
            <xm:f>'14. Permanent Info'!$M$7:$N$7</xm:f>
          </x14:formula1>
          <xm:sqref>AA19</xm:sqref>
        </x14:dataValidation>
        <x14:dataValidation type="list" allowBlank="1" showInputMessage="1" showErrorMessage="1" promptTitle="Years" prompt="Select the number of years required to close this programme from 2018/19._x000a_" xr:uid="{D58E8FCC-051F-4509-9C27-F812A28154BC}">
          <x14:formula1>
            <xm:f>'14. Permanent Info'!$J$7:$J$23</xm:f>
          </x14:formula1>
          <xm:sqref>AA16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2A0C5-97B8-4C6A-8143-865ACD58E105}">
  <sheetPr>
    <tabColor theme="5" tint="0.79998168889431442"/>
  </sheetPr>
  <dimension ref="A1:CE241"/>
  <sheetViews>
    <sheetView showGridLines="0" zoomScale="65" zoomScaleNormal="65" zoomScaleSheetLayoutView="40" workbookViewId="0">
      <selection activeCell="C11" sqref="C10:C11"/>
    </sheetView>
  </sheetViews>
  <sheetFormatPr defaultRowHeight="14.25" outlineLevelRow="1" outlineLevelCol="1" x14ac:dyDescent="0.45"/>
  <cols>
    <col min="1" max="1" width="1" customWidth="1"/>
    <col min="2" max="2" width="60.796875" customWidth="1"/>
    <col min="3" max="3" width="20.53125" customWidth="1"/>
    <col min="4" max="4" width="16.19921875" customWidth="1"/>
    <col min="5" max="5" width="20.19921875" customWidth="1"/>
    <col min="6" max="6" width="22.46484375" customWidth="1"/>
    <col min="7" max="7" width="23.53125" customWidth="1"/>
    <col min="8" max="8" width="18.59765625" customWidth="1"/>
    <col min="9" max="9" width="1.33203125" customWidth="1"/>
    <col min="11" max="11" width="15.19921875" customWidth="1"/>
    <col min="25" max="25" width="21.265625" customWidth="1"/>
    <col min="26" max="26" width="0" hidden="1" customWidth="1" outlineLevel="1"/>
    <col min="27" max="27" width="13.53125" hidden="1" customWidth="1" outlineLevel="1"/>
    <col min="28" max="28" width="8.73046875" collapsed="1"/>
    <col min="29" max="29" width="15.73046875" bestFit="1" customWidth="1"/>
    <col min="30" max="32" width="16.265625" bestFit="1" customWidth="1"/>
    <col min="33" max="33" width="15.73046875" bestFit="1" customWidth="1"/>
    <col min="34" max="35" width="16.265625" bestFit="1" customWidth="1"/>
    <col min="36" max="37" width="17.265625" bestFit="1" customWidth="1"/>
    <col min="38" max="39" width="17.73046875" bestFit="1" customWidth="1"/>
    <col min="40" max="41" width="16.796875" bestFit="1" customWidth="1"/>
    <col min="42" max="42" width="17.265625" bestFit="1" customWidth="1"/>
    <col min="43" max="43" width="16.46484375" bestFit="1" customWidth="1"/>
    <col min="44" max="44" width="17.265625" bestFit="1" customWidth="1"/>
    <col min="45" max="45" width="17.73046875" bestFit="1" customWidth="1"/>
    <col min="46" max="46" width="18.19921875" bestFit="1" customWidth="1"/>
    <col min="47" max="47" width="17.265625" bestFit="1" customWidth="1"/>
    <col min="48" max="48" width="18.19921875" bestFit="1" customWidth="1"/>
    <col min="49" max="52" width="17.73046875" bestFit="1" customWidth="1"/>
  </cols>
  <sheetData>
    <row r="1" spans="1:83" ht="21" x14ac:dyDescent="0.65">
      <c r="B1" s="60" t="s">
        <v>91</v>
      </c>
    </row>
    <row r="2" spans="1:83" ht="21" x14ac:dyDescent="0.65">
      <c r="B2" s="60" t="s">
        <v>1496</v>
      </c>
      <c r="I2" s="4"/>
      <c r="J2" s="4"/>
      <c r="AB2" s="803">
        <f>'9c. Forecast Results - FS'!AO19</f>
        <v>0</v>
      </c>
      <c r="AC2" s="803" t="str">
        <f>'9c. Forecast Results - FS'!AP19</f>
        <v>2013/14</v>
      </c>
      <c r="AD2" s="803" t="str">
        <f>'9c. Forecast Results - FS'!AQ19</f>
        <v>2014/15</v>
      </c>
      <c r="AE2" s="803" t="str">
        <f>'9c. Forecast Results - FS'!AR19</f>
        <v>2015/16</v>
      </c>
      <c r="AF2" s="803" t="str">
        <f>'9c. Forecast Results - FS'!AS19</f>
        <v>2016/17</v>
      </c>
      <c r="AG2" s="803" t="str">
        <f>'9c. Forecast Results - FS'!AT19</f>
        <v>2017/18</v>
      </c>
      <c r="AH2" s="803" t="str">
        <f>'9c. Forecast Results - FS'!AU19</f>
        <v>2018/19</v>
      </c>
      <c r="AI2" s="803" t="str">
        <f>'9c. Forecast Results - FS'!AV19</f>
        <v>2019/20</v>
      </c>
      <c r="AJ2" s="803" t="str">
        <f>'9c. Forecast Results - FS'!AW19</f>
        <v>2020/21</v>
      </c>
      <c r="AK2" s="803" t="str">
        <f>'9c. Forecast Results - FS'!AX19</f>
        <v>2021/22</v>
      </c>
      <c r="AL2" s="803" t="str">
        <f>'9c. Forecast Results - FS'!AY19</f>
        <v>2022/23</v>
      </c>
      <c r="AM2" s="803" t="str">
        <f>'9c. Forecast Results - FS'!AZ19</f>
        <v>2023/24</v>
      </c>
      <c r="AN2" s="803" t="str">
        <f>'9c. Forecast Results - FS'!BA19</f>
        <v>2024/25</v>
      </c>
      <c r="AO2" s="803" t="str">
        <f>'9c. Forecast Results - FS'!BB19</f>
        <v>2025/26</v>
      </c>
      <c r="AP2" s="803" t="str">
        <f>'9c. Forecast Results - FS'!BC19</f>
        <v>2026/27</v>
      </c>
      <c r="AQ2" s="803" t="str">
        <f>'9c. Forecast Results - FS'!BD19</f>
        <v>2027/28</v>
      </c>
      <c r="AR2" s="803" t="str">
        <f>'9c. Forecast Results - FS'!BE19</f>
        <v>2028/29</v>
      </c>
      <c r="AS2" s="803" t="str">
        <f>'9c. Forecast Results - FS'!BF19</f>
        <v>2029/30</v>
      </c>
      <c r="AT2" s="803" t="str">
        <f>'9c. Forecast Results - FS'!BG19</f>
        <v>2030/31</v>
      </c>
      <c r="AU2" s="803" t="str">
        <f>'9c. Forecast Results - FS'!BH19</f>
        <v>2031/32</v>
      </c>
      <c r="AV2" s="803" t="str">
        <f>'9c. Forecast Results - FS'!BI19</f>
        <v>3032/33</v>
      </c>
      <c r="AW2" s="803" t="str">
        <f>'9c. Forecast Results - FS'!BJ19</f>
        <v>2033/34</v>
      </c>
      <c r="AX2" s="803" t="str">
        <f>'9c. Forecast Results - FS'!BK19</f>
        <v>2034/35</v>
      </c>
      <c r="AY2" s="803" t="str">
        <f>'9c. Forecast Results - FS'!BL19</f>
        <v>2035/36</v>
      </c>
      <c r="AZ2" s="803" t="str">
        <f>'9c. Forecast Results - FS'!BM19</f>
        <v>2036/37</v>
      </c>
    </row>
    <row r="3" spans="1:83" x14ac:dyDescent="0.45">
      <c r="C3" s="929" t="s">
        <v>1796</v>
      </c>
      <c r="D3" s="553"/>
      <c r="E3" s="553"/>
      <c r="F3" s="553"/>
      <c r="G3" s="553"/>
      <c r="H3" s="796"/>
      <c r="I3" s="4"/>
      <c r="J3" s="4"/>
      <c r="AB3" s="803" t="str">
        <f>'9c. Forecast Results - FS'!AO20</f>
        <v>Net Deficit funded by HSDG Top Slice</v>
      </c>
      <c r="AC3" s="1105">
        <f>'9c. Forecast Results - FS'!AP20</f>
        <v>-1045602.6333333334</v>
      </c>
      <c r="AD3" s="1105">
        <f>'9c. Forecast Results - FS'!AQ20</f>
        <v>-1083676.8533333333</v>
      </c>
      <c r="AE3" s="1105">
        <f>'9c. Forecast Results - FS'!AR20</f>
        <v>-1121225.8400000001</v>
      </c>
      <c r="AF3" s="1105">
        <f ca="1">'9c. Forecast Results - FS'!AS20</f>
        <v>-1137125.8709217389</v>
      </c>
      <c r="AG3" s="1105">
        <f ca="1">'9c. Forecast Results - FS'!AT20</f>
        <v>-1148247.342709739</v>
      </c>
      <c r="AH3" s="1105">
        <f ca="1">'9c. Forecast Results - FS'!AU20</f>
        <v>-1157120.2852056089</v>
      </c>
      <c r="AI3" s="1105">
        <f ca="1">'9c. Forecast Results - FS'!AV20</f>
        <v>-1163463.7177350558</v>
      </c>
      <c r="AJ3" s="1105">
        <f ca="1">'9c. Forecast Results - FS'!AW20</f>
        <v>-1166972.553550723</v>
      </c>
      <c r="AK3" s="1105">
        <f ca="1">'9c. Forecast Results - FS'!AX20</f>
        <v>-1167315.7981306934</v>
      </c>
      <c r="AL3" s="1105">
        <f ca="1">'9c. Forecast Results - FS'!AY20</f>
        <v>-1164134.622210698</v>
      </c>
      <c r="AM3" s="1105">
        <f ca="1">'9c. Forecast Results - FS'!AZ20</f>
        <v>-1157040.3012208862</v>
      </c>
      <c r="AN3" s="1105">
        <f ca="1">'9c. Forecast Results - FS'!BA20</f>
        <v>-1145612.012260736</v>
      </c>
      <c r="AO3" s="1105">
        <f ca="1">'9c. Forecast Results - FS'!BB20</f>
        <v>-1129394.4791745041</v>
      </c>
      <c r="AP3" s="1105">
        <f ca="1">'9c. Forecast Results - FS'!BC20</f>
        <v>-1107895.4556824262</v>
      </c>
      <c r="AQ3" s="1105">
        <f ca="1">'9c. Forecast Results - FS'!BD20</f>
        <v>-1080583.0358774455</v>
      </c>
      <c r="AR3" s="1105">
        <f ca="1">'9c. Forecast Results - FS'!BE20</f>
        <v>-1046882.7807112056</v>
      </c>
      <c r="AS3" s="1105">
        <f ca="1">'9c. Forecast Results - FS'!BF20</f>
        <v>-1006174.6483638785</v>
      </c>
      <c r="AT3" s="1105">
        <f ca="1">'9c. Forecast Results - FS'!BG20</f>
        <v>-957789.71561742201</v>
      </c>
      <c r="AU3" s="1105">
        <f ca="1">'9c. Forecast Results - FS'!BH20</f>
        <v>-901006.67652828305</v>
      </c>
      <c r="AV3" s="1105">
        <f ca="1">'9c. Forecast Results - FS'!BI20</f>
        <v>-835048.10382032429</v>
      </c>
      <c r="AW3" s="1105">
        <f ca="1">'9c. Forecast Results - FS'!BJ20</f>
        <v>-759076.45748872019</v>
      </c>
      <c r="AX3" s="1105">
        <f ca="1">'9c. Forecast Results - FS'!BK20</f>
        <v>-672189.82411731151</v>
      </c>
      <c r="AY3" s="1105">
        <f ca="1">'9c. Forecast Results - FS'!BL20</f>
        <v>-140561.51634545988</v>
      </c>
      <c r="AZ3" s="1105">
        <f ca="1">'9c. Forecast Results - FS'!BM20</f>
        <v>0</v>
      </c>
    </row>
    <row r="4" spans="1:83" x14ac:dyDescent="0.45">
      <c r="C4" s="1170" t="s">
        <v>1797</v>
      </c>
      <c r="D4" s="4"/>
      <c r="F4" s="4"/>
      <c r="G4" s="4"/>
      <c r="H4" s="930"/>
      <c r="I4" s="4"/>
      <c r="J4" s="4"/>
      <c r="AB4" s="803" t="str">
        <f>'9c. Forecast Results - FS'!AO21</f>
        <v>EEDBS utilised to settle Existing Sales Debtors Balances Owing</v>
      </c>
      <c r="AC4" s="1105">
        <f>'9c. Forecast Results - FS'!AP21</f>
        <v>-157500</v>
      </c>
      <c r="AD4" s="1105">
        <f>'9c. Forecast Results - FS'!AQ21</f>
        <v>-135000</v>
      </c>
      <c r="AE4" s="1105">
        <f>'9c. Forecast Results - FS'!AR21</f>
        <v>0</v>
      </c>
      <c r="AF4" s="1105">
        <f ca="1">'9c. Forecast Results - FS'!AS21</f>
        <v>-39429</v>
      </c>
      <c r="AG4" s="1105">
        <f ca="1">'9c. Forecast Results - FS'!AT21</f>
        <v>-39429</v>
      </c>
      <c r="AH4" s="1105">
        <f ca="1">'9c. Forecast Results - FS'!AU21</f>
        <v>-39429</v>
      </c>
      <c r="AI4" s="1105">
        <f ca="1">'9c. Forecast Results - FS'!AV21</f>
        <v>-39429</v>
      </c>
      <c r="AJ4" s="1105">
        <f ca="1">'9c. Forecast Results - FS'!AW21</f>
        <v>-39429</v>
      </c>
      <c r="AK4" s="1105">
        <f ca="1">'9c. Forecast Results - FS'!AX21</f>
        <v>-39429</v>
      </c>
      <c r="AL4" s="1105">
        <f ca="1">'9c. Forecast Results - FS'!AY21</f>
        <v>-39429</v>
      </c>
      <c r="AM4" s="1105">
        <f ca="1">'9c. Forecast Results - FS'!AZ21</f>
        <v>-39429</v>
      </c>
      <c r="AN4" s="1105">
        <f ca="1">'9c. Forecast Results - FS'!BA21</f>
        <v>-39429</v>
      </c>
      <c r="AO4" s="1105">
        <f ca="1">'9c. Forecast Results - FS'!BB21</f>
        <v>-39429</v>
      </c>
      <c r="AP4" s="1105">
        <f ca="1">'9c. Forecast Results - FS'!BC21</f>
        <v>-39429</v>
      </c>
      <c r="AQ4" s="1105">
        <f ca="1">'9c. Forecast Results - FS'!BD21</f>
        <v>-39429</v>
      </c>
      <c r="AR4" s="1105">
        <f ca="1">'9c. Forecast Results - FS'!BE21</f>
        <v>-39429</v>
      </c>
      <c r="AS4" s="1105">
        <f ca="1">'9c. Forecast Results - FS'!BF21</f>
        <v>-39429</v>
      </c>
      <c r="AT4" s="1105">
        <f ca="1">'9c. Forecast Results - FS'!BG21</f>
        <v>-39429</v>
      </c>
      <c r="AU4" s="1105">
        <f ca="1">'9c. Forecast Results - FS'!BH21</f>
        <v>-39429</v>
      </c>
      <c r="AV4" s="1105">
        <f ca="1">'9c. Forecast Results - FS'!BI21</f>
        <v>-39429</v>
      </c>
      <c r="AW4" s="1105">
        <f ca="1">'9c. Forecast Results - FS'!BJ21</f>
        <v>-39429</v>
      </c>
      <c r="AX4" s="1105">
        <f ca="1">'9c. Forecast Results - FS'!BK21</f>
        <v>-39429</v>
      </c>
      <c r="AY4" s="1105">
        <f ca="1">'9c. Forecast Results - FS'!BL21</f>
        <v>-1915744.05</v>
      </c>
      <c r="AZ4" s="1105">
        <f ca="1">'9c. Forecast Results - FS'!BM21</f>
        <v>0</v>
      </c>
    </row>
    <row r="5" spans="1:83" x14ac:dyDescent="0.45">
      <c r="C5" s="949"/>
      <c r="D5" s="931"/>
      <c r="E5" s="931"/>
      <c r="F5" s="931"/>
      <c r="G5" s="931"/>
      <c r="H5" s="932"/>
      <c r="I5" s="4"/>
      <c r="J5" s="4"/>
      <c r="AB5" s="803"/>
      <c r="AC5" s="1105"/>
      <c r="AD5" s="1105"/>
      <c r="AE5" s="1105"/>
      <c r="AF5" s="1105"/>
      <c r="AG5" s="1105"/>
      <c r="AH5" s="1105"/>
      <c r="AI5" s="1105"/>
      <c r="AJ5" s="1105"/>
      <c r="AK5" s="1105"/>
      <c r="AL5" s="1105"/>
      <c r="AM5" s="1105"/>
      <c r="AN5" s="1105"/>
      <c r="AO5" s="1105"/>
      <c r="AP5" s="1105"/>
      <c r="AQ5" s="1105"/>
      <c r="AR5" s="1105"/>
      <c r="AS5" s="1105"/>
      <c r="AT5" s="1105"/>
      <c r="AU5" s="1105"/>
      <c r="AV5" s="1105"/>
      <c r="AW5" s="1105"/>
      <c r="AX5" s="1105"/>
      <c r="AY5" s="1105"/>
      <c r="AZ5" s="1105"/>
    </row>
    <row r="6" spans="1:83" ht="20.25" customHeight="1" x14ac:dyDescent="0.45">
      <c r="A6" s="18"/>
      <c r="B6" s="1336" t="s">
        <v>1685</v>
      </c>
      <c r="C6" s="1326"/>
      <c r="D6" s="1326"/>
      <c r="E6" s="1326"/>
      <c r="F6" s="1326"/>
      <c r="G6" s="1326"/>
      <c r="H6" s="1327"/>
      <c r="I6" s="1231"/>
      <c r="J6" s="1229"/>
      <c r="K6" s="1229"/>
      <c r="L6" s="1229"/>
      <c r="M6" s="1229"/>
      <c r="N6" s="1229"/>
      <c r="O6" s="1229"/>
      <c r="P6" s="1229"/>
      <c r="Q6" s="1229"/>
      <c r="R6" s="1229"/>
      <c r="S6" s="1229"/>
      <c r="T6" s="1229"/>
      <c r="U6" s="1229"/>
      <c r="V6" s="1229"/>
      <c r="W6" s="1229"/>
      <c r="AB6" s="803"/>
      <c r="AC6" s="1105"/>
      <c r="AD6" s="1105"/>
      <c r="AE6" s="1105"/>
      <c r="AF6" s="1105"/>
      <c r="AG6" s="1105"/>
      <c r="AH6" s="1105"/>
      <c r="AI6" s="1105"/>
      <c r="AJ6" s="1105"/>
      <c r="AK6" s="1105"/>
      <c r="AL6" s="1105"/>
      <c r="AM6" s="1105"/>
      <c r="AN6" s="1105"/>
      <c r="AO6" s="1105"/>
      <c r="AP6" s="1105"/>
      <c r="AQ6" s="1105"/>
      <c r="AR6" s="1105"/>
      <c r="AS6" s="1105"/>
      <c r="AT6" s="1105"/>
      <c r="AU6" s="1105"/>
      <c r="AV6" s="1105"/>
      <c r="AW6" s="1105"/>
      <c r="AX6" s="1105"/>
      <c r="AY6" s="1105"/>
      <c r="AZ6" s="1105"/>
    </row>
    <row r="7" spans="1:83" ht="20.25" customHeight="1" x14ac:dyDescent="0.45">
      <c r="A7" s="18"/>
      <c r="B7" s="1328"/>
      <c r="C7" s="1337"/>
      <c r="D7" s="1337"/>
      <c r="E7" s="1337"/>
      <c r="F7" s="1337"/>
      <c r="G7" s="1337"/>
      <c r="H7" s="1330"/>
      <c r="I7" s="1231"/>
      <c r="J7" s="1229"/>
      <c r="K7" s="1229"/>
      <c r="L7" s="1229"/>
      <c r="M7" s="1229"/>
      <c r="N7" s="1229"/>
      <c r="O7" s="1229"/>
      <c r="P7" s="1229"/>
      <c r="Q7" s="1229"/>
      <c r="R7" s="1229"/>
      <c r="S7" s="1229"/>
      <c r="T7" s="1229"/>
      <c r="U7" s="1229"/>
      <c r="V7" s="1229"/>
      <c r="W7" s="1229"/>
      <c r="AB7" s="803"/>
      <c r="AC7" s="1105"/>
      <c r="AD7" s="1105"/>
      <c r="AE7" s="1105"/>
      <c r="AF7" s="1105"/>
      <c r="AG7" s="1105"/>
      <c r="AH7" s="1105"/>
      <c r="AI7" s="1105"/>
      <c r="AJ7" s="1105"/>
      <c r="AK7" s="1105"/>
      <c r="AL7" s="1105"/>
      <c r="AM7" s="1105"/>
      <c r="AN7" s="1105"/>
      <c r="AO7" s="1105"/>
      <c r="AP7" s="1105"/>
      <c r="AQ7" s="1105"/>
      <c r="AR7" s="1105"/>
      <c r="AS7" s="1105"/>
      <c r="AT7" s="1105"/>
      <c r="AU7" s="1105"/>
      <c r="AV7" s="1105"/>
      <c r="AW7" s="1105"/>
      <c r="AX7" s="1105"/>
      <c r="AY7" s="1105"/>
      <c r="AZ7" s="1105"/>
    </row>
    <row r="8" spans="1:83" ht="20" customHeight="1" x14ac:dyDescent="0.45">
      <c r="A8" s="18"/>
      <c r="B8" s="1328"/>
      <c r="C8" s="1337"/>
      <c r="D8" s="1337"/>
      <c r="E8" s="1337"/>
      <c r="F8" s="1337"/>
      <c r="G8" s="1337"/>
      <c r="H8" s="1330"/>
      <c r="I8" s="1231"/>
      <c r="J8" s="1229"/>
      <c r="K8" s="1229"/>
      <c r="L8" s="1229"/>
      <c r="M8" s="1229"/>
      <c r="N8" s="1229"/>
      <c r="O8" s="1229"/>
      <c r="P8" s="1229"/>
      <c r="Q8" s="1229"/>
      <c r="R8" s="1229"/>
      <c r="S8" s="1229"/>
      <c r="T8" s="1229"/>
      <c r="U8" s="1229"/>
      <c r="V8" s="1229"/>
      <c r="W8" s="1229"/>
      <c r="AB8" s="803"/>
      <c r="AC8" s="1105"/>
      <c r="AD8" s="1105"/>
      <c r="AE8" s="1105"/>
      <c r="AF8" s="1105"/>
      <c r="AG8" s="1105"/>
      <c r="AH8" s="1105"/>
      <c r="AI8" s="1105"/>
      <c r="AJ8" s="1105"/>
      <c r="AK8" s="1105"/>
      <c r="AL8" s="1105"/>
      <c r="AM8" s="1105"/>
      <c r="AN8" s="1105"/>
      <c r="AO8" s="1105"/>
      <c r="AP8" s="1105"/>
      <c r="AQ8" s="1105"/>
      <c r="AR8" s="1105"/>
      <c r="AS8" s="1105"/>
      <c r="AT8" s="1105"/>
      <c r="AU8" s="1105"/>
      <c r="AV8" s="1105"/>
      <c r="AW8" s="1105"/>
      <c r="AX8" s="1105"/>
      <c r="AY8" s="1105"/>
      <c r="AZ8" s="1105"/>
    </row>
    <row r="9" spans="1:83" ht="6" customHeight="1" x14ac:dyDescent="0.45">
      <c r="A9" s="18"/>
      <c r="B9" s="1331"/>
      <c r="C9" s="1332"/>
      <c r="D9" s="1332"/>
      <c r="E9" s="1332"/>
      <c r="F9" s="1332"/>
      <c r="G9" s="1332"/>
      <c r="H9" s="1333"/>
      <c r="I9" s="1231"/>
      <c r="J9" s="1229"/>
      <c r="K9" s="1229"/>
      <c r="L9" s="1229"/>
      <c r="M9" s="1229"/>
      <c r="N9" s="1229"/>
      <c r="O9" s="1229"/>
      <c r="P9" s="1229"/>
      <c r="Q9" s="1229"/>
      <c r="R9" s="1229"/>
      <c r="S9" s="1229"/>
      <c r="T9" s="1229"/>
      <c r="U9" s="1229"/>
      <c r="V9" s="1229"/>
      <c r="W9" s="1229"/>
      <c r="X9" s="4"/>
      <c r="Y9" s="4"/>
      <c r="Z9" s="4"/>
      <c r="AA9" s="4"/>
      <c r="AB9" s="803"/>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row>
    <row r="10" spans="1:83" ht="4.5" customHeight="1" x14ac:dyDescent="0.45">
      <c r="A10" s="18"/>
      <c r="C10" s="926"/>
      <c r="D10" s="926"/>
      <c r="E10" s="4"/>
      <c r="F10" s="4"/>
      <c r="G10" s="558"/>
      <c r="J10" s="1229"/>
      <c r="K10" s="1229"/>
      <c r="L10" s="1229"/>
      <c r="M10" s="1229"/>
      <c r="N10" s="1229"/>
      <c r="O10" s="1229"/>
      <c r="P10" s="1229"/>
      <c r="Q10" s="1229"/>
      <c r="R10" s="1229"/>
      <c r="S10" s="1229"/>
      <c r="T10" s="1229"/>
      <c r="U10" s="1229"/>
      <c r="V10" s="1229"/>
      <c r="W10" s="1229"/>
      <c r="AB10" s="803"/>
      <c r="AC10" s="1105"/>
      <c r="AD10" s="1105"/>
      <c r="AE10" s="1105"/>
      <c r="AF10" s="1105"/>
      <c r="AG10" s="1105"/>
      <c r="AH10" s="1105"/>
      <c r="AI10" s="1105"/>
      <c r="AJ10" s="1105"/>
      <c r="AK10" s="1105"/>
      <c r="AL10" s="1105"/>
      <c r="AM10" s="1105"/>
      <c r="AN10" s="1105"/>
      <c r="AO10" s="1105"/>
      <c r="AP10" s="1105"/>
      <c r="AQ10" s="1105"/>
      <c r="AR10" s="1105"/>
      <c r="AS10" s="1105"/>
      <c r="AT10" s="1105"/>
      <c r="AU10" s="1105"/>
      <c r="AV10" s="1105"/>
      <c r="AW10" s="1105"/>
      <c r="AX10" s="1105"/>
      <c r="AY10" s="1105"/>
      <c r="AZ10" s="1105"/>
    </row>
    <row r="11" spans="1:83" ht="21" x14ac:dyDescent="0.65">
      <c r="B11" s="60" t="s">
        <v>1095</v>
      </c>
      <c r="J11" s="60"/>
    </row>
    <row r="12" spans="1:83" x14ac:dyDescent="0.45">
      <c r="B12" s="950" t="s">
        <v>1561</v>
      </c>
      <c r="C12" s="1310" t="s">
        <v>2</v>
      </c>
      <c r="D12" s="1244"/>
      <c r="E12" s="553"/>
      <c r="F12" s="553"/>
      <c r="G12" s="553"/>
      <c r="H12" s="796"/>
      <c r="J12" s="4"/>
      <c r="K12" s="4"/>
      <c r="L12" s="4"/>
      <c r="M12" s="4"/>
      <c r="N12" s="4"/>
      <c r="O12" s="4"/>
      <c r="P12" s="4"/>
      <c r="Q12" s="4"/>
      <c r="R12" s="4"/>
      <c r="S12" s="4"/>
      <c r="T12" s="4"/>
      <c r="U12" s="4"/>
      <c r="V12" s="4"/>
      <c r="W12" s="4"/>
      <c r="Z12" s="911" t="s">
        <v>1463</v>
      </c>
    </row>
    <row r="13" spans="1:83" x14ac:dyDescent="0.45">
      <c r="B13" s="304" t="s">
        <v>1484</v>
      </c>
      <c r="C13" s="1310" t="s">
        <v>1406</v>
      </c>
      <c r="D13" s="1341" t="str">
        <f>IF($C$13='14. Permanent Info'!$D$7,'14. Permanent Info'!$E$7,IF($C$13='14. Permanent Info'!$D$8,'14. Permanent Info'!$E$8,IF($C$13='14. Permanent Info'!$D$9,'14. Permanent Info'!$E$9,IF($C$13='14. Permanent Info'!$D$10,'14. Permanent Info'!$E$10,IF($C$13='14. Permanent Info'!$D$11,'14. Permanent Info'!$E$11,0)))))</f>
        <v>Base Case</v>
      </c>
      <c r="E13" s="1342"/>
      <c r="F13" s="1342"/>
      <c r="G13" s="1342"/>
      <c r="H13" s="1343"/>
      <c r="J13" s="4"/>
      <c r="L13" s="4"/>
      <c r="M13" s="4"/>
      <c r="N13" s="4"/>
      <c r="O13" s="4"/>
      <c r="P13" s="4"/>
      <c r="Q13" s="4"/>
      <c r="R13" s="4"/>
      <c r="S13" s="4"/>
      <c r="T13" s="4"/>
      <c r="U13" s="4"/>
      <c r="V13" s="4"/>
      <c r="W13" s="4"/>
      <c r="Z13" s="4"/>
      <c r="AA13" s="1277" t="s">
        <v>1772</v>
      </c>
    </row>
    <row r="14" spans="1:83" x14ac:dyDescent="0.45">
      <c r="B14" s="304"/>
      <c r="E14" s="1338" t="s">
        <v>1716</v>
      </c>
      <c r="F14" s="1339"/>
      <c r="G14" s="1339"/>
      <c r="H14" s="1340"/>
      <c r="J14" s="4"/>
      <c r="L14" s="4"/>
      <c r="M14" s="4"/>
      <c r="N14" s="4"/>
      <c r="O14" s="4"/>
      <c r="P14" s="4"/>
      <c r="Q14" s="4"/>
      <c r="R14" s="4"/>
      <c r="S14" s="4"/>
      <c r="T14" s="4"/>
      <c r="U14" s="4"/>
      <c r="V14" s="4"/>
      <c r="W14" s="4"/>
      <c r="Z14" s="4"/>
      <c r="AA14" s="1265" t="s">
        <v>1769</v>
      </c>
    </row>
    <row r="15" spans="1:83" x14ac:dyDescent="0.45">
      <c r="B15" s="304" t="s">
        <v>1497</v>
      </c>
      <c r="C15" s="1294" t="str">
        <f>$C$12&amp;" "&amp;$C$13</f>
        <v>FS BC</v>
      </c>
      <c r="E15" s="1274" t="str">
        <f>$C$12&amp;" "&amp;'14. Permanent Info'!$D$7</f>
        <v>FS BC</v>
      </c>
      <c r="F15" s="1274" t="str">
        <f>$C$12&amp;" "&amp;'14. Permanent Info'!$D$8</f>
        <v>FS Sc1</v>
      </c>
      <c r="G15" s="1274" t="str">
        <f>$C$12&amp;" "&amp;'14. Permanent Info'!$D$9</f>
        <v>FS Sc2</v>
      </c>
      <c r="H15" s="1274" t="str">
        <f>$C$12&amp;" "&amp;'14. Permanent Info'!$D$10</f>
        <v>FS Sc3</v>
      </c>
      <c r="J15" s="4"/>
      <c r="L15" s="4"/>
      <c r="M15" s="4"/>
      <c r="N15" s="4"/>
      <c r="O15" s="4"/>
      <c r="P15" s="4"/>
      <c r="Q15" s="4"/>
      <c r="R15" s="4"/>
      <c r="S15" s="4"/>
      <c r="T15" s="4"/>
      <c r="U15" s="4"/>
      <c r="V15" s="4"/>
      <c r="W15" s="4"/>
      <c r="Z15" s="4"/>
      <c r="AA15" s="1266" t="str">
        <f>C13</f>
        <v>BC</v>
      </c>
      <c r="CB15" s="881" t="s">
        <v>1406</v>
      </c>
      <c r="CC15" s="881" t="s">
        <v>1315</v>
      </c>
      <c r="CD15" s="881" t="s">
        <v>1316</v>
      </c>
      <c r="CE15" s="881" t="s">
        <v>1317</v>
      </c>
    </row>
    <row r="16" spans="1:83" x14ac:dyDescent="0.45">
      <c r="B16" s="964" t="s">
        <v>1705</v>
      </c>
      <c r="C16" s="1311">
        <v>17</v>
      </c>
      <c r="E16" s="1239">
        <v>17</v>
      </c>
      <c r="F16" s="1239">
        <v>5</v>
      </c>
      <c r="G16" s="1239">
        <v>2</v>
      </c>
      <c r="H16" s="1239">
        <v>1</v>
      </c>
      <c r="J16" s="4"/>
      <c r="L16" s="4"/>
      <c r="M16" s="4"/>
      <c r="N16" s="4"/>
      <c r="O16" s="4"/>
      <c r="P16" s="4"/>
      <c r="Q16" s="4"/>
      <c r="R16" s="4"/>
      <c r="S16" s="4"/>
      <c r="T16" s="4"/>
      <c r="U16" s="4"/>
      <c r="V16" s="4"/>
      <c r="W16" s="4"/>
      <c r="Z16" s="911" t="s">
        <v>1463</v>
      </c>
      <c r="AA16" s="1267">
        <f>IF($C$13='14. Permanent Info'!$D$7,E16,IF($C$13='14. Permanent Info'!$D$8,F16,IF($C$13='14. Permanent Info'!$D$9,G16,IF($C$13='14. Permanent Info'!$D$10,H16,IF($C$13='14. Permanent Info'!$D$11,'5. Dashboard FS'!C16,0)))))</f>
        <v>17</v>
      </c>
      <c r="CB16" s="17">
        <v>17</v>
      </c>
      <c r="CC16" s="17">
        <v>5</v>
      </c>
      <c r="CD16" s="17">
        <v>2</v>
      </c>
      <c r="CE16" s="17">
        <v>1</v>
      </c>
    </row>
    <row r="17" spans="1:83" ht="15.75" x14ac:dyDescent="0.45">
      <c r="B17" s="964" t="s">
        <v>1774</v>
      </c>
      <c r="C17" s="1312" t="s">
        <v>1435</v>
      </c>
      <c r="E17" s="1240" t="s">
        <v>1435</v>
      </c>
      <c r="F17" s="1240" t="s">
        <v>1437</v>
      </c>
      <c r="G17" s="1240" t="s">
        <v>1435</v>
      </c>
      <c r="H17" s="1240" t="s">
        <v>1435</v>
      </c>
      <c r="J17" s="4"/>
      <c r="L17" s="4"/>
      <c r="M17" s="4"/>
      <c r="N17" s="4"/>
      <c r="O17" s="4"/>
      <c r="P17" s="4"/>
      <c r="Q17" s="4"/>
      <c r="R17" s="4"/>
      <c r="S17" s="4"/>
      <c r="T17" s="4"/>
      <c r="U17" s="4"/>
      <c r="V17" s="4"/>
      <c r="W17" s="4"/>
      <c r="Z17" s="911" t="s">
        <v>1463</v>
      </c>
      <c r="AA17" s="1268" t="str">
        <f>IF($C$13='14. Permanent Info'!$D$7,E17,IF($C$13='14. Permanent Info'!$D$8,F17,IF($C$13='14. Permanent Info'!$D$9,G17,IF($C$13='14. Permanent Info'!$D$10,H17,IF($C$13='14. Permanent Info'!$D$11,'5. Dashboard FS'!C17,0)))))</f>
        <v>Existing</v>
      </c>
      <c r="CB17" s="1032" t="s">
        <v>1435</v>
      </c>
      <c r="CC17" s="1032" t="s">
        <v>1437</v>
      </c>
      <c r="CD17" s="1032" t="s">
        <v>1435</v>
      </c>
      <c r="CE17" s="1032" t="s">
        <v>1435</v>
      </c>
    </row>
    <row r="18" spans="1:83" ht="15.75" x14ac:dyDescent="0.45">
      <c r="B18" s="964" t="s">
        <v>1426</v>
      </c>
      <c r="C18" s="1312" t="s">
        <v>1436</v>
      </c>
      <c r="E18" s="1240" t="s">
        <v>1436</v>
      </c>
      <c r="F18" s="1240" t="s">
        <v>1436</v>
      </c>
      <c r="G18" s="1240" t="s">
        <v>1436</v>
      </c>
      <c r="H18" s="1240" t="s">
        <v>1436</v>
      </c>
      <c r="J18" s="4"/>
      <c r="L18" s="4"/>
      <c r="M18" s="4"/>
      <c r="N18" s="4"/>
      <c r="O18" s="4"/>
      <c r="P18" s="4"/>
      <c r="Q18" s="4"/>
      <c r="R18" s="4"/>
      <c r="S18" s="4"/>
      <c r="T18" s="4"/>
      <c r="U18" s="4"/>
      <c r="V18" s="4"/>
      <c r="W18" s="4"/>
      <c r="Z18" s="911" t="s">
        <v>1463</v>
      </c>
      <c r="AA18" s="1268" t="str">
        <f>IF($C$13='14. Permanent Info'!$D$7,E18,IF($C$13='14. Permanent Info'!$D$8,F18,IF($C$13='14. Permanent Info'!$D$9,G18,IF($C$13='14. Permanent Info'!$D$10,H18,IF($C$13='14. Permanent Info'!$D$11,'5. Dashboard FS'!C18,0)))))</f>
        <v>None</v>
      </c>
      <c r="CB18" s="1032" t="s">
        <v>1436</v>
      </c>
      <c r="CC18" s="1032" t="s">
        <v>1436</v>
      </c>
      <c r="CD18" s="1032" t="s">
        <v>1436</v>
      </c>
      <c r="CE18" s="1032" t="s">
        <v>1436</v>
      </c>
    </row>
    <row r="19" spans="1:83" ht="15.75" x14ac:dyDescent="0.45">
      <c r="B19" s="964" t="s">
        <v>1446</v>
      </c>
      <c r="C19" s="1313" t="s">
        <v>1447</v>
      </c>
      <c r="E19" s="1241" t="s">
        <v>1447</v>
      </c>
      <c r="F19" s="1241" t="s">
        <v>1428</v>
      </c>
      <c r="G19" s="1241" t="s">
        <v>1428</v>
      </c>
      <c r="H19" s="1241" t="s">
        <v>1428</v>
      </c>
      <c r="J19" s="4"/>
      <c r="L19" s="4"/>
      <c r="M19" s="4"/>
      <c r="N19" s="4"/>
      <c r="O19" s="4"/>
      <c r="P19" s="4"/>
      <c r="Q19" s="4"/>
      <c r="R19" s="4"/>
      <c r="S19" s="4"/>
      <c r="T19" s="4"/>
      <c r="U19" s="4"/>
      <c r="V19" s="4"/>
      <c r="W19" s="4"/>
      <c r="Z19" s="911" t="s">
        <v>1463</v>
      </c>
      <c r="AA19" s="1269" t="str">
        <f>IF($C$13='14. Permanent Info'!$D$7,E19,IF($C$13='14. Permanent Info'!$D$8,F19,IF($C$13='14. Permanent Info'!$D$9,G19,IF($C$13='14. Permanent Info'!$D$10,H19,IF($C$13='14. Permanent Info'!$D$11,'5. Dashboard FS'!C19,0)))))</f>
        <v>Fixed</v>
      </c>
      <c r="CB19" s="1033" t="s">
        <v>1447</v>
      </c>
      <c r="CC19" s="1033" t="s">
        <v>1428</v>
      </c>
      <c r="CD19" s="1033" t="s">
        <v>1428</v>
      </c>
      <c r="CE19" s="1033" t="s">
        <v>1428</v>
      </c>
    </row>
    <row r="20" spans="1:83" ht="15.75" x14ac:dyDescent="0.45">
      <c r="B20" s="1279" t="s">
        <v>1775</v>
      </c>
      <c r="C20" s="1238"/>
      <c r="D20" s="1238"/>
      <c r="E20" s="1159"/>
      <c r="F20" s="4"/>
      <c r="G20" s="4"/>
      <c r="H20" s="930"/>
      <c r="I20" s="4"/>
      <c r="J20" s="4"/>
      <c r="K20" s="4"/>
      <c r="L20" s="4"/>
      <c r="M20" s="4"/>
      <c r="N20" s="4"/>
      <c r="O20" s="4"/>
      <c r="P20" s="4"/>
      <c r="Q20" s="4"/>
      <c r="R20" s="4"/>
      <c r="S20" s="4"/>
      <c r="T20" s="4"/>
      <c r="U20" s="4"/>
      <c r="V20" s="4"/>
      <c r="W20" s="4"/>
      <c r="Z20" s="1262"/>
      <c r="CB20" s="1204"/>
      <c r="CC20" s="1204"/>
      <c r="CD20" s="1204"/>
      <c r="CE20" s="1204"/>
    </row>
    <row r="21" spans="1:83" ht="5.55" customHeight="1" x14ac:dyDescent="0.45">
      <c r="A21" s="1262"/>
      <c r="B21" s="1270"/>
      <c r="C21" s="1271"/>
      <c r="D21" s="1271"/>
      <c r="E21" s="1272"/>
      <c r="F21" s="931"/>
      <c r="G21" s="931"/>
      <c r="H21" s="932"/>
      <c r="I21" s="4"/>
      <c r="J21" s="4"/>
      <c r="K21" s="4"/>
      <c r="L21" s="4"/>
      <c r="M21" s="4"/>
      <c r="N21" s="4"/>
      <c r="O21" s="4"/>
      <c r="P21" s="4"/>
      <c r="Q21" s="4"/>
      <c r="R21" s="4"/>
      <c r="S21" s="4"/>
      <c r="T21" s="4"/>
      <c r="U21" s="4"/>
      <c r="V21" s="4"/>
      <c r="W21" s="4"/>
      <c r="CB21" s="1204"/>
      <c r="CC21" s="1204"/>
      <c r="CD21" s="1204"/>
      <c r="CE21" s="1204"/>
    </row>
    <row r="22" spans="1:83" ht="8" customHeight="1" x14ac:dyDescent="0.45">
      <c r="A22" s="1262"/>
      <c r="B22" s="1273"/>
      <c r="C22" s="1238"/>
      <c r="D22" s="1238"/>
      <c r="E22" s="1159"/>
      <c r="F22" s="4"/>
      <c r="G22" s="4"/>
      <c r="H22" s="4"/>
      <c r="I22" s="4"/>
      <c r="J22" s="4"/>
      <c r="K22" s="4"/>
      <c r="L22" s="4"/>
      <c r="M22" s="4"/>
      <c r="N22" s="4"/>
      <c r="O22" s="4"/>
      <c r="P22" s="4"/>
      <c r="Q22" s="4"/>
      <c r="R22" s="4"/>
      <c r="S22" s="4"/>
      <c r="T22" s="4"/>
      <c r="U22" s="4"/>
      <c r="V22" s="4"/>
      <c r="W22" s="4"/>
      <c r="CB22" s="1204"/>
      <c r="CC22" s="1204"/>
      <c r="CD22" s="1204"/>
      <c r="CE22" s="1204"/>
    </row>
    <row r="23" spans="1:83" ht="21" x14ac:dyDescent="0.65">
      <c r="A23" s="1262"/>
      <c r="B23" s="60" t="s">
        <v>1776</v>
      </c>
      <c r="C23" s="1238"/>
      <c r="D23" s="1238"/>
      <c r="E23" s="1159"/>
      <c r="F23" s="4"/>
      <c r="G23" s="4"/>
      <c r="H23" s="4"/>
      <c r="I23" s="4"/>
      <c r="J23" s="4"/>
      <c r="K23" s="4"/>
      <c r="L23" s="4"/>
      <c r="M23" s="4"/>
      <c r="N23" s="4"/>
      <c r="O23" s="4"/>
      <c r="P23" s="4"/>
      <c r="Q23" s="4"/>
      <c r="R23" s="4"/>
      <c r="S23" s="4"/>
      <c r="T23" s="4"/>
      <c r="U23" s="4"/>
      <c r="V23" s="4"/>
      <c r="W23" s="4"/>
      <c r="CB23" s="1204"/>
      <c r="CC23" s="1204"/>
      <c r="CD23" s="1204"/>
      <c r="CE23" s="1204"/>
    </row>
    <row r="24" spans="1:83" x14ac:dyDescent="0.45">
      <c r="B24" s="1275" t="s">
        <v>1767</v>
      </c>
      <c r="C24" s="1274" t="str">
        <f>C15</f>
        <v>FS BC</v>
      </c>
      <c r="D24" s="553"/>
      <c r="E24" s="1294" t="str">
        <f>E15</f>
        <v>FS BC</v>
      </c>
      <c r="F24" s="1294" t="str">
        <f>F15</f>
        <v>FS Sc1</v>
      </c>
      <c r="G24" s="1294" t="str">
        <f>G15</f>
        <v>FS Sc2</v>
      </c>
      <c r="H24" s="1294" t="str">
        <f>H15</f>
        <v>FS Sc3</v>
      </c>
      <c r="I24" s="4"/>
      <c r="J24" s="4"/>
      <c r="K24" s="4"/>
      <c r="L24" s="4"/>
      <c r="M24" s="4"/>
      <c r="N24" s="4"/>
      <c r="O24" s="4"/>
      <c r="P24" s="4"/>
      <c r="Q24" s="4"/>
      <c r="R24" s="4"/>
      <c r="S24" s="4"/>
      <c r="T24" s="4"/>
      <c r="U24" s="4"/>
      <c r="V24" s="4"/>
      <c r="W24" s="4"/>
    </row>
    <row r="25" spans="1:83" x14ac:dyDescent="0.45">
      <c r="B25" s="1260" t="str">
        <f>B136</f>
        <v>Income (=Rent &amp; Sales Income)</v>
      </c>
      <c r="C25" s="1296">
        <f ca="1">$F$136</f>
        <v>254562.08347826102</v>
      </c>
      <c r="D25" s="558"/>
      <c r="E25" s="1296">
        <v>254562.08347826102</v>
      </c>
      <c r="F25" s="1296">
        <v>309615.61447826098</v>
      </c>
      <c r="G25" s="1296">
        <v>254562.08347826079</v>
      </c>
      <c r="H25" s="1297">
        <v>254562.08347826079</v>
      </c>
      <c r="I25" s="4"/>
      <c r="J25" s="4"/>
      <c r="K25" s="4"/>
      <c r="L25" s="4"/>
      <c r="M25" s="4"/>
      <c r="N25" s="4"/>
      <c r="O25" s="4"/>
      <c r="P25" s="4"/>
      <c r="Q25" s="4"/>
      <c r="R25" s="4"/>
      <c r="S25" s="4"/>
      <c r="T25" s="4"/>
      <c r="U25" s="4"/>
      <c r="V25" s="4"/>
      <c r="W25" s="4"/>
    </row>
    <row r="26" spans="1:83" x14ac:dyDescent="0.45">
      <c r="B26" s="1260" t="str">
        <f>B137</f>
        <v>Costs/Expenses</v>
      </c>
      <c r="C26" s="1296">
        <f>$F$137</f>
        <v>20298197.281151123</v>
      </c>
      <c r="D26" s="558"/>
      <c r="E26" s="1296">
        <v>20298197.281151123</v>
      </c>
      <c r="F26" s="1296">
        <v>5903929.0210240772</v>
      </c>
      <c r="G26" s="1296">
        <v>3878326.4439787851</v>
      </c>
      <c r="H26" s="1298">
        <v>3819540.7235218692</v>
      </c>
      <c r="I26" s="4"/>
      <c r="J26" s="4"/>
      <c r="K26" s="4"/>
      <c r="L26" s="4"/>
      <c r="M26" s="4"/>
      <c r="N26" s="4"/>
      <c r="O26" s="4"/>
      <c r="P26" s="4"/>
      <c r="Q26" s="4"/>
      <c r="R26" s="4"/>
      <c r="S26" s="4"/>
      <c r="T26" s="4"/>
      <c r="U26" s="4"/>
      <c r="V26" s="4"/>
      <c r="W26" s="4"/>
    </row>
    <row r="27" spans="1:83" x14ac:dyDescent="0.45">
      <c r="B27" s="1260" t="str">
        <f>B146</f>
        <v>Net Surplus / (deficit) funded by HSDG Top Slice</v>
      </c>
      <c r="C27" s="1299">
        <f ca="1">$F$146</f>
        <v>20043635.197672863</v>
      </c>
      <c r="D27" s="558"/>
      <c r="E27" s="1299">
        <v>20043635.197672863</v>
      </c>
      <c r="F27" s="1299">
        <v>5594313.406545816</v>
      </c>
      <c r="G27" s="1299">
        <v>3623764.3605005243</v>
      </c>
      <c r="H27" s="1297">
        <v>3564978.6400436084</v>
      </c>
      <c r="I27" s="4"/>
      <c r="J27" s="4"/>
      <c r="K27" s="4"/>
      <c r="L27" s="4"/>
      <c r="M27" s="4"/>
      <c r="N27" s="4"/>
      <c r="O27" s="4"/>
      <c r="P27" s="4"/>
      <c r="Q27" s="4"/>
      <c r="R27" s="4"/>
      <c r="S27" s="4"/>
      <c r="T27" s="4"/>
      <c r="U27" s="4"/>
      <c r="V27" s="4"/>
      <c r="W27" s="4"/>
    </row>
    <row r="28" spans="1:83" x14ac:dyDescent="0.45">
      <c r="B28" s="1260" t="str">
        <f>B150</f>
        <v>Total EEDBS utilised</v>
      </c>
      <c r="C28" s="1296">
        <f ca="1">$F$150</f>
        <v>2664895.0499999998</v>
      </c>
      <c r="D28" s="558"/>
      <c r="E28" s="1296">
        <v>2664895.0499999998</v>
      </c>
      <c r="F28" s="1296">
        <v>2664895.0499999998</v>
      </c>
      <c r="G28" s="1296">
        <v>2664895.0500000003</v>
      </c>
      <c r="H28" s="1298">
        <v>2664895.0499999998</v>
      </c>
      <c r="I28" s="4"/>
      <c r="J28" s="4"/>
      <c r="K28" s="4"/>
      <c r="L28" s="4"/>
      <c r="M28" s="4"/>
      <c r="N28" s="4"/>
      <c r="O28" s="4"/>
      <c r="P28" s="4"/>
      <c r="Q28" s="4"/>
      <c r="R28" s="4"/>
      <c r="S28" s="4"/>
      <c r="T28" s="4"/>
      <c r="U28" s="4"/>
      <c r="V28" s="4"/>
      <c r="W28" s="4"/>
    </row>
    <row r="29" spans="1:83" x14ac:dyDescent="0.45">
      <c r="B29" s="1263" t="s">
        <v>1768</v>
      </c>
      <c r="C29" s="1300">
        <f ca="1">SUM(C27:C28)</f>
        <v>22708530.247672863</v>
      </c>
      <c r="D29" s="558"/>
      <c r="E29" s="1300">
        <v>22708530.247672863</v>
      </c>
      <c r="F29" s="1300">
        <v>8259208.4565458158</v>
      </c>
      <c r="G29" s="1300">
        <v>6288659.4105005246</v>
      </c>
      <c r="H29" s="1301">
        <v>6229873.6900436077</v>
      </c>
      <c r="I29" s="4"/>
      <c r="J29" s="4"/>
      <c r="K29" s="4"/>
      <c r="L29" s="4"/>
      <c r="M29" s="4"/>
      <c r="N29" s="4"/>
      <c r="O29" s="4"/>
      <c r="P29" s="4"/>
      <c r="Q29" s="4"/>
      <c r="R29" s="4"/>
      <c r="S29" s="4"/>
      <c r="T29" s="4"/>
      <c r="U29" s="4"/>
      <c r="V29" s="4"/>
      <c r="W29" s="4"/>
    </row>
    <row r="30" spans="1:83" x14ac:dyDescent="0.45">
      <c r="B30" s="1276" t="str">
        <f>B157</f>
        <v>Total HSDG &amp; EEDBS per Base Case</v>
      </c>
      <c r="C30" s="1302">
        <f>$F$157</f>
        <v>22708530.24767286</v>
      </c>
      <c r="D30" s="558"/>
      <c r="E30" s="1302">
        <v>22708530.24767286</v>
      </c>
      <c r="F30" s="1302">
        <v>22708530.24767286</v>
      </c>
      <c r="G30" s="1302">
        <v>22708530.24767286</v>
      </c>
      <c r="H30" s="1303">
        <v>22708530.24767286</v>
      </c>
      <c r="I30" s="4"/>
      <c r="J30" s="4"/>
      <c r="K30" s="4"/>
      <c r="L30" s="4"/>
      <c r="M30" s="4"/>
      <c r="N30" s="4"/>
      <c r="O30" s="4"/>
      <c r="P30" s="4"/>
      <c r="Q30" s="4"/>
      <c r="R30" s="4"/>
      <c r="S30" s="4"/>
      <c r="T30" s="4"/>
      <c r="U30" s="4"/>
      <c r="V30" s="4"/>
      <c r="W30" s="4"/>
    </row>
    <row r="31" spans="1:83" x14ac:dyDescent="0.45">
      <c r="B31" s="1261" t="str">
        <f>B158</f>
        <v>Increase/(Decrease) in HSDG &amp; EEDBS Compared to Base Case</v>
      </c>
      <c r="C31" s="1293">
        <f ca="1">C29-$E29</f>
        <v>0</v>
      </c>
      <c r="D31" s="1304"/>
      <c r="E31" s="1293">
        <v>0</v>
      </c>
      <c r="F31" s="1293">
        <v>-14449321.791127048</v>
      </c>
      <c r="G31" s="1293">
        <v>-16419870.837172339</v>
      </c>
      <c r="H31" s="1295">
        <v>-16478656.557629256</v>
      </c>
      <c r="I31" s="4"/>
      <c r="J31" s="4"/>
      <c r="K31" s="4"/>
      <c r="L31" s="4"/>
      <c r="M31" s="4"/>
      <c r="N31" s="4"/>
      <c r="O31" s="4"/>
      <c r="P31" s="4"/>
      <c r="Q31" s="4"/>
      <c r="R31" s="4"/>
      <c r="S31" s="4"/>
      <c r="T31" s="4"/>
      <c r="U31" s="4"/>
      <c r="V31" s="4"/>
      <c r="W31" s="4"/>
    </row>
    <row r="32" spans="1:83" x14ac:dyDescent="0.45">
      <c r="B32" s="1260" t="s">
        <v>155</v>
      </c>
      <c r="C32" s="1305">
        <f>$F$147</f>
        <v>48</v>
      </c>
      <c r="D32" s="558"/>
      <c r="E32" s="1305">
        <v>48</v>
      </c>
      <c r="F32" s="1305">
        <v>48</v>
      </c>
      <c r="G32" s="1305">
        <v>48</v>
      </c>
      <c r="H32" s="1306">
        <v>48</v>
      </c>
      <c r="I32" s="4"/>
      <c r="J32" s="4"/>
      <c r="K32" s="4"/>
      <c r="L32" s="4"/>
      <c r="M32" s="4"/>
      <c r="N32" s="4"/>
      <c r="O32" s="4"/>
      <c r="P32" s="4"/>
      <c r="Q32" s="4"/>
      <c r="R32" s="4"/>
      <c r="S32" s="4"/>
      <c r="T32" s="4"/>
      <c r="U32" s="4"/>
      <c r="V32" s="4"/>
      <c r="W32" s="4"/>
    </row>
    <row r="33" spans="1:83" x14ac:dyDescent="0.45">
      <c r="B33" s="1264" t="str">
        <f>B151</f>
        <v>EEDBS per Existing Rental Unit</v>
      </c>
      <c r="C33" s="1296">
        <f ca="1">$F$151</f>
        <v>55518.646874999999</v>
      </c>
      <c r="D33" s="558"/>
      <c r="E33" s="1296">
        <v>55518.646874999999</v>
      </c>
      <c r="F33" s="1296">
        <v>55518.646874999999</v>
      </c>
      <c r="G33" s="1296">
        <v>55518.646875000006</v>
      </c>
      <c r="H33" s="1298">
        <v>55518.646874999999</v>
      </c>
      <c r="I33" s="4"/>
      <c r="J33" s="4"/>
      <c r="K33" s="4"/>
      <c r="L33" s="4"/>
      <c r="M33" s="4"/>
      <c r="N33" s="4"/>
      <c r="O33" s="4"/>
      <c r="P33" s="4"/>
      <c r="Q33" s="4"/>
      <c r="R33" s="4"/>
      <c r="S33" s="4"/>
      <c r="T33" s="4"/>
      <c r="U33" s="4"/>
      <c r="V33" s="4"/>
      <c r="W33" s="4"/>
    </row>
    <row r="34" spans="1:83" x14ac:dyDescent="0.45">
      <c r="B34" s="1264" t="str">
        <f>B148</f>
        <v>HSDG Top Slice per Existing Rental Unit</v>
      </c>
      <c r="C34" s="1296">
        <f ca="1">$F$148</f>
        <v>417575.7332848513</v>
      </c>
      <c r="D34" s="558"/>
      <c r="E34" s="1296">
        <v>417575.7332848513</v>
      </c>
      <c r="F34" s="1296">
        <v>116548.19596970449</v>
      </c>
      <c r="G34" s="1296">
        <v>75495.090843760918</v>
      </c>
      <c r="H34" s="1298">
        <v>74270.388334241841</v>
      </c>
      <c r="I34" s="4"/>
      <c r="J34" s="4"/>
      <c r="K34" s="4"/>
      <c r="L34" s="4"/>
      <c r="M34" s="4"/>
      <c r="N34" s="4"/>
      <c r="O34" s="4"/>
      <c r="P34" s="4"/>
      <c r="Q34" s="4"/>
      <c r="R34" s="4"/>
      <c r="S34" s="4"/>
      <c r="T34" s="4"/>
      <c r="U34" s="4"/>
      <c r="V34" s="4"/>
      <c r="W34" s="4"/>
    </row>
    <row r="35" spans="1:83" x14ac:dyDescent="0.45">
      <c r="B35" s="1264" t="str">
        <f>B153</f>
        <v>Total Government Contribution p.u.</v>
      </c>
      <c r="C35" s="1299">
        <f ca="1">$F$153</f>
        <v>473094.38015985134</v>
      </c>
      <c r="D35" s="558"/>
      <c r="E35" s="1299">
        <v>473094.38015985134</v>
      </c>
      <c r="F35" s="1299">
        <v>172066.84284470449</v>
      </c>
      <c r="G35" s="1299">
        <v>131013.73771876092</v>
      </c>
      <c r="H35" s="1297">
        <v>129789.03520924183</v>
      </c>
      <c r="I35" s="4"/>
      <c r="J35" s="4"/>
      <c r="K35" s="4"/>
      <c r="L35" s="4"/>
      <c r="M35" s="4"/>
      <c r="N35" s="4"/>
      <c r="O35" s="4"/>
      <c r="P35" s="4"/>
      <c r="Q35" s="4"/>
      <c r="R35" s="4"/>
      <c r="S35" s="4"/>
      <c r="T35" s="4"/>
      <c r="U35" s="4"/>
      <c r="V35" s="4"/>
      <c r="W35" s="4"/>
    </row>
    <row r="36" spans="1:83" x14ac:dyDescent="0.45">
      <c r="B36" s="948" t="s">
        <v>1773</v>
      </c>
      <c r="C36" s="1296">
        <f ca="1">C35-$E35</f>
        <v>0</v>
      </c>
      <c r="D36" s="558"/>
      <c r="E36" s="1296">
        <v>0</v>
      </c>
      <c r="F36" s="1296">
        <v>-301027.53731514688</v>
      </c>
      <c r="G36" s="1296">
        <v>-342080.64244109043</v>
      </c>
      <c r="H36" s="1298">
        <v>-343305.34495060949</v>
      </c>
      <c r="I36" s="4"/>
      <c r="J36" s="4"/>
      <c r="K36" s="4"/>
      <c r="L36" s="4"/>
      <c r="M36" s="4"/>
      <c r="N36" s="4"/>
      <c r="O36" s="4"/>
      <c r="P36" s="4"/>
      <c r="Q36" s="4"/>
      <c r="R36" s="4"/>
      <c r="S36" s="4"/>
      <c r="T36" s="4"/>
      <c r="U36" s="4"/>
      <c r="V36" s="4"/>
      <c r="W36" s="4"/>
    </row>
    <row r="37" spans="1:83" x14ac:dyDescent="0.45">
      <c r="B37" s="948"/>
      <c r="C37" s="558"/>
      <c r="D37" s="558"/>
      <c r="E37" s="558"/>
      <c r="F37" s="558"/>
      <c r="G37" s="558"/>
      <c r="H37" s="1283"/>
      <c r="I37" s="4"/>
      <c r="J37" s="4"/>
      <c r="K37" s="4"/>
      <c r="L37" s="4"/>
      <c r="M37" s="4"/>
      <c r="N37" s="4"/>
      <c r="O37" s="4"/>
      <c r="P37" s="4"/>
      <c r="Q37" s="4"/>
      <c r="R37" s="4"/>
      <c r="S37" s="4"/>
      <c r="T37" s="4"/>
      <c r="U37" s="4"/>
      <c r="V37" s="4"/>
      <c r="W37" s="4"/>
    </row>
    <row r="38" spans="1:83" ht="28.5" x14ac:dyDescent="0.45">
      <c r="A38" s="1262"/>
      <c r="B38" s="1278" t="s">
        <v>1706</v>
      </c>
      <c r="C38" s="1259" t="s">
        <v>1710</v>
      </c>
      <c r="D38" s="558"/>
      <c r="E38" s="1259" t="s">
        <v>1710</v>
      </c>
      <c r="F38" s="1259" t="s">
        <v>1710</v>
      </c>
      <c r="G38" s="1259" t="s">
        <v>1710</v>
      </c>
      <c r="H38" s="1259" t="s">
        <v>1710</v>
      </c>
      <c r="I38" s="4"/>
      <c r="J38" s="4"/>
      <c r="K38" s="4"/>
      <c r="L38" s="4"/>
      <c r="M38" s="4"/>
      <c r="N38" s="4"/>
      <c r="O38" s="4"/>
      <c r="P38" s="4"/>
      <c r="Q38" s="4"/>
      <c r="R38" s="4"/>
      <c r="S38" s="4"/>
      <c r="T38" s="4"/>
      <c r="U38" s="4"/>
      <c r="V38" s="4"/>
      <c r="W38" s="4"/>
      <c r="AC38" s="1253" t="str">
        <f>B155</f>
        <v>Comparison of Total Projected HSDG &amp; EEDBS v Base Case</v>
      </c>
      <c r="AD38" s="1254"/>
      <c r="AE38" s="1254"/>
      <c r="AF38" s="1255"/>
      <c r="AG38" s="1255"/>
      <c r="AH38" s="1255"/>
      <c r="AI38" s="1255"/>
      <c r="CB38" s="1204"/>
      <c r="CC38" s="1204"/>
      <c r="CD38" s="1204"/>
      <c r="CE38" s="1204"/>
    </row>
    <row r="39" spans="1:83" ht="15.75" x14ac:dyDescent="0.45">
      <c r="A39" s="1262"/>
      <c r="B39" s="1260" t="s">
        <v>1707</v>
      </c>
      <c r="C39" s="1220">
        <f ca="1">$F$161</f>
        <v>264575.7332848513</v>
      </c>
      <c r="D39" s="558"/>
      <c r="E39" s="1307">
        <v>264575.7332848513</v>
      </c>
      <c r="F39" s="1307">
        <v>-36451.804030295505</v>
      </c>
      <c r="G39" s="1307">
        <v>-77504.909156239082</v>
      </c>
      <c r="H39" s="1308">
        <v>-78729.611665758159</v>
      </c>
      <c r="I39" s="4"/>
      <c r="J39" s="4"/>
      <c r="K39" s="4"/>
      <c r="L39" s="4"/>
      <c r="M39" s="4"/>
      <c r="N39" s="4"/>
      <c r="O39" s="4"/>
      <c r="P39" s="4"/>
      <c r="Q39" s="4"/>
      <c r="R39" s="4"/>
      <c r="S39" s="4"/>
      <c r="T39" s="4"/>
      <c r="U39" s="4"/>
      <c r="V39" s="4"/>
      <c r="W39" s="4"/>
      <c r="AC39" s="1256" t="str">
        <f>B156</f>
        <v>Cost to the State (HSDG &amp; EEDBS) per Projected Scenario</v>
      </c>
      <c r="AD39" s="1257">
        <f ca="1">$F$156</f>
        <v>22708530.24767286</v>
      </c>
      <c r="AE39" s="1257"/>
      <c r="AF39" s="1257">
        <f ca="1">$F$156</f>
        <v>22708530.24767286</v>
      </c>
      <c r="AG39" s="1257">
        <f ca="1">$F$156</f>
        <v>22708530.24767286</v>
      </c>
      <c r="AH39" s="1257">
        <f ca="1">$F$156</f>
        <v>22708530.24767286</v>
      </c>
      <c r="AI39" s="1257">
        <f ca="1">$F$156</f>
        <v>22708530.24767286</v>
      </c>
      <c r="CB39" s="1204"/>
      <c r="CC39" s="1204"/>
      <c r="CD39" s="1204"/>
      <c r="CE39" s="1204"/>
    </row>
    <row r="40" spans="1:83" ht="15.75" x14ac:dyDescent="0.45">
      <c r="A40" s="1262"/>
      <c r="B40" s="1260" t="s">
        <v>1709</v>
      </c>
      <c r="C40" s="1220">
        <f ca="1">$F$162</f>
        <v>262575.7332848513</v>
      </c>
      <c r="D40" s="558"/>
      <c r="E40" s="1307">
        <v>262575.7332848513</v>
      </c>
      <c r="F40" s="1307">
        <v>-38451.804030295505</v>
      </c>
      <c r="G40" s="1307">
        <v>-79504.909156239082</v>
      </c>
      <c r="H40" s="1308">
        <v>-80729.611665758159</v>
      </c>
      <c r="I40" s="4"/>
      <c r="J40" s="4"/>
      <c r="K40" s="4"/>
      <c r="L40" s="4"/>
      <c r="M40" s="4"/>
      <c r="N40" s="4"/>
      <c r="O40" s="4"/>
      <c r="P40" s="4"/>
      <c r="Q40" s="4"/>
      <c r="R40" s="4"/>
      <c r="S40" s="4"/>
      <c r="T40" s="4"/>
      <c r="U40" s="4"/>
      <c r="V40" s="4"/>
      <c r="W40" s="4"/>
      <c r="AC40" s="1256" t="str">
        <f>B157</f>
        <v>Total HSDG &amp; EEDBS per Base Case</v>
      </c>
      <c r="AD40" s="1257"/>
      <c r="AE40" s="1257"/>
      <c r="AF40" s="1257"/>
      <c r="AG40" s="1257"/>
      <c r="AH40" s="1257"/>
      <c r="AI40" s="1257"/>
      <c r="CB40" s="1204"/>
      <c r="CC40" s="1204"/>
      <c r="CD40" s="1204"/>
      <c r="CE40" s="1204"/>
    </row>
    <row r="41" spans="1:83" ht="15.75" x14ac:dyDescent="0.45">
      <c r="A41" s="1262"/>
      <c r="B41" s="1260" t="s">
        <v>1708</v>
      </c>
      <c r="C41" s="1220">
        <f ca="1">$F$163</f>
        <v>152575.7332848513</v>
      </c>
      <c r="D41" s="558"/>
      <c r="E41" s="1307">
        <v>152575.7332848513</v>
      </c>
      <c r="F41" s="1307">
        <v>-148451.80403029552</v>
      </c>
      <c r="G41" s="1307">
        <v>-189504.90915623907</v>
      </c>
      <c r="H41" s="1308">
        <v>-190729.61166575816</v>
      </c>
      <c r="I41" s="4"/>
      <c r="J41" s="4"/>
      <c r="K41" s="4"/>
      <c r="L41" s="4"/>
      <c r="M41" s="4"/>
      <c r="N41" s="4"/>
      <c r="O41" s="4"/>
      <c r="P41" s="4"/>
      <c r="Q41" s="4"/>
      <c r="R41" s="4"/>
      <c r="S41" s="4"/>
      <c r="T41" s="4"/>
      <c r="U41" s="4"/>
      <c r="V41" s="4"/>
      <c r="W41" s="4"/>
      <c r="AC41" s="1258"/>
      <c r="AD41" s="1257">
        <f ca="1">AD39-AD40</f>
        <v>22708530.24767286</v>
      </c>
      <c r="AE41" s="1257"/>
      <c r="AF41" s="1257">
        <f ca="1">AF39-AF40</f>
        <v>22708530.24767286</v>
      </c>
      <c r="AG41" s="1258"/>
      <c r="AH41" s="1257">
        <f ca="1">AH39-AH40</f>
        <v>22708530.24767286</v>
      </c>
      <c r="AI41" s="1257">
        <f ca="1">AI39-AI40</f>
        <v>22708530.24767286</v>
      </c>
      <c r="CB41" s="1204"/>
      <c r="CC41" s="1204"/>
      <c r="CD41" s="1204"/>
      <c r="CE41" s="1204"/>
    </row>
    <row r="42" spans="1:83" ht="15.75" x14ac:dyDescent="0.45">
      <c r="A42" s="1262"/>
      <c r="B42" s="949"/>
      <c r="C42" s="931"/>
      <c r="D42" s="931"/>
      <c r="E42" s="931"/>
      <c r="F42" s="931"/>
      <c r="G42" s="931"/>
      <c r="H42" s="932"/>
      <c r="I42" s="4"/>
      <c r="J42" s="4"/>
      <c r="K42" s="4"/>
      <c r="L42" s="4"/>
      <c r="M42" s="4"/>
      <c r="N42" s="4"/>
      <c r="O42" s="4"/>
      <c r="P42" s="4"/>
      <c r="Q42" s="4"/>
      <c r="R42" s="4"/>
      <c r="S42" s="4"/>
      <c r="T42" s="4"/>
      <c r="U42" s="4"/>
      <c r="V42" s="4"/>
      <c r="W42" s="4"/>
      <c r="CB42" s="1204"/>
      <c r="CC42" s="1204"/>
      <c r="CD42" s="1204"/>
      <c r="CE42" s="1204"/>
    </row>
    <row r="44" spans="1:83" ht="15" customHeight="1" x14ac:dyDescent="0.65">
      <c r="A44" s="18"/>
      <c r="B44" s="60" t="s">
        <v>1333</v>
      </c>
      <c r="J44" s="4"/>
      <c r="K44" s="4"/>
      <c r="L44" s="4"/>
      <c r="M44" s="4"/>
      <c r="N44" s="4"/>
      <c r="O44" s="4"/>
      <c r="P44" s="4"/>
      <c r="Q44" s="4"/>
      <c r="R44" s="4"/>
      <c r="S44" s="4"/>
      <c r="T44" s="4"/>
      <c r="U44" s="4"/>
      <c r="V44" s="4"/>
      <c r="W44" s="4"/>
    </row>
    <row r="45" spans="1:83" ht="15" customHeight="1" x14ac:dyDescent="0.45">
      <c r="A45" s="18"/>
      <c r="J45" s="4"/>
      <c r="K45" s="4"/>
      <c r="L45" s="4"/>
      <c r="M45" s="4"/>
      <c r="N45" s="4"/>
      <c r="O45" s="4"/>
      <c r="P45" s="4"/>
      <c r="Q45" s="4"/>
      <c r="R45" s="4"/>
      <c r="S45" s="4"/>
      <c r="T45" s="4"/>
      <c r="U45" s="4"/>
      <c r="V45" s="4"/>
      <c r="W45" s="4"/>
    </row>
    <row r="46" spans="1:83" ht="15" customHeight="1" x14ac:dyDescent="0.45">
      <c r="A46" s="18"/>
      <c r="J46" s="4"/>
      <c r="K46" s="4"/>
      <c r="L46" s="4"/>
      <c r="M46" s="4"/>
      <c r="N46" s="4"/>
      <c r="O46" s="4"/>
      <c r="P46" s="4"/>
      <c r="Q46" s="4"/>
      <c r="R46" s="4"/>
      <c r="S46" s="4"/>
      <c r="T46" s="4"/>
      <c r="U46" s="4"/>
      <c r="V46" s="4"/>
      <c r="W46" s="4"/>
    </row>
    <row r="47" spans="1:83" ht="15" customHeight="1" x14ac:dyDescent="0.45">
      <c r="A47" s="18"/>
      <c r="J47" s="4"/>
      <c r="K47" s="4"/>
      <c r="L47" s="4"/>
      <c r="M47" s="4"/>
      <c r="N47" s="4"/>
      <c r="O47" s="4"/>
      <c r="P47" s="4"/>
      <c r="Q47" s="4"/>
      <c r="R47" s="4"/>
      <c r="S47" s="4"/>
      <c r="T47" s="4"/>
      <c r="U47" s="4"/>
      <c r="V47" s="4"/>
      <c r="W47" s="4"/>
    </row>
    <row r="48" spans="1:83" ht="15" customHeight="1" x14ac:dyDescent="0.45">
      <c r="A48" s="18"/>
      <c r="J48" s="4"/>
      <c r="K48" s="4"/>
      <c r="L48" s="4"/>
      <c r="M48" s="4"/>
      <c r="N48" s="4"/>
      <c r="O48" s="4"/>
      <c r="P48" s="4"/>
      <c r="Q48" s="4"/>
      <c r="R48" s="4"/>
      <c r="S48" s="4"/>
      <c r="T48" s="4"/>
      <c r="U48" s="4"/>
      <c r="V48" s="4"/>
      <c r="W48" s="4"/>
    </row>
    <row r="49" spans="1:23" ht="15" customHeight="1" x14ac:dyDescent="0.45">
      <c r="A49" s="18"/>
      <c r="J49" s="4"/>
      <c r="K49" s="4"/>
      <c r="L49" s="4"/>
      <c r="M49" s="4"/>
      <c r="N49" s="4"/>
      <c r="O49" s="4"/>
      <c r="P49" s="4"/>
      <c r="Q49" s="4"/>
      <c r="R49" s="4"/>
      <c r="S49" s="4"/>
      <c r="T49" s="4"/>
      <c r="U49" s="4"/>
      <c r="V49" s="4"/>
      <c r="W49" s="4"/>
    </row>
    <row r="50" spans="1:23" ht="15" customHeight="1" x14ac:dyDescent="0.45">
      <c r="A50" s="18"/>
      <c r="J50" s="4"/>
      <c r="K50" s="4"/>
      <c r="L50" s="4"/>
      <c r="M50" s="4"/>
      <c r="N50" s="4"/>
      <c r="O50" s="4"/>
      <c r="P50" s="4"/>
      <c r="Q50" s="4"/>
      <c r="R50" s="4"/>
      <c r="S50" s="4"/>
      <c r="T50" s="4"/>
      <c r="U50" s="4"/>
      <c r="V50" s="4"/>
      <c r="W50" s="4"/>
    </row>
    <row r="51" spans="1:23" ht="15" customHeight="1" x14ac:dyDescent="0.45">
      <c r="A51" s="18"/>
      <c r="J51" s="4"/>
      <c r="K51" s="4"/>
      <c r="L51" s="4"/>
      <c r="M51" s="4"/>
      <c r="N51" s="4"/>
      <c r="O51" s="4"/>
      <c r="P51" s="4"/>
      <c r="Q51" s="4"/>
      <c r="R51" s="4"/>
      <c r="S51" s="4"/>
      <c r="T51" s="4"/>
      <c r="U51" s="4"/>
      <c r="V51" s="4"/>
      <c r="W51" s="4"/>
    </row>
    <row r="52" spans="1:23" ht="15" customHeight="1" x14ac:dyDescent="0.45">
      <c r="A52" s="18"/>
      <c r="J52" s="4"/>
      <c r="K52" s="4"/>
      <c r="L52" s="4"/>
      <c r="M52" s="4"/>
      <c r="N52" s="4"/>
      <c r="O52" s="4"/>
      <c r="P52" s="4"/>
      <c r="Q52" s="4"/>
      <c r="R52" s="4"/>
      <c r="S52" s="4"/>
      <c r="T52" s="4"/>
      <c r="U52" s="4"/>
      <c r="V52" s="4"/>
      <c r="W52" s="4"/>
    </row>
    <row r="53" spans="1:23" ht="15" customHeight="1" x14ac:dyDescent="0.45">
      <c r="A53" s="18"/>
      <c r="J53" s="4"/>
      <c r="K53" s="4"/>
      <c r="L53" s="4"/>
      <c r="M53" s="4"/>
      <c r="N53" s="4"/>
      <c r="O53" s="4"/>
      <c r="P53" s="4"/>
      <c r="Q53" s="4"/>
      <c r="R53" s="4"/>
      <c r="S53" s="4"/>
      <c r="T53" s="4"/>
      <c r="U53" s="4"/>
      <c r="V53" s="4"/>
      <c r="W53" s="4"/>
    </row>
    <row r="54" spans="1:23" ht="15" customHeight="1" x14ac:dyDescent="0.45">
      <c r="A54" s="18"/>
      <c r="J54" s="4"/>
      <c r="K54" s="4"/>
      <c r="L54" s="4"/>
      <c r="M54" s="4"/>
      <c r="N54" s="4"/>
      <c r="O54" s="4"/>
      <c r="P54" s="4"/>
      <c r="Q54" s="4"/>
      <c r="R54" s="4"/>
      <c r="S54" s="4"/>
      <c r="T54" s="4"/>
      <c r="U54" s="4"/>
      <c r="V54" s="4"/>
      <c r="W54" s="4"/>
    </row>
    <row r="55" spans="1:23" ht="15" customHeight="1" x14ac:dyDescent="0.45">
      <c r="A55" s="18"/>
      <c r="J55" s="4"/>
      <c r="K55" s="4"/>
      <c r="L55" s="4"/>
      <c r="M55" s="4"/>
      <c r="N55" s="4"/>
      <c r="O55" s="4"/>
      <c r="P55" s="4"/>
      <c r="Q55" s="4"/>
      <c r="R55" s="4"/>
      <c r="S55" s="4"/>
      <c r="T55" s="4"/>
      <c r="U55" s="4"/>
      <c r="V55" s="4"/>
      <c r="W55" s="4"/>
    </row>
    <row r="56" spans="1:23" ht="15" customHeight="1" x14ac:dyDescent="0.45">
      <c r="A56" s="18"/>
      <c r="J56" s="4"/>
      <c r="K56" s="4"/>
      <c r="L56" s="4"/>
      <c r="M56" s="4"/>
      <c r="N56" s="4"/>
      <c r="O56" s="4"/>
      <c r="P56" s="4"/>
      <c r="Q56" s="4"/>
      <c r="R56" s="4"/>
      <c r="S56" s="4"/>
      <c r="T56" s="4"/>
      <c r="U56" s="4"/>
      <c r="V56" s="4"/>
      <c r="W56" s="4"/>
    </row>
    <row r="57" spans="1:23" ht="15" customHeight="1" x14ac:dyDescent="0.45">
      <c r="A57" s="18"/>
      <c r="J57" s="4"/>
      <c r="K57" s="4"/>
      <c r="L57" s="4"/>
      <c r="M57" s="4"/>
      <c r="N57" s="4"/>
      <c r="O57" s="4"/>
      <c r="P57" s="4"/>
      <c r="Q57" s="4"/>
      <c r="R57" s="4"/>
      <c r="S57" s="4"/>
      <c r="T57" s="4"/>
      <c r="U57" s="4"/>
      <c r="V57" s="4"/>
      <c r="W57" s="4"/>
    </row>
    <row r="58" spans="1:23" ht="15" customHeight="1" x14ac:dyDescent="0.45">
      <c r="A58" s="18"/>
      <c r="J58" s="4"/>
      <c r="K58" s="4"/>
      <c r="L58" s="4"/>
      <c r="M58" s="4"/>
      <c r="N58" s="4"/>
      <c r="O58" s="4"/>
      <c r="P58" s="4"/>
      <c r="Q58" s="4"/>
      <c r="R58" s="4"/>
      <c r="S58" s="4"/>
      <c r="T58" s="4"/>
      <c r="U58" s="4"/>
      <c r="V58" s="4"/>
      <c r="W58" s="4"/>
    </row>
    <row r="59" spans="1:23" ht="15" customHeight="1" x14ac:dyDescent="0.45">
      <c r="A59" s="18"/>
      <c r="J59" s="4"/>
      <c r="K59" s="4"/>
      <c r="L59" s="4"/>
      <c r="M59" s="4"/>
      <c r="N59" s="4"/>
      <c r="O59" s="4"/>
      <c r="P59" s="4"/>
      <c r="Q59" s="4"/>
      <c r="R59" s="4"/>
      <c r="S59" s="4"/>
      <c r="T59" s="4"/>
      <c r="U59" s="4"/>
      <c r="V59" s="4"/>
      <c r="W59" s="4"/>
    </row>
    <row r="60" spans="1:23" ht="15" customHeight="1" x14ac:dyDescent="0.45">
      <c r="A60" s="18"/>
      <c r="J60" s="4"/>
      <c r="K60" s="4"/>
      <c r="L60" s="4"/>
      <c r="M60" s="4"/>
      <c r="N60" s="4"/>
      <c r="O60" s="4"/>
      <c r="P60" s="4"/>
      <c r="Q60" s="4"/>
      <c r="R60" s="4"/>
      <c r="S60" s="4"/>
      <c r="T60" s="4"/>
      <c r="U60" s="4"/>
      <c r="V60" s="4"/>
      <c r="W60" s="4"/>
    </row>
    <row r="61" spans="1:23" ht="15" customHeight="1" x14ac:dyDescent="0.45">
      <c r="A61" s="18"/>
      <c r="J61" s="4"/>
      <c r="K61" s="4"/>
      <c r="L61" s="4"/>
      <c r="M61" s="4"/>
      <c r="N61" s="4"/>
      <c r="O61" s="4"/>
      <c r="P61" s="4"/>
      <c r="Q61" s="4"/>
      <c r="R61" s="4"/>
      <c r="S61" s="4"/>
      <c r="T61" s="4"/>
      <c r="U61" s="4"/>
      <c r="V61" s="4"/>
      <c r="W61" s="4"/>
    </row>
    <row r="62" spans="1:23" ht="15" customHeight="1" x14ac:dyDescent="0.45">
      <c r="A62" s="18"/>
      <c r="J62" s="4"/>
      <c r="K62" s="4"/>
      <c r="L62" s="4"/>
      <c r="M62" s="4"/>
      <c r="N62" s="4"/>
      <c r="O62" s="4"/>
      <c r="P62" s="4"/>
      <c r="Q62" s="4"/>
      <c r="R62" s="4"/>
      <c r="S62" s="4"/>
      <c r="T62" s="4"/>
      <c r="U62" s="4"/>
      <c r="V62" s="4"/>
      <c r="W62" s="4"/>
    </row>
    <row r="63" spans="1:23" ht="15" customHeight="1" x14ac:dyDescent="0.45">
      <c r="A63" s="18"/>
      <c r="J63" s="4"/>
      <c r="K63" s="4"/>
      <c r="L63" s="4"/>
      <c r="M63" s="4"/>
      <c r="N63" s="4"/>
      <c r="O63" s="4"/>
      <c r="P63" s="4"/>
      <c r="Q63" s="4"/>
      <c r="R63" s="4"/>
      <c r="S63" s="4"/>
      <c r="T63" s="4"/>
      <c r="U63" s="4"/>
      <c r="V63" s="4"/>
      <c r="W63" s="4"/>
    </row>
    <row r="64" spans="1:23" ht="15" customHeight="1" x14ac:dyDescent="0.45">
      <c r="A64" s="18"/>
      <c r="J64" s="4"/>
      <c r="K64" s="4"/>
      <c r="L64" s="4"/>
      <c r="M64" s="4"/>
      <c r="N64" s="4"/>
      <c r="O64" s="4"/>
      <c r="P64" s="4"/>
      <c r="Q64" s="4"/>
      <c r="R64" s="4"/>
      <c r="S64" s="4"/>
      <c r="T64" s="4"/>
      <c r="U64" s="4"/>
      <c r="V64" s="4"/>
      <c r="W64" s="4"/>
    </row>
    <row r="65" spans="1:23" ht="15" customHeight="1" x14ac:dyDescent="0.45">
      <c r="A65" s="18"/>
      <c r="J65" s="4"/>
      <c r="K65" s="4"/>
      <c r="L65" s="4"/>
      <c r="M65" s="4"/>
      <c r="N65" s="4"/>
      <c r="O65" s="4"/>
      <c r="P65" s="4"/>
      <c r="Q65" s="4"/>
      <c r="R65" s="4"/>
      <c r="S65" s="4"/>
      <c r="T65" s="4"/>
      <c r="U65" s="4"/>
      <c r="V65" s="4"/>
      <c r="W65" s="4"/>
    </row>
    <row r="66" spans="1:23" ht="15" customHeight="1" x14ac:dyDescent="0.45">
      <c r="A66" s="18"/>
      <c r="J66" s="4"/>
      <c r="K66" s="4"/>
      <c r="L66" s="4"/>
      <c r="M66" s="4"/>
      <c r="N66" s="4"/>
      <c r="O66" s="4"/>
      <c r="P66" s="4"/>
      <c r="Q66" s="4"/>
      <c r="R66" s="4"/>
      <c r="S66" s="4"/>
      <c r="T66" s="4"/>
      <c r="U66" s="4"/>
      <c r="V66" s="4"/>
      <c r="W66" s="4"/>
    </row>
    <row r="67" spans="1:23" ht="15" customHeight="1" x14ac:dyDescent="0.45">
      <c r="A67" s="18"/>
      <c r="J67" s="4"/>
      <c r="K67" s="4"/>
      <c r="L67" s="4"/>
      <c r="M67" s="4"/>
      <c r="N67" s="4"/>
      <c r="O67" s="4"/>
      <c r="P67" s="4"/>
      <c r="Q67" s="4"/>
      <c r="R67" s="4"/>
      <c r="S67" s="4"/>
      <c r="T67" s="4"/>
      <c r="U67" s="4"/>
      <c r="V67" s="4"/>
      <c r="W67" s="4"/>
    </row>
    <row r="68" spans="1:23" ht="15" customHeight="1" x14ac:dyDescent="0.45">
      <c r="A68" s="18"/>
      <c r="J68" s="4"/>
      <c r="K68" s="4"/>
      <c r="L68" s="4"/>
      <c r="M68" s="4"/>
      <c r="N68" s="4"/>
      <c r="O68" s="4"/>
      <c r="P68" s="4"/>
      <c r="Q68" s="4"/>
      <c r="R68" s="4"/>
      <c r="S68" s="4"/>
      <c r="T68" s="4"/>
      <c r="U68" s="4"/>
      <c r="V68" s="4"/>
      <c r="W68" s="4"/>
    </row>
    <row r="69" spans="1:23" ht="15" customHeight="1" x14ac:dyDescent="0.45">
      <c r="A69" s="18"/>
      <c r="J69" s="4"/>
      <c r="K69" s="4"/>
      <c r="L69" s="4"/>
      <c r="M69" s="4"/>
      <c r="N69" s="4"/>
      <c r="O69" s="4"/>
      <c r="P69" s="4"/>
      <c r="Q69" s="4"/>
      <c r="R69" s="4"/>
      <c r="S69" s="4"/>
      <c r="T69" s="4"/>
      <c r="U69" s="4"/>
      <c r="V69" s="4"/>
      <c r="W69" s="4"/>
    </row>
    <row r="70" spans="1:23" ht="15" customHeight="1" x14ac:dyDescent="0.45">
      <c r="A70" s="18"/>
      <c r="J70" s="4"/>
      <c r="K70" s="4"/>
      <c r="L70" s="4"/>
      <c r="M70" s="4"/>
      <c r="N70" s="4"/>
      <c r="O70" s="4"/>
      <c r="P70" s="4"/>
      <c r="Q70" s="4"/>
      <c r="R70" s="4"/>
      <c r="S70" s="4"/>
      <c r="T70" s="4"/>
      <c r="U70" s="4"/>
      <c r="V70" s="4"/>
      <c r="W70" s="4"/>
    </row>
    <row r="71" spans="1:23" ht="15" customHeight="1" x14ac:dyDescent="0.45">
      <c r="A71" s="18"/>
      <c r="J71" s="4"/>
      <c r="K71" s="4"/>
      <c r="L71" s="4"/>
      <c r="M71" s="4"/>
      <c r="N71" s="4"/>
      <c r="O71" s="4"/>
      <c r="P71" s="4"/>
      <c r="Q71" s="4"/>
      <c r="R71" s="4"/>
      <c r="S71" s="4"/>
      <c r="T71" s="4"/>
      <c r="U71" s="4"/>
      <c r="V71" s="4"/>
      <c r="W71" s="4"/>
    </row>
    <row r="72" spans="1:23" ht="15" customHeight="1" x14ac:dyDescent="0.45">
      <c r="A72" s="18"/>
      <c r="J72" s="4"/>
      <c r="K72" s="4"/>
      <c r="L72" s="4"/>
      <c r="M72" s="4"/>
      <c r="N72" s="4"/>
      <c r="O72" s="4"/>
      <c r="P72" s="4"/>
      <c r="Q72" s="4"/>
      <c r="R72" s="4"/>
      <c r="S72" s="4"/>
      <c r="T72" s="4"/>
      <c r="U72" s="4"/>
      <c r="V72" s="4"/>
      <c r="W72" s="4"/>
    </row>
    <row r="73" spans="1:23" ht="15" customHeight="1" x14ac:dyDescent="0.45">
      <c r="A73" s="18"/>
      <c r="J73" s="4"/>
      <c r="K73" s="4"/>
      <c r="L73" s="4"/>
      <c r="M73" s="4"/>
      <c r="N73" s="4"/>
      <c r="O73" s="4"/>
      <c r="P73" s="4"/>
      <c r="Q73" s="4"/>
      <c r="R73" s="4"/>
      <c r="S73" s="4"/>
      <c r="T73" s="4"/>
      <c r="U73" s="4"/>
      <c r="V73" s="4"/>
      <c r="W73" s="4"/>
    </row>
    <row r="74" spans="1:23" ht="15" customHeight="1" x14ac:dyDescent="0.45">
      <c r="A74" s="18"/>
      <c r="J74" s="4"/>
      <c r="K74" s="4"/>
      <c r="L74" s="4"/>
      <c r="M74" s="4"/>
      <c r="N74" s="4"/>
      <c r="O74" s="4"/>
      <c r="P74" s="4"/>
      <c r="Q74" s="4"/>
      <c r="R74" s="4"/>
      <c r="S74" s="4"/>
      <c r="T74" s="4"/>
      <c r="U74" s="4"/>
      <c r="V74" s="4"/>
      <c r="W74" s="4"/>
    </row>
    <row r="75" spans="1:23" ht="15" customHeight="1" x14ac:dyDescent="0.45">
      <c r="A75" s="18"/>
      <c r="J75" s="4"/>
      <c r="K75" s="4"/>
      <c r="L75" s="4"/>
      <c r="M75" s="4"/>
      <c r="N75" s="4"/>
      <c r="O75" s="4"/>
      <c r="P75" s="4"/>
      <c r="Q75" s="4"/>
      <c r="R75" s="4"/>
      <c r="S75" s="4"/>
      <c r="T75" s="4"/>
      <c r="U75" s="4"/>
      <c r="V75" s="4"/>
      <c r="W75" s="4"/>
    </row>
    <row r="76" spans="1:23" ht="15" customHeight="1" x14ac:dyDescent="0.45">
      <c r="A76" s="18"/>
      <c r="J76" s="4"/>
      <c r="K76" s="4"/>
      <c r="L76" s="4"/>
      <c r="M76" s="4"/>
      <c r="N76" s="4"/>
      <c r="O76" s="4"/>
      <c r="P76" s="4"/>
      <c r="Q76" s="4"/>
      <c r="R76" s="4"/>
      <c r="S76" s="4"/>
      <c r="T76" s="4"/>
      <c r="U76" s="4"/>
      <c r="V76" s="4"/>
      <c r="W76" s="4"/>
    </row>
    <row r="77" spans="1:23" ht="15" customHeight="1" x14ac:dyDescent="0.45">
      <c r="A77" s="18"/>
      <c r="J77" s="4"/>
      <c r="K77" s="4"/>
      <c r="L77" s="4"/>
      <c r="M77" s="4"/>
      <c r="N77" s="4"/>
      <c r="O77" s="4"/>
      <c r="P77" s="4"/>
      <c r="Q77" s="4"/>
      <c r="R77" s="4"/>
      <c r="S77" s="4"/>
      <c r="T77" s="4"/>
      <c r="U77" s="4"/>
      <c r="V77" s="4"/>
      <c r="W77" s="4"/>
    </row>
    <row r="78" spans="1:23" ht="15" customHeight="1" x14ac:dyDescent="0.45">
      <c r="A78" s="18"/>
      <c r="J78" s="4"/>
      <c r="K78" s="4"/>
      <c r="L78" s="4"/>
      <c r="M78" s="4"/>
      <c r="N78" s="4"/>
      <c r="O78" s="4"/>
      <c r="P78" s="4"/>
      <c r="Q78" s="4"/>
      <c r="R78" s="4"/>
      <c r="S78" s="4"/>
      <c r="T78" s="4"/>
      <c r="U78" s="4"/>
      <c r="V78" s="4"/>
      <c r="W78" s="4"/>
    </row>
    <row r="79" spans="1:23" ht="15" customHeight="1" x14ac:dyDescent="0.45">
      <c r="A79" s="18"/>
      <c r="J79" s="4"/>
      <c r="K79" s="4"/>
      <c r="L79" s="4"/>
      <c r="M79" s="4"/>
      <c r="N79" s="4"/>
      <c r="O79" s="4"/>
      <c r="P79" s="4"/>
      <c r="Q79" s="4"/>
      <c r="R79" s="4"/>
      <c r="S79" s="4"/>
      <c r="T79" s="4"/>
      <c r="U79" s="4"/>
      <c r="V79" s="4"/>
      <c r="W79" s="4"/>
    </row>
    <row r="80" spans="1:23" ht="15" customHeight="1" x14ac:dyDescent="0.45">
      <c r="A80" s="18"/>
      <c r="J80" s="4"/>
      <c r="K80" s="4"/>
      <c r="L80" s="4"/>
      <c r="M80" s="4"/>
      <c r="N80" s="4"/>
      <c r="O80" s="4"/>
      <c r="P80" s="4"/>
      <c r="Q80" s="4"/>
      <c r="R80" s="4"/>
      <c r="S80" s="4"/>
      <c r="T80" s="4"/>
      <c r="U80" s="4"/>
      <c r="V80" s="4"/>
      <c r="W80" s="4"/>
    </row>
    <row r="81" spans="1:23" ht="15" customHeight="1" x14ac:dyDescent="0.45">
      <c r="A81" s="18"/>
      <c r="J81" s="4"/>
      <c r="K81" s="4"/>
      <c r="L81" s="4"/>
      <c r="M81" s="4"/>
      <c r="N81" s="4"/>
      <c r="O81" s="4"/>
      <c r="P81" s="4"/>
      <c r="Q81" s="4"/>
      <c r="R81" s="4"/>
      <c r="S81" s="4"/>
      <c r="T81" s="4"/>
      <c r="U81" s="4"/>
      <c r="V81" s="4"/>
      <c r="W81" s="4"/>
    </row>
    <row r="82" spans="1:23" ht="15" customHeight="1" x14ac:dyDescent="0.45">
      <c r="A82" s="18"/>
      <c r="J82" s="4"/>
      <c r="K82" s="4"/>
      <c r="L82" s="4"/>
      <c r="M82" s="4"/>
      <c r="N82" s="4"/>
      <c r="O82" s="4"/>
      <c r="P82" s="4"/>
      <c r="Q82" s="4"/>
      <c r="R82" s="4"/>
      <c r="S82" s="4"/>
      <c r="T82" s="4"/>
      <c r="U82" s="4"/>
      <c r="V82" s="4"/>
      <c r="W82" s="4"/>
    </row>
    <row r="83" spans="1:23" ht="15" customHeight="1" x14ac:dyDescent="0.45">
      <c r="A83" s="18"/>
      <c r="J83" s="4"/>
      <c r="K83" s="4"/>
      <c r="L83" s="4"/>
      <c r="M83" s="4"/>
      <c r="N83" s="4"/>
      <c r="O83" s="4"/>
      <c r="P83" s="4"/>
      <c r="Q83" s="4"/>
      <c r="R83" s="4"/>
      <c r="S83" s="4"/>
      <c r="T83" s="4"/>
      <c r="U83" s="4"/>
      <c r="V83" s="4"/>
      <c r="W83" s="4"/>
    </row>
    <row r="84" spans="1:23" ht="15" customHeight="1" x14ac:dyDescent="0.45">
      <c r="A84" s="18"/>
      <c r="J84" s="4"/>
      <c r="K84" s="4"/>
      <c r="L84" s="4"/>
      <c r="M84" s="4"/>
      <c r="N84" s="4"/>
      <c r="O84" s="4"/>
      <c r="P84" s="4"/>
      <c r="Q84" s="4"/>
      <c r="R84" s="4"/>
      <c r="S84" s="4"/>
      <c r="T84" s="4"/>
      <c r="U84" s="4"/>
      <c r="V84" s="4"/>
      <c r="W84" s="4"/>
    </row>
    <row r="85" spans="1:23" ht="15" customHeight="1" x14ac:dyDescent="0.45">
      <c r="A85" s="18"/>
      <c r="J85" s="4"/>
      <c r="K85" s="4"/>
      <c r="L85" s="4"/>
      <c r="M85" s="4"/>
      <c r="N85" s="4"/>
      <c r="O85" s="4"/>
      <c r="P85" s="4"/>
      <c r="Q85" s="4"/>
      <c r="R85" s="4"/>
      <c r="S85" s="4"/>
      <c r="T85" s="4"/>
      <c r="U85" s="4"/>
      <c r="V85" s="4"/>
      <c r="W85" s="4"/>
    </row>
    <row r="86" spans="1:23" ht="15" customHeight="1" x14ac:dyDescent="0.45">
      <c r="A86" s="18"/>
      <c r="J86" s="4"/>
      <c r="K86" s="4"/>
      <c r="L86" s="4"/>
      <c r="M86" s="4"/>
      <c r="N86" s="4"/>
      <c r="O86" s="4"/>
      <c r="P86" s="4"/>
      <c r="Q86" s="4"/>
      <c r="R86" s="4"/>
      <c r="S86" s="4"/>
      <c r="T86" s="4"/>
      <c r="U86" s="4"/>
      <c r="V86" s="4"/>
      <c r="W86" s="4"/>
    </row>
    <row r="87" spans="1:23" ht="15" customHeight="1" x14ac:dyDescent="0.45">
      <c r="A87" s="18"/>
      <c r="J87" s="4"/>
      <c r="K87" s="4"/>
      <c r="L87" s="4"/>
      <c r="M87" s="4"/>
      <c r="N87" s="4"/>
      <c r="O87" s="4"/>
      <c r="P87" s="4"/>
      <c r="Q87" s="4"/>
      <c r="R87" s="4"/>
      <c r="S87" s="4"/>
      <c r="T87" s="4"/>
      <c r="U87" s="4"/>
      <c r="V87" s="4"/>
      <c r="W87" s="4"/>
    </row>
    <row r="88" spans="1:23" ht="15" customHeight="1" x14ac:dyDescent="0.45">
      <c r="A88" s="18"/>
      <c r="J88" s="4"/>
      <c r="K88" s="4"/>
      <c r="L88" s="4"/>
      <c r="M88" s="4"/>
      <c r="N88" s="4"/>
      <c r="O88" s="4"/>
      <c r="P88" s="4"/>
      <c r="Q88" s="4"/>
      <c r="R88" s="4"/>
      <c r="S88" s="4"/>
      <c r="T88" s="4"/>
      <c r="U88" s="4"/>
      <c r="V88" s="4"/>
      <c r="W88" s="4"/>
    </row>
    <row r="89" spans="1:23" ht="15" customHeight="1" x14ac:dyDescent="0.45">
      <c r="A89" s="18"/>
      <c r="J89" s="4"/>
      <c r="K89" s="4"/>
      <c r="L89" s="4"/>
      <c r="M89" s="4"/>
      <c r="N89" s="4"/>
      <c r="O89" s="4"/>
      <c r="P89" s="4"/>
      <c r="Q89" s="4"/>
      <c r="R89" s="4"/>
      <c r="S89" s="4"/>
      <c r="T89" s="4"/>
      <c r="U89" s="4"/>
      <c r="V89" s="4"/>
      <c r="W89" s="4"/>
    </row>
    <row r="90" spans="1:23" ht="15" customHeight="1" x14ac:dyDescent="0.45">
      <c r="A90" s="18"/>
      <c r="J90" s="4"/>
      <c r="K90" s="4"/>
      <c r="L90" s="4"/>
      <c r="M90" s="4"/>
      <c r="N90" s="4"/>
      <c r="O90" s="4"/>
      <c r="P90" s="4"/>
      <c r="Q90" s="4"/>
      <c r="R90" s="4"/>
      <c r="S90" s="4"/>
      <c r="T90" s="4"/>
      <c r="U90" s="4"/>
      <c r="V90" s="4"/>
      <c r="W90" s="4"/>
    </row>
    <row r="91" spans="1:23" ht="15" customHeight="1" x14ac:dyDescent="0.45">
      <c r="A91" s="18"/>
      <c r="J91" s="4"/>
      <c r="K91" s="4"/>
      <c r="L91" s="4"/>
      <c r="M91" s="4"/>
      <c r="N91" s="4"/>
      <c r="O91" s="4"/>
      <c r="P91" s="4"/>
      <c r="Q91" s="4"/>
      <c r="R91" s="4"/>
      <c r="S91" s="4"/>
      <c r="T91" s="4"/>
      <c r="U91" s="4"/>
      <c r="V91" s="4"/>
      <c r="W91" s="4"/>
    </row>
    <row r="92" spans="1:23" ht="15" customHeight="1" x14ac:dyDescent="0.45">
      <c r="A92" s="18"/>
      <c r="J92" s="4"/>
      <c r="K92" s="4"/>
      <c r="L92" s="4"/>
      <c r="M92" s="4"/>
      <c r="N92" s="4"/>
      <c r="O92" s="4"/>
      <c r="P92" s="4"/>
      <c r="Q92" s="4"/>
      <c r="R92" s="4"/>
      <c r="S92" s="4"/>
      <c r="T92" s="4"/>
      <c r="U92" s="4"/>
      <c r="V92" s="4"/>
      <c r="W92" s="4"/>
    </row>
    <row r="93" spans="1:23" ht="15" customHeight="1" x14ac:dyDescent="0.45">
      <c r="A93" s="18"/>
      <c r="J93" s="4"/>
      <c r="K93" s="4"/>
      <c r="L93" s="4"/>
      <c r="M93" s="4"/>
      <c r="N93" s="4"/>
      <c r="O93" s="4"/>
      <c r="P93" s="4"/>
      <c r="Q93" s="4"/>
      <c r="R93" s="4"/>
      <c r="S93" s="4"/>
      <c r="T93" s="4"/>
      <c r="U93" s="4"/>
      <c r="V93" s="4"/>
      <c r="W93" s="4"/>
    </row>
    <row r="94" spans="1:23" ht="15" customHeight="1" x14ac:dyDescent="0.45">
      <c r="A94" s="18"/>
      <c r="J94" s="4"/>
      <c r="K94" s="4"/>
      <c r="L94" s="4"/>
      <c r="M94" s="4"/>
      <c r="N94" s="4"/>
      <c r="O94" s="4"/>
      <c r="P94" s="4"/>
      <c r="Q94" s="4"/>
      <c r="R94" s="4"/>
      <c r="S94" s="4"/>
      <c r="T94" s="4"/>
      <c r="U94" s="4"/>
      <c r="V94" s="4"/>
      <c r="W94" s="4"/>
    </row>
    <row r="95" spans="1:23" ht="15" customHeight="1" x14ac:dyDescent="0.45">
      <c r="A95" s="18"/>
      <c r="J95" s="4"/>
      <c r="K95" s="4"/>
      <c r="L95" s="4"/>
      <c r="M95" s="4"/>
      <c r="N95" s="4"/>
      <c r="O95" s="4"/>
      <c r="P95" s="4"/>
      <c r="Q95" s="4"/>
      <c r="R95" s="4"/>
      <c r="S95" s="4"/>
      <c r="T95" s="4"/>
      <c r="U95" s="4"/>
      <c r="V95" s="4"/>
      <c r="W95" s="4"/>
    </row>
    <row r="96" spans="1:23" ht="15" customHeight="1" x14ac:dyDescent="0.45">
      <c r="A96" s="18"/>
      <c r="J96" s="4"/>
      <c r="K96" s="4"/>
      <c r="L96" s="4"/>
      <c r="M96" s="4"/>
      <c r="N96" s="4"/>
      <c r="O96" s="4"/>
      <c r="P96" s="4"/>
      <c r="Q96" s="4"/>
      <c r="R96" s="4"/>
      <c r="S96" s="4"/>
      <c r="T96" s="4"/>
      <c r="U96" s="4"/>
      <c r="V96" s="4"/>
      <c r="W96" s="4"/>
    </row>
    <row r="97" spans="1:23" ht="15" customHeight="1" x14ac:dyDescent="0.45">
      <c r="A97" s="18"/>
      <c r="J97" s="4"/>
      <c r="K97" s="4"/>
      <c r="L97" s="4"/>
      <c r="M97" s="4"/>
      <c r="N97" s="4"/>
      <c r="O97" s="4"/>
      <c r="P97" s="4"/>
      <c r="Q97" s="4"/>
      <c r="R97" s="4"/>
      <c r="S97" s="4"/>
      <c r="T97" s="4"/>
      <c r="U97" s="4"/>
      <c r="V97" s="4"/>
      <c r="W97" s="4"/>
    </row>
    <row r="98" spans="1:23" ht="15" customHeight="1" x14ac:dyDescent="0.45">
      <c r="A98" s="18"/>
      <c r="J98" s="4"/>
      <c r="K98" s="4"/>
      <c r="L98" s="4"/>
      <c r="M98" s="4"/>
      <c r="N98" s="4"/>
      <c r="O98" s="4"/>
      <c r="P98" s="4"/>
      <c r="Q98" s="4"/>
      <c r="R98" s="4"/>
      <c r="S98" s="4"/>
      <c r="T98" s="4"/>
      <c r="U98" s="4"/>
      <c r="V98" s="4"/>
      <c r="W98" s="4"/>
    </row>
    <row r="99" spans="1:23" ht="15" customHeight="1" x14ac:dyDescent="0.45">
      <c r="A99" s="18"/>
      <c r="J99" s="4"/>
      <c r="K99" s="4"/>
      <c r="L99" s="4"/>
      <c r="M99" s="4"/>
      <c r="N99" s="4"/>
      <c r="O99" s="4"/>
      <c r="P99" s="4"/>
      <c r="Q99" s="4"/>
      <c r="R99" s="4"/>
      <c r="S99" s="4"/>
      <c r="T99" s="4"/>
      <c r="U99" s="4"/>
      <c r="V99" s="4"/>
      <c r="W99" s="4"/>
    </row>
    <row r="100" spans="1:23" ht="15" customHeight="1" x14ac:dyDescent="0.45">
      <c r="A100" s="18"/>
      <c r="J100" s="4"/>
      <c r="K100" s="4"/>
      <c r="L100" s="4"/>
      <c r="M100" s="4"/>
      <c r="N100" s="4"/>
      <c r="O100" s="4"/>
      <c r="P100" s="4"/>
      <c r="Q100" s="4"/>
      <c r="R100" s="4"/>
      <c r="S100" s="4"/>
      <c r="T100" s="4"/>
      <c r="U100" s="4"/>
      <c r="V100" s="4"/>
      <c r="W100" s="4"/>
    </row>
    <row r="101" spans="1:23" ht="15" customHeight="1" x14ac:dyDescent="0.45">
      <c r="A101" s="18"/>
      <c r="J101" s="4"/>
      <c r="K101" s="4"/>
      <c r="L101" s="4"/>
      <c r="M101" s="4"/>
      <c r="N101" s="4"/>
      <c r="O101" s="4"/>
      <c r="P101" s="4"/>
      <c r="Q101" s="4"/>
      <c r="R101" s="4"/>
      <c r="S101" s="4"/>
      <c r="T101" s="4"/>
      <c r="U101" s="4"/>
      <c r="V101" s="4"/>
      <c r="W101" s="4"/>
    </row>
    <row r="102" spans="1:23" ht="15" customHeight="1" x14ac:dyDescent="0.45">
      <c r="A102" s="18"/>
      <c r="J102" s="4"/>
      <c r="K102" s="4"/>
      <c r="L102" s="4"/>
      <c r="M102" s="4"/>
      <c r="N102" s="4"/>
      <c r="O102" s="4"/>
      <c r="P102" s="4"/>
      <c r="Q102" s="4"/>
      <c r="R102" s="4"/>
      <c r="S102" s="4"/>
      <c r="T102" s="4"/>
      <c r="U102" s="4"/>
      <c r="V102" s="4"/>
      <c r="W102" s="4"/>
    </row>
    <row r="103" spans="1:23" ht="15" customHeight="1" x14ac:dyDescent="0.45">
      <c r="A103" s="18"/>
      <c r="J103" s="4"/>
      <c r="K103" s="4"/>
      <c r="L103" s="4"/>
      <c r="M103" s="4"/>
      <c r="N103" s="4"/>
      <c r="O103" s="4"/>
      <c r="P103" s="4"/>
      <c r="Q103" s="4"/>
      <c r="R103" s="4"/>
      <c r="S103" s="4"/>
      <c r="T103" s="4"/>
      <c r="U103" s="4"/>
      <c r="V103" s="4"/>
      <c r="W103" s="4"/>
    </row>
    <row r="104" spans="1:23" ht="15" customHeight="1" x14ac:dyDescent="0.45">
      <c r="A104" s="18"/>
      <c r="J104" s="4"/>
      <c r="K104" s="4"/>
      <c r="L104" s="4"/>
      <c r="M104" s="4"/>
      <c r="N104" s="4"/>
      <c r="O104" s="4"/>
      <c r="P104" s="4"/>
      <c r="Q104" s="4"/>
      <c r="R104" s="4"/>
      <c r="S104" s="4"/>
      <c r="T104" s="4"/>
      <c r="U104" s="4"/>
      <c r="V104" s="4"/>
      <c r="W104" s="4"/>
    </row>
    <row r="105" spans="1:23" ht="15" customHeight="1" x14ac:dyDescent="0.45">
      <c r="A105" s="18"/>
      <c r="J105" s="4"/>
      <c r="K105" s="4"/>
      <c r="L105" s="4"/>
      <c r="M105" s="4"/>
      <c r="N105" s="4"/>
      <c r="O105" s="4"/>
      <c r="P105" s="4"/>
      <c r="Q105" s="4"/>
      <c r="R105" s="4"/>
      <c r="S105" s="4"/>
      <c r="T105" s="4"/>
      <c r="U105" s="4"/>
      <c r="V105" s="4"/>
      <c r="W105" s="4"/>
    </row>
    <row r="106" spans="1:23" ht="15" customHeight="1" x14ac:dyDescent="0.45">
      <c r="A106" s="18"/>
      <c r="J106" s="4"/>
      <c r="K106" s="4"/>
      <c r="L106" s="4"/>
      <c r="M106" s="4"/>
      <c r="N106" s="4"/>
      <c r="O106" s="4"/>
      <c r="P106" s="4"/>
      <c r="Q106" s="4"/>
      <c r="R106" s="4"/>
      <c r="S106" s="4"/>
      <c r="T106" s="4"/>
      <c r="U106" s="4"/>
      <c r="V106" s="4"/>
      <c r="W106" s="4"/>
    </row>
    <row r="107" spans="1:23" ht="15" customHeight="1" x14ac:dyDescent="0.45">
      <c r="A107" s="18"/>
      <c r="J107" s="4"/>
      <c r="K107" s="4"/>
      <c r="L107" s="4"/>
      <c r="M107" s="4"/>
      <c r="N107" s="4"/>
      <c r="O107" s="4"/>
      <c r="P107" s="4"/>
      <c r="Q107" s="4"/>
      <c r="R107" s="4"/>
      <c r="S107" s="4"/>
      <c r="T107" s="4"/>
      <c r="U107" s="4"/>
      <c r="V107" s="4"/>
      <c r="W107" s="4"/>
    </row>
    <row r="108" spans="1:23" ht="15" customHeight="1" x14ac:dyDescent="0.45">
      <c r="A108" s="18"/>
      <c r="J108" s="4"/>
      <c r="K108" s="4"/>
      <c r="L108" s="4"/>
      <c r="M108" s="4"/>
      <c r="N108" s="4"/>
      <c r="O108" s="4"/>
      <c r="P108" s="4"/>
      <c r="Q108" s="4"/>
      <c r="R108" s="4"/>
      <c r="S108" s="4"/>
      <c r="T108" s="4"/>
      <c r="U108" s="4"/>
      <c r="V108" s="4"/>
      <c r="W108" s="4"/>
    </row>
    <row r="109" spans="1:23" ht="15" customHeight="1" x14ac:dyDescent="0.45">
      <c r="A109" s="18"/>
      <c r="J109" s="4"/>
      <c r="K109" s="4"/>
      <c r="L109" s="4"/>
      <c r="M109" s="4"/>
      <c r="N109" s="4"/>
      <c r="O109" s="4"/>
      <c r="P109" s="4"/>
      <c r="Q109" s="4"/>
      <c r="R109" s="4"/>
      <c r="S109" s="4"/>
      <c r="T109" s="4"/>
      <c r="U109" s="4"/>
      <c r="V109" s="4"/>
      <c r="W109" s="4"/>
    </row>
    <row r="110" spans="1:23" ht="15" customHeight="1" x14ac:dyDescent="0.45">
      <c r="A110" s="18"/>
      <c r="J110" s="4"/>
      <c r="K110" s="4"/>
      <c r="L110" s="4"/>
      <c r="M110" s="4"/>
      <c r="N110" s="4"/>
      <c r="O110" s="4"/>
      <c r="P110" s="4"/>
      <c r="Q110" s="4"/>
      <c r="R110" s="4"/>
      <c r="S110" s="4"/>
      <c r="T110" s="4"/>
      <c r="U110" s="4"/>
      <c r="V110" s="4"/>
      <c r="W110" s="4"/>
    </row>
    <row r="111" spans="1:23" ht="15" customHeight="1" x14ac:dyDescent="0.45">
      <c r="A111" s="18"/>
      <c r="J111" s="4"/>
      <c r="K111" s="4"/>
      <c r="L111" s="4"/>
      <c r="M111" s="4"/>
      <c r="N111" s="4"/>
      <c r="O111" s="4"/>
      <c r="P111" s="4"/>
      <c r="Q111" s="4"/>
      <c r="R111" s="4"/>
      <c r="S111" s="4"/>
      <c r="T111" s="4"/>
      <c r="U111" s="4"/>
      <c r="V111" s="4"/>
      <c r="W111" s="4"/>
    </row>
    <row r="112" spans="1:23" ht="15" customHeight="1" x14ac:dyDescent="0.45">
      <c r="A112" s="18"/>
      <c r="J112" s="4"/>
      <c r="K112" s="4"/>
      <c r="L112" s="4"/>
      <c r="M112" s="4"/>
      <c r="N112" s="4"/>
      <c r="O112" s="4"/>
      <c r="P112" s="4"/>
      <c r="Q112" s="4"/>
      <c r="R112" s="4"/>
      <c r="S112" s="4"/>
      <c r="T112" s="4"/>
      <c r="U112" s="4"/>
      <c r="V112" s="4"/>
      <c r="W112" s="4"/>
    </row>
    <row r="113" spans="1:23" ht="15" customHeight="1" x14ac:dyDescent="0.45">
      <c r="A113" s="18"/>
      <c r="J113" s="4"/>
      <c r="K113" s="4"/>
      <c r="L113" s="4"/>
      <c r="M113" s="4"/>
      <c r="N113" s="4"/>
      <c r="O113" s="4"/>
      <c r="P113" s="4"/>
      <c r="Q113" s="4"/>
      <c r="R113" s="4"/>
      <c r="S113" s="4"/>
      <c r="T113" s="4"/>
      <c r="U113" s="4"/>
      <c r="V113" s="4"/>
      <c r="W113" s="4"/>
    </row>
    <row r="114" spans="1:23" ht="15" customHeight="1" x14ac:dyDescent="0.45">
      <c r="A114" s="18"/>
      <c r="J114" s="4"/>
      <c r="K114" s="4"/>
      <c r="L114" s="4"/>
      <c r="M114" s="4"/>
      <c r="N114" s="4"/>
      <c r="O114" s="4"/>
      <c r="P114" s="4"/>
      <c r="Q114" s="4"/>
      <c r="R114" s="4"/>
      <c r="S114" s="4"/>
      <c r="T114" s="4"/>
      <c r="U114" s="4"/>
      <c r="V114" s="4"/>
      <c r="W114" s="4"/>
    </row>
    <row r="115" spans="1:23" ht="15" customHeight="1" x14ac:dyDescent="0.45">
      <c r="A115" s="18"/>
      <c r="J115" s="4"/>
      <c r="K115" s="4"/>
      <c r="L115" s="4"/>
      <c r="M115" s="4"/>
      <c r="N115" s="4"/>
      <c r="O115" s="4"/>
      <c r="P115" s="4"/>
      <c r="Q115" s="4"/>
      <c r="R115" s="4"/>
      <c r="S115" s="4"/>
      <c r="T115" s="4"/>
      <c r="U115" s="4"/>
      <c r="V115" s="4"/>
      <c r="W115" s="4"/>
    </row>
    <row r="116" spans="1:23" ht="15" customHeight="1" x14ac:dyDescent="0.45">
      <c r="A116" s="18"/>
      <c r="J116" s="4"/>
      <c r="K116" s="4"/>
      <c r="L116" s="4"/>
      <c r="M116" s="4"/>
      <c r="N116" s="4"/>
      <c r="O116" s="4"/>
      <c r="P116" s="4"/>
      <c r="Q116" s="4"/>
      <c r="R116" s="4"/>
      <c r="S116" s="4"/>
      <c r="T116" s="4"/>
      <c r="U116" s="4"/>
      <c r="V116" s="4"/>
      <c r="W116" s="4"/>
    </row>
    <row r="117" spans="1:23" ht="15" customHeight="1" x14ac:dyDescent="0.45">
      <c r="A117" s="18"/>
      <c r="J117" s="4"/>
      <c r="K117" s="4"/>
      <c r="L117" s="4"/>
      <c r="M117" s="4"/>
      <c r="N117" s="4"/>
      <c r="O117" s="4"/>
      <c r="P117" s="4"/>
      <c r="Q117" s="4"/>
      <c r="R117" s="4"/>
      <c r="S117" s="4"/>
      <c r="T117" s="4"/>
      <c r="U117" s="4"/>
      <c r="V117" s="4"/>
      <c r="W117" s="4"/>
    </row>
    <row r="118" spans="1:23" ht="15" customHeight="1" x14ac:dyDescent="0.45">
      <c r="A118" s="18"/>
      <c r="J118" s="4"/>
      <c r="K118" s="4"/>
      <c r="L118" s="4"/>
      <c r="M118" s="4"/>
      <c r="N118" s="4"/>
      <c r="O118" s="4"/>
      <c r="P118" s="4"/>
      <c r="Q118" s="4"/>
      <c r="R118" s="4"/>
      <c r="S118" s="4"/>
      <c r="T118" s="4"/>
      <c r="U118" s="4"/>
      <c r="V118" s="4"/>
      <c r="W118" s="4"/>
    </row>
    <row r="119" spans="1:23" ht="15" customHeight="1" x14ac:dyDescent="0.45">
      <c r="A119" s="18"/>
      <c r="J119" s="4"/>
      <c r="K119" s="4"/>
      <c r="L119" s="4"/>
      <c r="M119" s="4"/>
      <c r="N119" s="4"/>
      <c r="O119" s="4"/>
      <c r="P119" s="4"/>
      <c r="Q119" s="4"/>
      <c r="R119" s="4"/>
      <c r="S119" s="4"/>
      <c r="T119" s="4"/>
      <c r="U119" s="4"/>
      <c r="V119" s="4"/>
      <c r="W119" s="4"/>
    </row>
    <row r="120" spans="1:23" ht="15" customHeight="1" x14ac:dyDescent="0.45">
      <c r="A120" s="18"/>
      <c r="J120" s="4"/>
      <c r="K120" s="4"/>
      <c r="L120" s="4"/>
      <c r="M120" s="4"/>
      <c r="N120" s="4"/>
      <c r="O120" s="4"/>
      <c r="P120" s="4"/>
      <c r="Q120" s="4"/>
      <c r="R120" s="4"/>
      <c r="S120" s="4"/>
      <c r="T120" s="4"/>
      <c r="U120" s="4"/>
      <c r="V120" s="4"/>
      <c r="W120" s="4"/>
    </row>
    <row r="121" spans="1:23" ht="15" customHeight="1" x14ac:dyDescent="0.45">
      <c r="A121" s="18"/>
      <c r="J121" s="4"/>
      <c r="K121" s="4"/>
      <c r="L121" s="4"/>
      <c r="M121" s="4"/>
      <c r="N121" s="4"/>
      <c r="O121" s="4"/>
      <c r="P121" s="4"/>
      <c r="Q121" s="4"/>
      <c r="R121" s="4"/>
      <c r="S121" s="4"/>
      <c r="T121" s="4"/>
      <c r="U121" s="4"/>
      <c r="V121" s="4"/>
      <c r="W121" s="4"/>
    </row>
    <row r="122" spans="1:23" ht="15" customHeight="1" x14ac:dyDescent="0.45">
      <c r="A122" s="18"/>
      <c r="J122" s="4"/>
      <c r="K122" s="4"/>
      <c r="L122" s="4"/>
      <c r="M122" s="4"/>
      <c r="N122" s="4"/>
      <c r="O122" s="4"/>
      <c r="P122" s="4"/>
      <c r="Q122" s="4"/>
      <c r="R122" s="4"/>
      <c r="S122" s="4"/>
      <c r="T122" s="4"/>
      <c r="U122" s="4"/>
      <c r="V122" s="4"/>
      <c r="W122" s="4"/>
    </row>
    <row r="123" spans="1:23" ht="15" customHeight="1" x14ac:dyDescent="0.45">
      <c r="A123" s="18"/>
      <c r="J123" s="4"/>
      <c r="K123" s="4"/>
      <c r="L123" s="4"/>
      <c r="M123" s="4"/>
      <c r="N123" s="4"/>
      <c r="O123" s="4"/>
      <c r="P123" s="4"/>
      <c r="Q123" s="4"/>
      <c r="R123" s="4"/>
      <c r="S123" s="4"/>
      <c r="T123" s="4"/>
      <c r="U123" s="4"/>
      <c r="V123" s="4"/>
      <c r="W123" s="4"/>
    </row>
    <row r="124" spans="1:23" ht="15" customHeight="1" x14ac:dyDescent="0.45">
      <c r="A124" s="18"/>
      <c r="J124" s="4"/>
      <c r="K124" s="4"/>
      <c r="L124" s="4"/>
      <c r="M124" s="4"/>
      <c r="N124" s="4"/>
      <c r="O124" s="4"/>
      <c r="P124" s="4"/>
      <c r="Q124" s="4"/>
      <c r="R124" s="4"/>
      <c r="S124" s="4"/>
      <c r="T124" s="4"/>
      <c r="U124" s="4"/>
      <c r="V124" s="4"/>
      <c r="W124" s="4"/>
    </row>
    <row r="125" spans="1:23" ht="15" customHeight="1" x14ac:dyDescent="0.45">
      <c r="A125" s="18"/>
      <c r="J125" s="4"/>
      <c r="K125" s="4"/>
      <c r="L125" s="4"/>
      <c r="M125" s="4"/>
      <c r="N125" s="4"/>
      <c r="O125" s="4"/>
      <c r="P125" s="4"/>
      <c r="Q125" s="4"/>
      <c r="R125" s="4"/>
      <c r="S125" s="4"/>
      <c r="T125" s="4"/>
      <c r="U125" s="4"/>
      <c r="V125" s="4"/>
      <c r="W125" s="4"/>
    </row>
    <row r="126" spans="1:23" ht="15" customHeight="1" x14ac:dyDescent="0.45">
      <c r="A126" s="18"/>
      <c r="J126" s="4"/>
      <c r="K126" s="4"/>
      <c r="L126" s="4"/>
      <c r="M126" s="4"/>
      <c r="N126" s="4"/>
      <c r="O126" s="4"/>
      <c r="P126" s="4"/>
      <c r="Q126" s="4"/>
      <c r="R126" s="4"/>
      <c r="S126" s="4"/>
      <c r="T126" s="4"/>
      <c r="U126" s="4"/>
      <c r="V126" s="4"/>
      <c r="W126" s="4"/>
    </row>
    <row r="127" spans="1:23" ht="15" customHeight="1" x14ac:dyDescent="0.45">
      <c r="A127" s="18"/>
      <c r="J127" s="4"/>
      <c r="K127" s="4"/>
      <c r="L127" s="4"/>
      <c r="M127" s="4"/>
      <c r="N127" s="4"/>
      <c r="O127" s="4"/>
      <c r="P127" s="4"/>
      <c r="Q127" s="4"/>
      <c r="R127" s="4"/>
      <c r="S127" s="4"/>
      <c r="T127" s="4"/>
      <c r="U127" s="4"/>
      <c r="V127" s="4"/>
      <c r="W127" s="4"/>
    </row>
    <row r="128" spans="1:23" ht="15" customHeight="1" x14ac:dyDescent="0.45">
      <c r="A128" s="18"/>
      <c r="J128" s="4"/>
      <c r="K128" s="4"/>
      <c r="L128" s="4"/>
      <c r="M128" s="4"/>
      <c r="N128" s="4"/>
      <c r="O128" s="4"/>
      <c r="P128" s="4"/>
      <c r="Q128" s="4"/>
      <c r="R128" s="4"/>
      <c r="S128" s="4"/>
      <c r="T128" s="4"/>
      <c r="U128" s="4"/>
      <c r="V128" s="4"/>
      <c r="W128" s="4"/>
    </row>
    <row r="129" spans="1:52" ht="15" customHeight="1" x14ac:dyDescent="0.45">
      <c r="A129" s="18"/>
      <c r="J129" s="4"/>
      <c r="K129" s="4"/>
      <c r="L129" s="4"/>
      <c r="M129" s="4"/>
      <c r="N129" s="4"/>
      <c r="O129" s="4"/>
      <c r="P129" s="4"/>
      <c r="Q129" s="4"/>
      <c r="R129" s="4"/>
      <c r="S129" s="4"/>
      <c r="T129" s="4"/>
      <c r="U129" s="4"/>
      <c r="V129" s="4"/>
      <c r="W129" s="4"/>
    </row>
    <row r="130" spans="1:52" ht="15" customHeight="1" x14ac:dyDescent="0.45">
      <c r="A130" s="18"/>
      <c r="J130" s="4"/>
      <c r="K130" s="4"/>
      <c r="L130" s="4"/>
      <c r="M130" s="4"/>
      <c r="N130" s="4"/>
      <c r="O130" s="4"/>
      <c r="P130" s="4"/>
      <c r="Q130" s="4"/>
      <c r="R130" s="4"/>
      <c r="S130" s="4"/>
      <c r="T130" s="4"/>
      <c r="U130" s="4"/>
      <c r="V130" s="4"/>
      <c r="W130" s="4"/>
    </row>
    <row r="131" spans="1:52" ht="15" customHeight="1" x14ac:dyDescent="0.45">
      <c r="A131" s="18"/>
      <c r="J131" s="4"/>
      <c r="K131" s="4"/>
      <c r="L131" s="4"/>
      <c r="M131" s="4"/>
      <c r="N131" s="4"/>
      <c r="O131" s="4"/>
      <c r="P131" s="4"/>
      <c r="Q131" s="4"/>
      <c r="R131" s="4"/>
      <c r="S131" s="4"/>
      <c r="T131" s="4"/>
      <c r="U131" s="4"/>
      <c r="V131" s="4"/>
      <c r="W131" s="4"/>
    </row>
    <row r="132" spans="1:52" ht="15" customHeight="1" x14ac:dyDescent="0.45">
      <c r="A132" s="18"/>
      <c r="J132" s="4"/>
      <c r="K132" s="4"/>
      <c r="L132" s="4"/>
      <c r="M132" s="4"/>
      <c r="N132" s="4"/>
      <c r="O132" s="4"/>
      <c r="P132" s="4"/>
      <c r="Q132" s="4"/>
      <c r="R132" s="4"/>
      <c r="S132" s="4"/>
      <c r="T132" s="4"/>
      <c r="U132" s="4"/>
      <c r="V132" s="4"/>
      <c r="W132" s="4"/>
    </row>
    <row r="133" spans="1:52" ht="15" customHeight="1" x14ac:dyDescent="0.45">
      <c r="A133" s="18"/>
      <c r="J133" s="4"/>
      <c r="K133" s="4"/>
      <c r="L133" s="4"/>
      <c r="M133" s="4"/>
      <c r="N133" s="4"/>
      <c r="O133" s="4"/>
      <c r="P133" s="4"/>
      <c r="Q133" s="4"/>
      <c r="R133" s="4"/>
      <c r="S133" s="4"/>
      <c r="T133" s="4"/>
      <c r="U133" s="4"/>
      <c r="V133" s="4"/>
      <c r="W133" s="4"/>
    </row>
    <row r="134" spans="1:52" ht="21" x14ac:dyDescent="0.65">
      <c r="B134" s="60" t="s">
        <v>1098</v>
      </c>
      <c r="J134" s="4"/>
      <c r="K134" s="4"/>
      <c r="L134" s="4"/>
      <c r="M134" s="4"/>
      <c r="N134" s="4"/>
      <c r="O134" s="4"/>
      <c r="P134" s="4"/>
      <c r="Q134" s="4"/>
      <c r="R134" s="4"/>
      <c r="S134" s="4"/>
      <c r="T134" s="4"/>
      <c r="U134" s="4"/>
      <c r="V134" s="4"/>
      <c r="W134" s="4"/>
      <c r="AB134" s="451" t="s">
        <v>1698</v>
      </c>
    </row>
    <row r="135" spans="1:52" ht="44.25" customHeight="1" x14ac:dyDescent="0.45">
      <c r="B135" s="1280"/>
      <c r="C135" s="1281"/>
      <c r="D135" s="1281"/>
      <c r="E135" s="1212" t="s">
        <v>1514</v>
      </c>
      <c r="F135" s="1213" t="s">
        <v>1498</v>
      </c>
      <c r="G135" s="1214"/>
      <c r="H135" s="1282"/>
      <c r="J135" s="4"/>
      <c r="K135" s="4"/>
      <c r="L135" s="4"/>
      <c r="M135" s="4"/>
      <c r="N135" s="4"/>
      <c r="O135" s="4"/>
      <c r="P135" s="4"/>
      <c r="Q135" s="4"/>
      <c r="R135" s="4"/>
      <c r="S135" s="4"/>
      <c r="T135" s="4"/>
      <c r="U135" s="4"/>
      <c r="V135" s="4"/>
      <c r="W135" s="4"/>
      <c r="AB135" s="803"/>
      <c r="AC135" s="803" t="str">
        <f>'9c. Forecast Results - FS'!N5</f>
        <v>2013/14</v>
      </c>
      <c r="AD135" s="803" t="str">
        <f>'9c. Forecast Results - FS'!O5</f>
        <v>2014/15</v>
      </c>
      <c r="AE135" s="803" t="str">
        <f>'9c. Forecast Results - FS'!P5</f>
        <v>2015/16</v>
      </c>
      <c r="AF135" s="803" t="str">
        <f>'9c. Forecast Results - FS'!Q5</f>
        <v>2016/17</v>
      </c>
      <c r="AG135" s="803" t="str">
        <f>'9c. Forecast Results - FS'!R5</f>
        <v>2017/18</v>
      </c>
      <c r="AH135" s="803" t="str">
        <f>'9c. Forecast Results - FS'!S5</f>
        <v>2018/19</v>
      </c>
      <c r="AI135" s="803" t="str">
        <f>'9c. Forecast Results - FS'!T5</f>
        <v>2019/20</v>
      </c>
      <c r="AJ135" s="803" t="str">
        <f>'9c. Forecast Results - FS'!U5</f>
        <v>2020/21</v>
      </c>
      <c r="AK135" s="803" t="str">
        <f>'9c. Forecast Results - FS'!V5</f>
        <v>2021/22</v>
      </c>
      <c r="AL135" s="803" t="str">
        <f>'9c. Forecast Results - FS'!W5</f>
        <v>2022/23</v>
      </c>
      <c r="AM135" s="803" t="str">
        <f>'9c. Forecast Results - FS'!X5</f>
        <v>2023/24</v>
      </c>
      <c r="AN135" s="803" t="str">
        <f>'9c. Forecast Results - FS'!Y5</f>
        <v>2024/25</v>
      </c>
      <c r="AO135" s="803" t="str">
        <f>'9c. Forecast Results - FS'!Z5</f>
        <v>2025/26</v>
      </c>
      <c r="AP135" s="803" t="str">
        <f>'9c. Forecast Results - FS'!AA5</f>
        <v>2026/27</v>
      </c>
      <c r="AQ135" s="803" t="str">
        <f>'9c. Forecast Results - FS'!AB5</f>
        <v>2027/28</v>
      </c>
      <c r="AR135" s="803" t="str">
        <f>'9c. Forecast Results - FS'!AC5</f>
        <v>2028/29</v>
      </c>
      <c r="AS135" s="803" t="str">
        <f>'9c. Forecast Results - FS'!AD5</f>
        <v>2029/30</v>
      </c>
      <c r="AT135" s="803" t="str">
        <f>'9c. Forecast Results - FS'!AE5</f>
        <v>2030/31</v>
      </c>
      <c r="AU135" s="803" t="str">
        <f>'9c. Forecast Results - FS'!AF5</f>
        <v>2031/32</v>
      </c>
      <c r="AV135" s="803" t="str">
        <f>'9c. Forecast Results - FS'!AG5</f>
        <v>3032/33</v>
      </c>
      <c r="AW135" s="803" t="str">
        <f>'9c. Forecast Results - FS'!AH5</f>
        <v>2033/34</v>
      </c>
      <c r="AX135" s="803" t="str">
        <f>'9c. Forecast Results - FS'!AI5</f>
        <v>2034/35</v>
      </c>
      <c r="AY135" s="803" t="str">
        <f>'9c. Forecast Results - FS'!AJ5</f>
        <v>2035/36</v>
      </c>
      <c r="AZ135" s="803" t="str">
        <f>'9c. Forecast Results - FS'!AK5</f>
        <v>2036/37</v>
      </c>
    </row>
    <row r="136" spans="1:52" x14ac:dyDescent="0.45">
      <c r="B136" s="1263" t="s">
        <v>1551</v>
      </c>
      <c r="C136" s="558"/>
      <c r="D136" s="558"/>
      <c r="E136" s="971">
        <f ca="1">+SUM('9c. Forecast Results - FS'!S28:W28)</f>
        <v>53033.767391304347</v>
      </c>
      <c r="F136" s="971">
        <f ca="1">+'9c. Forecast Results - FS'!AL28</f>
        <v>254562.08347826102</v>
      </c>
      <c r="G136" s="971"/>
      <c r="H136" s="1283"/>
      <c r="J136" s="4"/>
      <c r="K136" s="4"/>
      <c r="L136" s="4"/>
      <c r="M136" s="4"/>
      <c r="N136" s="4"/>
      <c r="O136" s="4"/>
      <c r="P136" s="4"/>
      <c r="Q136" s="4"/>
      <c r="R136" s="4"/>
      <c r="S136" s="4"/>
      <c r="T136" s="4"/>
      <c r="U136" s="4"/>
      <c r="V136" s="4"/>
      <c r="W136" s="4"/>
      <c r="AB136" s="803" t="str">
        <f>'9c. Forecast Results - FS'!D28</f>
        <v>Total Income</v>
      </c>
      <c r="AC136" s="533">
        <f>'9c. Forecast Results - FS'!N28</f>
        <v>8057.1</v>
      </c>
      <c r="AD136" s="533">
        <f>'9c. Forecast Results - FS'!O28</f>
        <v>4013.2</v>
      </c>
      <c r="AE136" s="533">
        <f>'9c. Forecast Results - FS'!P28</f>
        <v>125.2</v>
      </c>
      <c r="AF136" s="533">
        <f ca="1">'9c. Forecast Results - FS'!Q28</f>
        <v>10606.753478260869</v>
      </c>
      <c r="AG136" s="533">
        <f ca="1">'9c. Forecast Results - FS'!R28</f>
        <v>10606.753478260869</v>
      </c>
      <c r="AH136" s="533">
        <f ca="1">'9c. Forecast Results - FS'!S28</f>
        <v>10606.753478260869</v>
      </c>
      <c r="AI136" s="533">
        <f ca="1">'9c. Forecast Results - FS'!T28</f>
        <v>10606.753478260869</v>
      </c>
      <c r="AJ136" s="533">
        <f ca="1">'9c. Forecast Results - FS'!U28</f>
        <v>10606.753478260869</v>
      </c>
      <c r="AK136" s="533">
        <f ca="1">'9c. Forecast Results - FS'!V28</f>
        <v>10606.753478260869</v>
      </c>
      <c r="AL136" s="533">
        <f ca="1">'9c. Forecast Results - FS'!W28</f>
        <v>10606.753478260869</v>
      </c>
      <c r="AM136" s="533">
        <f ca="1">'9c. Forecast Results - FS'!X28</f>
        <v>10606.753478260869</v>
      </c>
      <c r="AN136" s="533">
        <f ca="1">'9c. Forecast Results - FS'!Y28</f>
        <v>10606.753478260869</v>
      </c>
      <c r="AO136" s="533">
        <f ca="1">'9c. Forecast Results - FS'!Z28</f>
        <v>10606.753478260869</v>
      </c>
      <c r="AP136" s="533">
        <f ca="1">'9c. Forecast Results - FS'!AA28</f>
        <v>10606.753478260869</v>
      </c>
      <c r="AQ136" s="533">
        <f ca="1">'9c. Forecast Results - FS'!AB28</f>
        <v>10606.753478260869</v>
      </c>
      <c r="AR136" s="533">
        <f ca="1">'9c. Forecast Results - FS'!AC28</f>
        <v>10606.753478260869</v>
      </c>
      <c r="AS136" s="533">
        <f ca="1">'9c. Forecast Results - FS'!AD28</f>
        <v>10606.753478260869</v>
      </c>
      <c r="AT136" s="533">
        <f ca="1">'9c. Forecast Results - FS'!AE28</f>
        <v>10606.753478260869</v>
      </c>
      <c r="AU136" s="533">
        <f ca="1">'9c. Forecast Results - FS'!AF28</f>
        <v>10606.753478260869</v>
      </c>
      <c r="AV136" s="533">
        <f ca="1">'9c. Forecast Results - FS'!AG28</f>
        <v>10606.753478260869</v>
      </c>
      <c r="AW136" s="533">
        <f ca="1">'9c. Forecast Results - FS'!AH28</f>
        <v>10606.753478260869</v>
      </c>
      <c r="AX136" s="533">
        <f ca="1">'9c. Forecast Results - FS'!AI28</f>
        <v>10606.753478260869</v>
      </c>
      <c r="AY136" s="533">
        <f ca="1">'9c. Forecast Results - FS'!AJ28</f>
        <v>53033.767391304347</v>
      </c>
      <c r="AZ136" s="533">
        <f ca="1">'9c. Forecast Results - FS'!AK28</f>
        <v>0</v>
      </c>
    </row>
    <row r="137" spans="1:52" x14ac:dyDescent="0.45">
      <c r="B137" s="1263" t="s">
        <v>1510</v>
      </c>
      <c r="C137" s="558"/>
      <c r="D137" s="558"/>
      <c r="E137" s="971">
        <f>+SUM(E138:E143)</f>
        <v>5872040.7442240836</v>
      </c>
      <c r="F137" s="971">
        <f>+SUM(F138:F143)</f>
        <v>20298197.281151123</v>
      </c>
      <c r="G137" s="971"/>
      <c r="H137" s="1283"/>
      <c r="J137" s="4"/>
      <c r="K137" s="4"/>
      <c r="L137" s="4"/>
      <c r="M137" s="4"/>
      <c r="N137" s="4"/>
      <c r="O137" s="4"/>
      <c r="P137" s="4"/>
      <c r="Q137" s="4"/>
      <c r="R137" s="4"/>
      <c r="S137" s="4"/>
      <c r="T137" s="4"/>
      <c r="U137" s="4"/>
      <c r="V137" s="4"/>
      <c r="W137" s="4"/>
      <c r="AB137" s="803" t="str">
        <f>'9c. Forecast Results - FS'!D47</f>
        <v>Total Expenditure</v>
      </c>
      <c r="AC137" s="533">
        <f>-'9c. Forecast Results - FS'!N47</f>
        <v>-1053659.7333333334</v>
      </c>
      <c r="AD137" s="533">
        <f>-'9c. Forecast Results - FS'!O47</f>
        <v>-1087690.0533333332</v>
      </c>
      <c r="AE137" s="533">
        <f>-'9c. Forecast Results - FS'!P47</f>
        <v>-1121351.04</v>
      </c>
      <c r="AF137" s="533">
        <f>-'9c. Forecast Results - FS'!Q47</f>
        <v>-1147732.6243999999</v>
      </c>
      <c r="AG137" s="533">
        <f>-'9c. Forecast Results - FS'!R47</f>
        <v>-1158854.0961879999</v>
      </c>
      <c r="AH137" s="533">
        <f>-'9c. Forecast Results - FS'!S47</f>
        <v>-1167727.0386838699</v>
      </c>
      <c r="AI137" s="533">
        <f>-'9c. Forecast Results - FS'!T47</f>
        <v>-1174070.4712133168</v>
      </c>
      <c r="AJ137" s="533">
        <f>-'9c. Forecast Results - FS'!U47</f>
        <v>-1177579.307028984</v>
      </c>
      <c r="AK137" s="533">
        <f>-'9c. Forecast Results - FS'!V47</f>
        <v>-1177922.5516089543</v>
      </c>
      <c r="AL137" s="533">
        <f>-'9c. Forecast Results - FS'!W47</f>
        <v>-1174741.3756889589</v>
      </c>
      <c r="AM137" s="533">
        <f>-'9c. Forecast Results - FS'!X47</f>
        <v>-1167647.0546991471</v>
      </c>
      <c r="AN137" s="533">
        <f>-'9c. Forecast Results - FS'!Y47</f>
        <v>-1156218.7657389969</v>
      </c>
      <c r="AO137" s="533">
        <f>-'9c. Forecast Results - FS'!Z47</f>
        <v>-1140001.232652765</v>
      </c>
      <c r="AP137" s="533">
        <f>-'9c. Forecast Results - FS'!AA47</f>
        <v>-1118502.2091606872</v>
      </c>
      <c r="AQ137" s="533">
        <f>-'9c. Forecast Results - FS'!AB47</f>
        <v>-1091189.7893557064</v>
      </c>
      <c r="AR137" s="533">
        <f>-'9c. Forecast Results - FS'!AC47</f>
        <v>-1057489.5341894664</v>
      </c>
      <c r="AS137" s="533">
        <f>-'9c. Forecast Results - FS'!AD47</f>
        <v>-1016781.4018421393</v>
      </c>
      <c r="AT137" s="533">
        <f>-'9c. Forecast Results - FS'!AE47</f>
        <v>-968396.46909568284</v>
      </c>
      <c r="AU137" s="533">
        <f>-'9c. Forecast Results - FS'!AF47</f>
        <v>-911613.43000654387</v>
      </c>
      <c r="AV137" s="533">
        <f>-'9c. Forecast Results - FS'!AG47</f>
        <v>-845654.85729858512</v>
      </c>
      <c r="AW137" s="533">
        <f>-'9c. Forecast Results - FS'!AH47</f>
        <v>-769683.21096698102</v>
      </c>
      <c r="AX137" s="533">
        <f>-'9c. Forecast Results - FS'!AI47</f>
        <v>-682796.57759557234</v>
      </c>
      <c r="AY137" s="533">
        <f>-'9c. Forecast Results - FS'!AJ47</f>
        <v>-193595.28373676422</v>
      </c>
      <c r="AZ137" s="533">
        <f>-'9c. Forecast Results - FS'!AK47</f>
        <v>0</v>
      </c>
    </row>
    <row r="138" spans="1:52" x14ac:dyDescent="0.45">
      <c r="B138" s="1284" t="str">
        <f>'9c. Forecast Results - FS'!D31</f>
        <v>Rates &amp; Taxes</v>
      </c>
      <c r="C138" s="558"/>
      <c r="D138" s="558"/>
      <c r="E138" s="1215">
        <f>+SUM('9c. Forecast Results - FS'!S31:W31)</f>
        <v>0</v>
      </c>
      <c r="F138" s="1215">
        <f>+'9c. Forecast Results - FS'!AL31</f>
        <v>0</v>
      </c>
      <c r="G138" s="971"/>
      <c r="H138" s="1283"/>
      <c r="J138" s="4"/>
      <c r="K138" s="4"/>
      <c r="L138" s="4"/>
      <c r="M138" s="4"/>
      <c r="N138" s="4"/>
      <c r="O138" s="4"/>
      <c r="P138" s="4"/>
      <c r="Q138" s="4"/>
      <c r="R138" s="4"/>
      <c r="S138" s="4"/>
      <c r="T138" s="4"/>
      <c r="U138" s="4"/>
      <c r="V138" s="4"/>
      <c r="W138" s="4"/>
      <c r="AB138" s="803" t="str">
        <f>'9c. Forecast Results - FS'!D48</f>
        <v>Net Surplus / (Deficit)</v>
      </c>
      <c r="AC138" s="533">
        <f>'9c. Forecast Results - FS'!N48</f>
        <v>-1045602.6333333334</v>
      </c>
      <c r="AD138" s="533">
        <f>'9c. Forecast Results - FS'!O48</f>
        <v>-1083676.8533333333</v>
      </c>
      <c r="AE138" s="533">
        <f>'9c. Forecast Results - FS'!P48</f>
        <v>-1121225.8400000001</v>
      </c>
      <c r="AF138" s="533">
        <f ca="1">'9c. Forecast Results - FS'!Q48</f>
        <v>-1137125.8709217389</v>
      </c>
      <c r="AG138" s="533">
        <f ca="1">'9c. Forecast Results - FS'!R48</f>
        <v>-1148247.342709739</v>
      </c>
      <c r="AH138" s="533">
        <f ca="1">'9c. Forecast Results - FS'!S48</f>
        <v>-1157120.2852056089</v>
      </c>
      <c r="AI138" s="533">
        <f ca="1">'9c. Forecast Results - FS'!T48</f>
        <v>-1163463.7177350558</v>
      </c>
      <c r="AJ138" s="533">
        <f ca="1">'9c. Forecast Results - FS'!U48</f>
        <v>-1166972.553550723</v>
      </c>
      <c r="AK138" s="533">
        <f ca="1">'9c. Forecast Results - FS'!V48</f>
        <v>-1167315.7981306934</v>
      </c>
      <c r="AL138" s="533">
        <f ca="1">'9c. Forecast Results - FS'!W48</f>
        <v>-1164134.622210698</v>
      </c>
      <c r="AM138" s="533">
        <f ca="1">'9c. Forecast Results - FS'!X48</f>
        <v>-1157040.3012208862</v>
      </c>
      <c r="AN138" s="533">
        <f ca="1">'9c. Forecast Results - FS'!Y48</f>
        <v>-1145612.012260736</v>
      </c>
      <c r="AO138" s="533">
        <f ca="1">'9c. Forecast Results - FS'!Z48</f>
        <v>-1129394.4791745041</v>
      </c>
      <c r="AP138" s="533">
        <f ca="1">'9c. Forecast Results - FS'!AA48</f>
        <v>-1107895.4556824262</v>
      </c>
      <c r="AQ138" s="533">
        <f ca="1">'9c. Forecast Results - FS'!AB48</f>
        <v>-1080583.0358774455</v>
      </c>
      <c r="AR138" s="533">
        <f ca="1">'9c. Forecast Results - FS'!AC48</f>
        <v>-1046882.7807112056</v>
      </c>
      <c r="AS138" s="533">
        <f ca="1">'9c. Forecast Results - FS'!AD48</f>
        <v>-1006174.6483638785</v>
      </c>
      <c r="AT138" s="533">
        <f ca="1">'9c. Forecast Results - FS'!AE48</f>
        <v>-957789.71561742201</v>
      </c>
      <c r="AU138" s="533">
        <f ca="1">'9c. Forecast Results - FS'!AF48</f>
        <v>-901006.67652828305</v>
      </c>
      <c r="AV138" s="533">
        <f ca="1">'9c. Forecast Results - FS'!AG48</f>
        <v>-835048.10382032429</v>
      </c>
      <c r="AW138" s="533">
        <f ca="1">'9c. Forecast Results - FS'!AH48</f>
        <v>-759076.45748872019</v>
      </c>
      <c r="AX138" s="533">
        <f ca="1">'9c. Forecast Results - FS'!AI48</f>
        <v>-672189.82411731151</v>
      </c>
      <c r="AY138" s="533">
        <f ca="1">'9c. Forecast Results - FS'!AJ48</f>
        <v>-140561.51634545988</v>
      </c>
      <c r="AZ138" s="533">
        <f ca="1">'9c. Forecast Results - FS'!AK48</f>
        <v>0</v>
      </c>
    </row>
    <row r="139" spans="1:52" x14ac:dyDescent="0.45">
      <c r="B139" s="1284" t="str">
        <f>'9c. Forecast Results - FS'!D32</f>
        <v>Municipal Charges</v>
      </c>
      <c r="C139" s="558"/>
      <c r="D139" s="558"/>
      <c r="E139" s="1216">
        <f>+SUM('9c. Forecast Results - FS'!S32:W32)</f>
        <v>0</v>
      </c>
      <c r="F139" s="1216">
        <f>+'9c. Forecast Results - FS'!AL32</f>
        <v>0</v>
      </c>
      <c r="G139" s="971"/>
      <c r="H139" s="1283"/>
      <c r="AB139" s="803" t="s">
        <v>1697</v>
      </c>
      <c r="AC139" s="533">
        <f>SUM($AC138:AC138)</f>
        <v>-1045602.6333333334</v>
      </c>
      <c r="AD139" s="533">
        <f>SUM($AC138:AD138)</f>
        <v>-2129279.4866666668</v>
      </c>
      <c r="AE139" s="533">
        <f>SUM($AC138:AE138)</f>
        <v>-3250505.3266666671</v>
      </c>
      <c r="AF139" s="533">
        <f ca="1">SUM($AC138:AF138)</f>
        <v>-4387631.1975884065</v>
      </c>
      <c r="AG139" s="533">
        <f ca="1">SUM($AC138:AG138)</f>
        <v>-5535878.5402981453</v>
      </c>
      <c r="AH139" s="533">
        <f ca="1">SUM($AC138:AH138)</f>
        <v>-6692998.8255037544</v>
      </c>
      <c r="AI139" s="533">
        <f ca="1">SUM($AC138:AI138)</f>
        <v>-7856462.5432388103</v>
      </c>
      <c r="AJ139" s="533">
        <f ca="1">SUM($AC138:AJ138)</f>
        <v>-9023435.0967895333</v>
      </c>
      <c r="AK139" s="533">
        <f ca="1">SUM($AC138:AK138)</f>
        <v>-10190750.894920226</v>
      </c>
      <c r="AL139" s="533">
        <f ca="1">SUM($AC138:AL138)</f>
        <v>-11354885.517130924</v>
      </c>
      <c r="AM139" s="533">
        <f ca="1">SUM($AC138:AM138)</f>
        <v>-12511925.818351811</v>
      </c>
      <c r="AN139" s="533">
        <f ca="1">SUM($AC138:AN138)</f>
        <v>-13657537.830612548</v>
      </c>
      <c r="AO139" s="533">
        <f ca="1">SUM($AC138:AO138)</f>
        <v>-14786932.309787052</v>
      </c>
      <c r="AP139" s="533">
        <f ca="1">SUM($AC138:AP138)</f>
        <v>-15894827.765469478</v>
      </c>
      <c r="AQ139" s="533">
        <f ca="1">SUM($AC138:AQ138)</f>
        <v>-16975410.801346924</v>
      </c>
      <c r="AR139" s="533">
        <f ca="1">SUM($AC138:AR138)</f>
        <v>-18022293.582058128</v>
      </c>
      <c r="AS139" s="533">
        <f ca="1">SUM($AC138:AS138)</f>
        <v>-19028468.230422005</v>
      </c>
      <c r="AT139" s="533">
        <f ca="1">SUM($AC138:AT138)</f>
        <v>-19986257.946039427</v>
      </c>
      <c r="AU139" s="533">
        <f ca="1">SUM($AC138:AU138)</f>
        <v>-20887264.62256771</v>
      </c>
      <c r="AV139" s="533">
        <f ca="1">SUM($AC138:AV138)</f>
        <v>-21722312.726388033</v>
      </c>
      <c r="AW139" s="533">
        <f ca="1">SUM($AC138:AW138)</f>
        <v>-22481389.183876753</v>
      </c>
      <c r="AX139" s="533">
        <f ca="1">SUM($AC138:AX138)</f>
        <v>-23153579.007994063</v>
      </c>
      <c r="AY139" s="533">
        <f ca="1">SUM($AC138:AY138)</f>
        <v>-23294140.524339523</v>
      </c>
      <c r="AZ139" s="533">
        <f ca="1">SUM($AC138:AZ138)</f>
        <v>-23294140.524339523</v>
      </c>
    </row>
    <row r="140" spans="1:52" x14ac:dyDescent="0.45">
      <c r="B140" s="1284" t="str">
        <f>'9c. Forecast Results - FS'!D33</f>
        <v>Maintenance</v>
      </c>
      <c r="C140" s="558"/>
      <c r="D140" s="558"/>
      <c r="E140" s="1216">
        <f>+SUM('9c. Forecast Results - FS'!S33:W33)</f>
        <v>0</v>
      </c>
      <c r="F140" s="1216">
        <f>+'9c. Forecast Results - FS'!AL33</f>
        <v>0</v>
      </c>
      <c r="G140" s="971"/>
      <c r="H140" s="1283"/>
      <c r="AB140" s="451" t="s">
        <v>1699</v>
      </c>
    </row>
    <row r="141" spans="1:52" x14ac:dyDescent="0.45">
      <c r="B141" s="1284" t="str">
        <f>'9c. Forecast Results - FS'!D36</f>
        <v>Total Disposal Costs</v>
      </c>
      <c r="C141" s="558"/>
      <c r="D141" s="558"/>
      <c r="E141" s="1216">
        <f>+SUM('9c. Forecast Results - FS'!S36:W36)</f>
        <v>86966.51374314772</v>
      </c>
      <c r="F141" s="1216">
        <f>+'9c. Forecast Results - FS'!AL36</f>
        <v>643032.67914317991</v>
      </c>
      <c r="G141" s="971"/>
      <c r="H141" s="1283"/>
      <c r="AB141" s="803" t="str">
        <f>'8. Forecast Results National'!D28</f>
        <v>Total Income</v>
      </c>
      <c r="AC141" s="533">
        <f>'8. Forecast Results National'!N28</f>
        <v>13847741.82</v>
      </c>
      <c r="AD141" s="533">
        <f>'8. Forecast Results National'!O28</f>
        <v>16595915.43</v>
      </c>
      <c r="AE141" s="533">
        <f>'8. Forecast Results National'!P28</f>
        <v>14925625.75</v>
      </c>
      <c r="AF141" s="533">
        <f>'8. Forecast Results National'!Q28</f>
        <v>11305567.046898484</v>
      </c>
      <c r="AG141" s="533">
        <f>'8. Forecast Results National'!R28</f>
        <v>10295775.108026672</v>
      </c>
      <c r="AH141" s="533">
        <f>'8. Forecast Results National'!S28</f>
        <v>8369173.8392901234</v>
      </c>
      <c r="AI141" s="533">
        <f>'8. Forecast Results National'!T28</f>
        <v>4298208.2229296956</v>
      </c>
      <c r="AJ141" s="533">
        <f>'8. Forecast Results National'!U28</f>
        <v>4125590.3054568996</v>
      </c>
      <c r="AK141" s="533">
        <f>'8. Forecast Results National'!V28</f>
        <v>3952972.3879841031</v>
      </c>
      <c r="AL141" s="533">
        <f>'8. Forecast Results National'!W28</f>
        <v>3780354.470511307</v>
      </c>
      <c r="AM141" s="533">
        <f>'8. Forecast Results National'!X28</f>
        <v>3607736.5530385105</v>
      </c>
      <c r="AN141" s="533">
        <f>'8. Forecast Results National'!Y28</f>
        <v>3435118.6355657149</v>
      </c>
      <c r="AO141" s="533">
        <f>'8. Forecast Results National'!Z28</f>
        <v>3262500.7180929184</v>
      </c>
      <c r="AP141" s="533">
        <f>'8. Forecast Results National'!AA28</f>
        <v>3089882.8006201228</v>
      </c>
      <c r="AQ141" s="533">
        <f>'8. Forecast Results National'!AB28</f>
        <v>2917264.8831473263</v>
      </c>
      <c r="AR141" s="533">
        <f>'8. Forecast Results National'!AC28</f>
        <v>2744646.9656745302</v>
      </c>
      <c r="AS141" s="533">
        <f>'8. Forecast Results National'!AD28</f>
        <v>2572029.0482017342</v>
      </c>
      <c r="AT141" s="533">
        <f>'8. Forecast Results National'!AE28</f>
        <v>2399411.1307289382</v>
      </c>
      <c r="AU141" s="533">
        <f>'8. Forecast Results National'!AF28</f>
        <v>2226793.2132561421</v>
      </c>
      <c r="AV141" s="533">
        <f>'8. Forecast Results National'!AG28</f>
        <v>2054175.2957833458</v>
      </c>
      <c r="AW141" s="533">
        <f>'8. Forecast Results National'!AH28</f>
        <v>1881557.3783105498</v>
      </c>
      <c r="AX141" s="533">
        <f>'8. Forecast Results National'!AI28</f>
        <v>1708939.4608377537</v>
      </c>
      <c r="AY141" s="533">
        <f>'8. Forecast Results National'!AJ28</f>
        <v>481708.31094021688</v>
      </c>
      <c r="AZ141" s="533">
        <f>'8. Forecast Results National'!AK28</f>
        <v>0</v>
      </c>
    </row>
    <row r="142" spans="1:52" x14ac:dyDescent="0.45">
      <c r="B142" s="1284" t="str">
        <f>'9c. Forecast Results - FS'!D43</f>
        <v>Staff</v>
      </c>
      <c r="C142" s="558"/>
      <c r="D142" s="558"/>
      <c r="E142" s="1216">
        <f>+SUM('9c. Forecast Results - FS'!S43:W43)</f>
        <v>2168600.0926702325</v>
      </c>
      <c r="F142" s="1216">
        <f>+'9c. Forecast Results - FS'!AL43</f>
        <v>7367959.3518058602</v>
      </c>
      <c r="G142" s="971"/>
      <c r="H142" s="1283"/>
      <c r="AB142" s="803" t="str">
        <f>'8. Forecast Results National'!D47</f>
        <v>Total Expenditure</v>
      </c>
      <c r="AC142" s="533">
        <f>'8. Forecast Results National'!N47</f>
        <v>126486884.31333333</v>
      </c>
      <c r="AD142" s="533">
        <f>'8. Forecast Results National'!O47</f>
        <v>136616043.32333332</v>
      </c>
      <c r="AE142" s="533">
        <f>'8. Forecast Results National'!P47</f>
        <v>143214809.11000001</v>
      </c>
      <c r="AF142" s="533">
        <f>'8. Forecast Results National'!Q47</f>
        <v>143253743.71700636</v>
      </c>
      <c r="AG142" s="533">
        <f>'8. Forecast Results National'!R47</f>
        <v>139067846.33322573</v>
      </c>
      <c r="AH142" s="533">
        <f>'8. Forecast Results National'!S47</f>
        <v>133721299.89060707</v>
      </c>
      <c r="AI142" s="533">
        <f>'8. Forecast Results National'!T47</f>
        <v>131255140.47134125</v>
      </c>
      <c r="AJ142" s="533">
        <f>'8. Forecast Results National'!U47</f>
        <v>130281139.72238086</v>
      </c>
      <c r="AK142" s="533">
        <f>'8. Forecast Results National'!V47</f>
        <v>128802952.09110901</v>
      </c>
      <c r="AL142" s="533">
        <f>'8. Forecast Results National'!W47</f>
        <v>126768063.37273705</v>
      </c>
      <c r="AM142" s="533">
        <f>'8. Forecast Results National'!X47</f>
        <v>124119707.96526858</v>
      </c>
      <c r="AN142" s="533">
        <f>'8. Forecast Results National'!Y47</f>
        <v>120796560.07127605</v>
      </c>
      <c r="AO142" s="533">
        <f>'8. Forecast Results National'!Z47</f>
        <v>116732403.79234941</v>
      </c>
      <c r="AP142" s="533">
        <f>'8. Forecast Results National'!AA47</f>
        <v>111855780.72852524</v>
      </c>
      <c r="AQ142" s="533">
        <f>'8. Forecast Results National'!AB47</f>
        <v>106089613.60620853</v>
      </c>
      <c r="AR142" s="533">
        <f>'8. Forecast Results National'!AC47</f>
        <v>99350804.363733202</v>
      </c>
      <c r="AS142" s="533">
        <f>'8. Forecast Results National'!AD47</f>
        <v>91549805.023426801</v>
      </c>
      <c r="AT142" s="533">
        <f>'8. Forecast Results National'!AE47</f>
        <v>82590159.57248643</v>
      </c>
      <c r="AU142" s="533">
        <f>'8. Forecast Results National'!AF47</f>
        <v>72368014.961746752</v>
      </c>
      <c r="AV142" s="533">
        <f>'8. Forecast Results National'!AG47</f>
        <v>60771599.211118922</v>
      </c>
      <c r="AW142" s="533">
        <f>'8. Forecast Results National'!AH47</f>
        <v>47680664.482662752</v>
      </c>
      <c r="AX142" s="533">
        <f>'8. Forecast Results National'!AI47</f>
        <v>32965892.846462775</v>
      </c>
      <c r="AY142" s="533">
        <f>'8. Forecast Results National'!AJ47</f>
        <v>774381.134947057</v>
      </c>
      <c r="AZ142" s="533">
        <f>'8. Forecast Results National'!AK47</f>
        <v>0</v>
      </c>
    </row>
    <row r="143" spans="1:52" x14ac:dyDescent="0.45">
      <c r="B143" s="1284" t="s">
        <v>444</v>
      </c>
      <c r="C143" s="558"/>
      <c r="D143" s="558"/>
      <c r="E143" s="1217">
        <f>SUM('9c. Forecast Results - FS'!S47:W47)-SUM(E138:E142)</f>
        <v>3616474.1378107034</v>
      </c>
      <c r="F143" s="1217">
        <f>+'9c. Forecast Results - FS'!AL47-SUM(F138:F142)</f>
        <v>12287205.250202082</v>
      </c>
      <c r="G143" s="971"/>
      <c r="H143" s="1283"/>
      <c r="AB143" s="803" t="str">
        <f>'8. Forecast Results National'!D48</f>
        <v>Net Surplus / (Deficit)</v>
      </c>
      <c r="AC143" s="533">
        <f>'8. Forecast Results National'!N48</f>
        <v>-112639142.49333334</v>
      </c>
      <c r="AD143" s="533">
        <f>'8. Forecast Results National'!O48</f>
        <v>-120020127.89333332</v>
      </c>
      <c r="AE143" s="533">
        <f>'8. Forecast Results National'!P48</f>
        <v>-128289183.36000001</v>
      </c>
      <c r="AF143" s="533">
        <f>'8. Forecast Results National'!Q48</f>
        <v>-131948176.67010787</v>
      </c>
      <c r="AG143" s="533">
        <f>'8. Forecast Results National'!R48</f>
        <v>-128772071.22519906</v>
      </c>
      <c r="AH143" s="533">
        <f>'8. Forecast Results National'!S48</f>
        <v>-125352126.05131695</v>
      </c>
      <c r="AI143" s="533">
        <f>'8. Forecast Results National'!T48</f>
        <v>-126956932.24841155</v>
      </c>
      <c r="AJ143" s="533">
        <f>'8. Forecast Results National'!U48</f>
        <v>-126155549.41692396</v>
      </c>
      <c r="AK143" s="533">
        <f>'8. Forecast Results National'!V48</f>
        <v>-124849979.70312491</v>
      </c>
      <c r="AL143" s="533">
        <f>'8. Forecast Results National'!W48</f>
        <v>-122987708.90222575</v>
      </c>
      <c r="AM143" s="533">
        <f>'8. Forecast Results National'!X48</f>
        <v>-120511971.41223007</v>
      </c>
      <c r="AN143" s="533">
        <f>'8. Forecast Results National'!Y48</f>
        <v>-117361441.43571034</v>
      </c>
      <c r="AO143" s="533">
        <f>'8. Forecast Results National'!Z48</f>
        <v>-113469903.07425649</v>
      </c>
      <c r="AP143" s="533">
        <f>'8. Forecast Results National'!AA48</f>
        <v>-108765897.92790511</v>
      </c>
      <c r="AQ143" s="533">
        <f>'8. Forecast Results National'!AB48</f>
        <v>-103172348.7230612</v>
      </c>
      <c r="AR143" s="533">
        <f>'8. Forecast Results National'!AC48</f>
        <v>-96606157.398058668</v>
      </c>
      <c r="AS143" s="533">
        <f>'8. Forecast Results National'!AD48</f>
        <v>-88977775.975225061</v>
      </c>
      <c r="AT143" s="533">
        <f>'8. Forecast Results National'!AE48</f>
        <v>-80190748.441757485</v>
      </c>
      <c r="AU143" s="533">
        <f>'8. Forecast Results National'!AF48</f>
        <v>-70141221.748490617</v>
      </c>
      <c r="AV143" s="533">
        <f>'8. Forecast Results National'!AG48</f>
        <v>-58717423.915335573</v>
      </c>
      <c r="AW143" s="533">
        <f>'8. Forecast Results National'!AH48</f>
        <v>-45799107.104352206</v>
      </c>
      <c r="AX143" s="533">
        <f>'8. Forecast Results National'!AI48</f>
        <v>-31256953.38562502</v>
      </c>
      <c r="AY143" s="533">
        <f>'8. Forecast Results National'!AJ48</f>
        <v>-292672.82400684012</v>
      </c>
      <c r="AZ143" s="533">
        <f>'8. Forecast Results National'!AK48</f>
        <v>0</v>
      </c>
    </row>
    <row r="144" spans="1:52" x14ac:dyDescent="0.45">
      <c r="B144" s="1260"/>
      <c r="C144" s="558"/>
      <c r="D144" s="558"/>
      <c r="E144" s="558"/>
      <c r="F144" s="558"/>
      <c r="G144" s="558"/>
      <c r="H144" s="1283"/>
      <c r="AB144" s="803" t="s">
        <v>1697</v>
      </c>
      <c r="AC144" s="533">
        <f>SUM($AC143:AC143)</f>
        <v>-112639142.49333334</v>
      </c>
      <c r="AD144" s="533">
        <f>SUM($AC143:AD143)</f>
        <v>-232659270.38666666</v>
      </c>
      <c r="AE144" s="533">
        <f>SUM($AC143:AE143)</f>
        <v>-360948453.74666667</v>
      </c>
      <c r="AF144" s="533">
        <f>SUM($AC143:AF143)</f>
        <v>-492896630.41677451</v>
      </c>
      <c r="AG144" s="533">
        <f>SUM($AC143:AG143)</f>
        <v>-621668701.64197361</v>
      </c>
      <c r="AH144" s="533">
        <f>SUM($AC143:AH143)</f>
        <v>-747020827.69329059</v>
      </c>
      <c r="AI144" s="533">
        <f>SUM($AC143:AI143)</f>
        <v>-873977759.94170213</v>
      </c>
      <c r="AJ144" s="533">
        <f>SUM($AC143:AJ143)</f>
        <v>-1000133309.3586261</v>
      </c>
      <c r="AK144" s="533">
        <f>SUM($AC143:AK143)</f>
        <v>-1124983289.0617511</v>
      </c>
      <c r="AL144" s="533">
        <f>SUM($AC143:AL143)</f>
        <v>-1247970997.9639769</v>
      </c>
      <c r="AM144" s="533">
        <f>SUM($AC143:AM143)</f>
        <v>-1368482969.3762069</v>
      </c>
      <c r="AN144" s="533">
        <f>SUM($AC143:AN143)</f>
        <v>-1485844410.8119173</v>
      </c>
      <c r="AO144" s="533">
        <f>SUM($AC143:AO143)</f>
        <v>-1599314313.8861737</v>
      </c>
      <c r="AP144" s="533">
        <f>SUM($AC143:AP143)</f>
        <v>-1708080211.8140788</v>
      </c>
      <c r="AQ144" s="533">
        <f>SUM($AC143:AQ143)</f>
        <v>-1811252560.5371399</v>
      </c>
      <c r="AR144" s="533">
        <f>SUM($AC143:AR143)</f>
        <v>-1907858717.9351985</v>
      </c>
      <c r="AS144" s="533">
        <f>SUM($AC143:AS143)</f>
        <v>-1996836493.9104235</v>
      </c>
      <c r="AT144" s="533">
        <f>SUM($AC143:AT143)</f>
        <v>-2077027242.352181</v>
      </c>
      <c r="AU144" s="533">
        <f>SUM($AC143:AU143)</f>
        <v>-2147168464.1006715</v>
      </c>
      <c r="AV144" s="533">
        <f>SUM($AC143:AV143)</f>
        <v>-2205885888.0160069</v>
      </c>
      <c r="AW144" s="533">
        <f>SUM($AC143:AW143)</f>
        <v>-2251684995.1203589</v>
      </c>
      <c r="AX144" s="533">
        <f>SUM($AC143:AX143)</f>
        <v>-2282941948.5059838</v>
      </c>
      <c r="AY144" s="533">
        <f>SUM($AC143:AY143)</f>
        <v>-2283234621.3299909</v>
      </c>
      <c r="AZ144" s="533">
        <f>SUM($AC143:AZ143)</f>
        <v>-2283234621.3299909</v>
      </c>
    </row>
    <row r="145" spans="1:8" ht="14.65" thickBot="1" x14ac:dyDescent="0.5">
      <c r="B145" s="1284" t="s">
        <v>1714</v>
      </c>
      <c r="C145" s="558"/>
      <c r="D145" s="558"/>
      <c r="E145" s="1218">
        <f ca="1">+E136-E137</f>
        <v>-5819006.9768327791</v>
      </c>
      <c r="F145" s="1218">
        <f ca="1">+F136-F137</f>
        <v>-20043635.197672863</v>
      </c>
      <c r="G145" s="971"/>
      <c r="H145" s="1283"/>
    </row>
    <row r="146" spans="1:8" ht="14.65" thickTop="1" x14ac:dyDescent="0.45">
      <c r="B146" s="1289" t="s">
        <v>1552</v>
      </c>
      <c r="C146" s="558"/>
      <c r="D146" s="558"/>
      <c r="E146" s="1220">
        <f ca="1">-E145</f>
        <v>5819006.9768327791</v>
      </c>
      <c r="F146" s="1220">
        <f ca="1">-F145</f>
        <v>20043635.197672863</v>
      </c>
      <c r="G146" s="971"/>
      <c r="H146" s="1283"/>
    </row>
    <row r="147" spans="1:8" x14ac:dyDescent="0.45">
      <c r="B147" s="1261" t="s">
        <v>1557</v>
      </c>
      <c r="C147" s="18"/>
      <c r="D147" s="18"/>
      <c r="E147" s="1219">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10</v>
      </c>
      <c r="F147" s="1219">
        <f>SUMIF('10. Inputs &amp; Calcs'!$D$51:$D$56,$C$12,'10. Inputs &amp; Calcs'!$AD$51:$AD$56)</f>
        <v>48</v>
      </c>
      <c r="G147" s="1219"/>
      <c r="H147" s="1283"/>
    </row>
    <row r="148" spans="1:8" x14ac:dyDescent="0.45">
      <c r="B148" s="1261" t="s">
        <v>1559</v>
      </c>
      <c r="C148" s="18"/>
      <c r="D148" s="18"/>
      <c r="E148" s="971">
        <f ca="1">-E145/E147</f>
        <v>581900.69768327789</v>
      </c>
      <c r="F148" s="971">
        <f ca="1">-F145/F147</f>
        <v>417575.7332848513</v>
      </c>
      <c r="G148" s="18"/>
      <c r="H148" s="1283"/>
    </row>
    <row r="149" spans="1:8" x14ac:dyDescent="0.45">
      <c r="B149" s="1260" t="s">
        <v>1503</v>
      </c>
      <c r="C149" s="558"/>
      <c r="D149" s="558"/>
      <c r="E149" s="971">
        <f>IF(E$147&lt;&gt;0,E141/E$147,0)</f>
        <v>8696.6513743147716</v>
      </c>
      <c r="F149" s="971">
        <f>IF(F$147&lt;&gt;0,F141/F$147,0)</f>
        <v>13396.514148816248</v>
      </c>
      <c r="G149" s="971"/>
      <c r="H149" s="1283"/>
    </row>
    <row r="150" spans="1:8" x14ac:dyDescent="0.45">
      <c r="B150" s="1263" t="s">
        <v>1511</v>
      </c>
      <c r="C150" s="558"/>
      <c r="D150" s="558"/>
      <c r="E150" s="1220">
        <f ca="1">SUM('9c. Forecast Results - FS'!S67:W67)</f>
        <v>197145</v>
      </c>
      <c r="F150" s="1220">
        <f ca="1">'9c. Forecast Results - FS'!AL67</f>
        <v>2664895.0499999998</v>
      </c>
      <c r="G150" s="971"/>
      <c r="H150" s="1283"/>
    </row>
    <row r="151" spans="1:8" x14ac:dyDescent="0.45">
      <c r="B151" s="1260" t="s">
        <v>1558</v>
      </c>
      <c r="C151" s="18"/>
      <c r="D151" s="18"/>
      <c r="E151" s="971">
        <f ca="1">E150/E147</f>
        <v>19714.5</v>
      </c>
      <c r="F151" s="971">
        <f ca="1">F150/F147</f>
        <v>55518.646874999999</v>
      </c>
      <c r="G151" s="971"/>
      <c r="H151" s="1283"/>
    </row>
    <row r="152" spans="1:8" x14ac:dyDescent="0.45">
      <c r="B152" s="1260" t="s">
        <v>1713</v>
      </c>
      <c r="C152" s="18"/>
      <c r="D152" s="18"/>
      <c r="E152" s="971">
        <f ca="1">E150+E146</f>
        <v>6016151.9768327791</v>
      </c>
      <c r="F152" s="971">
        <f ca="1">F150+F146</f>
        <v>22708530.247672863</v>
      </c>
      <c r="G152" s="971"/>
      <c r="H152" s="1283"/>
    </row>
    <row r="153" spans="1:8" x14ac:dyDescent="0.45">
      <c r="B153" s="1260" t="s">
        <v>1712</v>
      </c>
      <c r="C153" s="18"/>
      <c r="D153" s="18"/>
      <c r="E153" s="971">
        <f ca="1">E152/E147</f>
        <v>601615.19768327789</v>
      </c>
      <c r="F153" s="971">
        <f ca="1">F152/F147</f>
        <v>473094.38015985134</v>
      </c>
      <c r="G153" s="971"/>
      <c r="H153" s="1283"/>
    </row>
    <row r="154" spans="1:8" x14ac:dyDescent="0.45">
      <c r="A154" s="18"/>
      <c r="B154" s="1260"/>
      <c r="C154" s="18"/>
      <c r="D154" s="18"/>
      <c r="E154" s="971"/>
      <c r="F154" s="971"/>
      <c r="G154" s="971"/>
      <c r="H154" s="1283"/>
    </row>
    <row r="155" spans="1:8" x14ac:dyDescent="0.45">
      <c r="A155" s="18"/>
      <c r="B155" s="1263" t="s">
        <v>1704</v>
      </c>
      <c r="C155" s="18"/>
      <c r="D155" s="18"/>
      <c r="E155" s="971"/>
      <c r="F155" s="971"/>
      <c r="G155" s="971"/>
      <c r="H155" s="1283"/>
    </row>
    <row r="156" spans="1:8" x14ac:dyDescent="0.45">
      <c r="B156" s="1260" t="s">
        <v>1717</v>
      </c>
      <c r="C156" s="558"/>
      <c r="D156" s="558"/>
      <c r="E156" s="1220">
        <f ca="1">-SUM('9c. Forecast Results - FS'!S54:W54)</f>
        <v>6016151.9768327791</v>
      </c>
      <c r="F156" s="1220">
        <f ca="1">-'9c. Forecast Results - FS'!AL54</f>
        <v>22708530.24767286</v>
      </c>
      <c r="G156" s="971"/>
      <c r="H156" s="1283"/>
    </row>
    <row r="157" spans="1:8" x14ac:dyDescent="0.45">
      <c r="B157" s="1260" t="s">
        <v>1504</v>
      </c>
      <c r="C157" s="558"/>
      <c r="D157" s="558"/>
      <c r="E157" s="1030">
        <f>-IF($C$12='14. Permanent Info'!$C$12,'9a. Forecast Results - Total'!$J$59,IF($C$12='14. Permanent Info'!$C$7,'9b. Forecast Results - EC'!$J$59,IF($C$12='14. Permanent Info'!$C$8,'9c. Forecast Results - FS'!$J$59,IF($C$12='14. Permanent Info'!$C$9,'9d. Forecast Results - Gau'!$J$59,IF($C$12='14. Permanent Info'!$C$10,'9e. Forecast Results - KZN'!$J$59,IF($C$12='14. Permanent Info'!$C$11,'9f. Forecast Results - WC'!$J$59))))))</f>
        <v>6016151.9768327791</v>
      </c>
      <c r="F157" s="1030">
        <f>-IF($C$12='14. Permanent Info'!$C$12,'9a. Forecast Results - Total'!$J$54,IF($C$12='14. Permanent Info'!$C$7,'9b. Forecast Results - EC'!$J$54,IF($C$12='14. Permanent Info'!$C$8,'9c. Forecast Results - FS'!$J$54,IF($C$12='14. Permanent Info'!$C$9,'9d. Forecast Results - Gau'!$J$54,IF($C$12='14. Permanent Info'!$C$10,'9e. Forecast Results - KZN'!$J$54,IF($C$12='14. Permanent Info'!$C$11,'9f. Forecast Results - WC'!$J$54))))))</f>
        <v>22708530.24767286</v>
      </c>
      <c r="G157" s="558"/>
      <c r="H157" s="1283"/>
    </row>
    <row r="158" spans="1:8" x14ac:dyDescent="0.45">
      <c r="B158" s="1260" t="s">
        <v>1715</v>
      </c>
      <c r="C158" s="558"/>
      <c r="D158" s="558"/>
      <c r="E158" s="1221">
        <f ca="1">E156-E157</f>
        <v>0</v>
      </c>
      <c r="F158" s="1221">
        <f ca="1">F156-F157</f>
        <v>0</v>
      </c>
      <c r="G158" s="801"/>
      <c r="H158" s="1283"/>
    </row>
    <row r="159" spans="1:8" x14ac:dyDescent="0.45">
      <c r="B159" s="1260"/>
      <c r="C159" s="18"/>
      <c r="D159" s="18"/>
      <c r="E159" s="18"/>
      <c r="F159" s="18"/>
      <c r="G159" s="801"/>
      <c r="H159" s="1283"/>
    </row>
    <row r="160" spans="1:8" ht="28.5" x14ac:dyDescent="0.45">
      <c r="B160" s="1263" t="s">
        <v>1706</v>
      </c>
      <c r="C160" s="18"/>
      <c r="D160" s="18"/>
      <c r="E160" s="18"/>
      <c r="F160" s="1259" t="s">
        <v>1710</v>
      </c>
      <c r="G160" s="1259" t="s">
        <v>1711</v>
      </c>
      <c r="H160" s="1283"/>
    </row>
    <row r="161" spans="1:8" x14ac:dyDescent="0.45">
      <c r="B161" s="1260" t="s">
        <v>1707</v>
      </c>
      <c r="C161" s="558"/>
      <c r="D161" s="558"/>
      <c r="E161" s="18"/>
      <c r="F161" s="1221">
        <f ca="1">F$148-153000</f>
        <v>264575.7332848513</v>
      </c>
      <c r="G161" s="1286">
        <f ca="1">$F$148/153000</f>
        <v>2.7292531587245183</v>
      </c>
      <c r="H161" s="1283"/>
    </row>
    <row r="162" spans="1:8" x14ac:dyDescent="0.45">
      <c r="B162" s="1260" t="s">
        <v>1709</v>
      </c>
      <c r="C162" s="558"/>
      <c r="D162" s="558"/>
      <c r="E162" s="18"/>
      <c r="F162" s="1221">
        <f ca="1">F$148-155000</f>
        <v>262575.7332848513</v>
      </c>
      <c r="G162" s="1286">
        <f ca="1">$F$148/155000</f>
        <v>2.6940369889345246</v>
      </c>
      <c r="H162" s="1283"/>
    </row>
    <row r="163" spans="1:8" x14ac:dyDescent="0.45">
      <c r="B163" s="1260" t="s">
        <v>1708</v>
      </c>
      <c r="C163" s="558"/>
      <c r="D163" s="558"/>
      <c r="E163" s="18"/>
      <c r="F163" s="1221">
        <f ca="1">F$148-265000</f>
        <v>152575.7332848513</v>
      </c>
      <c r="G163" s="1286">
        <f ca="1">$F$148/265000</f>
        <v>1.5757574840937785</v>
      </c>
      <c r="H163" s="1283"/>
    </row>
    <row r="164" spans="1:8" x14ac:dyDescent="0.45">
      <c r="B164" s="1260"/>
      <c r="C164" s="18"/>
      <c r="D164" s="18"/>
      <c r="E164" s="18"/>
      <c r="F164" s="18"/>
      <c r="G164" s="18"/>
      <c r="H164" s="1283"/>
    </row>
    <row r="165" spans="1:8" x14ac:dyDescent="0.45">
      <c r="B165" s="1263" t="s">
        <v>1508</v>
      </c>
      <c r="C165" s="18"/>
      <c r="D165" s="18"/>
      <c r="E165" s="1212" t="s">
        <v>1512</v>
      </c>
      <c r="F165" s="1212" t="s">
        <v>1515</v>
      </c>
      <c r="G165" s="1212" t="s">
        <v>1523</v>
      </c>
      <c r="H165" s="1283"/>
    </row>
    <row r="166" spans="1:8" x14ac:dyDescent="0.45">
      <c r="B166" s="1260" t="str">
        <f>'9c. Forecast Results - FS'!R$5</f>
        <v>2017/18</v>
      </c>
      <c r="C166" s="18"/>
      <c r="D166" s="18"/>
      <c r="E166" s="971">
        <f ca="1">-SUMIF('9c. Forecast Results - FS'!$R$5:$W$5,$B166,'9c. Forecast Results - FS'!$R$51:$W$51)</f>
        <v>1148247.342709739</v>
      </c>
      <c r="F166" s="1136">
        <f>SUMIF('9c. Forecast Results - FS'!$R$5:$W$5,$B166,'9c. Forecast Results - FS'!$R$13:$W$13)</f>
        <v>44</v>
      </c>
      <c r="G166" s="971">
        <f t="shared" ref="G166:G173" ca="1" si="0">IF(F166&lt;&gt;0,E166/F166,0)</f>
        <v>26096.530516130431</v>
      </c>
      <c r="H166" s="1283"/>
    </row>
    <row r="167" spans="1:8" x14ac:dyDescent="0.45">
      <c r="B167" s="1260" t="str">
        <f>'9c. Forecast Results - FS'!S$5</f>
        <v>2018/19</v>
      </c>
      <c r="C167" s="18"/>
      <c r="D167" s="18"/>
      <c r="E167" s="1215">
        <f ca="1">-SUMIF('9c. Forecast Results - FS'!$R$5:$W$5,$B167,'9c. Forecast Results - FS'!$R$51:$W$51)</f>
        <v>1157120.2852056089</v>
      </c>
      <c r="F167" s="1222">
        <f>SUMIF('9c. Forecast Results - FS'!$R$5:$W$5,$B167,'9c. Forecast Results - FS'!$R$13:$W$13)</f>
        <v>42</v>
      </c>
      <c r="G167" s="1215">
        <f t="shared" ca="1" si="0"/>
        <v>27550.482981085926</v>
      </c>
      <c r="H167" s="1283"/>
    </row>
    <row r="168" spans="1:8" x14ac:dyDescent="0.45">
      <c r="B168" s="1260" t="str">
        <f>'9c. Forecast Results - FS'!T$5</f>
        <v>2019/20</v>
      </c>
      <c r="C168" s="18"/>
      <c r="D168" s="18"/>
      <c r="E168" s="1216">
        <f ca="1">-SUMIF('9c. Forecast Results - FS'!$R$5:$W$5,$B168,'9c. Forecast Results - FS'!$R$51:$W$51)</f>
        <v>1163463.7177350558</v>
      </c>
      <c r="F168" s="1223">
        <f>SUMIF('9c. Forecast Results - FS'!$R$5:$W$5,$B168,'9c. Forecast Results - FS'!$R$13:$W$13)</f>
        <v>40</v>
      </c>
      <c r="G168" s="1216">
        <f t="shared" ca="1" si="0"/>
        <v>29086.592943376396</v>
      </c>
      <c r="H168" s="1283"/>
    </row>
    <row r="169" spans="1:8" x14ac:dyDescent="0.45">
      <c r="B169" s="1260" t="str">
        <f>'9c. Forecast Results - FS'!U$5</f>
        <v>2020/21</v>
      </c>
      <c r="C169" s="18"/>
      <c r="D169" s="18"/>
      <c r="E169" s="1216">
        <f ca="1">-SUMIF('9c. Forecast Results - FS'!$R$5:$W$5,$B169,'9c. Forecast Results - FS'!$R$51:$W$51)</f>
        <v>1166972.553550723</v>
      </c>
      <c r="F169" s="1223">
        <f>SUMIF('9c. Forecast Results - FS'!$R$5:$W$5,$B169,'9c. Forecast Results - FS'!$R$13:$W$13)</f>
        <v>38</v>
      </c>
      <c r="G169" s="1216">
        <f t="shared" ca="1" si="0"/>
        <v>30709.8040408085</v>
      </c>
      <c r="H169" s="1283"/>
    </row>
    <row r="170" spans="1:8" x14ac:dyDescent="0.45">
      <c r="B170" s="1260" t="str">
        <f>'9c. Forecast Results - FS'!V$5</f>
        <v>2021/22</v>
      </c>
      <c r="C170" s="18"/>
      <c r="D170" s="18"/>
      <c r="E170" s="1216">
        <f ca="1">-SUMIF('9c. Forecast Results - FS'!$R$5:$W$5,$B170,'9c. Forecast Results - FS'!$R$51:$W$51)</f>
        <v>1167315.7981306934</v>
      </c>
      <c r="F170" s="1223">
        <f>SUMIF('9c. Forecast Results - FS'!$R$5:$W$5,$B170,'9c. Forecast Results - FS'!$R$13:$W$13)</f>
        <v>36</v>
      </c>
      <c r="G170" s="1216">
        <f t="shared" ca="1" si="0"/>
        <v>32425.438836963705</v>
      </c>
      <c r="H170" s="1283"/>
    </row>
    <row r="171" spans="1:8" x14ac:dyDescent="0.45">
      <c r="B171" s="1260" t="str">
        <f>'9c. Forecast Results - FS'!W$5</f>
        <v>2022/23</v>
      </c>
      <c r="C171" s="18"/>
      <c r="D171" s="18"/>
      <c r="E171" s="1217">
        <f ca="1">-SUMIF('9c. Forecast Results - FS'!$R$5:$W$5,$B171,'9c. Forecast Results - FS'!$R$51:$W$51)</f>
        <v>1164134.622210698</v>
      </c>
      <c r="F171" s="1224">
        <f>SUMIF('9c. Forecast Results - FS'!$R$5:$W$5,$B171,'9c. Forecast Results - FS'!$R$13:$W$13)</f>
        <v>34</v>
      </c>
      <c r="G171" s="1217">
        <f t="shared" ca="1" si="0"/>
        <v>34239.253594432295</v>
      </c>
      <c r="H171" s="1283"/>
    </row>
    <row r="172" spans="1:8" x14ac:dyDescent="0.45">
      <c r="B172" s="1263" t="s">
        <v>1516</v>
      </c>
      <c r="C172" s="18"/>
      <c r="D172" s="18"/>
      <c r="E172" s="1220">
        <f ca="1">SUM(E167:E171)</f>
        <v>5819006.9768327791</v>
      </c>
      <c r="F172" s="1292">
        <f>IF($C$12='10. Inputs &amp; Calcs'!$D$51,SUM('10. Inputs &amp; Calcs'!$K$51:$O$51),IF($C$12='10. Inputs &amp; Calcs'!$D$52,SUM('10. Inputs &amp; Calcs'!$K$52:$O$52),IF($C$12='10. Inputs &amp; Calcs'!$D$53,SUM('10. Inputs &amp; Calcs'!$K$53:$O$53),IF($C$12='10. Inputs &amp; Calcs'!$D$54,SUM('10. Inputs &amp; Calcs'!$K$54:$O$54),IF($C$12='10. Inputs &amp; Calcs'!$D$55,SUM('10. Inputs &amp; Calcs'!$K$55:$O$55),IF($C$12='10. Inputs &amp; Calcs'!$D$56,SUM('10. Inputs &amp; Calcs'!$K$56:$O$56),0))))))</f>
        <v>10</v>
      </c>
      <c r="G172" s="1220">
        <f t="shared" ca="1" si="0"/>
        <v>581900.69768327789</v>
      </c>
      <c r="H172" s="1283"/>
    </row>
    <row r="173" spans="1:8" x14ac:dyDescent="0.45">
      <c r="A173" s="18"/>
      <c r="B173" s="1263" t="s">
        <v>1520</v>
      </c>
      <c r="C173" s="18"/>
      <c r="D173" s="18"/>
      <c r="E173" s="1220">
        <f ca="1">-'9c. Forecast Results - FS'!AL$51</f>
        <v>20043635.197672859</v>
      </c>
      <c r="F173" s="1290">
        <f>SUMIF('10. Inputs &amp; Calcs'!$D$520:$D$525,$C$12,'10. Inputs &amp; Calcs'!$H$520:$H$525)</f>
        <v>48</v>
      </c>
      <c r="G173" s="1220">
        <f t="shared" ca="1" si="0"/>
        <v>417575.73328485125</v>
      </c>
      <c r="H173" s="1283"/>
    </row>
    <row r="174" spans="1:8" x14ac:dyDescent="0.45">
      <c r="A174" s="18"/>
      <c r="B174" s="1260"/>
      <c r="C174" s="18"/>
      <c r="D174" s="18"/>
      <c r="E174" s="18"/>
      <c r="F174" s="18"/>
      <c r="G174" s="18"/>
      <c r="H174" s="1283"/>
    </row>
    <row r="175" spans="1:8" ht="35.25" customHeight="1" x14ac:dyDescent="0.45">
      <c r="A175" s="18"/>
      <c r="B175" s="1263" t="s">
        <v>1573</v>
      </c>
      <c r="C175" s="18"/>
      <c r="D175" s="18"/>
      <c r="E175" s="1212" t="s">
        <v>1512</v>
      </c>
      <c r="F175" s="1212" t="str">
        <f>IF(AA19='14. Permanent Info'!M7,"Rental Units Sold","Rental Units Sold + Sales Debtors w/o")</f>
        <v>Rental Units Sold</v>
      </c>
      <c r="G175" s="1212" t="s">
        <v>1524</v>
      </c>
      <c r="H175" s="1283"/>
    </row>
    <row r="176" spans="1:8" x14ac:dyDescent="0.45">
      <c r="A176" s="18"/>
      <c r="B176" s="1260" t="str">
        <f>'9c. Forecast Results - FS'!R$5</f>
        <v>2017/18</v>
      </c>
      <c r="C176" s="18"/>
      <c r="D176" s="18"/>
      <c r="E176" s="971">
        <f ca="1">-SUMIF('9c. Forecast Results - FS'!$R$5:$W$5,$B176,'9c. Forecast Results - FS'!$R$53:$W$53)</f>
        <v>39429</v>
      </c>
      <c r="F176" s="1136">
        <f>SUMIF('10. Inputs &amp; Calcs'!$D$51:$D$56,$C$12,'10. Inputs &amp; Calcs'!$J$51:$J$56)</f>
        <v>2</v>
      </c>
      <c r="G176" s="971">
        <f t="shared" ref="G176:G183" ca="1" si="1">IF(F176&lt;&gt;0,E176/F176,0)</f>
        <v>19714.5</v>
      </c>
      <c r="H176" s="1283"/>
    </row>
    <row r="177" spans="1:8" x14ac:dyDescent="0.45">
      <c r="A177" s="18"/>
      <c r="B177" s="1260" t="str">
        <f>'9c. Forecast Results - FS'!S$5</f>
        <v>2018/19</v>
      </c>
      <c r="C177" s="18"/>
      <c r="D177" s="18"/>
      <c r="E177" s="1215">
        <f ca="1">-SUMIF('9c. Forecast Results - FS'!$R$5:$W$5,$B177,'9c. Forecast Results - FS'!$R$53:$W$53)</f>
        <v>39429</v>
      </c>
      <c r="F177" s="1222">
        <f>IF($AA$19='14. Permanent Info'!$N$7,SUMIF('10. Inputs &amp; Calcs'!$D$51:$D$56,$C$12,'10. Inputs &amp; Calcs'!$K$51:$K$56)-SUMIF('10. Inputs &amp; Calcs'!$D$106:$D$111,$C$12,'10. Inputs &amp; Calcs'!$K$106:$K$111),SUMIF('10. Inputs &amp; Calcs'!$D$51:$D$56,$C$12,'10. Inputs &amp; Calcs'!$K$51:$K$56))</f>
        <v>2</v>
      </c>
      <c r="G177" s="1215">
        <f t="shared" ca="1" si="1"/>
        <v>19714.5</v>
      </c>
      <c r="H177" s="1283"/>
    </row>
    <row r="178" spans="1:8" x14ac:dyDescent="0.45">
      <c r="A178" s="18"/>
      <c r="B178" s="1260" t="str">
        <f>'9c. Forecast Results - FS'!T$5</f>
        <v>2019/20</v>
      </c>
      <c r="C178" s="18"/>
      <c r="D178" s="18"/>
      <c r="E178" s="1216">
        <f ca="1">-SUMIF('9c. Forecast Results - FS'!$R$5:$W$5,$B178,'9c. Forecast Results - FS'!$R$53:$W$53)</f>
        <v>39429</v>
      </c>
      <c r="F178" s="1223">
        <f>IF($AA$19='14. Permanent Info'!$N$7,SUMIF('10. Inputs &amp; Calcs'!$D$51:$D$56,$C$12,'10. Inputs &amp; Calcs'!$L$51:$L$56)-SUMIF('10. Inputs &amp; Calcs'!$D$106:$D$111,$C$12,'10. Inputs &amp; Calcs'!$L$106:$L$111),SUMIF('10. Inputs &amp; Calcs'!$D$51:$D$56,$C$12,'10. Inputs &amp; Calcs'!$L$51:$L$56))</f>
        <v>2</v>
      </c>
      <c r="G178" s="1216">
        <f t="shared" ca="1" si="1"/>
        <v>19714.5</v>
      </c>
      <c r="H178" s="1283"/>
    </row>
    <row r="179" spans="1:8" x14ac:dyDescent="0.45">
      <c r="A179" s="18"/>
      <c r="B179" s="1260" t="str">
        <f>'9c. Forecast Results - FS'!U$5</f>
        <v>2020/21</v>
      </c>
      <c r="C179" s="18"/>
      <c r="D179" s="18"/>
      <c r="E179" s="1216">
        <f ca="1">-SUMIF('9c. Forecast Results - FS'!$R$5:$W$5,$B179,'9c. Forecast Results - FS'!$R$53:$W$53)</f>
        <v>39429</v>
      </c>
      <c r="F179" s="1223">
        <f>IF($AA$19='14. Permanent Info'!$N$7,SUMIF('10. Inputs &amp; Calcs'!$D$51:$D$56,$C$12,'10. Inputs &amp; Calcs'!$M$51:$M$56)-SUMIF('10. Inputs &amp; Calcs'!$D$106:$D$111,$C$12,'10. Inputs &amp; Calcs'!$M$106:$M$111),SUMIF('10. Inputs &amp; Calcs'!$D$51:$D$56,$C$12,'10. Inputs &amp; Calcs'!$M$51:$M$56))</f>
        <v>2</v>
      </c>
      <c r="G179" s="1216">
        <f t="shared" ca="1" si="1"/>
        <v>19714.5</v>
      </c>
      <c r="H179" s="1283"/>
    </row>
    <row r="180" spans="1:8" x14ac:dyDescent="0.45">
      <c r="A180" s="18"/>
      <c r="B180" s="1260" t="str">
        <f>'9c. Forecast Results - FS'!V$5</f>
        <v>2021/22</v>
      </c>
      <c r="C180" s="18"/>
      <c r="D180" s="18"/>
      <c r="E180" s="1216">
        <f ca="1">-SUMIF('9c. Forecast Results - FS'!$R$5:$W$5,$B180,'9c. Forecast Results - FS'!$R$53:$W$53)</f>
        <v>39429</v>
      </c>
      <c r="F180" s="1223">
        <f>IF($AA$19='14. Permanent Info'!$N$7,SUMIF('10. Inputs &amp; Calcs'!$D$51:$D$56,$C$12,'10. Inputs &amp; Calcs'!$N$51:$N$56)-SUMIF('10. Inputs &amp; Calcs'!$D$106:$D$111,$C$12,'10. Inputs &amp; Calcs'!$N$106:$N$111),SUMIF('10. Inputs &amp; Calcs'!$D$51:$D$56,$C$12,'10. Inputs &amp; Calcs'!$N$51:$N$56))</f>
        <v>2</v>
      </c>
      <c r="G180" s="1216">
        <f t="shared" ca="1" si="1"/>
        <v>19714.5</v>
      </c>
      <c r="H180" s="1283"/>
    </row>
    <row r="181" spans="1:8" x14ac:dyDescent="0.45">
      <c r="A181" s="18"/>
      <c r="B181" s="1260" t="str">
        <f>'9c. Forecast Results - FS'!W$5</f>
        <v>2022/23</v>
      </c>
      <c r="C181" s="18"/>
      <c r="D181" s="18"/>
      <c r="E181" s="1217">
        <f ca="1">-SUMIF('9c. Forecast Results - FS'!$R$5:$W$5,$B181,'9c. Forecast Results - FS'!$R$53:$W$53)</f>
        <v>39429</v>
      </c>
      <c r="F181" s="1224">
        <f>IF($AA$19='14. Permanent Info'!$N$7,SUMIF('10. Inputs &amp; Calcs'!$D$51:$D$56,$C$12,'10. Inputs &amp; Calcs'!$O$51:$O$56)-SUMIF('10. Inputs &amp; Calcs'!$D$106:$D$111,$C$12,'10. Inputs &amp; Calcs'!$O$106:$O$111),SUMIF('10. Inputs &amp; Calcs'!$D$51:$D$56,$C$12,'10. Inputs &amp; Calcs'!$O$51:$O$56))</f>
        <v>2</v>
      </c>
      <c r="G181" s="1217">
        <f t="shared" ca="1" si="1"/>
        <v>19714.5</v>
      </c>
      <c r="H181" s="1283"/>
    </row>
    <row r="182" spans="1:8" x14ac:dyDescent="0.45">
      <c r="B182" s="1263" t="s">
        <v>1516</v>
      </c>
      <c r="C182" s="18"/>
      <c r="D182" s="18"/>
      <c r="E182" s="1220">
        <f ca="1">SUM(E177:E181)</f>
        <v>197145</v>
      </c>
      <c r="F182" s="1291">
        <f>SUM(F177:F181)</f>
        <v>10</v>
      </c>
      <c r="G182" s="1220">
        <f t="shared" ca="1" si="1"/>
        <v>19714.5</v>
      </c>
      <c r="H182" s="1283"/>
    </row>
    <row r="183" spans="1:8" x14ac:dyDescent="0.45">
      <c r="B183" s="1263" t="s">
        <v>1521</v>
      </c>
      <c r="C183" s="18"/>
      <c r="D183" s="18"/>
      <c r="E183" s="1220">
        <f ca="1">-'9c. Forecast Results - FS'!AL$53</f>
        <v>2664895.0499999998</v>
      </c>
      <c r="F183" s="1290">
        <f>-SUMIF('10. Inputs &amp; Calcs'!$D$106:$D$111,$C$12,'10. Inputs &amp; Calcs'!$AD$106:$AD$111)+-SUMIF('10. Inputs &amp; Calcs'!$D$60:$D$65,$C$12,'10. Inputs &amp; Calcs'!$AD$60:$AD$65)</f>
        <v>49</v>
      </c>
      <c r="G183" s="1220">
        <f t="shared" ca="1" si="1"/>
        <v>54385.613265306121</v>
      </c>
      <c r="H183" s="1283"/>
    </row>
    <row r="184" spans="1:8" x14ac:dyDescent="0.45">
      <c r="B184" s="1285"/>
      <c r="C184" s="1228"/>
      <c r="D184" s="1228"/>
      <c r="E184" s="1228"/>
      <c r="F184" s="1228"/>
      <c r="G184" s="1228"/>
      <c r="H184" s="1287"/>
    </row>
    <row r="187" spans="1:8" x14ac:dyDescent="0.45">
      <c r="A187" s="4"/>
      <c r="B187" s="4"/>
    </row>
    <row r="188" spans="1:8" x14ac:dyDescent="0.45">
      <c r="A188" s="4"/>
    </row>
    <row r="189" spans="1:8" x14ac:dyDescent="0.45">
      <c r="A189" s="4"/>
    </row>
    <row r="195" spans="1:8" x14ac:dyDescent="0.45">
      <c r="A195" s="4"/>
    </row>
    <row r="196" spans="1:8" x14ac:dyDescent="0.45">
      <c r="A196" s="4"/>
    </row>
    <row r="202" spans="1:8" hidden="1" outlineLevel="1" x14ac:dyDescent="0.45">
      <c r="E202" t="s">
        <v>1718</v>
      </c>
    </row>
    <row r="203" spans="1:8" ht="28.5" hidden="1" outlineLevel="1" x14ac:dyDescent="0.45">
      <c r="E203" s="795"/>
      <c r="F203" s="553"/>
      <c r="G203" s="1233" t="str">
        <f t="shared" ref="G203:H205" si="2">E135</f>
        <v>MTEF Cycle 2018/19 to 2022/23</v>
      </c>
      <c r="H203" s="1233" t="str">
        <f t="shared" si="2"/>
        <v>20 year Total</v>
      </c>
    </row>
    <row r="204" spans="1:8" hidden="1" outlineLevel="1" x14ac:dyDescent="0.45">
      <c r="E204" s="1245" t="str">
        <f>B136</f>
        <v>Income (=Rent &amp; Sales Income)</v>
      </c>
      <c r="F204" s="4"/>
      <c r="G204" s="1234">
        <f ca="1">E136</f>
        <v>53033.767391304347</v>
      </c>
      <c r="H204" s="1235">
        <f ca="1">F136</f>
        <v>254562.08347826102</v>
      </c>
    </row>
    <row r="205" spans="1:8" hidden="1" outlineLevel="1" x14ac:dyDescent="0.45">
      <c r="E205" s="1245" t="str">
        <f>B137</f>
        <v>Costs/Expenses</v>
      </c>
      <c r="F205" s="4"/>
      <c r="G205" s="1234">
        <f t="shared" si="2"/>
        <v>5872040.7442240836</v>
      </c>
      <c r="H205" s="1236">
        <f t="shared" si="2"/>
        <v>20298197.281151123</v>
      </c>
    </row>
    <row r="206" spans="1:8" hidden="1" outlineLevel="1" x14ac:dyDescent="0.45">
      <c r="E206" s="1245" t="str">
        <f>B145</f>
        <v>Net Surplus / (deficit)</v>
      </c>
      <c r="F206" s="4"/>
      <c r="G206" s="1237">
        <f ca="1">E145</f>
        <v>-5819006.9768327791</v>
      </c>
      <c r="H206" s="1235">
        <f ca="1">F145</f>
        <v>-20043635.197672863</v>
      </c>
    </row>
    <row r="207" spans="1:8" hidden="1" outlineLevel="1" x14ac:dyDescent="0.45">
      <c r="E207" s="1245" t="str">
        <f>B146</f>
        <v>Net Surplus / (deficit) funded by HSDG Top Slice</v>
      </c>
      <c r="F207" s="4"/>
      <c r="G207" s="1237">
        <f ca="1">E146</f>
        <v>5819006.9768327791</v>
      </c>
      <c r="H207" s="1235">
        <f ca="1">F146</f>
        <v>20043635.197672863</v>
      </c>
    </row>
    <row r="208" spans="1:8" hidden="1" outlineLevel="1" x14ac:dyDescent="0.45">
      <c r="E208" s="1245" t="str">
        <f>B150</f>
        <v>Total EEDBS utilised</v>
      </c>
      <c r="F208" s="4"/>
      <c r="G208" s="1234">
        <f t="shared" ref="G208:H211" ca="1" si="3">E150</f>
        <v>197145</v>
      </c>
      <c r="H208" s="1236">
        <f t="shared" ca="1" si="3"/>
        <v>2664895.0499999998</v>
      </c>
    </row>
    <row r="209" spans="2:8" hidden="1" outlineLevel="1" x14ac:dyDescent="0.45">
      <c r="E209" s="1245" t="str">
        <f>B151</f>
        <v>EEDBS per Existing Rental Unit</v>
      </c>
      <c r="F209" s="4"/>
      <c r="G209" s="1234">
        <f t="shared" ca="1" si="3"/>
        <v>19714.5</v>
      </c>
      <c r="H209" s="1236">
        <f t="shared" ca="1" si="3"/>
        <v>55518.646874999999</v>
      </c>
    </row>
    <row r="210" spans="2:8" hidden="1" outlineLevel="1" x14ac:dyDescent="0.45">
      <c r="E210" s="1245" t="str">
        <f>B152</f>
        <v>Total Government Contribution over 20 years</v>
      </c>
      <c r="F210" s="4"/>
      <c r="G210" s="1234">
        <f t="shared" ca="1" si="3"/>
        <v>6016151.9768327791</v>
      </c>
      <c r="H210" s="1236">
        <f t="shared" ca="1" si="3"/>
        <v>22708530.247672863</v>
      </c>
    </row>
    <row r="211" spans="2:8" hidden="1" outlineLevel="1" x14ac:dyDescent="0.45">
      <c r="E211" s="1246" t="str">
        <f>B153</f>
        <v>Total Government Contribution p.u.</v>
      </c>
      <c r="F211" s="931"/>
      <c r="G211" s="1247">
        <f t="shared" ca="1" si="3"/>
        <v>601615.19768327789</v>
      </c>
      <c r="H211" s="1248">
        <f t="shared" ca="1" si="3"/>
        <v>473094.38015985134</v>
      </c>
    </row>
    <row r="212" spans="2:8" hidden="1" outlineLevel="1" x14ac:dyDescent="0.45"/>
    <row r="213" spans="2:8" hidden="1" outlineLevel="1" x14ac:dyDescent="0.45"/>
    <row r="214" spans="2:8" hidden="1" outlineLevel="1" x14ac:dyDescent="0.45"/>
    <row r="215" spans="2:8" hidden="1" outlineLevel="1" x14ac:dyDescent="0.45">
      <c r="B215" s="1057" t="s">
        <v>1550</v>
      </c>
      <c r="C215" s="1060"/>
      <c r="D215" s="1060"/>
      <c r="E215" s="1051">
        <f>'9c. Forecast Results - FS'!AL89</f>
        <v>-15712833.261052625</v>
      </c>
    </row>
    <row r="216" spans="2:8" hidden="1" outlineLevel="1" x14ac:dyDescent="0.45">
      <c r="B216" s="1057" t="s">
        <v>1560</v>
      </c>
      <c r="C216" s="1060"/>
      <c r="D216" s="1060"/>
      <c r="E216" s="1070">
        <f>SUM('9c. Forecast Results - FS'!P12:P13)</f>
        <v>49</v>
      </c>
    </row>
    <row r="217" spans="2:8" hidden="1" outlineLevel="1" x14ac:dyDescent="0.45">
      <c r="B217" s="1071" t="s">
        <v>1509</v>
      </c>
      <c r="C217" s="1072"/>
      <c r="D217" s="1072"/>
      <c r="E217" s="1073">
        <f>E215/E216</f>
        <v>-320670.06655209442</v>
      </c>
    </row>
    <row r="218" spans="2:8" hidden="1" outlineLevel="1" x14ac:dyDescent="0.45"/>
    <row r="219" spans="2:8" hidden="1" outlineLevel="1" x14ac:dyDescent="0.45"/>
    <row r="220" spans="2:8" ht="28.5" hidden="1" outlineLevel="1" x14ac:dyDescent="0.45">
      <c r="B220" s="304" t="s">
        <v>1563</v>
      </c>
      <c r="E220" s="969" t="s">
        <v>1512</v>
      </c>
      <c r="F220" s="969" t="s">
        <v>1564</v>
      </c>
      <c r="G220" s="969" t="s">
        <v>1524</v>
      </c>
    </row>
    <row r="221" spans="2:8" hidden="1" outlineLevel="1" x14ac:dyDescent="0.45">
      <c r="B221" s="948" t="str">
        <f>'9c. Forecast Results - FS'!R$5</f>
        <v>2017/18</v>
      </c>
      <c r="E221" s="552">
        <f>SUMIF('9c. Forecast Results - FS'!$R$5:$W$5,$B221,'9c. Forecast Results - FS'!$R$52:$W$52)</f>
        <v>0</v>
      </c>
      <c r="F221" s="785">
        <f>SUMIF('10. Inputs &amp; Calcs'!$D$106:$D$111,$C$12,'10. Inputs &amp; Calcs'!$J$106:$J$111)</f>
        <v>0</v>
      </c>
      <c r="G221" s="552">
        <f>IF(F221&lt;&gt;0,E221/F221,0)</f>
        <v>0</v>
      </c>
    </row>
    <row r="222" spans="2:8" hidden="1" outlineLevel="1" x14ac:dyDescent="0.45">
      <c r="B222" s="948" t="str">
        <f>'9c. Forecast Results - FS'!S$5</f>
        <v>2018/19</v>
      </c>
      <c r="E222" s="973">
        <f>SUMIF('9c. Forecast Results - FS'!$R$5:$W$5,$B222,'9c. Forecast Results - FS'!$R$52:$W$52)</f>
        <v>0</v>
      </c>
      <c r="F222" s="974">
        <f>SUMIF('10. Inputs &amp; Calcs'!$D$106:$D$111,$C$12,'10. Inputs &amp; Calcs'!$K$106:$K$111)</f>
        <v>0</v>
      </c>
      <c r="G222" s="753">
        <f t="shared" ref="G222:G227" si="4">IF(F222&lt;&gt;0,E222/F222,0)</f>
        <v>0</v>
      </c>
    </row>
    <row r="223" spans="2:8" hidden="1" outlineLevel="1" x14ac:dyDescent="0.45">
      <c r="B223" s="948" t="str">
        <f>'9c. Forecast Results - FS'!T$5</f>
        <v>2019/20</v>
      </c>
      <c r="E223" s="975">
        <f>SUMIF('9c. Forecast Results - FS'!$R$5:$W$5,$B223,'9c. Forecast Results - FS'!$R$52:$W$52)</f>
        <v>0</v>
      </c>
      <c r="F223" s="976">
        <f>SUMIF('10. Inputs &amp; Calcs'!$D$106:$D$111,$C$12,'10. Inputs &amp; Calcs'!$L$106:$L$111)</f>
        <v>0</v>
      </c>
      <c r="G223" s="888">
        <f t="shared" si="4"/>
        <v>0</v>
      </c>
    </row>
    <row r="224" spans="2:8" hidden="1" outlineLevel="1" x14ac:dyDescent="0.45">
      <c r="B224" s="948" t="str">
        <f>'9c. Forecast Results - FS'!U$5</f>
        <v>2020/21</v>
      </c>
      <c r="E224" s="975">
        <f>SUMIF('9c. Forecast Results - FS'!$R$5:$W$5,$B224,'9c. Forecast Results - FS'!$R$52:$W$52)</f>
        <v>0</v>
      </c>
      <c r="F224" s="976">
        <f>SUMIF('10. Inputs &amp; Calcs'!$D$106:$D$111,$C$12,'10. Inputs &amp; Calcs'!$M$106:$M$111)</f>
        <v>0</v>
      </c>
      <c r="G224" s="888">
        <f t="shared" si="4"/>
        <v>0</v>
      </c>
    </row>
    <row r="225" spans="2:8" hidden="1" outlineLevel="1" x14ac:dyDescent="0.45">
      <c r="B225" s="948" t="str">
        <f>'9c. Forecast Results - FS'!V$5</f>
        <v>2021/22</v>
      </c>
      <c r="E225" s="975">
        <f>SUMIF('9c. Forecast Results - FS'!$R$5:$W$5,$B225,'9c. Forecast Results - FS'!$R$52:$W$52)</f>
        <v>0</v>
      </c>
      <c r="F225" s="976">
        <f>SUMIF('10. Inputs &amp; Calcs'!$D$106:$D$111,$C$12,'10. Inputs &amp; Calcs'!$N$106:$N$111)</f>
        <v>0</v>
      </c>
      <c r="G225" s="888">
        <f t="shared" si="4"/>
        <v>0</v>
      </c>
    </row>
    <row r="226" spans="2:8" hidden="1" outlineLevel="1" x14ac:dyDescent="0.45">
      <c r="B226" s="948" t="str">
        <f>'9c. Forecast Results - FS'!W$5</f>
        <v>2022/23</v>
      </c>
      <c r="E226" s="977">
        <f>SUMIF('9c. Forecast Results - FS'!$R$5:$W$5,$B226,'9c. Forecast Results - FS'!$R$52:$W$52)</f>
        <v>0</v>
      </c>
      <c r="F226" s="978">
        <f>SUMIF('10. Inputs &amp; Calcs'!$D$106:$D$111,$C$12,'10. Inputs &amp; Calcs'!$O$106:$O$111)</f>
        <v>0</v>
      </c>
      <c r="G226" s="754">
        <f t="shared" si="4"/>
        <v>0</v>
      </c>
    </row>
    <row r="227" spans="2:8" hidden="1" outlineLevel="1" x14ac:dyDescent="0.45">
      <c r="B227" s="948" t="s">
        <v>1516</v>
      </c>
      <c r="E227" s="970">
        <f>SUM(E222:E226)</f>
        <v>0</v>
      </c>
      <c r="F227" s="972">
        <f>SUM(F222:F226)</f>
        <v>0</v>
      </c>
      <c r="G227" s="552">
        <f t="shared" si="4"/>
        <v>0</v>
      </c>
    </row>
    <row r="228" spans="2:8" hidden="1" outlineLevel="1" x14ac:dyDescent="0.45">
      <c r="B228" s="948" t="s">
        <v>1565</v>
      </c>
      <c r="E228" s="971">
        <f>'9c. Forecast Results - FS'!AL$52</f>
        <v>0</v>
      </c>
      <c r="F228" s="785">
        <f>SUMIF('10. Inputs &amp; Calcs'!$D$106:$D$111,$C$12,'10. Inputs &amp; Calcs'!$AD$106:$AD$111)</f>
        <v>-49</v>
      </c>
      <c r="G228" s="552">
        <f>IF(F228&lt;&gt;0,E228/F228,0)</f>
        <v>0</v>
      </c>
    </row>
    <row r="229" spans="2:8" hidden="1" outlineLevel="1" x14ac:dyDescent="0.45"/>
    <row r="230" spans="2:8" hidden="1" outlineLevel="1" x14ac:dyDescent="0.45"/>
    <row r="231" spans="2:8" ht="28.5" hidden="1" outlineLevel="1" x14ac:dyDescent="0.45">
      <c r="B231" s="67" t="s">
        <v>1518</v>
      </c>
      <c r="C231" s="46"/>
      <c r="D231" s="46"/>
      <c r="E231" s="70" t="s">
        <v>1512</v>
      </c>
      <c r="F231" s="70" t="s">
        <v>1517</v>
      </c>
      <c r="G231" s="969" t="s">
        <v>1522</v>
      </c>
      <c r="H231" s="930"/>
    </row>
    <row r="232" spans="2:8" hidden="1" outlineLevel="1" x14ac:dyDescent="0.45">
      <c r="B232" s="948" t="str">
        <f>'9c. Forecast Results - FS'!R$5</f>
        <v>2017/18</v>
      </c>
      <c r="E232" s="552">
        <f ca="1">SUMIF('10. Inputs &amp; Calcs'!$D$619:$D$624,$C$12,'10. Inputs &amp; Calcs'!$J$619:$J$629)-E176</f>
        <v>-113285.35583333333</v>
      </c>
      <c r="F232" s="785">
        <f>SUMIF('10. Inputs &amp; Calcs'!$D$51:$D$56,$C$12,'10. Inputs &amp; Calcs'!$J$51:$J$56)</f>
        <v>2</v>
      </c>
      <c r="G232" s="552">
        <f ca="1">IF(F232&lt;&gt;0,E232/F232,0)</f>
        <v>-56642.677916666667</v>
      </c>
      <c r="H232" s="930"/>
    </row>
    <row r="233" spans="2:8" hidden="1" outlineLevel="1" x14ac:dyDescent="0.45">
      <c r="B233" s="948" t="str">
        <f>'9c. Forecast Results - FS'!S$5</f>
        <v>2018/19</v>
      </c>
      <c r="E233" s="973">
        <f>SUMIF('10. Inputs &amp; Calcs'!$D$619:$D$624,$C$12,'10. Inputs &amp; Calcs'!$K$619:$K$629)</f>
        <v>-79253.760833333334</v>
      </c>
      <c r="F233" s="974">
        <f>SUMIF('10. Inputs &amp; Calcs'!$D$51:$D$56,$C$12,'10. Inputs &amp; Calcs'!$K$51:$K$56)</f>
        <v>2</v>
      </c>
      <c r="G233" s="753">
        <f t="shared" ref="G233:G239" si="5">IF(F233&lt;&gt;0,E233/F233,0)</f>
        <v>-39626.880416666667</v>
      </c>
      <c r="H233" s="930"/>
    </row>
    <row r="234" spans="2:8" hidden="1" outlineLevel="1" x14ac:dyDescent="0.45">
      <c r="B234" s="948" t="str">
        <f>'9c. Forecast Results - FS'!T$5</f>
        <v>2019/20</v>
      </c>
      <c r="E234" s="975">
        <f>SUMIF('10. Inputs &amp; Calcs'!$D$619:$D$624,$C$12,'10. Inputs &amp; Calcs'!$L$619:$L$629)</f>
        <v>-84651.165833333333</v>
      </c>
      <c r="F234" s="976">
        <f>SUMIF('10. Inputs &amp; Calcs'!$D$51:$D$56,$C$12,'10. Inputs &amp; Calcs'!$L$51:$L$56)</f>
        <v>2</v>
      </c>
      <c r="G234" s="888">
        <f t="shared" si="5"/>
        <v>-42325.582916666666</v>
      </c>
      <c r="H234" s="930"/>
    </row>
    <row r="235" spans="2:8" hidden="1" outlineLevel="1" x14ac:dyDescent="0.45">
      <c r="B235" s="948" t="str">
        <f>'9c. Forecast Results - FS'!U$5</f>
        <v>2020/21</v>
      </c>
      <c r="E235" s="975">
        <f>SUMIF('10. Inputs &amp; Calcs'!$D$619:$D$624,$C$12,'10. Inputs &amp; Calcs'!$M$619:$M$629)</f>
        <v>-90048.570833333331</v>
      </c>
      <c r="F235" s="976">
        <f>SUMIF('10. Inputs &amp; Calcs'!$D$51:$D$56,$C$12,'10. Inputs &amp; Calcs'!$M$51:$M$56)</f>
        <v>2</v>
      </c>
      <c r="G235" s="888">
        <f t="shared" si="5"/>
        <v>-45024.285416666666</v>
      </c>
      <c r="H235" s="930"/>
    </row>
    <row r="236" spans="2:8" hidden="1" outlineLevel="1" x14ac:dyDescent="0.45">
      <c r="B236" s="948" t="str">
        <f>'9c. Forecast Results - FS'!V$5</f>
        <v>2021/22</v>
      </c>
      <c r="E236" s="975">
        <f>SUMIF('10. Inputs &amp; Calcs'!$D$619:$D$624,$C$12,'10. Inputs &amp; Calcs'!$N$619:$N$629)</f>
        <v>-95445.97583333333</v>
      </c>
      <c r="F236" s="976">
        <f>SUMIF('10. Inputs &amp; Calcs'!$D$51:$D$56,$C$12,'10. Inputs &amp; Calcs'!$N$51:$N$56)</f>
        <v>2</v>
      </c>
      <c r="G236" s="888">
        <f t="shared" si="5"/>
        <v>-47722.987916666665</v>
      </c>
      <c r="H236" s="930"/>
    </row>
    <row r="237" spans="2:8" hidden="1" outlineLevel="1" x14ac:dyDescent="0.45">
      <c r="B237" s="948" t="str">
        <f>'9c. Forecast Results - FS'!W$5</f>
        <v>2022/23</v>
      </c>
      <c r="E237" s="977">
        <f>SUMIF('10. Inputs &amp; Calcs'!$D$619:$D$624,$C$12,'10. Inputs &amp; Calcs'!$O$619:$O$629)</f>
        <v>-100843.38083333333</v>
      </c>
      <c r="F237" s="978">
        <f>SUMIF('10. Inputs &amp; Calcs'!$D$51:$D$56,$C$12,'10. Inputs &amp; Calcs'!$O$51:$O$56)</f>
        <v>2</v>
      </c>
      <c r="G237" s="754">
        <f t="shared" si="5"/>
        <v>-50421.690416666665</v>
      </c>
      <c r="H237" s="930"/>
    </row>
    <row r="238" spans="2:8" hidden="1" outlineLevel="1" x14ac:dyDescent="0.45">
      <c r="B238" s="948" t="s">
        <v>1516</v>
      </c>
      <c r="E238" s="970">
        <f>SUM(E233:E237)</f>
        <v>-450242.85416666663</v>
      </c>
      <c r="F238" s="972">
        <f>SUM(F233:F237)</f>
        <v>10</v>
      </c>
      <c r="G238" s="552">
        <f t="shared" si="5"/>
        <v>-45024.285416666666</v>
      </c>
      <c r="H238" s="930"/>
    </row>
    <row r="239" spans="2:8" hidden="1" outlineLevel="1" x14ac:dyDescent="0.45">
      <c r="B239" s="948" t="s">
        <v>1519</v>
      </c>
      <c r="E239" s="971">
        <f>SUMIF('10. Inputs &amp; Calcs'!$D$619:$D$624,$C$12, '10. Inputs &amp; Calcs'!$AD$619:$AD$624)</f>
        <v>-3035545.3099999996</v>
      </c>
      <c r="F239" s="785">
        <f>SUMIF('10. Inputs &amp; Calcs'!$D$520:$D$525,$C$12,'10. Inputs &amp; Calcs'!$H$520:$H$525)</f>
        <v>48</v>
      </c>
      <c r="G239" s="552">
        <f t="shared" si="5"/>
        <v>-63240.527291666658</v>
      </c>
      <c r="H239" s="930"/>
    </row>
    <row r="240" spans="2:8" hidden="1" outlineLevel="1" x14ac:dyDescent="0.45"/>
    <row r="241" collapsed="1" x14ac:dyDescent="0.45"/>
  </sheetData>
  <sheetProtection formatCells="0" formatColumns="0" formatRows="0"/>
  <mergeCells count="3">
    <mergeCell ref="B6:H9"/>
    <mergeCell ref="D13:H13"/>
    <mergeCell ref="E14:H14"/>
  </mergeCells>
  <dataValidations count="2">
    <dataValidation type="list" allowBlank="1" showInputMessage="1" showErrorMessage="1" promptTitle="Rent Increase?" prompt="If rentals are to remain at the same level as the prior year, select &quot;None&quot;._x000a_If a rent increase is proposed, select &quot;Ïncrease&quot;and enter the % increase from cell F17 to F21 below._x000a_" sqref="AA18" xr:uid="{39C3D198-C434-4BBE-AB8D-C9B81149DAF0}">
      <formula1>$F$22:$G$22</formula1>
    </dataValidation>
    <dataValidation type="list" allowBlank="1" showInputMessage="1" showErrorMessage="1" promptTitle="Rent Collection %" prompt="Select &quot;Existing&quot; if the current rent collection % will be continued._x000a_Select &quot;Target&quot; if the rent collection is expected to improve and also set the target in cells D17 to D21." sqref="AA17" xr:uid="{A49AC508-5D22-4C72-BEF0-ECEC75B6D20D}">
      <formula1>$D$22:$E$22</formula1>
    </dataValidation>
  </dataValidations>
  <pageMargins left="0.23622047244094491" right="0.23622047244094491" top="0.47244094488188981" bottom="0.82677165354330717" header="0.31496062992125984" footer="0.31496062992125984"/>
  <pageSetup paperSize="9" scale="46" fitToHeight="2" orientation="portrait" r:id="rId1"/>
  <headerFooter>
    <oddFooter>&amp;R&amp;F &amp;A &amp;D Page &amp;P</oddFooter>
  </headerFooter>
  <rowBreaks count="1" manualBreakCount="1">
    <brk id="106"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Basis of EEDBS Calculation" prompt="If the average fixed EEDBS rate of R19,714.50 (midpoint between R7,500 and R31,929) is to be used as partial settlement of rental debt, select &quot;Fixed&quot;._x000a_If the EEDBS amount is to flexible and sufficient to cover all outstanding debt, select &quot;Calc&quot;." xr:uid="{FC54A9C3-5557-40A2-9A60-0CD36912CE5E}">
          <x14:formula1>
            <xm:f>'14. Permanent Info'!$M$7:$N$7</xm:f>
          </x14:formula1>
          <xm:sqref>AA19</xm:sqref>
        </x14:dataValidation>
        <x14:dataValidation type="list" allowBlank="1" showInputMessage="1" showErrorMessage="1" promptTitle="Years" prompt="Select the number of years required to close this programme from 2018/19._x000a_" xr:uid="{FF284656-0A9D-4360-9793-C2900A33D85B}">
          <x14:formula1>
            <xm:f>'14. Permanent Info'!$J$7:$J$23</xm:f>
          </x14:formula1>
          <xm:sqref>AA16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Urban Development and Infrastructure</Category>
    <Sub_x002d_Category xmlns="1e0ec87a-2ca9-4846-bcf0-31c9454ca23d">Housing rental stock provincial government</Sub_x002d_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890BAE-786D-43FB-A167-687DE0D6E6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658AA-5486-4568-BC0A-B5A9C9FCA61D}">
  <ds:schemaRefs>
    <ds:schemaRef ds:uri="http://schemas.microsoft.com/office/2006/metadata/properties"/>
    <ds:schemaRef ds:uri="http://schemas.microsoft.com/office/infopath/2007/PartnerControls"/>
    <ds:schemaRef ds:uri="1e0ec87a-2ca9-4846-bcf0-31c9454ca23d"/>
  </ds:schemaRefs>
</ds:datastoreItem>
</file>

<file path=customXml/itemProps3.xml><?xml version="1.0" encoding="utf-8"?>
<ds:datastoreItem xmlns:ds="http://schemas.openxmlformats.org/officeDocument/2006/customXml" ds:itemID="{4780A9B4-AEB0-48E7-8B9E-B3B83B5D31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43</vt:i4>
      </vt:variant>
    </vt:vector>
  </HeadingPairs>
  <TitlesOfParts>
    <vt:vector size="79" baseType="lpstr">
      <vt:lpstr>1.Cover</vt:lpstr>
      <vt:lpstr>2.Contents</vt:lpstr>
      <vt:lpstr>3. User Instructions</vt:lpstr>
      <vt:lpstr>4. Model Design &amp; Scenario Desc</vt:lpstr>
      <vt:lpstr>5. Dashboard Live</vt:lpstr>
      <vt:lpstr>5. Dashboard Total</vt:lpstr>
      <vt:lpstr>5. Dashboard Total Check</vt:lpstr>
      <vt:lpstr>5. Dashboard EC</vt:lpstr>
      <vt:lpstr>5. Dashboard FS</vt:lpstr>
      <vt:lpstr>5. Dashboard Gau</vt:lpstr>
      <vt:lpstr>5. Dashboard KZN</vt:lpstr>
      <vt:lpstr>5. Dashboard WC</vt:lpstr>
      <vt:lpstr>5a. Dashboard 2</vt:lpstr>
      <vt:lpstr>5a. Dashboard Total BC Report</vt:lpstr>
      <vt:lpstr>5a. Dashboard Total BC</vt:lpstr>
      <vt:lpstr>5b. Dashboard Total Sc 1</vt:lpstr>
      <vt:lpstr>5c. Dashboard Total Sc 2</vt:lpstr>
      <vt:lpstr>5d. Dashboard Total Sc 3</vt:lpstr>
      <vt:lpstr>6. Scenario Summary</vt:lpstr>
      <vt:lpstr>7. Scenario Detailed</vt:lpstr>
      <vt:lpstr>8. Forecast Results National</vt:lpstr>
      <vt:lpstr>9. Forecast Results</vt:lpstr>
      <vt:lpstr>9a. Forecast Results - Total</vt:lpstr>
      <vt:lpstr>9b. Forecast Results - EC</vt:lpstr>
      <vt:lpstr>9c. Forecast Results - FS</vt:lpstr>
      <vt:lpstr>9d. Forecast Results - Gau</vt:lpstr>
      <vt:lpstr>Sheet1</vt:lpstr>
      <vt:lpstr>9e. Forecast Results - KZN</vt:lpstr>
      <vt:lpstr>9f. Forecast Results - WC</vt:lpstr>
      <vt:lpstr>10. Inputs &amp; Calcs</vt:lpstr>
      <vt:lpstr>11. Table - Expenditure Review</vt:lpstr>
      <vt:lpstr>12. Inputs-Props &amp; Debtors 2016</vt:lpstr>
      <vt:lpstr>6a. Inputs &amp; Calcs - Province</vt:lpstr>
      <vt:lpstr>13. Logframe HS</vt:lpstr>
      <vt:lpstr>14. Permanent Info</vt:lpstr>
      <vt:lpstr>Spare</vt:lpstr>
      <vt:lpstr>'10. Inputs &amp; Calcs'!Print_Area</vt:lpstr>
      <vt:lpstr>'11. Table - Expenditure Review'!Print_Area</vt:lpstr>
      <vt:lpstr>'12. Inputs-Props &amp; Debtors 2016'!Print_Area</vt:lpstr>
      <vt:lpstr>'14. Permanent Info'!Print_Area</vt:lpstr>
      <vt:lpstr>'2.Contents'!Print_Area</vt:lpstr>
      <vt:lpstr>'4. Model Design &amp; Scenario Desc'!Print_Area</vt:lpstr>
      <vt:lpstr>'5. Dashboard EC'!Print_Area</vt:lpstr>
      <vt:lpstr>'5. Dashboard FS'!Print_Area</vt:lpstr>
      <vt:lpstr>'5. Dashboard Gau'!Print_Area</vt:lpstr>
      <vt:lpstr>'5. Dashboard KZN'!Print_Area</vt:lpstr>
      <vt:lpstr>'5. Dashboard Live'!Print_Area</vt:lpstr>
      <vt:lpstr>'5. Dashboard Total'!Print_Area</vt:lpstr>
      <vt:lpstr>'5. Dashboard Total Check'!Print_Area</vt:lpstr>
      <vt:lpstr>'5. Dashboard WC'!Print_Area</vt:lpstr>
      <vt:lpstr>'5a. Dashboard Total BC'!Print_Area</vt:lpstr>
      <vt:lpstr>'5a. Dashboard Total BC Report'!Print_Area</vt:lpstr>
      <vt:lpstr>'5b. Dashboard Total Sc 1'!Print_Area</vt:lpstr>
      <vt:lpstr>'5c. Dashboard Total Sc 2'!Print_Area</vt:lpstr>
      <vt:lpstr>'5d. Dashboard Total Sc 3'!Print_Area</vt:lpstr>
      <vt:lpstr>'6. Scenario Summary'!Print_Area</vt:lpstr>
      <vt:lpstr>'7. Scenario Detailed'!Print_Area</vt:lpstr>
      <vt:lpstr>'8. Forecast Results National'!Print_Area</vt:lpstr>
      <vt:lpstr>'9. Forecast Results'!Print_Area</vt:lpstr>
      <vt:lpstr>'9a. Forecast Results - Total'!Print_Area</vt:lpstr>
      <vt:lpstr>'9b. Forecast Results - EC'!Print_Area</vt:lpstr>
      <vt:lpstr>'9c. Forecast Results - FS'!Print_Area</vt:lpstr>
      <vt:lpstr>'9d. Forecast Results - Gau'!Print_Area</vt:lpstr>
      <vt:lpstr>'9e. Forecast Results - KZN'!Print_Area</vt:lpstr>
      <vt:lpstr>'9f. Forecast Results - WC'!Print_Area</vt:lpstr>
      <vt:lpstr>'10. Inputs &amp; Calcs'!Print_Titles</vt:lpstr>
      <vt:lpstr>'11. Table - Expenditure Review'!Print_Titles</vt:lpstr>
      <vt:lpstr>'12. Inputs-Props &amp; Debtors 2016'!Print_Titles</vt:lpstr>
      <vt:lpstr>'13. Logframe HS'!Print_Titles</vt:lpstr>
      <vt:lpstr>'6a. Inputs &amp; Calcs - Province'!Print_Titles</vt:lpstr>
      <vt:lpstr>'7. Scenario Detailed'!Print_Titles</vt:lpstr>
      <vt:lpstr>'8. Forecast Results National'!Print_Titles</vt:lpstr>
      <vt:lpstr>'9. Forecast Results'!Print_Titles</vt:lpstr>
      <vt:lpstr>'9a. Forecast Results - Total'!Print_Titles</vt:lpstr>
      <vt:lpstr>'9b. Forecast Results - EC'!Print_Titles</vt:lpstr>
      <vt:lpstr>'9c. Forecast Results - FS'!Print_Titles</vt:lpstr>
      <vt:lpstr>'9d. Forecast Results - Gau'!Print_Titles</vt:lpstr>
      <vt:lpstr>'9e. Forecast Results - KZN'!Print_Titles</vt:lpstr>
      <vt:lpstr>'9f. Forecast Results - WC'!Print_Titles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 - Human Settlements</dc:title>
  <dc:creator>Larry Hobson</dc:creator>
  <cp:lastModifiedBy>Mologadi Mojapelo</cp:lastModifiedBy>
  <cp:lastPrinted>2018-02-15T07:04:23Z</cp:lastPrinted>
  <dcterms:created xsi:type="dcterms:W3CDTF">2017-09-02T14:28:40Z</dcterms:created>
  <dcterms:modified xsi:type="dcterms:W3CDTF">2022-03-24T06:48:31Z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